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alcaldiabogota-my.sharepoint.com/personal/eeavila_alcaldiabogota_gov_co/Documents/Documentos/Edidier/Laboral/Contratos/Aseo y Cafetería/Contrato 1190-2025/Ejecución/Facturación/2026/07 julio/Documentación Financiera/"/>
    </mc:Choice>
  </mc:AlternateContent>
  <xr:revisionPtr revIDLastSave="3" documentId="8_{70E91162-F2BA-48FD-96F3-10C29BB3CDE4}" xr6:coauthVersionLast="47" xr6:coauthVersionMax="47" xr10:uidLastSave="{991672BE-50B4-4F82-BAE3-80124C12771A}"/>
  <bookViews>
    <workbookView xWindow="-120" yWindow="-120" windowWidth="29040" windowHeight="15840" firstSheet="1" activeTab="1" xr2:uid="{00000000-000D-0000-FFFF-FFFF00000000}"/>
  </bookViews>
  <sheets>
    <sheet name="CONSOLIDADO POR SEDE" sheetId="1" state="hidden" r:id="rId1"/>
    <sheet name="RUBROS JULIO" sheetId="25" r:id="rId2"/>
    <sheet name="NOMINA JULIO" sheetId="27" r:id="rId3"/>
    <sheet name="SUPERNUMERARIAS" sheetId="50" r:id="rId4"/>
    <sheet name="PERSONAL JULIO" sheetId="8" r:id="rId5"/>
    <sheet name="RESUMEN GENERAL POR SEDE" sheetId="42" r:id="rId6"/>
    <sheet name="MAQUINARIA" sheetId="6" r:id="rId7"/>
    <sheet name="LICENCIA DE LUTO" sheetId="48" state="hidden" r:id="rId8"/>
    <sheet name="CALAMIDAD." sheetId="49" state="hidden" r:id="rId9"/>
    <sheet name="PNR" sheetId="44" state="hidden" r:id="rId10"/>
    <sheet name="INCAPACIDADES" sheetId="45" state="hidden" r:id="rId11"/>
    <sheet name="RENUNCIAS" sheetId="47" state="hidden" r:id="rId12"/>
    <sheet name="AUSENCIAS" sheetId="43" state="hidden" r:id="rId13"/>
    <sheet name="PEDIDO JULIO" sheetId="4" r:id="rId14"/>
    <sheet name="INSUMOS  JULIO" sheetId="19" r:id="rId15"/>
    <sheet name="MATRIZ INSUMOS " sheetId="21" r:id="rId16"/>
    <sheet name="CONSOLIDADO POR SEDE JUNIO" sheetId="23" r:id="rId17"/>
    <sheet name="RECARGA ASPERSORES" sheetId="41" r:id="rId18"/>
    <sheet name="Hoja5" sheetId="24" state="hidden" r:id="rId19"/>
    <sheet name="RUBROS" sheetId="5" state="hidden" r:id="rId20"/>
    <sheet name="NOMINA ABRIL" sheetId="9" state="hidden" r:id="rId21"/>
    <sheet name="CONSOLIDADO" sheetId="17" state="hidden" r:id="rId22"/>
    <sheet name="Hoja3" sheetId="3" state="hidden" r:id="rId23"/>
  </sheets>
  <externalReferences>
    <externalReference r:id="rId24"/>
    <externalReference r:id="rId25"/>
    <externalReference r:id="rId26"/>
    <externalReference r:id="rId27"/>
    <externalReference r:id="rId28"/>
    <externalReference r:id="rId29"/>
    <externalReference r:id="rId30"/>
  </externalReferences>
  <definedNames>
    <definedName name="_xlnm._FilterDatabase" localSheetId="12" hidden="1">AUSENCIAS!$A$8:$AO$14</definedName>
    <definedName name="_xlnm._FilterDatabase" localSheetId="8" hidden="1">'CALAMIDAD.'!$A$8:$AO$12</definedName>
    <definedName name="_xlnm._FilterDatabase" localSheetId="0" hidden="1">'CONSOLIDADO POR SEDE'!$A$5:$I$1630</definedName>
    <definedName name="_xlnm._FilterDatabase" localSheetId="16" hidden="1">'CONSOLIDADO POR SEDE JUNIO'!$A$4:$F$2604</definedName>
    <definedName name="_xlnm._FilterDatabase" localSheetId="10" hidden="1">INCAPACIDADES!$A$8:$AO$31</definedName>
    <definedName name="_xlnm._FilterDatabase" localSheetId="14" hidden="1">'INSUMOS  JULIO'!$A$5:$CS$110</definedName>
    <definedName name="_xlnm._FilterDatabase" localSheetId="7" hidden="1">'LICENCIA DE LUTO'!$A$8:$AO$10</definedName>
    <definedName name="_xlnm._FilterDatabase" localSheetId="15" hidden="1">'MATRIZ INSUMOS '!$A$2:$S$109</definedName>
    <definedName name="_xlnm._FilterDatabase" localSheetId="2" hidden="1">'NOMINA JULIO'!$A$8:$BF$208</definedName>
    <definedName name="_xlnm._FilterDatabase" localSheetId="13" hidden="1">'PEDIDO JULIO'!$A$9:$AN$48</definedName>
    <definedName name="_xlnm._FilterDatabase" localSheetId="4" hidden="1">'PERSONAL JULIO'!$A$4:$O$113</definedName>
    <definedName name="_xlnm._FilterDatabase" localSheetId="9" hidden="1">PNR!$A$8:$AO$9</definedName>
    <definedName name="_xlnm._FilterDatabase" localSheetId="11" hidden="1">RENUNCIAS!$A$8:$AO$9</definedName>
    <definedName name="_xlnm._FilterDatabase" localSheetId="5" hidden="1">'RESUMEN GENERAL POR SEDE'!$A$4:$K$64</definedName>
    <definedName name="_xlnm._FilterDatabase" localSheetId="3" hidden="1">SUPERNUMERARIAS!$A$8:$BF$11</definedName>
    <definedName name="ABRILINSU">'INSUMOS  JULIO'!$CO$110</definedName>
    <definedName name="ABRILMAQUI">MAQUINARIA!$AD$28</definedName>
    <definedName name="CONSOLFAC" localSheetId="17">'RECARGA ASPERSORES'!$O$58</definedName>
    <definedName name="CONSOLFAC">#REF!</definedName>
    <definedName name="INSUMOABRIL" localSheetId="16">'CONSOLIDADO POR SEDE JUNIO'!#REF!</definedName>
    <definedName name="INSUMOABRIL">'CONSOLIDADO POR SEDE'!$L$1632</definedName>
    <definedName name="INSUMOFEBRERO">'[1]INSUMO POR SEDES MARZO'!$CO$110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4" i="8" l="1"/>
  <c r="L57" i="42"/>
  <c r="L64" i="42"/>
  <c r="L58" i="42"/>
  <c r="L54" i="42"/>
  <c r="L53" i="42"/>
  <c r="O52" i="8"/>
  <c r="L51" i="42"/>
  <c r="L48" i="42"/>
  <c r="L44" i="42"/>
  <c r="L43" i="42"/>
  <c r="L40" i="42"/>
  <c r="L38" i="42"/>
  <c r="L36" i="42"/>
  <c r="L35" i="42"/>
  <c r="L34" i="42"/>
  <c r="L30" i="42"/>
  <c r="L27" i="42"/>
  <c r="L25" i="42"/>
  <c r="L23" i="42"/>
  <c r="L21" i="42"/>
  <c r="L19" i="42"/>
  <c r="L17" i="42"/>
  <c r="L16" i="42"/>
  <c r="L5" i="42"/>
  <c r="L10" i="42"/>
  <c r="L67" i="8"/>
  <c r="L13" i="42"/>
  <c r="G40" i="4"/>
  <c r="H44" i="4"/>
  <c r="H40" i="4"/>
  <c r="P4" i="41" l="1"/>
  <c r="Q4" i="41" s="1"/>
  <c r="BD12" i="50"/>
  <c r="BA11" i="50"/>
  <c r="AZ11" i="50"/>
  <c r="AY11" i="50"/>
  <c r="AX11" i="50"/>
  <c r="AW11" i="50"/>
  <c r="AV11" i="50"/>
  <c r="AU11" i="50"/>
  <c r="AT11" i="50"/>
  <c r="AS11" i="50"/>
  <c r="AR11" i="50"/>
  <c r="AQ11" i="50"/>
  <c r="AP11" i="50"/>
  <c r="AO11" i="50"/>
  <c r="BA10" i="50"/>
  <c r="AZ10" i="50"/>
  <c r="AY10" i="50"/>
  <c r="AX10" i="50"/>
  <c r="AW10" i="50"/>
  <c r="AV10" i="50"/>
  <c r="AU10" i="50"/>
  <c r="AT10" i="50"/>
  <c r="AS10" i="50"/>
  <c r="AR10" i="50"/>
  <c r="AQ10" i="50"/>
  <c r="AP10" i="50"/>
  <c r="AO10" i="50"/>
  <c r="BA9" i="50"/>
  <c r="AZ9" i="50"/>
  <c r="AY9" i="50"/>
  <c r="AX9" i="50"/>
  <c r="AW9" i="50"/>
  <c r="AV9" i="50"/>
  <c r="AU9" i="50"/>
  <c r="AT9" i="50"/>
  <c r="AS9" i="50"/>
  <c r="AR9" i="50"/>
  <c r="AQ9" i="50"/>
  <c r="AP9" i="50"/>
  <c r="AO9" i="50"/>
  <c r="D56" i="42"/>
  <c r="D42" i="42"/>
  <c r="D52" i="42"/>
  <c r="D6" i="42"/>
  <c r="D7" i="42"/>
  <c r="D8" i="42"/>
  <c r="D9" i="42"/>
  <c r="D10" i="42"/>
  <c r="D11" i="42"/>
  <c r="D12" i="42"/>
  <c r="D13" i="42"/>
  <c r="D14" i="42"/>
  <c r="D15" i="42"/>
  <c r="D16" i="42"/>
  <c r="D17" i="42"/>
  <c r="D18" i="42"/>
  <c r="D19" i="42"/>
  <c r="D20" i="42"/>
  <c r="D21" i="42"/>
  <c r="D22" i="42"/>
  <c r="D23" i="42"/>
  <c r="D24" i="42"/>
  <c r="D25" i="42"/>
  <c r="D26" i="42"/>
  <c r="D27" i="42"/>
  <c r="D28" i="42"/>
  <c r="D29" i="42"/>
  <c r="D30" i="42"/>
  <c r="D31" i="42"/>
  <c r="D32" i="42"/>
  <c r="D33" i="42"/>
  <c r="D34" i="42"/>
  <c r="D35" i="42"/>
  <c r="D36" i="42"/>
  <c r="D37" i="42"/>
  <c r="D38" i="42"/>
  <c r="D39" i="42"/>
  <c r="D40" i="42"/>
  <c r="D41" i="42"/>
  <c r="D43" i="42"/>
  <c r="D44" i="42"/>
  <c r="D45" i="42"/>
  <c r="D46" i="42"/>
  <c r="D47" i="42"/>
  <c r="D48" i="42"/>
  <c r="D49" i="42"/>
  <c r="D50" i="42"/>
  <c r="D51" i="42"/>
  <c r="D53" i="42"/>
  <c r="D54" i="42"/>
  <c r="D55" i="42"/>
  <c r="D57" i="42"/>
  <c r="D58" i="42"/>
  <c r="D59" i="42"/>
  <c r="D60" i="42"/>
  <c r="D61" i="42"/>
  <c r="D62" i="42"/>
  <c r="D63" i="42"/>
  <c r="D5" i="42"/>
  <c r="C41" i="42"/>
  <c r="AO12" i="49"/>
  <c r="AO11" i="49"/>
  <c r="AO10" i="49"/>
  <c r="AO9" i="49"/>
  <c r="AO10" i="48"/>
  <c r="AO9" i="48"/>
  <c r="AO9" i="47"/>
  <c r="AO31" i="45"/>
  <c r="AO30" i="45"/>
  <c r="AO29" i="45"/>
  <c r="AO28" i="45"/>
  <c r="AO27" i="45"/>
  <c r="AO26" i="45"/>
  <c r="AO25" i="45"/>
  <c r="AO24" i="45"/>
  <c r="AO23" i="45"/>
  <c r="AO22" i="45"/>
  <c r="AO21" i="45"/>
  <c r="AO20" i="45"/>
  <c r="AO19" i="45"/>
  <c r="AO18" i="45"/>
  <c r="AO17" i="45"/>
  <c r="AO16" i="45"/>
  <c r="AO15" i="45"/>
  <c r="AO14" i="45"/>
  <c r="AO13" i="45"/>
  <c r="AO12" i="45"/>
  <c r="AO11" i="45"/>
  <c r="AO10" i="45"/>
  <c r="AO9" i="45"/>
  <c r="AO9" i="44"/>
  <c r="AO14" i="43"/>
  <c r="AO13" i="43"/>
  <c r="AO12" i="43"/>
  <c r="AO11" i="43"/>
  <c r="AO10" i="43"/>
  <c r="AO9" i="43"/>
  <c r="D64" i="42" l="1"/>
  <c r="BB10" i="50"/>
  <c r="AS12" i="50"/>
  <c r="R4" i="41"/>
  <c r="AT12" i="50"/>
  <c r="BB11" i="50"/>
  <c r="AU12" i="50"/>
  <c r="AV12" i="50"/>
  <c r="AW12" i="50"/>
  <c r="AO12" i="50"/>
  <c r="AP12" i="50"/>
  <c r="AX12" i="50"/>
  <c r="AQ12" i="50"/>
  <c r="BB9" i="50"/>
  <c r="BB12" i="50" s="1"/>
  <c r="AY12" i="50"/>
  <c r="AR12" i="50"/>
  <c r="AZ12" i="50"/>
  <c r="BA12" i="50"/>
  <c r="AO10" i="47"/>
  <c r="AO13" i="49"/>
  <c r="G8" i="17" s="1"/>
  <c r="AO11" i="48"/>
  <c r="G6" i="17" s="1"/>
  <c r="AO32" i="45"/>
  <c r="G9" i="17" s="1"/>
  <c r="AO10" i="44"/>
  <c r="G7" i="17" s="1"/>
  <c r="AO15" i="43"/>
  <c r="G10" i="17" s="1"/>
  <c r="S4" i="41" l="1"/>
  <c r="BF12" i="50"/>
  <c r="G13" i="17"/>
  <c r="G11" i="17"/>
  <c r="BE12" i="50"/>
  <c r="F107" i="8"/>
  <c r="F106" i="8"/>
  <c r="F82" i="8"/>
  <c r="F87" i="8"/>
  <c r="F86" i="8"/>
  <c r="F27" i="8"/>
  <c r="F35" i="8"/>
  <c r="F59" i="8"/>
  <c r="F61" i="8"/>
  <c r="F58" i="8"/>
  <c r="F57" i="8"/>
  <c r="F56" i="8"/>
  <c r="F49" i="8"/>
  <c r="F46" i="8"/>
  <c r="F45" i="8"/>
  <c r="F44" i="8"/>
  <c r="F43" i="8"/>
  <c r="F40" i="8"/>
  <c r="F38" i="8"/>
  <c r="F34" i="8"/>
  <c r="F28" i="8"/>
  <c r="F23" i="8"/>
  <c r="F12" i="8"/>
  <c r="F21" i="8"/>
  <c r="F20" i="8"/>
  <c r="F19" i="8"/>
  <c r="F18" i="8"/>
  <c r="T4" i="41" l="1"/>
  <c r="BD209" i="27"/>
  <c r="AO10" i="27"/>
  <c r="AP10" i="27"/>
  <c r="AQ10" i="27"/>
  <c r="AR10" i="27"/>
  <c r="AS10" i="27"/>
  <c r="AT10" i="27"/>
  <c r="AU10" i="27"/>
  <c r="AV10" i="27"/>
  <c r="AW10" i="27"/>
  <c r="AX10" i="27"/>
  <c r="AY10" i="27"/>
  <c r="AZ10" i="27"/>
  <c r="BA10" i="27"/>
  <c r="AO11" i="27"/>
  <c r="AP11" i="27"/>
  <c r="AQ11" i="27"/>
  <c r="AR11" i="27"/>
  <c r="AS11" i="27"/>
  <c r="AT11" i="27"/>
  <c r="AU11" i="27"/>
  <c r="AV11" i="27"/>
  <c r="AW11" i="27"/>
  <c r="AX11" i="27"/>
  <c r="AY11" i="27"/>
  <c r="AZ11" i="27"/>
  <c r="BA11" i="27"/>
  <c r="AO12" i="27"/>
  <c r="AP12" i="27"/>
  <c r="AQ12" i="27"/>
  <c r="AR12" i="27"/>
  <c r="AS12" i="27"/>
  <c r="AT12" i="27"/>
  <c r="AU12" i="27"/>
  <c r="AV12" i="27"/>
  <c r="AW12" i="27"/>
  <c r="AX12" i="27"/>
  <c r="AY12" i="27"/>
  <c r="AZ12" i="27"/>
  <c r="BA12" i="27"/>
  <c r="AO13" i="27"/>
  <c r="AP13" i="27"/>
  <c r="AQ13" i="27"/>
  <c r="AR13" i="27"/>
  <c r="AS13" i="27"/>
  <c r="AT13" i="27"/>
  <c r="AU13" i="27"/>
  <c r="AV13" i="27"/>
  <c r="AW13" i="27"/>
  <c r="AX13" i="27"/>
  <c r="AY13" i="27"/>
  <c r="AZ13" i="27"/>
  <c r="BA13" i="27"/>
  <c r="AO14" i="27"/>
  <c r="AP14" i="27"/>
  <c r="AQ14" i="27"/>
  <c r="AR14" i="27"/>
  <c r="AS14" i="27"/>
  <c r="AT14" i="27"/>
  <c r="AU14" i="27"/>
  <c r="AV14" i="27"/>
  <c r="AW14" i="27"/>
  <c r="AX14" i="27"/>
  <c r="AY14" i="27"/>
  <c r="AZ14" i="27"/>
  <c r="BA14" i="27"/>
  <c r="AO15" i="27"/>
  <c r="AP15" i="27"/>
  <c r="AQ15" i="27"/>
  <c r="AR15" i="27"/>
  <c r="AS15" i="27"/>
  <c r="AT15" i="27"/>
  <c r="AU15" i="27"/>
  <c r="AV15" i="27"/>
  <c r="AW15" i="27"/>
  <c r="AX15" i="27"/>
  <c r="AY15" i="27"/>
  <c r="AZ15" i="27"/>
  <c r="BA15" i="27"/>
  <c r="AO16" i="27"/>
  <c r="AP16" i="27"/>
  <c r="AQ16" i="27"/>
  <c r="AR16" i="27"/>
  <c r="AS16" i="27"/>
  <c r="AT16" i="27"/>
  <c r="AU16" i="27"/>
  <c r="AV16" i="27"/>
  <c r="AW16" i="27"/>
  <c r="AX16" i="27"/>
  <c r="AY16" i="27"/>
  <c r="AZ16" i="27"/>
  <c r="BA16" i="27"/>
  <c r="AO17" i="27"/>
  <c r="AP17" i="27"/>
  <c r="AQ17" i="27"/>
  <c r="AR17" i="27"/>
  <c r="AS17" i="27"/>
  <c r="AT17" i="27"/>
  <c r="AU17" i="27"/>
  <c r="AV17" i="27"/>
  <c r="AW17" i="27"/>
  <c r="AX17" i="27"/>
  <c r="AY17" i="27"/>
  <c r="AZ17" i="27"/>
  <c r="BA17" i="27"/>
  <c r="AO18" i="27"/>
  <c r="AP18" i="27"/>
  <c r="AQ18" i="27"/>
  <c r="AR18" i="27"/>
  <c r="AS18" i="27"/>
  <c r="AT18" i="27"/>
  <c r="AU18" i="27"/>
  <c r="AV18" i="27"/>
  <c r="AW18" i="27"/>
  <c r="AX18" i="27"/>
  <c r="AY18" i="27"/>
  <c r="AZ18" i="27"/>
  <c r="BA18" i="27"/>
  <c r="AO19" i="27"/>
  <c r="AP19" i="27"/>
  <c r="AQ19" i="27"/>
  <c r="AR19" i="27"/>
  <c r="AS19" i="27"/>
  <c r="AT19" i="27"/>
  <c r="AU19" i="27"/>
  <c r="AV19" i="27"/>
  <c r="AW19" i="27"/>
  <c r="AX19" i="27"/>
  <c r="AY19" i="27"/>
  <c r="AZ19" i="27"/>
  <c r="BA19" i="27"/>
  <c r="AO20" i="27"/>
  <c r="AP20" i="27"/>
  <c r="AQ20" i="27"/>
  <c r="AR20" i="27"/>
  <c r="AS20" i="27"/>
  <c r="AT20" i="27"/>
  <c r="AU20" i="27"/>
  <c r="AV20" i="27"/>
  <c r="AW20" i="27"/>
  <c r="AX20" i="27"/>
  <c r="AY20" i="27"/>
  <c r="AZ20" i="27"/>
  <c r="BA20" i="27"/>
  <c r="AO21" i="27"/>
  <c r="AP21" i="27"/>
  <c r="AQ21" i="27"/>
  <c r="AR21" i="27"/>
  <c r="AS21" i="27"/>
  <c r="AT21" i="27"/>
  <c r="AU21" i="27"/>
  <c r="AV21" i="27"/>
  <c r="AW21" i="27"/>
  <c r="AX21" i="27"/>
  <c r="AY21" i="27"/>
  <c r="AZ21" i="27"/>
  <c r="BA21" i="27"/>
  <c r="AO22" i="27"/>
  <c r="AP22" i="27"/>
  <c r="AQ22" i="27"/>
  <c r="AR22" i="27"/>
  <c r="AS22" i="27"/>
  <c r="AT22" i="27"/>
  <c r="AU22" i="27"/>
  <c r="AV22" i="27"/>
  <c r="AW22" i="27"/>
  <c r="AX22" i="27"/>
  <c r="AY22" i="27"/>
  <c r="AZ22" i="27"/>
  <c r="BA22" i="27"/>
  <c r="AO23" i="27"/>
  <c r="AP23" i="27"/>
  <c r="AQ23" i="27"/>
  <c r="AR23" i="27"/>
  <c r="AS23" i="27"/>
  <c r="AT23" i="27"/>
  <c r="AU23" i="27"/>
  <c r="AV23" i="27"/>
  <c r="AW23" i="27"/>
  <c r="AX23" i="27"/>
  <c r="AY23" i="27"/>
  <c r="AZ23" i="27"/>
  <c r="BA23" i="27"/>
  <c r="AO24" i="27"/>
  <c r="AP24" i="27"/>
  <c r="AQ24" i="27"/>
  <c r="AR24" i="27"/>
  <c r="AS24" i="27"/>
  <c r="AT24" i="27"/>
  <c r="AU24" i="27"/>
  <c r="AV24" i="27"/>
  <c r="AW24" i="27"/>
  <c r="AX24" i="27"/>
  <c r="AY24" i="27"/>
  <c r="AZ24" i="27"/>
  <c r="BA24" i="27"/>
  <c r="AO25" i="27"/>
  <c r="AP25" i="27"/>
  <c r="AQ25" i="27"/>
  <c r="AR25" i="27"/>
  <c r="AS25" i="27"/>
  <c r="AT25" i="27"/>
  <c r="AU25" i="27"/>
  <c r="AV25" i="27"/>
  <c r="AW25" i="27"/>
  <c r="AX25" i="27"/>
  <c r="AY25" i="27"/>
  <c r="AZ25" i="27"/>
  <c r="BA25" i="27"/>
  <c r="AO26" i="27"/>
  <c r="AP26" i="27"/>
  <c r="AQ26" i="27"/>
  <c r="AR26" i="27"/>
  <c r="AS26" i="27"/>
  <c r="AT26" i="27"/>
  <c r="AU26" i="27"/>
  <c r="AV26" i="27"/>
  <c r="AW26" i="27"/>
  <c r="AX26" i="27"/>
  <c r="AY26" i="27"/>
  <c r="AZ26" i="27"/>
  <c r="BA26" i="27"/>
  <c r="AO27" i="27"/>
  <c r="AP27" i="27"/>
  <c r="AQ27" i="27"/>
  <c r="AR27" i="27"/>
  <c r="AS27" i="27"/>
  <c r="AT27" i="27"/>
  <c r="AU27" i="27"/>
  <c r="AV27" i="27"/>
  <c r="AW27" i="27"/>
  <c r="AX27" i="27"/>
  <c r="AY27" i="27"/>
  <c r="AZ27" i="27"/>
  <c r="BA27" i="27"/>
  <c r="AO28" i="27"/>
  <c r="AP28" i="27"/>
  <c r="AQ28" i="27"/>
  <c r="AR28" i="27"/>
  <c r="AS28" i="27"/>
  <c r="AT28" i="27"/>
  <c r="AU28" i="27"/>
  <c r="AV28" i="27"/>
  <c r="AW28" i="27"/>
  <c r="AX28" i="27"/>
  <c r="AY28" i="27"/>
  <c r="AZ28" i="27"/>
  <c r="BA28" i="27"/>
  <c r="AO29" i="27"/>
  <c r="AP29" i="27"/>
  <c r="AQ29" i="27"/>
  <c r="AR29" i="27"/>
  <c r="AS29" i="27"/>
  <c r="AT29" i="27"/>
  <c r="AU29" i="27"/>
  <c r="AV29" i="27"/>
  <c r="AW29" i="27"/>
  <c r="AX29" i="27"/>
  <c r="AY29" i="27"/>
  <c r="AZ29" i="27"/>
  <c r="BA29" i="27"/>
  <c r="AO30" i="27"/>
  <c r="AP30" i="27"/>
  <c r="AQ30" i="27"/>
  <c r="AR30" i="27"/>
  <c r="AS30" i="27"/>
  <c r="AT30" i="27"/>
  <c r="AU30" i="27"/>
  <c r="AV30" i="27"/>
  <c r="AW30" i="27"/>
  <c r="AX30" i="27"/>
  <c r="AY30" i="27"/>
  <c r="AZ30" i="27"/>
  <c r="BA30" i="27"/>
  <c r="AO31" i="27"/>
  <c r="AP31" i="27"/>
  <c r="AQ31" i="27"/>
  <c r="AR31" i="27"/>
  <c r="AS31" i="27"/>
  <c r="AT31" i="27"/>
  <c r="AU31" i="27"/>
  <c r="AV31" i="27"/>
  <c r="AW31" i="27"/>
  <c r="AX31" i="27"/>
  <c r="AY31" i="27"/>
  <c r="AZ31" i="27"/>
  <c r="BA31" i="27"/>
  <c r="AO32" i="27"/>
  <c r="AP32" i="27"/>
  <c r="AQ32" i="27"/>
  <c r="AR32" i="27"/>
  <c r="AS32" i="27"/>
  <c r="AT32" i="27"/>
  <c r="AU32" i="27"/>
  <c r="AV32" i="27"/>
  <c r="AW32" i="27"/>
  <c r="AX32" i="27"/>
  <c r="AY32" i="27"/>
  <c r="AZ32" i="27"/>
  <c r="BA32" i="27"/>
  <c r="AO33" i="27"/>
  <c r="AP33" i="27"/>
  <c r="AQ33" i="27"/>
  <c r="AR33" i="27"/>
  <c r="AS33" i="27"/>
  <c r="AT33" i="27"/>
  <c r="AU33" i="27"/>
  <c r="AV33" i="27"/>
  <c r="AW33" i="27"/>
  <c r="AX33" i="27"/>
  <c r="AY33" i="27"/>
  <c r="AZ33" i="27"/>
  <c r="BA33" i="27"/>
  <c r="AO34" i="27"/>
  <c r="AP34" i="27"/>
  <c r="AQ34" i="27"/>
  <c r="AR34" i="27"/>
  <c r="AS34" i="27"/>
  <c r="AT34" i="27"/>
  <c r="AU34" i="27"/>
  <c r="AV34" i="27"/>
  <c r="AW34" i="27"/>
  <c r="AX34" i="27"/>
  <c r="AY34" i="27"/>
  <c r="AZ34" i="27"/>
  <c r="BA34" i="27"/>
  <c r="AO35" i="27"/>
  <c r="AP35" i="27"/>
  <c r="AQ35" i="27"/>
  <c r="AR35" i="27"/>
  <c r="AS35" i="27"/>
  <c r="AT35" i="27"/>
  <c r="AU35" i="27"/>
  <c r="AV35" i="27"/>
  <c r="AW35" i="27"/>
  <c r="AX35" i="27"/>
  <c r="AY35" i="27"/>
  <c r="AZ35" i="27"/>
  <c r="BA35" i="27"/>
  <c r="AO36" i="27"/>
  <c r="AP36" i="27"/>
  <c r="AQ36" i="27"/>
  <c r="AR36" i="27"/>
  <c r="AS36" i="27"/>
  <c r="AT36" i="27"/>
  <c r="AU36" i="27"/>
  <c r="AV36" i="27"/>
  <c r="AW36" i="27"/>
  <c r="AX36" i="27"/>
  <c r="AY36" i="27"/>
  <c r="AZ36" i="27"/>
  <c r="BA36" i="27"/>
  <c r="AO37" i="27"/>
  <c r="AP37" i="27"/>
  <c r="AQ37" i="27"/>
  <c r="AR37" i="27"/>
  <c r="AS37" i="27"/>
  <c r="AT37" i="27"/>
  <c r="AU37" i="27"/>
  <c r="AV37" i="27"/>
  <c r="AW37" i="27"/>
  <c r="AX37" i="27"/>
  <c r="AY37" i="27"/>
  <c r="AZ37" i="27"/>
  <c r="BA37" i="27"/>
  <c r="AO38" i="27"/>
  <c r="AP38" i="27"/>
  <c r="AQ38" i="27"/>
  <c r="AR38" i="27"/>
  <c r="AS38" i="27"/>
  <c r="AT38" i="27"/>
  <c r="AU38" i="27"/>
  <c r="AV38" i="27"/>
  <c r="AW38" i="27"/>
  <c r="AX38" i="27"/>
  <c r="AY38" i="27"/>
  <c r="AZ38" i="27"/>
  <c r="BA38" i="27"/>
  <c r="AO39" i="27"/>
  <c r="AP39" i="27"/>
  <c r="AQ39" i="27"/>
  <c r="AR39" i="27"/>
  <c r="AS39" i="27"/>
  <c r="AT39" i="27"/>
  <c r="AU39" i="27"/>
  <c r="AV39" i="27"/>
  <c r="AW39" i="27"/>
  <c r="AX39" i="27"/>
  <c r="AY39" i="27"/>
  <c r="AZ39" i="27"/>
  <c r="BA39" i="27"/>
  <c r="AO40" i="27"/>
  <c r="AP40" i="27"/>
  <c r="AQ40" i="27"/>
  <c r="AR40" i="27"/>
  <c r="AS40" i="27"/>
  <c r="AT40" i="27"/>
  <c r="AU40" i="27"/>
  <c r="AV40" i="27"/>
  <c r="AW40" i="27"/>
  <c r="AX40" i="27"/>
  <c r="AY40" i="27"/>
  <c r="AZ40" i="27"/>
  <c r="BA40" i="27"/>
  <c r="AO41" i="27"/>
  <c r="AP41" i="27"/>
  <c r="AQ41" i="27"/>
  <c r="AR41" i="27"/>
  <c r="AS41" i="27"/>
  <c r="AT41" i="27"/>
  <c r="AU41" i="27"/>
  <c r="AV41" i="27"/>
  <c r="AW41" i="27"/>
  <c r="AX41" i="27"/>
  <c r="AY41" i="27"/>
  <c r="AZ41" i="27"/>
  <c r="BA41" i="27"/>
  <c r="AO42" i="27"/>
  <c r="AP42" i="27"/>
  <c r="AQ42" i="27"/>
  <c r="AR42" i="27"/>
  <c r="AS42" i="27"/>
  <c r="AT42" i="27"/>
  <c r="AU42" i="27"/>
  <c r="AV42" i="27"/>
  <c r="AW42" i="27"/>
  <c r="AX42" i="27"/>
  <c r="AY42" i="27"/>
  <c r="AZ42" i="27"/>
  <c r="BA42" i="27"/>
  <c r="AO43" i="27"/>
  <c r="AP43" i="27"/>
  <c r="AQ43" i="27"/>
  <c r="AR43" i="27"/>
  <c r="AS43" i="27"/>
  <c r="AT43" i="27"/>
  <c r="AU43" i="27"/>
  <c r="AV43" i="27"/>
  <c r="AW43" i="27"/>
  <c r="AX43" i="27"/>
  <c r="AY43" i="27"/>
  <c r="AZ43" i="27"/>
  <c r="BA43" i="27"/>
  <c r="AO44" i="27"/>
  <c r="AP44" i="27"/>
  <c r="AQ44" i="27"/>
  <c r="AR44" i="27"/>
  <c r="AS44" i="27"/>
  <c r="AT44" i="27"/>
  <c r="AU44" i="27"/>
  <c r="AV44" i="27"/>
  <c r="AW44" i="27"/>
  <c r="AX44" i="27"/>
  <c r="AY44" i="27"/>
  <c r="AZ44" i="27"/>
  <c r="BA44" i="27"/>
  <c r="AO45" i="27"/>
  <c r="AP45" i="27"/>
  <c r="AQ45" i="27"/>
  <c r="AR45" i="27"/>
  <c r="AS45" i="27"/>
  <c r="AT45" i="27"/>
  <c r="AU45" i="27"/>
  <c r="AV45" i="27"/>
  <c r="AW45" i="27"/>
  <c r="AX45" i="27"/>
  <c r="AY45" i="27"/>
  <c r="AZ45" i="27"/>
  <c r="BA45" i="27"/>
  <c r="AO46" i="27"/>
  <c r="AP46" i="27"/>
  <c r="AQ46" i="27"/>
  <c r="AR46" i="27"/>
  <c r="AS46" i="27"/>
  <c r="AT46" i="27"/>
  <c r="AU46" i="27"/>
  <c r="AV46" i="27"/>
  <c r="AW46" i="27"/>
  <c r="AX46" i="27"/>
  <c r="AY46" i="27"/>
  <c r="AZ46" i="27"/>
  <c r="BA46" i="27"/>
  <c r="AO47" i="27"/>
  <c r="AP47" i="27"/>
  <c r="AQ47" i="27"/>
  <c r="AR47" i="27"/>
  <c r="AS47" i="27"/>
  <c r="AT47" i="27"/>
  <c r="AU47" i="27"/>
  <c r="AV47" i="27"/>
  <c r="AW47" i="27"/>
  <c r="AX47" i="27"/>
  <c r="AY47" i="27"/>
  <c r="AZ47" i="27"/>
  <c r="BA47" i="27"/>
  <c r="AO48" i="27"/>
  <c r="AP48" i="27"/>
  <c r="AQ48" i="27"/>
  <c r="AR48" i="27"/>
  <c r="AS48" i="27"/>
  <c r="AT48" i="27"/>
  <c r="AU48" i="27"/>
  <c r="AV48" i="27"/>
  <c r="AW48" i="27"/>
  <c r="AX48" i="27"/>
  <c r="AY48" i="27"/>
  <c r="AZ48" i="27"/>
  <c r="BA48" i="27"/>
  <c r="AO49" i="27"/>
  <c r="AP49" i="27"/>
  <c r="AQ49" i="27"/>
  <c r="AR49" i="27"/>
  <c r="AS49" i="27"/>
  <c r="AT49" i="27"/>
  <c r="AU49" i="27"/>
  <c r="AV49" i="27"/>
  <c r="AW49" i="27"/>
  <c r="AX49" i="27"/>
  <c r="AY49" i="27"/>
  <c r="AZ49" i="27"/>
  <c r="BA49" i="27"/>
  <c r="AO50" i="27"/>
  <c r="AP50" i="27"/>
  <c r="AQ50" i="27"/>
  <c r="AR50" i="27"/>
  <c r="AS50" i="27"/>
  <c r="AT50" i="27"/>
  <c r="AU50" i="27"/>
  <c r="AV50" i="27"/>
  <c r="AW50" i="27"/>
  <c r="AX50" i="27"/>
  <c r="AY50" i="27"/>
  <c r="AZ50" i="27"/>
  <c r="BA50" i="27"/>
  <c r="AO51" i="27"/>
  <c r="AP51" i="27"/>
  <c r="AQ51" i="27"/>
  <c r="AR51" i="27"/>
  <c r="AS51" i="27"/>
  <c r="AT51" i="27"/>
  <c r="AU51" i="27"/>
  <c r="AV51" i="27"/>
  <c r="AW51" i="27"/>
  <c r="AX51" i="27"/>
  <c r="AY51" i="27"/>
  <c r="AZ51" i="27"/>
  <c r="BA51" i="27"/>
  <c r="AO52" i="27"/>
  <c r="AP52" i="27"/>
  <c r="AQ52" i="27"/>
  <c r="AR52" i="27"/>
  <c r="AS52" i="27"/>
  <c r="AT52" i="27"/>
  <c r="AU52" i="27"/>
  <c r="AV52" i="27"/>
  <c r="AW52" i="27"/>
  <c r="AX52" i="27"/>
  <c r="AY52" i="27"/>
  <c r="AZ52" i="27"/>
  <c r="BA52" i="27"/>
  <c r="AO53" i="27"/>
  <c r="AP53" i="27"/>
  <c r="AQ53" i="27"/>
  <c r="AR53" i="27"/>
  <c r="AS53" i="27"/>
  <c r="AT53" i="27"/>
  <c r="AU53" i="27"/>
  <c r="AV53" i="27"/>
  <c r="AW53" i="27"/>
  <c r="AX53" i="27"/>
  <c r="AY53" i="27"/>
  <c r="AZ53" i="27"/>
  <c r="BA53" i="27"/>
  <c r="AO54" i="27"/>
  <c r="AP54" i="27"/>
  <c r="AQ54" i="27"/>
  <c r="AR54" i="27"/>
  <c r="AS54" i="27"/>
  <c r="AT54" i="27"/>
  <c r="AU54" i="27"/>
  <c r="AV54" i="27"/>
  <c r="AW54" i="27"/>
  <c r="AX54" i="27"/>
  <c r="AY54" i="27"/>
  <c r="AZ54" i="27"/>
  <c r="BA54" i="27"/>
  <c r="AO55" i="27"/>
  <c r="AP55" i="27"/>
  <c r="AQ55" i="27"/>
  <c r="AR55" i="27"/>
  <c r="AS55" i="27"/>
  <c r="AT55" i="27"/>
  <c r="AU55" i="27"/>
  <c r="AV55" i="27"/>
  <c r="AW55" i="27"/>
  <c r="AX55" i="27"/>
  <c r="AY55" i="27"/>
  <c r="AZ55" i="27"/>
  <c r="BA55" i="27"/>
  <c r="AO56" i="27"/>
  <c r="AP56" i="27"/>
  <c r="AQ56" i="27"/>
  <c r="AR56" i="27"/>
  <c r="AS56" i="27"/>
  <c r="AT56" i="27"/>
  <c r="AU56" i="27"/>
  <c r="AV56" i="27"/>
  <c r="AW56" i="27"/>
  <c r="AX56" i="27"/>
  <c r="AY56" i="27"/>
  <c r="AZ56" i="27"/>
  <c r="BA56" i="27"/>
  <c r="AO57" i="27"/>
  <c r="AP57" i="27"/>
  <c r="AQ57" i="27"/>
  <c r="AR57" i="27"/>
  <c r="AS57" i="27"/>
  <c r="AT57" i="27"/>
  <c r="AU57" i="27"/>
  <c r="AV57" i="27"/>
  <c r="AW57" i="27"/>
  <c r="AX57" i="27"/>
  <c r="AY57" i="27"/>
  <c r="AZ57" i="27"/>
  <c r="BA57" i="27"/>
  <c r="AO58" i="27"/>
  <c r="AP58" i="27"/>
  <c r="AQ58" i="27"/>
  <c r="AR58" i="27"/>
  <c r="AS58" i="27"/>
  <c r="AT58" i="27"/>
  <c r="AU58" i="27"/>
  <c r="AV58" i="27"/>
  <c r="AW58" i="27"/>
  <c r="AX58" i="27"/>
  <c r="AY58" i="27"/>
  <c r="AZ58" i="27"/>
  <c r="BA58" i="27"/>
  <c r="AO59" i="27"/>
  <c r="AP59" i="27"/>
  <c r="AQ59" i="27"/>
  <c r="AR59" i="27"/>
  <c r="AS59" i="27"/>
  <c r="AT59" i="27"/>
  <c r="AU59" i="27"/>
  <c r="AV59" i="27"/>
  <c r="AW59" i="27"/>
  <c r="AX59" i="27"/>
  <c r="AY59" i="27"/>
  <c r="AZ59" i="27"/>
  <c r="BA59" i="27"/>
  <c r="AO60" i="27"/>
  <c r="AP60" i="27"/>
  <c r="AQ60" i="27"/>
  <c r="AR60" i="27"/>
  <c r="AS60" i="27"/>
  <c r="AT60" i="27"/>
  <c r="AU60" i="27"/>
  <c r="AV60" i="27"/>
  <c r="AW60" i="27"/>
  <c r="AX60" i="27"/>
  <c r="AY60" i="27"/>
  <c r="AZ60" i="27"/>
  <c r="BA60" i="27"/>
  <c r="AO61" i="27"/>
  <c r="AP61" i="27"/>
  <c r="AQ61" i="27"/>
  <c r="AR61" i="27"/>
  <c r="AS61" i="27"/>
  <c r="AT61" i="27"/>
  <c r="AU61" i="27"/>
  <c r="AV61" i="27"/>
  <c r="AW61" i="27"/>
  <c r="AX61" i="27"/>
  <c r="AY61" i="27"/>
  <c r="AZ61" i="27"/>
  <c r="BA61" i="27"/>
  <c r="AO62" i="27"/>
  <c r="AP62" i="27"/>
  <c r="AQ62" i="27"/>
  <c r="AR62" i="27"/>
  <c r="AS62" i="27"/>
  <c r="AT62" i="27"/>
  <c r="AU62" i="27"/>
  <c r="AV62" i="27"/>
  <c r="AW62" i="27"/>
  <c r="AX62" i="27"/>
  <c r="AY62" i="27"/>
  <c r="AZ62" i="27"/>
  <c r="BA62" i="27"/>
  <c r="AO63" i="27"/>
  <c r="AP63" i="27"/>
  <c r="AQ63" i="27"/>
  <c r="AR63" i="27"/>
  <c r="AS63" i="27"/>
  <c r="AT63" i="27"/>
  <c r="AU63" i="27"/>
  <c r="AV63" i="27"/>
  <c r="AW63" i="27"/>
  <c r="AX63" i="27"/>
  <c r="AY63" i="27"/>
  <c r="AZ63" i="27"/>
  <c r="BA63" i="27"/>
  <c r="AO64" i="27"/>
  <c r="AP64" i="27"/>
  <c r="AQ64" i="27"/>
  <c r="AR64" i="27"/>
  <c r="AS64" i="27"/>
  <c r="AT64" i="27"/>
  <c r="AU64" i="27"/>
  <c r="AV64" i="27"/>
  <c r="AW64" i="27"/>
  <c r="AX64" i="27"/>
  <c r="AY64" i="27"/>
  <c r="AZ64" i="27"/>
  <c r="BA64" i="27"/>
  <c r="AO65" i="27"/>
  <c r="AP65" i="27"/>
  <c r="AQ65" i="27"/>
  <c r="AR65" i="27"/>
  <c r="AS65" i="27"/>
  <c r="AT65" i="27"/>
  <c r="AU65" i="27"/>
  <c r="AV65" i="27"/>
  <c r="AW65" i="27"/>
  <c r="AX65" i="27"/>
  <c r="AY65" i="27"/>
  <c r="AZ65" i="27"/>
  <c r="BA65" i="27"/>
  <c r="AO66" i="27"/>
  <c r="AP66" i="27"/>
  <c r="AQ66" i="27"/>
  <c r="AR66" i="27"/>
  <c r="AS66" i="27"/>
  <c r="AT66" i="27"/>
  <c r="AU66" i="27"/>
  <c r="AV66" i="27"/>
  <c r="AW66" i="27"/>
  <c r="AX66" i="27"/>
  <c r="AY66" i="27"/>
  <c r="AZ66" i="27"/>
  <c r="BA66" i="27"/>
  <c r="AO67" i="27"/>
  <c r="AP67" i="27"/>
  <c r="AQ67" i="27"/>
  <c r="AR67" i="27"/>
  <c r="AS67" i="27"/>
  <c r="AT67" i="27"/>
  <c r="AU67" i="27"/>
  <c r="AV67" i="27"/>
  <c r="AW67" i="27"/>
  <c r="AX67" i="27"/>
  <c r="AY67" i="27"/>
  <c r="AZ67" i="27"/>
  <c r="BA67" i="27"/>
  <c r="AO68" i="27"/>
  <c r="AP68" i="27"/>
  <c r="AQ68" i="27"/>
  <c r="AR68" i="27"/>
  <c r="AS68" i="27"/>
  <c r="AT68" i="27"/>
  <c r="AU68" i="27"/>
  <c r="AV68" i="27"/>
  <c r="AW68" i="27"/>
  <c r="AX68" i="27"/>
  <c r="AY68" i="27"/>
  <c r="AZ68" i="27"/>
  <c r="BA68" i="27"/>
  <c r="AO69" i="27"/>
  <c r="AP69" i="27"/>
  <c r="AQ69" i="27"/>
  <c r="AR69" i="27"/>
  <c r="AS69" i="27"/>
  <c r="AT69" i="27"/>
  <c r="AU69" i="27"/>
  <c r="AV69" i="27"/>
  <c r="AW69" i="27"/>
  <c r="AX69" i="27"/>
  <c r="AY69" i="27"/>
  <c r="AZ69" i="27"/>
  <c r="BA69" i="27"/>
  <c r="AO70" i="27"/>
  <c r="AP70" i="27"/>
  <c r="AQ70" i="27"/>
  <c r="AR70" i="27"/>
  <c r="AS70" i="27"/>
  <c r="AT70" i="27"/>
  <c r="AU70" i="27"/>
  <c r="AV70" i="27"/>
  <c r="AW70" i="27"/>
  <c r="AX70" i="27"/>
  <c r="AY70" i="27"/>
  <c r="AZ70" i="27"/>
  <c r="BA70" i="27"/>
  <c r="AO71" i="27"/>
  <c r="AP71" i="27"/>
  <c r="AQ71" i="27"/>
  <c r="AR71" i="27"/>
  <c r="AS71" i="27"/>
  <c r="AT71" i="27"/>
  <c r="AU71" i="27"/>
  <c r="AV71" i="27"/>
  <c r="AW71" i="27"/>
  <c r="AX71" i="27"/>
  <c r="AY71" i="27"/>
  <c r="AZ71" i="27"/>
  <c r="BA71" i="27"/>
  <c r="AO72" i="27"/>
  <c r="AP72" i="27"/>
  <c r="AQ72" i="27"/>
  <c r="AR72" i="27"/>
  <c r="AS72" i="27"/>
  <c r="AT72" i="27"/>
  <c r="AU72" i="27"/>
  <c r="AV72" i="27"/>
  <c r="AW72" i="27"/>
  <c r="AX72" i="27"/>
  <c r="AY72" i="27"/>
  <c r="AZ72" i="27"/>
  <c r="BA72" i="27"/>
  <c r="AO73" i="27"/>
  <c r="AP73" i="27"/>
  <c r="AQ73" i="27"/>
  <c r="AR73" i="27"/>
  <c r="AS73" i="27"/>
  <c r="AT73" i="27"/>
  <c r="AU73" i="27"/>
  <c r="AV73" i="27"/>
  <c r="AW73" i="27"/>
  <c r="AX73" i="27"/>
  <c r="AY73" i="27"/>
  <c r="AZ73" i="27"/>
  <c r="BA73" i="27"/>
  <c r="AO74" i="27"/>
  <c r="AP74" i="27"/>
  <c r="AQ74" i="27"/>
  <c r="AR74" i="27"/>
  <c r="AS74" i="27"/>
  <c r="AT74" i="27"/>
  <c r="AU74" i="27"/>
  <c r="AV74" i="27"/>
  <c r="AW74" i="27"/>
  <c r="AX74" i="27"/>
  <c r="AY74" i="27"/>
  <c r="AZ74" i="27"/>
  <c r="BA74" i="27"/>
  <c r="AO75" i="27"/>
  <c r="AP75" i="27"/>
  <c r="AQ75" i="27"/>
  <c r="AR75" i="27"/>
  <c r="AS75" i="27"/>
  <c r="AT75" i="27"/>
  <c r="AU75" i="27"/>
  <c r="AV75" i="27"/>
  <c r="AW75" i="27"/>
  <c r="AX75" i="27"/>
  <c r="AY75" i="27"/>
  <c r="AZ75" i="27"/>
  <c r="BA75" i="27"/>
  <c r="AO76" i="27"/>
  <c r="AP76" i="27"/>
  <c r="AQ76" i="27"/>
  <c r="AR76" i="27"/>
  <c r="AS76" i="27"/>
  <c r="AT76" i="27"/>
  <c r="AU76" i="27"/>
  <c r="AV76" i="27"/>
  <c r="AW76" i="27"/>
  <c r="AX76" i="27"/>
  <c r="AY76" i="27"/>
  <c r="AZ76" i="27"/>
  <c r="BA76" i="27"/>
  <c r="AO77" i="27"/>
  <c r="AP77" i="27"/>
  <c r="AQ77" i="27"/>
  <c r="AR77" i="27"/>
  <c r="AS77" i="27"/>
  <c r="AT77" i="27"/>
  <c r="AU77" i="27"/>
  <c r="AV77" i="27"/>
  <c r="AW77" i="27"/>
  <c r="AX77" i="27"/>
  <c r="AY77" i="27"/>
  <c r="AZ77" i="27"/>
  <c r="BA77" i="27"/>
  <c r="AO78" i="27"/>
  <c r="AP78" i="27"/>
  <c r="AQ78" i="27"/>
  <c r="AR78" i="27"/>
  <c r="AS78" i="27"/>
  <c r="AT78" i="27"/>
  <c r="AU78" i="27"/>
  <c r="AV78" i="27"/>
  <c r="AW78" i="27"/>
  <c r="AX78" i="27"/>
  <c r="AY78" i="27"/>
  <c r="AZ78" i="27"/>
  <c r="BA78" i="27"/>
  <c r="AO79" i="27"/>
  <c r="AP79" i="27"/>
  <c r="AQ79" i="27"/>
  <c r="AR79" i="27"/>
  <c r="AS79" i="27"/>
  <c r="AT79" i="27"/>
  <c r="AU79" i="27"/>
  <c r="AV79" i="27"/>
  <c r="AW79" i="27"/>
  <c r="AX79" i="27"/>
  <c r="AY79" i="27"/>
  <c r="AZ79" i="27"/>
  <c r="BA79" i="27"/>
  <c r="AO80" i="27"/>
  <c r="AP80" i="27"/>
  <c r="AQ80" i="27"/>
  <c r="AR80" i="27"/>
  <c r="AS80" i="27"/>
  <c r="AT80" i="27"/>
  <c r="AU80" i="27"/>
  <c r="AV80" i="27"/>
  <c r="AW80" i="27"/>
  <c r="AX80" i="27"/>
  <c r="AY80" i="27"/>
  <c r="AZ80" i="27"/>
  <c r="BA80" i="27"/>
  <c r="AO81" i="27"/>
  <c r="AP81" i="27"/>
  <c r="AQ81" i="27"/>
  <c r="AR81" i="27"/>
  <c r="AS81" i="27"/>
  <c r="AT81" i="27"/>
  <c r="AU81" i="27"/>
  <c r="AV81" i="27"/>
  <c r="AW81" i="27"/>
  <c r="AX81" i="27"/>
  <c r="AY81" i="27"/>
  <c r="AZ81" i="27"/>
  <c r="BA81" i="27"/>
  <c r="AO82" i="27"/>
  <c r="AP82" i="27"/>
  <c r="AQ82" i="27"/>
  <c r="AR82" i="27"/>
  <c r="AS82" i="27"/>
  <c r="AT82" i="27"/>
  <c r="AU82" i="27"/>
  <c r="AV82" i="27"/>
  <c r="AW82" i="27"/>
  <c r="AX82" i="27"/>
  <c r="AY82" i="27"/>
  <c r="AZ82" i="27"/>
  <c r="BA82" i="27"/>
  <c r="AO83" i="27"/>
  <c r="AP83" i="27"/>
  <c r="AQ83" i="27"/>
  <c r="AR83" i="27"/>
  <c r="AS83" i="27"/>
  <c r="AT83" i="27"/>
  <c r="AU83" i="27"/>
  <c r="AV83" i="27"/>
  <c r="AW83" i="27"/>
  <c r="AX83" i="27"/>
  <c r="AY83" i="27"/>
  <c r="AZ83" i="27"/>
  <c r="BA83" i="27"/>
  <c r="AO84" i="27"/>
  <c r="AP84" i="27"/>
  <c r="AQ84" i="27"/>
  <c r="AR84" i="27"/>
  <c r="AS84" i="27"/>
  <c r="AT84" i="27"/>
  <c r="AU84" i="27"/>
  <c r="AV84" i="27"/>
  <c r="AW84" i="27"/>
  <c r="AX84" i="27"/>
  <c r="AY84" i="27"/>
  <c r="AZ84" i="27"/>
  <c r="BA84" i="27"/>
  <c r="AO85" i="27"/>
  <c r="AP85" i="27"/>
  <c r="AQ85" i="27"/>
  <c r="AR85" i="27"/>
  <c r="AS85" i="27"/>
  <c r="AT85" i="27"/>
  <c r="AU85" i="27"/>
  <c r="AV85" i="27"/>
  <c r="AW85" i="27"/>
  <c r="AX85" i="27"/>
  <c r="AY85" i="27"/>
  <c r="AZ85" i="27"/>
  <c r="BA85" i="27"/>
  <c r="AO86" i="27"/>
  <c r="AP86" i="27"/>
  <c r="AQ86" i="27"/>
  <c r="AR86" i="27"/>
  <c r="AS86" i="27"/>
  <c r="AT86" i="27"/>
  <c r="AU86" i="27"/>
  <c r="AV86" i="27"/>
  <c r="AW86" i="27"/>
  <c r="AX86" i="27"/>
  <c r="AY86" i="27"/>
  <c r="AZ86" i="27"/>
  <c r="BA86" i="27"/>
  <c r="AO87" i="27"/>
  <c r="AP87" i="27"/>
  <c r="AQ87" i="27"/>
  <c r="AR87" i="27"/>
  <c r="AS87" i="27"/>
  <c r="AT87" i="27"/>
  <c r="AU87" i="27"/>
  <c r="AV87" i="27"/>
  <c r="AW87" i="27"/>
  <c r="AX87" i="27"/>
  <c r="AY87" i="27"/>
  <c r="AZ87" i="27"/>
  <c r="BA87" i="27"/>
  <c r="AO88" i="27"/>
  <c r="AP88" i="27"/>
  <c r="AQ88" i="27"/>
  <c r="AR88" i="27"/>
  <c r="AS88" i="27"/>
  <c r="AT88" i="27"/>
  <c r="AU88" i="27"/>
  <c r="AV88" i="27"/>
  <c r="AW88" i="27"/>
  <c r="AX88" i="27"/>
  <c r="AY88" i="27"/>
  <c r="AZ88" i="27"/>
  <c r="BA88" i="27"/>
  <c r="AO89" i="27"/>
  <c r="AP89" i="27"/>
  <c r="AQ89" i="27"/>
  <c r="AR89" i="27"/>
  <c r="AS89" i="27"/>
  <c r="AT89" i="27"/>
  <c r="AU89" i="27"/>
  <c r="AV89" i="27"/>
  <c r="AW89" i="27"/>
  <c r="AX89" i="27"/>
  <c r="AY89" i="27"/>
  <c r="AZ89" i="27"/>
  <c r="BA89" i="27"/>
  <c r="AO90" i="27"/>
  <c r="AP90" i="27"/>
  <c r="AQ90" i="27"/>
  <c r="AR90" i="27"/>
  <c r="AS90" i="27"/>
  <c r="AT90" i="27"/>
  <c r="AU90" i="27"/>
  <c r="AV90" i="27"/>
  <c r="AW90" i="27"/>
  <c r="AX90" i="27"/>
  <c r="AY90" i="27"/>
  <c r="AZ90" i="27"/>
  <c r="BA90" i="27"/>
  <c r="AO91" i="27"/>
  <c r="AP91" i="27"/>
  <c r="AQ91" i="27"/>
  <c r="AR91" i="27"/>
  <c r="AS91" i="27"/>
  <c r="AT91" i="27"/>
  <c r="AU91" i="27"/>
  <c r="AV91" i="27"/>
  <c r="AW91" i="27"/>
  <c r="AX91" i="27"/>
  <c r="AY91" i="27"/>
  <c r="AZ91" i="27"/>
  <c r="BA91" i="27"/>
  <c r="AO92" i="27"/>
  <c r="AP92" i="27"/>
  <c r="AQ92" i="27"/>
  <c r="AR92" i="27"/>
  <c r="AS92" i="27"/>
  <c r="AT92" i="27"/>
  <c r="AU92" i="27"/>
  <c r="AV92" i="27"/>
  <c r="AW92" i="27"/>
  <c r="AX92" i="27"/>
  <c r="AY92" i="27"/>
  <c r="AZ92" i="27"/>
  <c r="BA92" i="27"/>
  <c r="AO93" i="27"/>
  <c r="AP93" i="27"/>
  <c r="AQ93" i="27"/>
  <c r="AR93" i="27"/>
  <c r="AS93" i="27"/>
  <c r="AT93" i="27"/>
  <c r="AU93" i="27"/>
  <c r="AV93" i="27"/>
  <c r="AW93" i="27"/>
  <c r="AX93" i="27"/>
  <c r="AY93" i="27"/>
  <c r="AZ93" i="27"/>
  <c r="BA93" i="27"/>
  <c r="AO94" i="27"/>
  <c r="AP94" i="27"/>
  <c r="AQ94" i="27"/>
  <c r="AR94" i="27"/>
  <c r="AS94" i="27"/>
  <c r="AT94" i="27"/>
  <c r="AU94" i="27"/>
  <c r="AV94" i="27"/>
  <c r="AW94" i="27"/>
  <c r="AX94" i="27"/>
  <c r="AY94" i="27"/>
  <c r="AZ94" i="27"/>
  <c r="BA94" i="27"/>
  <c r="AO95" i="27"/>
  <c r="AP95" i="27"/>
  <c r="AQ95" i="27"/>
  <c r="AR95" i="27"/>
  <c r="AS95" i="27"/>
  <c r="AT95" i="27"/>
  <c r="AU95" i="27"/>
  <c r="AV95" i="27"/>
  <c r="AW95" i="27"/>
  <c r="AX95" i="27"/>
  <c r="AY95" i="27"/>
  <c r="AZ95" i="27"/>
  <c r="BA95" i="27"/>
  <c r="AO96" i="27"/>
  <c r="AP96" i="27"/>
  <c r="AQ96" i="27"/>
  <c r="AR96" i="27"/>
  <c r="AS96" i="27"/>
  <c r="AT96" i="27"/>
  <c r="AU96" i="27"/>
  <c r="AV96" i="27"/>
  <c r="AW96" i="27"/>
  <c r="AX96" i="27"/>
  <c r="AY96" i="27"/>
  <c r="AZ96" i="27"/>
  <c r="BA96" i="27"/>
  <c r="AO97" i="27"/>
  <c r="AP97" i="27"/>
  <c r="AQ97" i="27"/>
  <c r="AR97" i="27"/>
  <c r="AS97" i="27"/>
  <c r="AT97" i="27"/>
  <c r="AU97" i="27"/>
  <c r="AV97" i="27"/>
  <c r="AW97" i="27"/>
  <c r="AX97" i="27"/>
  <c r="AY97" i="27"/>
  <c r="AZ97" i="27"/>
  <c r="BA97" i="27"/>
  <c r="AO98" i="27"/>
  <c r="AP98" i="27"/>
  <c r="AQ98" i="27"/>
  <c r="AR98" i="27"/>
  <c r="AS98" i="27"/>
  <c r="AT98" i="27"/>
  <c r="AU98" i="27"/>
  <c r="AV98" i="27"/>
  <c r="AW98" i="27"/>
  <c r="AX98" i="27"/>
  <c r="AY98" i="27"/>
  <c r="AZ98" i="27"/>
  <c r="BA98" i="27"/>
  <c r="AO99" i="27"/>
  <c r="AP99" i="27"/>
  <c r="AQ99" i="27"/>
  <c r="AR99" i="27"/>
  <c r="AS99" i="27"/>
  <c r="AT99" i="27"/>
  <c r="AU99" i="27"/>
  <c r="AV99" i="27"/>
  <c r="AW99" i="27"/>
  <c r="AX99" i="27"/>
  <c r="AY99" i="27"/>
  <c r="AZ99" i="27"/>
  <c r="BA99" i="27"/>
  <c r="AO100" i="27"/>
  <c r="AP100" i="27"/>
  <c r="AQ100" i="27"/>
  <c r="AR100" i="27"/>
  <c r="AS100" i="27"/>
  <c r="AT100" i="27"/>
  <c r="AU100" i="27"/>
  <c r="AV100" i="27"/>
  <c r="AW100" i="27"/>
  <c r="AX100" i="27"/>
  <c r="AY100" i="27"/>
  <c r="AZ100" i="27"/>
  <c r="BA100" i="27"/>
  <c r="AO101" i="27"/>
  <c r="AP101" i="27"/>
  <c r="AQ101" i="27"/>
  <c r="AR101" i="27"/>
  <c r="AS101" i="27"/>
  <c r="AT101" i="27"/>
  <c r="AU101" i="27"/>
  <c r="AV101" i="27"/>
  <c r="AW101" i="27"/>
  <c r="AX101" i="27"/>
  <c r="AY101" i="27"/>
  <c r="AZ101" i="27"/>
  <c r="BA101" i="27"/>
  <c r="AO102" i="27"/>
  <c r="AP102" i="27"/>
  <c r="AQ102" i="27"/>
  <c r="AR102" i="27"/>
  <c r="AS102" i="27"/>
  <c r="AT102" i="27"/>
  <c r="AU102" i="27"/>
  <c r="AV102" i="27"/>
  <c r="AW102" i="27"/>
  <c r="AX102" i="27"/>
  <c r="AY102" i="27"/>
  <c r="AZ102" i="27"/>
  <c r="BA102" i="27"/>
  <c r="AO103" i="27"/>
  <c r="AP103" i="27"/>
  <c r="AQ103" i="27"/>
  <c r="AR103" i="27"/>
  <c r="AS103" i="27"/>
  <c r="AT103" i="27"/>
  <c r="AU103" i="27"/>
  <c r="AV103" i="27"/>
  <c r="AW103" i="27"/>
  <c r="AX103" i="27"/>
  <c r="AY103" i="27"/>
  <c r="AZ103" i="27"/>
  <c r="BA103" i="27"/>
  <c r="AO104" i="27"/>
  <c r="AP104" i="27"/>
  <c r="AQ104" i="27"/>
  <c r="AR104" i="27"/>
  <c r="AS104" i="27"/>
  <c r="AT104" i="27"/>
  <c r="AU104" i="27"/>
  <c r="AV104" i="27"/>
  <c r="AW104" i="27"/>
  <c r="AX104" i="27"/>
  <c r="AY104" i="27"/>
  <c r="AZ104" i="27"/>
  <c r="BA104" i="27"/>
  <c r="AO105" i="27"/>
  <c r="AP105" i="27"/>
  <c r="AQ105" i="27"/>
  <c r="AR105" i="27"/>
  <c r="AS105" i="27"/>
  <c r="AT105" i="27"/>
  <c r="AU105" i="27"/>
  <c r="AV105" i="27"/>
  <c r="AW105" i="27"/>
  <c r="AX105" i="27"/>
  <c r="AY105" i="27"/>
  <c r="AZ105" i="27"/>
  <c r="BA105" i="27"/>
  <c r="AO106" i="27"/>
  <c r="AP106" i="27"/>
  <c r="AQ106" i="27"/>
  <c r="AR106" i="27"/>
  <c r="AS106" i="27"/>
  <c r="AT106" i="27"/>
  <c r="AU106" i="27"/>
  <c r="AV106" i="27"/>
  <c r="AW106" i="27"/>
  <c r="AX106" i="27"/>
  <c r="AY106" i="27"/>
  <c r="AZ106" i="27"/>
  <c r="BA106" i="27"/>
  <c r="AO107" i="27"/>
  <c r="AP107" i="27"/>
  <c r="AQ107" i="27"/>
  <c r="AR107" i="27"/>
  <c r="AS107" i="27"/>
  <c r="AT107" i="27"/>
  <c r="AU107" i="27"/>
  <c r="AV107" i="27"/>
  <c r="AW107" i="27"/>
  <c r="AX107" i="27"/>
  <c r="AY107" i="27"/>
  <c r="AZ107" i="27"/>
  <c r="BA107" i="27"/>
  <c r="AO108" i="27"/>
  <c r="AP108" i="27"/>
  <c r="AQ108" i="27"/>
  <c r="AR108" i="27"/>
  <c r="AS108" i="27"/>
  <c r="AT108" i="27"/>
  <c r="AU108" i="27"/>
  <c r="AV108" i="27"/>
  <c r="AW108" i="27"/>
  <c r="AX108" i="27"/>
  <c r="AY108" i="27"/>
  <c r="AZ108" i="27"/>
  <c r="BA108" i="27"/>
  <c r="AO109" i="27"/>
  <c r="AP109" i="27"/>
  <c r="AQ109" i="27"/>
  <c r="AR109" i="27"/>
  <c r="AS109" i="27"/>
  <c r="AT109" i="27"/>
  <c r="AU109" i="27"/>
  <c r="AV109" i="27"/>
  <c r="AW109" i="27"/>
  <c r="AX109" i="27"/>
  <c r="AY109" i="27"/>
  <c r="AZ109" i="27"/>
  <c r="BA109" i="27"/>
  <c r="AO110" i="27"/>
  <c r="AP110" i="27"/>
  <c r="AQ110" i="27"/>
  <c r="AR110" i="27"/>
  <c r="AS110" i="27"/>
  <c r="AT110" i="27"/>
  <c r="AU110" i="27"/>
  <c r="AV110" i="27"/>
  <c r="AW110" i="27"/>
  <c r="AX110" i="27"/>
  <c r="AY110" i="27"/>
  <c r="AZ110" i="27"/>
  <c r="BA110" i="27"/>
  <c r="AO111" i="27"/>
  <c r="AP111" i="27"/>
  <c r="AQ111" i="27"/>
  <c r="AR111" i="27"/>
  <c r="AS111" i="27"/>
  <c r="AT111" i="27"/>
  <c r="AU111" i="27"/>
  <c r="AV111" i="27"/>
  <c r="AW111" i="27"/>
  <c r="AX111" i="27"/>
  <c r="AY111" i="27"/>
  <c r="AZ111" i="27"/>
  <c r="BA111" i="27"/>
  <c r="AO112" i="27"/>
  <c r="AP112" i="27"/>
  <c r="AQ112" i="27"/>
  <c r="AR112" i="27"/>
  <c r="AS112" i="27"/>
  <c r="AT112" i="27"/>
  <c r="AU112" i="27"/>
  <c r="AV112" i="27"/>
  <c r="AW112" i="27"/>
  <c r="AX112" i="27"/>
  <c r="AY112" i="27"/>
  <c r="AZ112" i="27"/>
  <c r="BA112" i="27"/>
  <c r="AO113" i="27"/>
  <c r="AP113" i="27"/>
  <c r="AQ113" i="27"/>
  <c r="AR113" i="27"/>
  <c r="AS113" i="27"/>
  <c r="AT113" i="27"/>
  <c r="AU113" i="27"/>
  <c r="AV113" i="27"/>
  <c r="AW113" i="27"/>
  <c r="AX113" i="27"/>
  <c r="AY113" i="27"/>
  <c r="AZ113" i="27"/>
  <c r="BA113" i="27"/>
  <c r="AO114" i="27"/>
  <c r="AP114" i="27"/>
  <c r="AQ114" i="27"/>
  <c r="AR114" i="27"/>
  <c r="AS114" i="27"/>
  <c r="AT114" i="27"/>
  <c r="AU114" i="27"/>
  <c r="AV114" i="27"/>
  <c r="AW114" i="27"/>
  <c r="AX114" i="27"/>
  <c r="AY114" i="27"/>
  <c r="AZ114" i="27"/>
  <c r="BA114" i="27"/>
  <c r="AO115" i="27"/>
  <c r="AP115" i="27"/>
  <c r="AQ115" i="27"/>
  <c r="AR115" i="27"/>
  <c r="AS115" i="27"/>
  <c r="AT115" i="27"/>
  <c r="AU115" i="27"/>
  <c r="AV115" i="27"/>
  <c r="AW115" i="27"/>
  <c r="AX115" i="27"/>
  <c r="AY115" i="27"/>
  <c r="AZ115" i="27"/>
  <c r="BA115" i="27"/>
  <c r="AO116" i="27"/>
  <c r="AP116" i="27"/>
  <c r="AQ116" i="27"/>
  <c r="AR116" i="27"/>
  <c r="AS116" i="27"/>
  <c r="AT116" i="27"/>
  <c r="AU116" i="27"/>
  <c r="AV116" i="27"/>
  <c r="AW116" i="27"/>
  <c r="AX116" i="27"/>
  <c r="AY116" i="27"/>
  <c r="AZ116" i="27"/>
  <c r="BA116" i="27"/>
  <c r="AO117" i="27"/>
  <c r="AP117" i="27"/>
  <c r="AQ117" i="27"/>
  <c r="AR117" i="27"/>
  <c r="AS117" i="27"/>
  <c r="AT117" i="27"/>
  <c r="AU117" i="27"/>
  <c r="AV117" i="27"/>
  <c r="AW117" i="27"/>
  <c r="AX117" i="27"/>
  <c r="AY117" i="27"/>
  <c r="AZ117" i="27"/>
  <c r="BA117" i="27"/>
  <c r="AO118" i="27"/>
  <c r="AP118" i="27"/>
  <c r="AQ118" i="27"/>
  <c r="AR118" i="27"/>
  <c r="AS118" i="27"/>
  <c r="AT118" i="27"/>
  <c r="AU118" i="27"/>
  <c r="AV118" i="27"/>
  <c r="AW118" i="27"/>
  <c r="AX118" i="27"/>
  <c r="AY118" i="27"/>
  <c r="AZ118" i="27"/>
  <c r="BA118" i="27"/>
  <c r="AO119" i="27"/>
  <c r="AP119" i="27"/>
  <c r="AQ119" i="27"/>
  <c r="AR119" i="27"/>
  <c r="AS119" i="27"/>
  <c r="AT119" i="27"/>
  <c r="AU119" i="27"/>
  <c r="AV119" i="27"/>
  <c r="AW119" i="27"/>
  <c r="AX119" i="27"/>
  <c r="AY119" i="27"/>
  <c r="AZ119" i="27"/>
  <c r="BA119" i="27"/>
  <c r="AO120" i="27"/>
  <c r="AP120" i="27"/>
  <c r="AQ120" i="27"/>
  <c r="AR120" i="27"/>
  <c r="AS120" i="27"/>
  <c r="AT120" i="27"/>
  <c r="AU120" i="27"/>
  <c r="AV120" i="27"/>
  <c r="AW120" i="27"/>
  <c r="AX120" i="27"/>
  <c r="AY120" i="27"/>
  <c r="AZ120" i="27"/>
  <c r="BA120" i="27"/>
  <c r="AO121" i="27"/>
  <c r="AP121" i="27"/>
  <c r="AQ121" i="27"/>
  <c r="AR121" i="27"/>
  <c r="AS121" i="27"/>
  <c r="AT121" i="27"/>
  <c r="AU121" i="27"/>
  <c r="AV121" i="27"/>
  <c r="AW121" i="27"/>
  <c r="AX121" i="27"/>
  <c r="AY121" i="27"/>
  <c r="AZ121" i="27"/>
  <c r="BA121" i="27"/>
  <c r="AO122" i="27"/>
  <c r="AP122" i="27"/>
  <c r="AQ122" i="27"/>
  <c r="AR122" i="27"/>
  <c r="AS122" i="27"/>
  <c r="AT122" i="27"/>
  <c r="AU122" i="27"/>
  <c r="AV122" i="27"/>
  <c r="AW122" i="27"/>
  <c r="AX122" i="27"/>
  <c r="AY122" i="27"/>
  <c r="AZ122" i="27"/>
  <c r="BA122" i="27"/>
  <c r="AO123" i="27"/>
  <c r="AP123" i="27"/>
  <c r="AQ123" i="27"/>
  <c r="AR123" i="27"/>
  <c r="AS123" i="27"/>
  <c r="AT123" i="27"/>
  <c r="AU123" i="27"/>
  <c r="AV123" i="27"/>
  <c r="AW123" i="27"/>
  <c r="AX123" i="27"/>
  <c r="AY123" i="27"/>
  <c r="AZ123" i="27"/>
  <c r="BA123" i="27"/>
  <c r="AO124" i="27"/>
  <c r="AP124" i="27"/>
  <c r="AQ124" i="27"/>
  <c r="AR124" i="27"/>
  <c r="AS124" i="27"/>
  <c r="AT124" i="27"/>
  <c r="AU124" i="27"/>
  <c r="AV124" i="27"/>
  <c r="AW124" i="27"/>
  <c r="AX124" i="27"/>
  <c r="AY124" i="27"/>
  <c r="AZ124" i="27"/>
  <c r="BA124" i="27"/>
  <c r="AO125" i="27"/>
  <c r="AP125" i="27"/>
  <c r="AQ125" i="27"/>
  <c r="AR125" i="27"/>
  <c r="AS125" i="27"/>
  <c r="AT125" i="27"/>
  <c r="AU125" i="27"/>
  <c r="AV125" i="27"/>
  <c r="AW125" i="27"/>
  <c r="AX125" i="27"/>
  <c r="AY125" i="27"/>
  <c r="AZ125" i="27"/>
  <c r="BA125" i="27"/>
  <c r="AO126" i="27"/>
  <c r="AP126" i="27"/>
  <c r="AQ126" i="27"/>
  <c r="AR126" i="27"/>
  <c r="AS126" i="27"/>
  <c r="AT126" i="27"/>
  <c r="AU126" i="27"/>
  <c r="AV126" i="27"/>
  <c r="AW126" i="27"/>
  <c r="AX126" i="27"/>
  <c r="AY126" i="27"/>
  <c r="AZ126" i="27"/>
  <c r="BA126" i="27"/>
  <c r="AO127" i="27"/>
  <c r="AP127" i="27"/>
  <c r="AQ127" i="27"/>
  <c r="AR127" i="27"/>
  <c r="AS127" i="27"/>
  <c r="AT127" i="27"/>
  <c r="AU127" i="27"/>
  <c r="AV127" i="27"/>
  <c r="AW127" i="27"/>
  <c r="AX127" i="27"/>
  <c r="AY127" i="27"/>
  <c r="AZ127" i="27"/>
  <c r="BA127" i="27"/>
  <c r="AO128" i="27"/>
  <c r="AP128" i="27"/>
  <c r="AQ128" i="27"/>
  <c r="AR128" i="27"/>
  <c r="AS128" i="27"/>
  <c r="AT128" i="27"/>
  <c r="AU128" i="27"/>
  <c r="AV128" i="27"/>
  <c r="AW128" i="27"/>
  <c r="AX128" i="27"/>
  <c r="AY128" i="27"/>
  <c r="AZ128" i="27"/>
  <c r="BA128" i="27"/>
  <c r="AO129" i="27"/>
  <c r="AP129" i="27"/>
  <c r="AQ129" i="27"/>
  <c r="AR129" i="27"/>
  <c r="AS129" i="27"/>
  <c r="AT129" i="27"/>
  <c r="AU129" i="27"/>
  <c r="AV129" i="27"/>
  <c r="AW129" i="27"/>
  <c r="AX129" i="27"/>
  <c r="AY129" i="27"/>
  <c r="AZ129" i="27"/>
  <c r="BA129" i="27"/>
  <c r="AO130" i="27"/>
  <c r="AP130" i="27"/>
  <c r="AQ130" i="27"/>
  <c r="AR130" i="27"/>
  <c r="AS130" i="27"/>
  <c r="AT130" i="27"/>
  <c r="AU130" i="27"/>
  <c r="AV130" i="27"/>
  <c r="AW130" i="27"/>
  <c r="AX130" i="27"/>
  <c r="AY130" i="27"/>
  <c r="AZ130" i="27"/>
  <c r="BA130" i="27"/>
  <c r="AO131" i="27"/>
  <c r="AP131" i="27"/>
  <c r="AQ131" i="27"/>
  <c r="AR131" i="27"/>
  <c r="AS131" i="27"/>
  <c r="AT131" i="27"/>
  <c r="AU131" i="27"/>
  <c r="AV131" i="27"/>
  <c r="AW131" i="27"/>
  <c r="AX131" i="27"/>
  <c r="AY131" i="27"/>
  <c r="AZ131" i="27"/>
  <c r="BA131" i="27"/>
  <c r="AO132" i="27"/>
  <c r="AP132" i="27"/>
  <c r="AQ132" i="27"/>
  <c r="AR132" i="27"/>
  <c r="AS132" i="27"/>
  <c r="AT132" i="27"/>
  <c r="AU132" i="27"/>
  <c r="AV132" i="27"/>
  <c r="AW132" i="27"/>
  <c r="AX132" i="27"/>
  <c r="AY132" i="27"/>
  <c r="AZ132" i="27"/>
  <c r="BA132" i="27"/>
  <c r="AO133" i="27"/>
  <c r="AP133" i="27"/>
  <c r="AQ133" i="27"/>
  <c r="AR133" i="27"/>
  <c r="AS133" i="27"/>
  <c r="AT133" i="27"/>
  <c r="AU133" i="27"/>
  <c r="AV133" i="27"/>
  <c r="AW133" i="27"/>
  <c r="AX133" i="27"/>
  <c r="AY133" i="27"/>
  <c r="AZ133" i="27"/>
  <c r="BA133" i="27"/>
  <c r="AO134" i="27"/>
  <c r="AP134" i="27"/>
  <c r="AQ134" i="27"/>
  <c r="AR134" i="27"/>
  <c r="AS134" i="27"/>
  <c r="AT134" i="27"/>
  <c r="AU134" i="27"/>
  <c r="AV134" i="27"/>
  <c r="AW134" i="27"/>
  <c r="AX134" i="27"/>
  <c r="AY134" i="27"/>
  <c r="AZ134" i="27"/>
  <c r="BA134" i="27"/>
  <c r="AO135" i="27"/>
  <c r="AP135" i="27"/>
  <c r="AQ135" i="27"/>
  <c r="AR135" i="27"/>
  <c r="AS135" i="27"/>
  <c r="AT135" i="27"/>
  <c r="AU135" i="27"/>
  <c r="AV135" i="27"/>
  <c r="AW135" i="27"/>
  <c r="AX135" i="27"/>
  <c r="AY135" i="27"/>
  <c r="AZ135" i="27"/>
  <c r="BA135" i="27"/>
  <c r="AO136" i="27"/>
  <c r="AP136" i="27"/>
  <c r="AQ136" i="27"/>
  <c r="AR136" i="27"/>
  <c r="AS136" i="27"/>
  <c r="AT136" i="27"/>
  <c r="AU136" i="27"/>
  <c r="AV136" i="27"/>
  <c r="AW136" i="27"/>
  <c r="AX136" i="27"/>
  <c r="AY136" i="27"/>
  <c r="AZ136" i="27"/>
  <c r="BA136" i="27"/>
  <c r="AO137" i="27"/>
  <c r="AP137" i="27"/>
  <c r="AQ137" i="27"/>
  <c r="AR137" i="27"/>
  <c r="AS137" i="27"/>
  <c r="AT137" i="27"/>
  <c r="AU137" i="27"/>
  <c r="AV137" i="27"/>
  <c r="AW137" i="27"/>
  <c r="AX137" i="27"/>
  <c r="AY137" i="27"/>
  <c r="AZ137" i="27"/>
  <c r="BA137" i="27"/>
  <c r="AO138" i="27"/>
  <c r="AP138" i="27"/>
  <c r="AQ138" i="27"/>
  <c r="AR138" i="27"/>
  <c r="AS138" i="27"/>
  <c r="AT138" i="27"/>
  <c r="AU138" i="27"/>
  <c r="AV138" i="27"/>
  <c r="AW138" i="27"/>
  <c r="AX138" i="27"/>
  <c r="AY138" i="27"/>
  <c r="AZ138" i="27"/>
  <c r="BA138" i="27"/>
  <c r="AO139" i="27"/>
  <c r="AP139" i="27"/>
  <c r="AQ139" i="27"/>
  <c r="AR139" i="27"/>
  <c r="AS139" i="27"/>
  <c r="AT139" i="27"/>
  <c r="AU139" i="27"/>
  <c r="AV139" i="27"/>
  <c r="AW139" i="27"/>
  <c r="AX139" i="27"/>
  <c r="AY139" i="27"/>
  <c r="AZ139" i="27"/>
  <c r="BA139" i="27"/>
  <c r="AO140" i="27"/>
  <c r="AP140" i="27"/>
  <c r="AQ140" i="27"/>
  <c r="AR140" i="27"/>
  <c r="AS140" i="27"/>
  <c r="AT140" i="27"/>
  <c r="AU140" i="27"/>
  <c r="AV140" i="27"/>
  <c r="AW140" i="27"/>
  <c r="AX140" i="27"/>
  <c r="AY140" i="27"/>
  <c r="AZ140" i="27"/>
  <c r="BA140" i="27"/>
  <c r="AO141" i="27"/>
  <c r="AP141" i="27"/>
  <c r="AQ141" i="27"/>
  <c r="AR141" i="27"/>
  <c r="AS141" i="27"/>
  <c r="AT141" i="27"/>
  <c r="AU141" i="27"/>
  <c r="AV141" i="27"/>
  <c r="AW141" i="27"/>
  <c r="AX141" i="27"/>
  <c r="AY141" i="27"/>
  <c r="AZ141" i="27"/>
  <c r="BA141" i="27"/>
  <c r="AO142" i="27"/>
  <c r="AP142" i="27"/>
  <c r="AQ142" i="27"/>
  <c r="AR142" i="27"/>
  <c r="AS142" i="27"/>
  <c r="AT142" i="27"/>
  <c r="AU142" i="27"/>
  <c r="AV142" i="27"/>
  <c r="AW142" i="27"/>
  <c r="AX142" i="27"/>
  <c r="AY142" i="27"/>
  <c r="AZ142" i="27"/>
  <c r="BA142" i="27"/>
  <c r="AO143" i="27"/>
  <c r="AP143" i="27"/>
  <c r="AQ143" i="27"/>
  <c r="AR143" i="27"/>
  <c r="AS143" i="27"/>
  <c r="AT143" i="27"/>
  <c r="AU143" i="27"/>
  <c r="AV143" i="27"/>
  <c r="AW143" i="27"/>
  <c r="AX143" i="27"/>
  <c r="AY143" i="27"/>
  <c r="AZ143" i="27"/>
  <c r="BA143" i="27"/>
  <c r="AO144" i="27"/>
  <c r="AP144" i="27"/>
  <c r="AQ144" i="27"/>
  <c r="AR144" i="27"/>
  <c r="AS144" i="27"/>
  <c r="AT144" i="27"/>
  <c r="AU144" i="27"/>
  <c r="AV144" i="27"/>
  <c r="AW144" i="27"/>
  <c r="AX144" i="27"/>
  <c r="AY144" i="27"/>
  <c r="AZ144" i="27"/>
  <c r="BA144" i="27"/>
  <c r="AO145" i="27"/>
  <c r="AP145" i="27"/>
  <c r="AQ145" i="27"/>
  <c r="AR145" i="27"/>
  <c r="AS145" i="27"/>
  <c r="AT145" i="27"/>
  <c r="AU145" i="27"/>
  <c r="AV145" i="27"/>
  <c r="AW145" i="27"/>
  <c r="AX145" i="27"/>
  <c r="AY145" i="27"/>
  <c r="AZ145" i="27"/>
  <c r="BA145" i="27"/>
  <c r="AO146" i="27"/>
  <c r="AP146" i="27"/>
  <c r="AQ146" i="27"/>
  <c r="AR146" i="27"/>
  <c r="AS146" i="27"/>
  <c r="AT146" i="27"/>
  <c r="AU146" i="27"/>
  <c r="AV146" i="27"/>
  <c r="AW146" i="27"/>
  <c r="AX146" i="27"/>
  <c r="AY146" i="27"/>
  <c r="AZ146" i="27"/>
  <c r="BA146" i="27"/>
  <c r="AO147" i="27"/>
  <c r="AP147" i="27"/>
  <c r="AQ147" i="27"/>
  <c r="AR147" i="27"/>
  <c r="AS147" i="27"/>
  <c r="AT147" i="27"/>
  <c r="AU147" i="27"/>
  <c r="AV147" i="27"/>
  <c r="AW147" i="27"/>
  <c r="AX147" i="27"/>
  <c r="AY147" i="27"/>
  <c r="AZ147" i="27"/>
  <c r="BA147" i="27"/>
  <c r="AO148" i="27"/>
  <c r="AP148" i="27"/>
  <c r="AQ148" i="27"/>
  <c r="AR148" i="27"/>
  <c r="AS148" i="27"/>
  <c r="AT148" i="27"/>
  <c r="AU148" i="27"/>
  <c r="AV148" i="27"/>
  <c r="AW148" i="27"/>
  <c r="AX148" i="27"/>
  <c r="AY148" i="27"/>
  <c r="AZ148" i="27"/>
  <c r="BA148" i="27"/>
  <c r="AO149" i="27"/>
  <c r="AP149" i="27"/>
  <c r="AQ149" i="27"/>
  <c r="AR149" i="27"/>
  <c r="AS149" i="27"/>
  <c r="AT149" i="27"/>
  <c r="AU149" i="27"/>
  <c r="AV149" i="27"/>
  <c r="AW149" i="27"/>
  <c r="AX149" i="27"/>
  <c r="AY149" i="27"/>
  <c r="AZ149" i="27"/>
  <c r="BA149" i="27"/>
  <c r="AO150" i="27"/>
  <c r="AP150" i="27"/>
  <c r="AQ150" i="27"/>
  <c r="AR150" i="27"/>
  <c r="AS150" i="27"/>
  <c r="AT150" i="27"/>
  <c r="AU150" i="27"/>
  <c r="AV150" i="27"/>
  <c r="AW150" i="27"/>
  <c r="AX150" i="27"/>
  <c r="AY150" i="27"/>
  <c r="AZ150" i="27"/>
  <c r="BA150" i="27"/>
  <c r="AO151" i="27"/>
  <c r="AP151" i="27"/>
  <c r="AQ151" i="27"/>
  <c r="AR151" i="27"/>
  <c r="AS151" i="27"/>
  <c r="AT151" i="27"/>
  <c r="AU151" i="27"/>
  <c r="AV151" i="27"/>
  <c r="AW151" i="27"/>
  <c r="AX151" i="27"/>
  <c r="AY151" i="27"/>
  <c r="AZ151" i="27"/>
  <c r="BA151" i="27"/>
  <c r="AO152" i="27"/>
  <c r="AP152" i="27"/>
  <c r="AQ152" i="27"/>
  <c r="AR152" i="27"/>
  <c r="AS152" i="27"/>
  <c r="AT152" i="27"/>
  <c r="AU152" i="27"/>
  <c r="AV152" i="27"/>
  <c r="AW152" i="27"/>
  <c r="AX152" i="27"/>
  <c r="AY152" i="27"/>
  <c r="AZ152" i="27"/>
  <c r="BA152" i="27"/>
  <c r="AO153" i="27"/>
  <c r="AP153" i="27"/>
  <c r="AQ153" i="27"/>
  <c r="AR153" i="27"/>
  <c r="AS153" i="27"/>
  <c r="AT153" i="27"/>
  <c r="AU153" i="27"/>
  <c r="AV153" i="27"/>
  <c r="AW153" i="27"/>
  <c r="AX153" i="27"/>
  <c r="AY153" i="27"/>
  <c r="AZ153" i="27"/>
  <c r="BA153" i="27"/>
  <c r="AO154" i="27"/>
  <c r="AP154" i="27"/>
  <c r="AQ154" i="27"/>
  <c r="AR154" i="27"/>
  <c r="AS154" i="27"/>
  <c r="AT154" i="27"/>
  <c r="AU154" i="27"/>
  <c r="AV154" i="27"/>
  <c r="AW154" i="27"/>
  <c r="AX154" i="27"/>
  <c r="AY154" i="27"/>
  <c r="AZ154" i="27"/>
  <c r="BA154" i="27"/>
  <c r="AO155" i="27"/>
  <c r="AP155" i="27"/>
  <c r="AQ155" i="27"/>
  <c r="AR155" i="27"/>
  <c r="AS155" i="27"/>
  <c r="AT155" i="27"/>
  <c r="AU155" i="27"/>
  <c r="AV155" i="27"/>
  <c r="AW155" i="27"/>
  <c r="AX155" i="27"/>
  <c r="AY155" i="27"/>
  <c r="AZ155" i="27"/>
  <c r="BA155" i="27"/>
  <c r="AO156" i="27"/>
  <c r="AP156" i="27"/>
  <c r="AQ156" i="27"/>
  <c r="AR156" i="27"/>
  <c r="AS156" i="27"/>
  <c r="AT156" i="27"/>
  <c r="AU156" i="27"/>
  <c r="AV156" i="27"/>
  <c r="AW156" i="27"/>
  <c r="AX156" i="27"/>
  <c r="AY156" i="27"/>
  <c r="AZ156" i="27"/>
  <c r="BA156" i="27"/>
  <c r="AO157" i="27"/>
  <c r="AP157" i="27"/>
  <c r="AQ157" i="27"/>
  <c r="AR157" i="27"/>
  <c r="AS157" i="27"/>
  <c r="AT157" i="27"/>
  <c r="AU157" i="27"/>
  <c r="AV157" i="27"/>
  <c r="AW157" i="27"/>
  <c r="AX157" i="27"/>
  <c r="AY157" i="27"/>
  <c r="AZ157" i="27"/>
  <c r="BA157" i="27"/>
  <c r="AO158" i="27"/>
  <c r="AP158" i="27"/>
  <c r="AQ158" i="27"/>
  <c r="AR158" i="27"/>
  <c r="AS158" i="27"/>
  <c r="AT158" i="27"/>
  <c r="AU158" i="27"/>
  <c r="AV158" i="27"/>
  <c r="AW158" i="27"/>
  <c r="AX158" i="27"/>
  <c r="AY158" i="27"/>
  <c r="AZ158" i="27"/>
  <c r="BA158" i="27"/>
  <c r="AO159" i="27"/>
  <c r="AP159" i="27"/>
  <c r="AQ159" i="27"/>
  <c r="AR159" i="27"/>
  <c r="AS159" i="27"/>
  <c r="AT159" i="27"/>
  <c r="AU159" i="27"/>
  <c r="AV159" i="27"/>
  <c r="AW159" i="27"/>
  <c r="AX159" i="27"/>
  <c r="AY159" i="27"/>
  <c r="AZ159" i="27"/>
  <c r="BA159" i="27"/>
  <c r="AO160" i="27"/>
  <c r="AP160" i="27"/>
  <c r="AQ160" i="27"/>
  <c r="AR160" i="27"/>
  <c r="AS160" i="27"/>
  <c r="AT160" i="27"/>
  <c r="AU160" i="27"/>
  <c r="AV160" i="27"/>
  <c r="AW160" i="27"/>
  <c r="AX160" i="27"/>
  <c r="AY160" i="27"/>
  <c r="AZ160" i="27"/>
  <c r="BA160" i="27"/>
  <c r="AO161" i="27"/>
  <c r="AP161" i="27"/>
  <c r="AQ161" i="27"/>
  <c r="AR161" i="27"/>
  <c r="AS161" i="27"/>
  <c r="AT161" i="27"/>
  <c r="AU161" i="27"/>
  <c r="AV161" i="27"/>
  <c r="AW161" i="27"/>
  <c r="AX161" i="27"/>
  <c r="AY161" i="27"/>
  <c r="AZ161" i="27"/>
  <c r="BA161" i="27"/>
  <c r="AO162" i="27"/>
  <c r="AP162" i="27"/>
  <c r="AQ162" i="27"/>
  <c r="AR162" i="27"/>
  <c r="AS162" i="27"/>
  <c r="AT162" i="27"/>
  <c r="AU162" i="27"/>
  <c r="AV162" i="27"/>
  <c r="AW162" i="27"/>
  <c r="AX162" i="27"/>
  <c r="AY162" i="27"/>
  <c r="AZ162" i="27"/>
  <c r="BA162" i="27"/>
  <c r="AO163" i="27"/>
  <c r="AP163" i="27"/>
  <c r="AQ163" i="27"/>
  <c r="AR163" i="27"/>
  <c r="AS163" i="27"/>
  <c r="AT163" i="27"/>
  <c r="AU163" i="27"/>
  <c r="AV163" i="27"/>
  <c r="AW163" i="27"/>
  <c r="AX163" i="27"/>
  <c r="AY163" i="27"/>
  <c r="AZ163" i="27"/>
  <c r="BA163" i="27"/>
  <c r="AO164" i="27"/>
  <c r="AP164" i="27"/>
  <c r="AQ164" i="27"/>
  <c r="AR164" i="27"/>
  <c r="AS164" i="27"/>
  <c r="AT164" i="27"/>
  <c r="AU164" i="27"/>
  <c r="AV164" i="27"/>
  <c r="AW164" i="27"/>
  <c r="AX164" i="27"/>
  <c r="AY164" i="27"/>
  <c r="AZ164" i="27"/>
  <c r="BA164" i="27"/>
  <c r="AO165" i="27"/>
  <c r="AP165" i="27"/>
  <c r="AQ165" i="27"/>
  <c r="AR165" i="27"/>
  <c r="AS165" i="27"/>
  <c r="AT165" i="27"/>
  <c r="AU165" i="27"/>
  <c r="AV165" i="27"/>
  <c r="AW165" i="27"/>
  <c r="AX165" i="27"/>
  <c r="AY165" i="27"/>
  <c r="AZ165" i="27"/>
  <c r="BA165" i="27"/>
  <c r="AO166" i="27"/>
  <c r="AP166" i="27"/>
  <c r="AQ166" i="27"/>
  <c r="AR166" i="27"/>
  <c r="AS166" i="27"/>
  <c r="AT166" i="27"/>
  <c r="AU166" i="27"/>
  <c r="AV166" i="27"/>
  <c r="AW166" i="27"/>
  <c r="AX166" i="27"/>
  <c r="AY166" i="27"/>
  <c r="AZ166" i="27"/>
  <c r="BA166" i="27"/>
  <c r="AO167" i="27"/>
  <c r="AP167" i="27"/>
  <c r="AQ167" i="27"/>
  <c r="AR167" i="27"/>
  <c r="AS167" i="27"/>
  <c r="AT167" i="27"/>
  <c r="AU167" i="27"/>
  <c r="AV167" i="27"/>
  <c r="AW167" i="27"/>
  <c r="AX167" i="27"/>
  <c r="AY167" i="27"/>
  <c r="AZ167" i="27"/>
  <c r="BA167" i="27"/>
  <c r="AO168" i="27"/>
  <c r="AP168" i="27"/>
  <c r="AQ168" i="27"/>
  <c r="AR168" i="27"/>
  <c r="AS168" i="27"/>
  <c r="AT168" i="27"/>
  <c r="AU168" i="27"/>
  <c r="AV168" i="27"/>
  <c r="AW168" i="27"/>
  <c r="AX168" i="27"/>
  <c r="AY168" i="27"/>
  <c r="AZ168" i="27"/>
  <c r="BA168" i="27"/>
  <c r="AO169" i="27"/>
  <c r="AP169" i="27"/>
  <c r="AQ169" i="27"/>
  <c r="AR169" i="27"/>
  <c r="AS169" i="27"/>
  <c r="AT169" i="27"/>
  <c r="AU169" i="27"/>
  <c r="AV169" i="27"/>
  <c r="AW169" i="27"/>
  <c r="AX169" i="27"/>
  <c r="AY169" i="27"/>
  <c r="AZ169" i="27"/>
  <c r="BA169" i="27"/>
  <c r="AO170" i="27"/>
  <c r="AP170" i="27"/>
  <c r="AQ170" i="27"/>
  <c r="AR170" i="27"/>
  <c r="AS170" i="27"/>
  <c r="AT170" i="27"/>
  <c r="AU170" i="27"/>
  <c r="AV170" i="27"/>
  <c r="AW170" i="27"/>
  <c r="AX170" i="27"/>
  <c r="AY170" i="27"/>
  <c r="AZ170" i="27"/>
  <c r="BA170" i="27"/>
  <c r="AO171" i="27"/>
  <c r="AP171" i="27"/>
  <c r="AQ171" i="27"/>
  <c r="AR171" i="27"/>
  <c r="AS171" i="27"/>
  <c r="AT171" i="27"/>
  <c r="AU171" i="27"/>
  <c r="AV171" i="27"/>
  <c r="AW171" i="27"/>
  <c r="AX171" i="27"/>
  <c r="AY171" i="27"/>
  <c r="AZ171" i="27"/>
  <c r="BA171" i="27"/>
  <c r="AO172" i="27"/>
  <c r="AP172" i="27"/>
  <c r="AQ172" i="27"/>
  <c r="AR172" i="27"/>
  <c r="AS172" i="27"/>
  <c r="AT172" i="27"/>
  <c r="AU172" i="27"/>
  <c r="AV172" i="27"/>
  <c r="AW172" i="27"/>
  <c r="AX172" i="27"/>
  <c r="AY172" i="27"/>
  <c r="AZ172" i="27"/>
  <c r="BA172" i="27"/>
  <c r="AO173" i="27"/>
  <c r="AP173" i="27"/>
  <c r="AQ173" i="27"/>
  <c r="AR173" i="27"/>
  <c r="AS173" i="27"/>
  <c r="AT173" i="27"/>
  <c r="AU173" i="27"/>
  <c r="AV173" i="27"/>
  <c r="AW173" i="27"/>
  <c r="AX173" i="27"/>
  <c r="AY173" i="27"/>
  <c r="AZ173" i="27"/>
  <c r="BA173" i="27"/>
  <c r="AO174" i="27"/>
  <c r="AP174" i="27"/>
  <c r="AQ174" i="27"/>
  <c r="AR174" i="27"/>
  <c r="AS174" i="27"/>
  <c r="AT174" i="27"/>
  <c r="AU174" i="27"/>
  <c r="AV174" i="27"/>
  <c r="AW174" i="27"/>
  <c r="AX174" i="27"/>
  <c r="AY174" i="27"/>
  <c r="AZ174" i="27"/>
  <c r="BA174" i="27"/>
  <c r="AO175" i="27"/>
  <c r="AP175" i="27"/>
  <c r="AQ175" i="27"/>
  <c r="AR175" i="27"/>
  <c r="AS175" i="27"/>
  <c r="AT175" i="27"/>
  <c r="AU175" i="27"/>
  <c r="AV175" i="27"/>
  <c r="AW175" i="27"/>
  <c r="AX175" i="27"/>
  <c r="AY175" i="27"/>
  <c r="AZ175" i="27"/>
  <c r="BA175" i="27"/>
  <c r="AO176" i="27"/>
  <c r="AP176" i="27"/>
  <c r="AQ176" i="27"/>
  <c r="AR176" i="27"/>
  <c r="AS176" i="27"/>
  <c r="AT176" i="27"/>
  <c r="AU176" i="27"/>
  <c r="AV176" i="27"/>
  <c r="AW176" i="27"/>
  <c r="AX176" i="27"/>
  <c r="AY176" i="27"/>
  <c r="AZ176" i="27"/>
  <c r="BA176" i="27"/>
  <c r="AO177" i="27"/>
  <c r="AP177" i="27"/>
  <c r="AQ177" i="27"/>
  <c r="AR177" i="27"/>
  <c r="AS177" i="27"/>
  <c r="AT177" i="27"/>
  <c r="AU177" i="27"/>
  <c r="AV177" i="27"/>
  <c r="AW177" i="27"/>
  <c r="AX177" i="27"/>
  <c r="AY177" i="27"/>
  <c r="AZ177" i="27"/>
  <c r="BA177" i="27"/>
  <c r="AO178" i="27"/>
  <c r="AP178" i="27"/>
  <c r="AQ178" i="27"/>
  <c r="AR178" i="27"/>
  <c r="AS178" i="27"/>
  <c r="AT178" i="27"/>
  <c r="AU178" i="27"/>
  <c r="AV178" i="27"/>
  <c r="AW178" i="27"/>
  <c r="AX178" i="27"/>
  <c r="AY178" i="27"/>
  <c r="AZ178" i="27"/>
  <c r="BA178" i="27"/>
  <c r="AO179" i="27"/>
  <c r="AP179" i="27"/>
  <c r="AQ179" i="27"/>
  <c r="AR179" i="27"/>
  <c r="AS179" i="27"/>
  <c r="AT179" i="27"/>
  <c r="AU179" i="27"/>
  <c r="AV179" i="27"/>
  <c r="AW179" i="27"/>
  <c r="AX179" i="27"/>
  <c r="AY179" i="27"/>
  <c r="AZ179" i="27"/>
  <c r="BA179" i="27"/>
  <c r="AO180" i="27"/>
  <c r="AP180" i="27"/>
  <c r="AQ180" i="27"/>
  <c r="AR180" i="27"/>
  <c r="AS180" i="27"/>
  <c r="AT180" i="27"/>
  <c r="AU180" i="27"/>
  <c r="AV180" i="27"/>
  <c r="AW180" i="27"/>
  <c r="AX180" i="27"/>
  <c r="AY180" i="27"/>
  <c r="AZ180" i="27"/>
  <c r="BA180" i="27"/>
  <c r="AO181" i="27"/>
  <c r="AP181" i="27"/>
  <c r="AQ181" i="27"/>
  <c r="AR181" i="27"/>
  <c r="AS181" i="27"/>
  <c r="AT181" i="27"/>
  <c r="AU181" i="27"/>
  <c r="AV181" i="27"/>
  <c r="AW181" i="27"/>
  <c r="AX181" i="27"/>
  <c r="AY181" i="27"/>
  <c r="AZ181" i="27"/>
  <c r="BA181" i="27"/>
  <c r="AO182" i="27"/>
  <c r="AP182" i="27"/>
  <c r="AQ182" i="27"/>
  <c r="AR182" i="27"/>
  <c r="AS182" i="27"/>
  <c r="AT182" i="27"/>
  <c r="AU182" i="27"/>
  <c r="AV182" i="27"/>
  <c r="AW182" i="27"/>
  <c r="AX182" i="27"/>
  <c r="AY182" i="27"/>
  <c r="AZ182" i="27"/>
  <c r="BA182" i="27"/>
  <c r="AO183" i="27"/>
  <c r="AP183" i="27"/>
  <c r="AQ183" i="27"/>
  <c r="AR183" i="27"/>
  <c r="AS183" i="27"/>
  <c r="AT183" i="27"/>
  <c r="AU183" i="27"/>
  <c r="AV183" i="27"/>
  <c r="AW183" i="27"/>
  <c r="AX183" i="27"/>
  <c r="AY183" i="27"/>
  <c r="AZ183" i="27"/>
  <c r="BA183" i="27"/>
  <c r="AO184" i="27"/>
  <c r="AP184" i="27"/>
  <c r="AQ184" i="27"/>
  <c r="AR184" i="27"/>
  <c r="AS184" i="27"/>
  <c r="AT184" i="27"/>
  <c r="AU184" i="27"/>
  <c r="AV184" i="27"/>
  <c r="AW184" i="27"/>
  <c r="AX184" i="27"/>
  <c r="AY184" i="27"/>
  <c r="AZ184" i="27"/>
  <c r="BA184" i="27"/>
  <c r="AO185" i="27"/>
  <c r="AP185" i="27"/>
  <c r="AQ185" i="27"/>
  <c r="AR185" i="27"/>
  <c r="AS185" i="27"/>
  <c r="AT185" i="27"/>
  <c r="AU185" i="27"/>
  <c r="AV185" i="27"/>
  <c r="AW185" i="27"/>
  <c r="AX185" i="27"/>
  <c r="AY185" i="27"/>
  <c r="AZ185" i="27"/>
  <c r="BA185" i="27"/>
  <c r="AO186" i="27"/>
  <c r="AP186" i="27"/>
  <c r="AQ186" i="27"/>
  <c r="AR186" i="27"/>
  <c r="AS186" i="27"/>
  <c r="AT186" i="27"/>
  <c r="AU186" i="27"/>
  <c r="AV186" i="27"/>
  <c r="AW186" i="27"/>
  <c r="AX186" i="27"/>
  <c r="AY186" i="27"/>
  <c r="AZ186" i="27"/>
  <c r="BA186" i="27"/>
  <c r="AO187" i="27"/>
  <c r="AP187" i="27"/>
  <c r="AQ187" i="27"/>
  <c r="AR187" i="27"/>
  <c r="AS187" i="27"/>
  <c r="AT187" i="27"/>
  <c r="AU187" i="27"/>
  <c r="AV187" i="27"/>
  <c r="AW187" i="27"/>
  <c r="AX187" i="27"/>
  <c r="AY187" i="27"/>
  <c r="AZ187" i="27"/>
  <c r="BA187" i="27"/>
  <c r="AO188" i="27"/>
  <c r="AP188" i="27"/>
  <c r="AQ188" i="27"/>
  <c r="AR188" i="27"/>
  <c r="AS188" i="27"/>
  <c r="AT188" i="27"/>
  <c r="AU188" i="27"/>
  <c r="AV188" i="27"/>
  <c r="AW188" i="27"/>
  <c r="AX188" i="27"/>
  <c r="AY188" i="27"/>
  <c r="AZ188" i="27"/>
  <c r="BA188" i="27"/>
  <c r="AO189" i="27"/>
  <c r="AP189" i="27"/>
  <c r="AQ189" i="27"/>
  <c r="AR189" i="27"/>
  <c r="AS189" i="27"/>
  <c r="AT189" i="27"/>
  <c r="AU189" i="27"/>
  <c r="AV189" i="27"/>
  <c r="AW189" i="27"/>
  <c r="AX189" i="27"/>
  <c r="AY189" i="27"/>
  <c r="AZ189" i="27"/>
  <c r="BA189" i="27"/>
  <c r="AO190" i="27"/>
  <c r="AP190" i="27"/>
  <c r="AQ190" i="27"/>
  <c r="AR190" i="27"/>
  <c r="AS190" i="27"/>
  <c r="AT190" i="27"/>
  <c r="AU190" i="27"/>
  <c r="AV190" i="27"/>
  <c r="AW190" i="27"/>
  <c r="AX190" i="27"/>
  <c r="AY190" i="27"/>
  <c r="AZ190" i="27"/>
  <c r="BA190" i="27"/>
  <c r="AO191" i="27"/>
  <c r="AP191" i="27"/>
  <c r="AQ191" i="27"/>
  <c r="AR191" i="27"/>
  <c r="AS191" i="27"/>
  <c r="AT191" i="27"/>
  <c r="AU191" i="27"/>
  <c r="AV191" i="27"/>
  <c r="AW191" i="27"/>
  <c r="AX191" i="27"/>
  <c r="AY191" i="27"/>
  <c r="AZ191" i="27"/>
  <c r="BA191" i="27"/>
  <c r="AO192" i="27"/>
  <c r="AP192" i="27"/>
  <c r="AQ192" i="27"/>
  <c r="AR192" i="27"/>
  <c r="AS192" i="27"/>
  <c r="AT192" i="27"/>
  <c r="AU192" i="27"/>
  <c r="AV192" i="27"/>
  <c r="AW192" i="27"/>
  <c r="AX192" i="27"/>
  <c r="AY192" i="27"/>
  <c r="AZ192" i="27"/>
  <c r="BA192" i="27"/>
  <c r="AO193" i="27"/>
  <c r="AP193" i="27"/>
  <c r="AQ193" i="27"/>
  <c r="AR193" i="27"/>
  <c r="AS193" i="27"/>
  <c r="AT193" i="27"/>
  <c r="AU193" i="27"/>
  <c r="AV193" i="27"/>
  <c r="AW193" i="27"/>
  <c r="AX193" i="27"/>
  <c r="AY193" i="27"/>
  <c r="AZ193" i="27"/>
  <c r="BA193" i="27"/>
  <c r="AO194" i="27"/>
  <c r="AP194" i="27"/>
  <c r="AQ194" i="27"/>
  <c r="AR194" i="27"/>
  <c r="AS194" i="27"/>
  <c r="AT194" i="27"/>
  <c r="AU194" i="27"/>
  <c r="AV194" i="27"/>
  <c r="AW194" i="27"/>
  <c r="AX194" i="27"/>
  <c r="AY194" i="27"/>
  <c r="AZ194" i="27"/>
  <c r="BA194" i="27"/>
  <c r="AO195" i="27"/>
  <c r="AP195" i="27"/>
  <c r="AQ195" i="27"/>
  <c r="AR195" i="27"/>
  <c r="AS195" i="27"/>
  <c r="AT195" i="27"/>
  <c r="AU195" i="27"/>
  <c r="AV195" i="27"/>
  <c r="AW195" i="27"/>
  <c r="AX195" i="27"/>
  <c r="AY195" i="27"/>
  <c r="AZ195" i="27"/>
  <c r="BA195" i="27"/>
  <c r="AO196" i="27"/>
  <c r="AP196" i="27"/>
  <c r="AQ196" i="27"/>
  <c r="AR196" i="27"/>
  <c r="AS196" i="27"/>
  <c r="AT196" i="27"/>
  <c r="AU196" i="27"/>
  <c r="AV196" i="27"/>
  <c r="AW196" i="27"/>
  <c r="AX196" i="27"/>
  <c r="AY196" i="27"/>
  <c r="AZ196" i="27"/>
  <c r="BA196" i="27"/>
  <c r="AO197" i="27"/>
  <c r="AP197" i="27"/>
  <c r="AQ197" i="27"/>
  <c r="AR197" i="27"/>
  <c r="AS197" i="27"/>
  <c r="AT197" i="27"/>
  <c r="AU197" i="27"/>
  <c r="AV197" i="27"/>
  <c r="AW197" i="27"/>
  <c r="AX197" i="27"/>
  <c r="AY197" i="27"/>
  <c r="AZ197" i="27"/>
  <c r="BA197" i="27"/>
  <c r="AO198" i="27"/>
  <c r="AP198" i="27"/>
  <c r="AQ198" i="27"/>
  <c r="AR198" i="27"/>
  <c r="AS198" i="27"/>
  <c r="AT198" i="27"/>
  <c r="AU198" i="27"/>
  <c r="AV198" i="27"/>
  <c r="AW198" i="27"/>
  <c r="AX198" i="27"/>
  <c r="AY198" i="27"/>
  <c r="AZ198" i="27"/>
  <c r="BA198" i="27"/>
  <c r="AO199" i="27"/>
  <c r="AP199" i="27"/>
  <c r="AQ199" i="27"/>
  <c r="AR199" i="27"/>
  <c r="AS199" i="27"/>
  <c r="AT199" i="27"/>
  <c r="AU199" i="27"/>
  <c r="AV199" i="27"/>
  <c r="AW199" i="27"/>
  <c r="AX199" i="27"/>
  <c r="AY199" i="27"/>
  <c r="AZ199" i="27"/>
  <c r="BA199" i="27"/>
  <c r="AO200" i="27"/>
  <c r="AP200" i="27"/>
  <c r="AQ200" i="27"/>
  <c r="AR200" i="27"/>
  <c r="AS200" i="27"/>
  <c r="AT200" i="27"/>
  <c r="AU200" i="27"/>
  <c r="AV200" i="27"/>
  <c r="AW200" i="27"/>
  <c r="AX200" i="27"/>
  <c r="AY200" i="27"/>
  <c r="AZ200" i="27"/>
  <c r="BA200" i="27"/>
  <c r="AO201" i="27"/>
  <c r="AP201" i="27"/>
  <c r="AQ201" i="27"/>
  <c r="AR201" i="27"/>
  <c r="AS201" i="27"/>
  <c r="AT201" i="27"/>
  <c r="AU201" i="27"/>
  <c r="AV201" i="27"/>
  <c r="AW201" i="27"/>
  <c r="AX201" i="27"/>
  <c r="AY201" i="27"/>
  <c r="AZ201" i="27"/>
  <c r="BA201" i="27"/>
  <c r="AO202" i="27"/>
  <c r="AP202" i="27"/>
  <c r="AQ202" i="27"/>
  <c r="AR202" i="27"/>
  <c r="AS202" i="27"/>
  <c r="AT202" i="27"/>
  <c r="AU202" i="27"/>
  <c r="AV202" i="27"/>
  <c r="AW202" i="27"/>
  <c r="AX202" i="27"/>
  <c r="AY202" i="27"/>
  <c r="AZ202" i="27"/>
  <c r="BA202" i="27"/>
  <c r="AO203" i="27"/>
  <c r="AP203" i="27"/>
  <c r="AQ203" i="27"/>
  <c r="AR203" i="27"/>
  <c r="AS203" i="27"/>
  <c r="AT203" i="27"/>
  <c r="AU203" i="27"/>
  <c r="AV203" i="27"/>
  <c r="AW203" i="27"/>
  <c r="AX203" i="27"/>
  <c r="AY203" i="27"/>
  <c r="AZ203" i="27"/>
  <c r="BA203" i="27"/>
  <c r="AO204" i="27"/>
  <c r="AP204" i="27"/>
  <c r="AQ204" i="27"/>
  <c r="AR204" i="27"/>
  <c r="AS204" i="27"/>
  <c r="AT204" i="27"/>
  <c r="AU204" i="27"/>
  <c r="AV204" i="27"/>
  <c r="AW204" i="27"/>
  <c r="AX204" i="27"/>
  <c r="AY204" i="27"/>
  <c r="AZ204" i="27"/>
  <c r="BA204" i="27"/>
  <c r="AO205" i="27"/>
  <c r="AP205" i="27"/>
  <c r="AQ205" i="27"/>
  <c r="AR205" i="27"/>
  <c r="AS205" i="27"/>
  <c r="AT205" i="27"/>
  <c r="AU205" i="27"/>
  <c r="AV205" i="27"/>
  <c r="AW205" i="27"/>
  <c r="AX205" i="27"/>
  <c r="AY205" i="27"/>
  <c r="AZ205" i="27"/>
  <c r="BA205" i="27"/>
  <c r="AO206" i="27"/>
  <c r="AP206" i="27"/>
  <c r="AQ206" i="27"/>
  <c r="AR206" i="27"/>
  <c r="AS206" i="27"/>
  <c r="AT206" i="27"/>
  <c r="AU206" i="27"/>
  <c r="AV206" i="27"/>
  <c r="AW206" i="27"/>
  <c r="AX206" i="27"/>
  <c r="AY206" i="27"/>
  <c r="AZ206" i="27"/>
  <c r="BA206" i="27"/>
  <c r="AO207" i="27"/>
  <c r="AP207" i="27"/>
  <c r="AQ207" i="27"/>
  <c r="AR207" i="27"/>
  <c r="AS207" i="27"/>
  <c r="AT207" i="27"/>
  <c r="AU207" i="27"/>
  <c r="AV207" i="27"/>
  <c r="AW207" i="27"/>
  <c r="AX207" i="27"/>
  <c r="AY207" i="27"/>
  <c r="AZ207" i="27"/>
  <c r="BA207" i="27"/>
  <c r="AO208" i="27"/>
  <c r="AP208" i="27"/>
  <c r="AQ208" i="27"/>
  <c r="AR208" i="27"/>
  <c r="AS208" i="27"/>
  <c r="AT208" i="27"/>
  <c r="AU208" i="27"/>
  <c r="AV208" i="27"/>
  <c r="AW208" i="27"/>
  <c r="AX208" i="27"/>
  <c r="AY208" i="27"/>
  <c r="AZ208" i="27"/>
  <c r="BA208" i="27"/>
  <c r="AP9" i="27"/>
  <c r="AQ9" i="27"/>
  <c r="AR9" i="27"/>
  <c r="AS9" i="27"/>
  <c r="AT9" i="27"/>
  <c r="AU9" i="27"/>
  <c r="AV9" i="27"/>
  <c r="AW9" i="27"/>
  <c r="AX9" i="27"/>
  <c r="AY9" i="27"/>
  <c r="AZ9" i="27"/>
  <c r="BA9" i="27"/>
  <c r="AO9" i="27"/>
  <c r="U4" i="41" l="1"/>
  <c r="BB10" i="27"/>
  <c r="BB26" i="27"/>
  <c r="BB18" i="27"/>
  <c r="BB16" i="27"/>
  <c r="BB37" i="27"/>
  <c r="BB29" i="27"/>
  <c r="C12" i="42" s="1"/>
  <c r="BB21" i="27"/>
  <c r="BB13" i="27"/>
  <c r="BB30" i="27"/>
  <c r="BB38" i="27"/>
  <c r="BB42" i="27"/>
  <c r="BB34" i="27"/>
  <c r="BB33" i="27"/>
  <c r="BB25" i="27"/>
  <c r="BB17" i="27"/>
  <c r="BB208" i="27"/>
  <c r="BB200" i="27"/>
  <c r="BB192" i="27"/>
  <c r="BB184" i="27"/>
  <c r="BB176" i="27"/>
  <c r="BB168" i="27"/>
  <c r="BB160" i="27"/>
  <c r="BB152" i="27"/>
  <c r="BB144" i="27"/>
  <c r="BB136" i="27"/>
  <c r="BB128" i="27"/>
  <c r="BB120" i="27"/>
  <c r="BB112" i="27"/>
  <c r="BB104" i="27"/>
  <c r="BB96" i="27"/>
  <c r="BB88" i="27"/>
  <c r="BB80" i="27"/>
  <c r="BB72" i="27"/>
  <c r="BB64" i="27"/>
  <c r="BB56" i="27"/>
  <c r="BB48" i="27"/>
  <c r="BB40" i="27"/>
  <c r="BB67" i="27"/>
  <c r="BB59" i="27"/>
  <c r="BB51" i="27"/>
  <c r="BB43" i="27"/>
  <c r="BB207" i="27"/>
  <c r="BB199" i="27"/>
  <c r="BB191" i="27"/>
  <c r="BB183" i="27"/>
  <c r="C31" i="42" s="1"/>
  <c r="BB175" i="27"/>
  <c r="BB167" i="27"/>
  <c r="BB159" i="27"/>
  <c r="BB151" i="27"/>
  <c r="BB143" i="27"/>
  <c r="BB135" i="27"/>
  <c r="BB127" i="27"/>
  <c r="BB119" i="27"/>
  <c r="BB111" i="27"/>
  <c r="BB103" i="27"/>
  <c r="BB95" i="27"/>
  <c r="BB87" i="27"/>
  <c r="BB79" i="27"/>
  <c r="BB71" i="27"/>
  <c r="BB63" i="27"/>
  <c r="BB55" i="27"/>
  <c r="BB47" i="27"/>
  <c r="BB39" i="27"/>
  <c r="AT209" i="27"/>
  <c r="BB11" i="27"/>
  <c r="BB202" i="27"/>
  <c r="BB194" i="27"/>
  <c r="BB186" i="27"/>
  <c r="BB178" i="27"/>
  <c r="BB170" i="27"/>
  <c r="BB162" i="27"/>
  <c r="BB154" i="27"/>
  <c r="BB146" i="27"/>
  <c r="BB138" i="27"/>
  <c r="BB130" i="27"/>
  <c r="BB122" i="27"/>
  <c r="BB114" i="27"/>
  <c r="BB36" i="27"/>
  <c r="BB28" i="27"/>
  <c r="BB20" i="27"/>
  <c r="BB12" i="27"/>
  <c r="BB53" i="27"/>
  <c r="BB45" i="27"/>
  <c r="BB31" i="27"/>
  <c r="BB23" i="27"/>
  <c r="BB15" i="27"/>
  <c r="AR209" i="27"/>
  <c r="AQ209" i="27"/>
  <c r="AW209" i="27"/>
  <c r="AO209" i="27"/>
  <c r="AS209" i="27"/>
  <c r="AV209" i="27"/>
  <c r="AZ209" i="27"/>
  <c r="AU209" i="27"/>
  <c r="BB206" i="27"/>
  <c r="BB198" i="27"/>
  <c r="BB190" i="27"/>
  <c r="C57" i="42" s="1"/>
  <c r="BB182" i="27"/>
  <c r="BB174" i="27"/>
  <c r="BB166" i="27"/>
  <c r="BB158" i="27"/>
  <c r="BB150" i="27"/>
  <c r="BB142" i="27"/>
  <c r="BB134" i="27"/>
  <c r="BB126" i="27"/>
  <c r="BB118" i="27"/>
  <c r="C52" i="42" s="1"/>
  <c r="H52" i="42" s="1"/>
  <c r="BB19" i="27"/>
  <c r="BA209" i="27"/>
  <c r="BB14" i="27"/>
  <c r="AY209" i="27"/>
  <c r="AX209" i="27"/>
  <c r="AP209" i="27"/>
  <c r="BB205" i="27"/>
  <c r="BB197" i="27"/>
  <c r="BB189" i="27"/>
  <c r="BB181" i="27"/>
  <c r="BB173" i="27"/>
  <c r="BB165" i="27"/>
  <c r="BB157" i="27"/>
  <c r="BB149" i="27"/>
  <c r="BB141" i="27"/>
  <c r="BB133" i="27"/>
  <c r="BB125" i="27"/>
  <c r="BB117" i="27"/>
  <c r="BB109" i="27"/>
  <c r="BB101" i="27"/>
  <c r="BB93" i="27"/>
  <c r="BB85" i="27"/>
  <c r="BB77" i="27"/>
  <c r="BB69" i="27"/>
  <c r="BB61" i="27"/>
  <c r="BB9" i="27"/>
  <c r="BB203" i="27"/>
  <c r="BB195" i="27"/>
  <c r="C42" i="42" s="1"/>
  <c r="H42" i="42" s="1"/>
  <c r="BB187" i="27"/>
  <c r="C39" i="42" s="1"/>
  <c r="BB179" i="27"/>
  <c r="BB171" i="27"/>
  <c r="BB163" i="27"/>
  <c r="BB155" i="27"/>
  <c r="BB147" i="27"/>
  <c r="BB139" i="27"/>
  <c r="BB131" i="27"/>
  <c r="BB123" i="27"/>
  <c r="BB115" i="27"/>
  <c r="BB107" i="27"/>
  <c r="BB99" i="27"/>
  <c r="BB91" i="27"/>
  <c r="BB83" i="27"/>
  <c r="BB75" i="27"/>
  <c r="BB201" i="27"/>
  <c r="BB193" i="27"/>
  <c r="BB185" i="27"/>
  <c r="BB177" i="27"/>
  <c r="BB169" i="27"/>
  <c r="BB161" i="27"/>
  <c r="BB153" i="27"/>
  <c r="C36" i="42" s="1"/>
  <c r="BB145" i="27"/>
  <c r="BB137" i="27"/>
  <c r="BB129" i="27"/>
  <c r="C62" i="42" s="1"/>
  <c r="BB121" i="27"/>
  <c r="BB113" i="27"/>
  <c r="BB105" i="27"/>
  <c r="BB97" i="27"/>
  <c r="BB89" i="27"/>
  <c r="BB81" i="27"/>
  <c r="BB73" i="27"/>
  <c r="C9" i="42" s="1"/>
  <c r="BB65" i="27"/>
  <c r="BB57" i="27"/>
  <c r="BB49" i="27"/>
  <c r="BB32" i="27"/>
  <c r="BB24" i="27"/>
  <c r="BB204" i="27"/>
  <c r="BB196" i="27"/>
  <c r="BB188" i="27"/>
  <c r="C38" i="42" s="1"/>
  <c r="BB180" i="27"/>
  <c r="BB172" i="27"/>
  <c r="BB164" i="27"/>
  <c r="BB156" i="27"/>
  <c r="BB148" i="27"/>
  <c r="BB140" i="27"/>
  <c r="BB132" i="27"/>
  <c r="BB124" i="27"/>
  <c r="BB116" i="27"/>
  <c r="C48" i="42" s="1"/>
  <c r="BB110" i="27"/>
  <c r="BB108" i="27"/>
  <c r="BB102" i="27"/>
  <c r="BB100" i="27"/>
  <c r="BB94" i="27"/>
  <c r="BB92" i="27"/>
  <c r="BB86" i="27"/>
  <c r="BB84" i="27"/>
  <c r="BB78" i="27"/>
  <c r="BB76" i="27"/>
  <c r="BB70" i="27"/>
  <c r="BB68" i="27"/>
  <c r="BB62" i="27"/>
  <c r="BB60" i="27"/>
  <c r="BB54" i="27"/>
  <c r="BB52" i="27"/>
  <c r="BB46" i="27"/>
  <c r="BB44" i="27"/>
  <c r="BB41" i="27"/>
  <c r="BB35" i="27"/>
  <c r="BB27" i="27"/>
  <c r="BB22" i="27"/>
  <c r="BB106" i="27"/>
  <c r="BB98" i="27"/>
  <c r="BB90" i="27"/>
  <c r="BB82" i="27"/>
  <c r="BB74" i="27"/>
  <c r="BB66" i="27"/>
  <c r="BB58" i="27"/>
  <c r="BB50" i="27"/>
  <c r="V4" i="41" l="1"/>
  <c r="D59" i="8"/>
  <c r="C56" i="42"/>
  <c r="H56" i="42" s="1"/>
  <c r="I42" i="42"/>
  <c r="J42" i="42" s="1"/>
  <c r="I52" i="42"/>
  <c r="J52" i="42" s="1"/>
  <c r="C19" i="42"/>
  <c r="C17" i="42"/>
  <c r="C13" i="42"/>
  <c r="C22" i="42"/>
  <c r="C27" i="42"/>
  <c r="C58" i="42"/>
  <c r="C8" i="42"/>
  <c r="C54" i="42"/>
  <c r="D96" i="8"/>
  <c r="C7" i="42"/>
  <c r="C21" i="42"/>
  <c r="D108" i="8"/>
  <c r="C29" i="42"/>
  <c r="D80" i="8"/>
  <c r="C26" i="42"/>
  <c r="D90" i="8"/>
  <c r="C51" i="42"/>
  <c r="C44" i="42"/>
  <c r="D35" i="8"/>
  <c r="C33" i="42"/>
  <c r="C28" i="42"/>
  <c r="C5" i="42"/>
  <c r="D47" i="8"/>
  <c r="E47" i="8" s="1"/>
  <c r="C43" i="42"/>
  <c r="D101" i="8"/>
  <c r="C60" i="42"/>
  <c r="D98" i="8"/>
  <c r="C15" i="42"/>
  <c r="D89" i="8"/>
  <c r="C49" i="42"/>
  <c r="D110" i="8"/>
  <c r="C47" i="42"/>
  <c r="C11" i="42"/>
  <c r="C23" i="42"/>
  <c r="D63" i="8"/>
  <c r="E63" i="8" s="1"/>
  <c r="C61" i="42"/>
  <c r="C18" i="42"/>
  <c r="C20" i="42"/>
  <c r="C63" i="42"/>
  <c r="D91" i="8"/>
  <c r="C55" i="42"/>
  <c r="C40" i="42"/>
  <c r="C30" i="42"/>
  <c r="D99" i="8"/>
  <c r="C46" i="42"/>
  <c r="C34" i="42"/>
  <c r="C6" i="42"/>
  <c r="D92" i="8"/>
  <c r="C59" i="42"/>
  <c r="D100" i="8"/>
  <c r="C50" i="42"/>
  <c r="D79" i="8"/>
  <c r="C24" i="42"/>
  <c r="C25" i="42"/>
  <c r="D38" i="8"/>
  <c r="E38" i="8" s="1"/>
  <c r="C35" i="42"/>
  <c r="C10" i="42"/>
  <c r="D109" i="8"/>
  <c r="C32" i="42"/>
  <c r="D74" i="8"/>
  <c r="C14" i="42"/>
  <c r="C53" i="42"/>
  <c r="C45" i="42"/>
  <c r="D84" i="8"/>
  <c r="C37" i="42"/>
  <c r="C16" i="42"/>
  <c r="D97" i="8"/>
  <c r="D11" i="8"/>
  <c r="E11" i="8" s="1"/>
  <c r="D83" i="8"/>
  <c r="D105" i="8"/>
  <c r="D106" i="8"/>
  <c r="D107" i="8"/>
  <c r="D81" i="8"/>
  <c r="D82" i="8"/>
  <c r="D88" i="8"/>
  <c r="D87" i="8"/>
  <c r="D86" i="8"/>
  <c r="D75" i="8"/>
  <c r="D77" i="8"/>
  <c r="D78" i="8"/>
  <c r="D73" i="8"/>
  <c r="D72" i="8"/>
  <c r="D76" i="8"/>
  <c r="D70" i="8"/>
  <c r="D71" i="8"/>
  <c r="D85" i="8"/>
  <c r="D27" i="8"/>
  <c r="D15" i="8"/>
  <c r="E15" i="8" s="1"/>
  <c r="D66" i="8"/>
  <c r="E66" i="8" s="1"/>
  <c r="D53" i="8"/>
  <c r="E53" i="8" s="1"/>
  <c r="D60" i="8"/>
  <c r="E60" i="8" s="1"/>
  <c r="D61" i="8"/>
  <c r="D58" i="8"/>
  <c r="D57" i="8"/>
  <c r="D54" i="8"/>
  <c r="E54" i="8" s="1"/>
  <c r="D56" i="8"/>
  <c r="D55" i="8"/>
  <c r="E55" i="8" s="1"/>
  <c r="D49" i="8"/>
  <c r="D48" i="8"/>
  <c r="E48" i="8" s="1"/>
  <c r="D34" i="8"/>
  <c r="E34" i="8" s="1"/>
  <c r="D46" i="8"/>
  <c r="D45" i="8"/>
  <c r="D43" i="8"/>
  <c r="D44" i="8"/>
  <c r="D40" i="8"/>
  <c r="D39" i="8"/>
  <c r="E39" i="8" s="1"/>
  <c r="D41" i="8"/>
  <c r="E41" i="8" s="1"/>
  <c r="D16" i="8"/>
  <c r="E16" i="8" s="1"/>
  <c r="D29" i="8"/>
  <c r="E29" i="8" s="1"/>
  <c r="D26" i="8"/>
  <c r="E26" i="8" s="1"/>
  <c r="D28" i="8"/>
  <c r="D30" i="8"/>
  <c r="E30" i="8" s="1"/>
  <c r="D31" i="8"/>
  <c r="E31" i="8" s="1"/>
  <c r="D22" i="8"/>
  <c r="E22" i="8" s="1"/>
  <c r="D23" i="8"/>
  <c r="D12" i="8"/>
  <c r="D52" i="8"/>
  <c r="E52" i="8" s="1"/>
  <c r="D36" i="8"/>
  <c r="E36" i="8" s="1"/>
  <c r="D42" i="8"/>
  <c r="E42" i="8" s="1"/>
  <c r="D32" i="8"/>
  <c r="E32" i="8" s="1"/>
  <c r="D33" i="8"/>
  <c r="E33" i="8" s="1"/>
  <c r="D62" i="8"/>
  <c r="E62" i="8" s="1"/>
  <c r="D37" i="8"/>
  <c r="E37" i="8" s="1"/>
  <c r="D51" i="8"/>
  <c r="E51" i="8" s="1"/>
  <c r="D50" i="8"/>
  <c r="E50" i="8" s="1"/>
  <c r="D64" i="8"/>
  <c r="E64" i="8" s="1"/>
  <c r="D65" i="8"/>
  <c r="E65" i="8" s="1"/>
  <c r="D24" i="8"/>
  <c r="E24" i="8" s="1"/>
  <c r="D25" i="8"/>
  <c r="E25" i="8" s="1"/>
  <c r="D17" i="8"/>
  <c r="E17" i="8" s="1"/>
  <c r="D21" i="8"/>
  <c r="D20" i="8"/>
  <c r="D19" i="8"/>
  <c r="D18" i="8"/>
  <c r="D14" i="8"/>
  <c r="E14" i="8" s="1"/>
  <c r="D13" i="8"/>
  <c r="E13" i="8" s="1"/>
  <c r="D7" i="8"/>
  <c r="E7" i="8" s="1"/>
  <c r="D8" i="8"/>
  <c r="E8" i="8" s="1"/>
  <c r="D5" i="8"/>
  <c r="D9" i="8"/>
  <c r="E9" i="8" s="1"/>
  <c r="D10" i="8"/>
  <c r="E10" i="8" s="1"/>
  <c r="D6" i="8"/>
  <c r="E6" i="8" s="1"/>
  <c r="BE209" i="27"/>
  <c r="BB209" i="27"/>
  <c r="K59" i="8" l="1"/>
  <c r="E59" i="8"/>
  <c r="H59" i="8"/>
  <c r="K35" i="8"/>
  <c r="E35" i="8"/>
  <c r="H35" i="8"/>
  <c r="I56" i="42"/>
  <c r="J56" i="42" s="1"/>
  <c r="K56" i="42"/>
  <c r="K42" i="42"/>
  <c r="K52" i="42"/>
  <c r="K38" i="8"/>
  <c r="H38" i="8"/>
  <c r="C66" i="42"/>
  <c r="C64" i="42"/>
  <c r="BF209" i="27"/>
  <c r="E116" i="8"/>
  <c r="H107" i="8"/>
  <c r="K107" i="8"/>
  <c r="E107" i="8"/>
  <c r="K106" i="8"/>
  <c r="E106" i="8"/>
  <c r="H106" i="8"/>
  <c r="H82" i="8"/>
  <c r="K82" i="8"/>
  <c r="E82" i="8"/>
  <c r="K86" i="8"/>
  <c r="H86" i="8"/>
  <c r="E86" i="8"/>
  <c r="H87" i="8"/>
  <c r="K87" i="8"/>
  <c r="E87" i="8"/>
  <c r="E27" i="8"/>
  <c r="K27" i="8"/>
  <c r="H27" i="8"/>
  <c r="H61" i="8"/>
  <c r="E61" i="8"/>
  <c r="K61" i="8"/>
  <c r="K56" i="8"/>
  <c r="E56" i="8"/>
  <c r="H56" i="8"/>
  <c r="K57" i="8"/>
  <c r="E57" i="8"/>
  <c r="H57" i="8"/>
  <c r="E58" i="8"/>
  <c r="H58" i="8"/>
  <c r="K58" i="8"/>
  <c r="K49" i="8"/>
  <c r="E49" i="8"/>
  <c r="H49" i="8"/>
  <c r="K34" i="8"/>
  <c r="H34" i="8"/>
  <c r="H44" i="8"/>
  <c r="K44" i="8"/>
  <c r="E44" i="8"/>
  <c r="K43" i="8"/>
  <c r="E43" i="8"/>
  <c r="H43" i="8"/>
  <c r="K45" i="8"/>
  <c r="E45" i="8"/>
  <c r="H45" i="8"/>
  <c r="E46" i="8"/>
  <c r="H46" i="8"/>
  <c r="K46" i="8"/>
  <c r="H40" i="8"/>
  <c r="K40" i="8"/>
  <c r="E40" i="8"/>
  <c r="E28" i="8"/>
  <c r="H28" i="8"/>
  <c r="K28" i="8"/>
  <c r="K23" i="8"/>
  <c r="E23" i="8"/>
  <c r="H23" i="8"/>
  <c r="E12" i="8"/>
  <c r="H12" i="8"/>
  <c r="K12" i="8"/>
  <c r="H18" i="8"/>
  <c r="K18" i="8"/>
  <c r="E18" i="8"/>
  <c r="E19" i="8"/>
  <c r="H19" i="8"/>
  <c r="K19" i="8"/>
  <c r="E20" i="8"/>
  <c r="K20" i="8"/>
  <c r="H20" i="8"/>
  <c r="K21" i="8"/>
  <c r="E21" i="8"/>
  <c r="H21" i="8"/>
  <c r="C67" i="42" l="1"/>
  <c r="BD93" i="19" l="1"/>
  <c r="AX93" i="19"/>
  <c r="H93" i="19"/>
  <c r="BG93" i="19"/>
  <c r="BP93" i="19"/>
  <c r="BY93" i="19"/>
  <c r="BG92" i="19"/>
  <c r="BD92" i="19"/>
  <c r="AU92" i="19"/>
  <c r="AF92" i="19"/>
  <c r="AC92" i="19"/>
  <c r="Z92" i="19"/>
  <c r="W92" i="19"/>
  <c r="T92" i="19"/>
  <c r="H92" i="19"/>
  <c r="BJ92" i="19"/>
  <c r="BV92" i="19"/>
  <c r="T91" i="19"/>
  <c r="AF91" i="19"/>
  <c r="AR91" i="19"/>
  <c r="AU91" i="19"/>
  <c r="BD91" i="19"/>
  <c r="BG91" i="19"/>
  <c r="BP91" i="19"/>
  <c r="CB91" i="19"/>
  <c r="H80" i="19"/>
  <c r="BJ78" i="19"/>
  <c r="BS78" i="19"/>
  <c r="W75" i="19"/>
  <c r="Z75" i="19"/>
  <c r="AC75" i="19"/>
  <c r="AF75" i="19"/>
  <c r="AR75" i="19"/>
  <c r="AU75" i="19"/>
  <c r="BG75" i="19"/>
  <c r="BJ75" i="19"/>
  <c r="BP75" i="19"/>
  <c r="BS75" i="19"/>
  <c r="BV75" i="19"/>
  <c r="CG75" i="19"/>
  <c r="H75" i="19"/>
  <c r="Z72" i="19"/>
  <c r="H60" i="19"/>
  <c r="AF59" i="19"/>
  <c r="AR59" i="19"/>
  <c r="AU59" i="19"/>
  <c r="BG59" i="19"/>
  <c r="BS59" i="19"/>
  <c r="Z35" i="19" l="1"/>
  <c r="T35" i="19"/>
  <c r="N35" i="19"/>
  <c r="K35" i="19"/>
  <c r="H35" i="19"/>
  <c r="N34" i="19"/>
  <c r="T32" i="19"/>
  <c r="AF32" i="19"/>
  <c r="BP29" i="19"/>
  <c r="BS29" i="19"/>
  <c r="BG29" i="19"/>
  <c r="AU29" i="19"/>
  <c r="BD28" i="19"/>
  <c r="H28" i="19"/>
  <c r="BG28" i="19"/>
  <c r="BS28" i="19"/>
  <c r="Z22" i="19"/>
  <c r="AF22" i="19"/>
  <c r="AI20" i="19"/>
  <c r="K3" i="21"/>
  <c r="F4" i="21"/>
  <c r="F7" i="21"/>
  <c r="F13" i="21"/>
  <c r="F15" i="21"/>
  <c r="F16" i="21"/>
  <c r="F18" i="21"/>
  <c r="F20" i="21"/>
  <c r="F24" i="21"/>
  <c r="F30" i="21"/>
  <c r="F37" i="21"/>
  <c r="F38" i="21"/>
  <c r="F39" i="21"/>
  <c r="F40" i="21"/>
  <c r="F42" i="21"/>
  <c r="F43" i="21"/>
  <c r="F44" i="21"/>
  <c r="F45" i="21"/>
  <c r="F46" i="21"/>
  <c r="F48" i="21"/>
  <c r="F49" i="21"/>
  <c r="F50" i="21"/>
  <c r="F51" i="21"/>
  <c r="F52" i="21"/>
  <c r="F53" i="21"/>
  <c r="F54" i="21"/>
  <c r="F55" i="21"/>
  <c r="F58" i="21"/>
  <c r="F59" i="21"/>
  <c r="F60" i="21"/>
  <c r="F61" i="21"/>
  <c r="F62" i="21"/>
  <c r="F63" i="21"/>
  <c r="F64" i="21"/>
  <c r="F65" i="21"/>
  <c r="F66" i="21"/>
  <c r="F67" i="21"/>
  <c r="F68" i="21"/>
  <c r="F70" i="21"/>
  <c r="F73" i="21"/>
  <c r="F74" i="21"/>
  <c r="F76" i="21"/>
  <c r="F78" i="21"/>
  <c r="F79" i="21"/>
  <c r="F80" i="21"/>
  <c r="F82" i="21"/>
  <c r="F83" i="21"/>
  <c r="F85" i="21"/>
  <c r="F86" i="21"/>
  <c r="F87" i="21"/>
  <c r="F91" i="21"/>
  <c r="F92" i="21"/>
  <c r="F93" i="21"/>
  <c r="F94" i="21"/>
  <c r="F95" i="21"/>
  <c r="F96" i="21"/>
  <c r="F97" i="21"/>
  <c r="F98" i="21"/>
  <c r="F99" i="21"/>
  <c r="F100" i="21"/>
  <c r="F101" i="21"/>
  <c r="F102" i="21"/>
  <c r="F103" i="21"/>
  <c r="F104" i="21"/>
  <c r="F105" i="21"/>
  <c r="F106" i="21"/>
  <c r="F3" i="21"/>
  <c r="AQ7" i="19"/>
  <c r="AQ8" i="19"/>
  <c r="AQ9" i="19"/>
  <c r="AQ10" i="19"/>
  <c r="AQ11" i="19"/>
  <c r="AQ12" i="19"/>
  <c r="AQ13" i="19"/>
  <c r="AQ14" i="19"/>
  <c r="AQ15" i="19"/>
  <c r="AQ16" i="19"/>
  <c r="AQ17" i="19"/>
  <c r="AQ18" i="19"/>
  <c r="AQ19" i="19"/>
  <c r="AQ20" i="19"/>
  <c r="AQ21" i="19"/>
  <c r="AQ22" i="19"/>
  <c r="AQ23" i="19"/>
  <c r="AQ24" i="19"/>
  <c r="AQ25" i="19"/>
  <c r="AQ26" i="19"/>
  <c r="AQ27" i="19"/>
  <c r="AQ28" i="19"/>
  <c r="AQ29" i="19"/>
  <c r="AQ30" i="19"/>
  <c r="AQ31" i="19"/>
  <c r="AQ32" i="19"/>
  <c r="AQ33" i="19"/>
  <c r="AQ34" i="19"/>
  <c r="AQ35" i="19"/>
  <c r="AQ36" i="19"/>
  <c r="AQ37" i="19"/>
  <c r="AQ38" i="19"/>
  <c r="AQ39" i="19"/>
  <c r="AQ40" i="19"/>
  <c r="AQ41" i="19"/>
  <c r="AQ42" i="19"/>
  <c r="AQ43" i="19"/>
  <c r="AQ44" i="19"/>
  <c r="AQ45" i="19"/>
  <c r="AQ46" i="19"/>
  <c r="AQ47" i="19"/>
  <c r="AQ48" i="19"/>
  <c r="AQ49" i="19"/>
  <c r="AQ50" i="19"/>
  <c r="AQ51" i="19"/>
  <c r="AQ52" i="19"/>
  <c r="AQ53" i="19"/>
  <c r="AQ54" i="19"/>
  <c r="AQ55" i="19"/>
  <c r="AQ56" i="19"/>
  <c r="AQ57" i="19"/>
  <c r="AQ58" i="19"/>
  <c r="AQ59" i="19"/>
  <c r="AQ60" i="19"/>
  <c r="AQ61" i="19"/>
  <c r="AQ62" i="19"/>
  <c r="AQ63" i="19"/>
  <c r="AQ64" i="19"/>
  <c r="AQ65" i="19"/>
  <c r="AQ66" i="19"/>
  <c r="AQ67" i="19"/>
  <c r="AQ68" i="19"/>
  <c r="AQ69" i="19"/>
  <c r="AQ70" i="19"/>
  <c r="AQ71" i="19"/>
  <c r="AQ72" i="19"/>
  <c r="AQ73" i="19"/>
  <c r="AQ74" i="19"/>
  <c r="AQ75" i="19"/>
  <c r="AQ76" i="19"/>
  <c r="AQ77" i="19"/>
  <c r="AQ78" i="19"/>
  <c r="AQ79" i="19"/>
  <c r="AQ80" i="19"/>
  <c r="AQ81" i="19"/>
  <c r="AQ82" i="19"/>
  <c r="AQ83" i="19"/>
  <c r="AQ84" i="19"/>
  <c r="AQ85" i="19"/>
  <c r="AQ86" i="19"/>
  <c r="AQ87" i="19"/>
  <c r="AQ88" i="19"/>
  <c r="AQ89" i="19"/>
  <c r="AQ90" i="19"/>
  <c r="AQ91" i="19"/>
  <c r="AQ92" i="19"/>
  <c r="AQ93" i="19"/>
  <c r="AQ94" i="19"/>
  <c r="AQ95" i="19"/>
  <c r="AQ96" i="19"/>
  <c r="AQ97" i="19"/>
  <c r="AQ98" i="19"/>
  <c r="AQ99" i="19"/>
  <c r="AQ100" i="19"/>
  <c r="AQ101" i="19"/>
  <c r="AQ102" i="19"/>
  <c r="AQ103" i="19"/>
  <c r="AQ104" i="19"/>
  <c r="AQ105" i="19"/>
  <c r="AQ106" i="19"/>
  <c r="AQ107" i="19"/>
  <c r="AQ108" i="19"/>
  <c r="AQ109" i="19"/>
  <c r="AQ6" i="19"/>
  <c r="P109" i="19"/>
  <c r="P6" i="19"/>
  <c r="CA7" i="19"/>
  <c r="CA8" i="19"/>
  <c r="CA9" i="19"/>
  <c r="CA10" i="19"/>
  <c r="CA11" i="19"/>
  <c r="CA12" i="19"/>
  <c r="CA13" i="19"/>
  <c r="CA14" i="19"/>
  <c r="CA15" i="19"/>
  <c r="CA16" i="19"/>
  <c r="CA17" i="19"/>
  <c r="CA18" i="19"/>
  <c r="CA19" i="19"/>
  <c r="CA20" i="19"/>
  <c r="CA21" i="19"/>
  <c r="CA22" i="19"/>
  <c r="CA23" i="19"/>
  <c r="CA24" i="19"/>
  <c r="CA25" i="19"/>
  <c r="CA26" i="19"/>
  <c r="CA27" i="19"/>
  <c r="CA28" i="19"/>
  <c r="CA29" i="19"/>
  <c r="CA30" i="19"/>
  <c r="CA31" i="19"/>
  <c r="CA32" i="19"/>
  <c r="CA33" i="19"/>
  <c r="CA34" i="19"/>
  <c r="CA35" i="19"/>
  <c r="CA36" i="19"/>
  <c r="CA37" i="19"/>
  <c r="CA38" i="19"/>
  <c r="CA39" i="19"/>
  <c r="CA40" i="19"/>
  <c r="CA41" i="19"/>
  <c r="CA42" i="19"/>
  <c r="CA43" i="19"/>
  <c r="CA44" i="19"/>
  <c r="CA45" i="19"/>
  <c r="CA46" i="19"/>
  <c r="CA47" i="19"/>
  <c r="CA48" i="19"/>
  <c r="CA49" i="19"/>
  <c r="CA50" i="19"/>
  <c r="CA51" i="19"/>
  <c r="CA52" i="19"/>
  <c r="CA53" i="19"/>
  <c r="CA54" i="19"/>
  <c r="CA55" i="19"/>
  <c r="CA56" i="19"/>
  <c r="CA57" i="19"/>
  <c r="CA58" i="19"/>
  <c r="CA59" i="19"/>
  <c r="CA60" i="19"/>
  <c r="CA61" i="19"/>
  <c r="CA62" i="19"/>
  <c r="CA63" i="19"/>
  <c r="CA64" i="19"/>
  <c r="CA65" i="19"/>
  <c r="CA66" i="19"/>
  <c r="CA67" i="19"/>
  <c r="CA68" i="19"/>
  <c r="CA69" i="19"/>
  <c r="CA70" i="19"/>
  <c r="CA71" i="19"/>
  <c r="CA72" i="19"/>
  <c r="CA73" i="19"/>
  <c r="CA74" i="19"/>
  <c r="CA75" i="19"/>
  <c r="CA76" i="19"/>
  <c r="CA77" i="19"/>
  <c r="CA78" i="19"/>
  <c r="CA79" i="19"/>
  <c r="CA80" i="19"/>
  <c r="CA81" i="19"/>
  <c r="CA82" i="19"/>
  <c r="CA83" i="19"/>
  <c r="CA84" i="19"/>
  <c r="CA85" i="19"/>
  <c r="CA86" i="19"/>
  <c r="CA87" i="19"/>
  <c r="CA88" i="19"/>
  <c r="CA89" i="19"/>
  <c r="CA90" i="19"/>
  <c r="CA91" i="19"/>
  <c r="CA92" i="19"/>
  <c r="CA93" i="19"/>
  <c r="CA94" i="19"/>
  <c r="CA95" i="19"/>
  <c r="CA96" i="19"/>
  <c r="CA97" i="19"/>
  <c r="CA98" i="19"/>
  <c r="CA99" i="19"/>
  <c r="CA100" i="19"/>
  <c r="CA101" i="19"/>
  <c r="CA102" i="19"/>
  <c r="CA103" i="19"/>
  <c r="CA104" i="19"/>
  <c r="CA105" i="19"/>
  <c r="CA106" i="19"/>
  <c r="CA107" i="19"/>
  <c r="CA108" i="19"/>
  <c r="CA109" i="19"/>
  <c r="CA6" i="19"/>
  <c r="BX7" i="19"/>
  <c r="BX8" i="19"/>
  <c r="BX9" i="19"/>
  <c r="BX10" i="19"/>
  <c r="BX11" i="19"/>
  <c r="BX12" i="19"/>
  <c r="BX13" i="19"/>
  <c r="BX14" i="19"/>
  <c r="BX15" i="19"/>
  <c r="BX16" i="19"/>
  <c r="BX17" i="19"/>
  <c r="BX18" i="19"/>
  <c r="BX19" i="19"/>
  <c r="BX20" i="19"/>
  <c r="BX21" i="19"/>
  <c r="BX22" i="19"/>
  <c r="BX23" i="19"/>
  <c r="BX24" i="19"/>
  <c r="BX25" i="19"/>
  <c r="BX26" i="19"/>
  <c r="BX27" i="19"/>
  <c r="BX28" i="19"/>
  <c r="BX29" i="19"/>
  <c r="BX30" i="19"/>
  <c r="BX31" i="19"/>
  <c r="BX32" i="19"/>
  <c r="BX33" i="19"/>
  <c r="BX34" i="19"/>
  <c r="BX35" i="19"/>
  <c r="BX36" i="19"/>
  <c r="BX37" i="19"/>
  <c r="BX38" i="19"/>
  <c r="BX39" i="19"/>
  <c r="BX40" i="19"/>
  <c r="BX41" i="19"/>
  <c r="BX42" i="19"/>
  <c r="BX43" i="19"/>
  <c r="BX44" i="19"/>
  <c r="BX45" i="19"/>
  <c r="BX46" i="19"/>
  <c r="BX47" i="19"/>
  <c r="BX48" i="19"/>
  <c r="BX49" i="19"/>
  <c r="BX50" i="19"/>
  <c r="BX51" i="19"/>
  <c r="BX52" i="19"/>
  <c r="BX53" i="19"/>
  <c r="BX54" i="19"/>
  <c r="BX55" i="19"/>
  <c r="BX56" i="19"/>
  <c r="BX57" i="19"/>
  <c r="BX58" i="19"/>
  <c r="BX59" i="19"/>
  <c r="BX60" i="19"/>
  <c r="BX61" i="19"/>
  <c r="BX62" i="19"/>
  <c r="BX63" i="19"/>
  <c r="BX64" i="19"/>
  <c r="BX65" i="19"/>
  <c r="BX66" i="19"/>
  <c r="BX67" i="19"/>
  <c r="BX68" i="19"/>
  <c r="BX69" i="19"/>
  <c r="BX70" i="19"/>
  <c r="BX71" i="19"/>
  <c r="BX72" i="19"/>
  <c r="BX73" i="19"/>
  <c r="BX74" i="19"/>
  <c r="BX75" i="19"/>
  <c r="BX76" i="19"/>
  <c r="BX77" i="19"/>
  <c r="BX78" i="19"/>
  <c r="BX79" i="19"/>
  <c r="BX80" i="19"/>
  <c r="BX81" i="19"/>
  <c r="BX82" i="19"/>
  <c r="BX83" i="19"/>
  <c r="BX84" i="19"/>
  <c r="BX85" i="19"/>
  <c r="BX86" i="19"/>
  <c r="BX87" i="19"/>
  <c r="BX88" i="19"/>
  <c r="BX89" i="19"/>
  <c r="BX90" i="19"/>
  <c r="BX91" i="19"/>
  <c r="BX92" i="19"/>
  <c r="BX93" i="19"/>
  <c r="BX94" i="19"/>
  <c r="BX95" i="19"/>
  <c r="BX96" i="19"/>
  <c r="BX97" i="19"/>
  <c r="BX98" i="19"/>
  <c r="BX99" i="19"/>
  <c r="BX100" i="19"/>
  <c r="BX101" i="19"/>
  <c r="BX102" i="19"/>
  <c r="BX103" i="19"/>
  <c r="BX104" i="19"/>
  <c r="BX105" i="19"/>
  <c r="BX106" i="19"/>
  <c r="BX107" i="19"/>
  <c r="BX108" i="19"/>
  <c r="BX109" i="19"/>
  <c r="BX6" i="19"/>
  <c r="BU7" i="19"/>
  <c r="BU8" i="19"/>
  <c r="BU9" i="19"/>
  <c r="BU10" i="19"/>
  <c r="BU11" i="19"/>
  <c r="BU12" i="19"/>
  <c r="BU13" i="19"/>
  <c r="BU14" i="19"/>
  <c r="BU15" i="19"/>
  <c r="BU16" i="19"/>
  <c r="BU17" i="19"/>
  <c r="BU18" i="19"/>
  <c r="BU19" i="19"/>
  <c r="BU20" i="19"/>
  <c r="BU21" i="19"/>
  <c r="BU22" i="19"/>
  <c r="BU23" i="19"/>
  <c r="BU24" i="19"/>
  <c r="BU25" i="19"/>
  <c r="BU26" i="19"/>
  <c r="BU27" i="19"/>
  <c r="BU28" i="19"/>
  <c r="BU29" i="19"/>
  <c r="BU30" i="19"/>
  <c r="BU31" i="19"/>
  <c r="BU32" i="19"/>
  <c r="BU33" i="19"/>
  <c r="BU34" i="19"/>
  <c r="BU35" i="19"/>
  <c r="BU36" i="19"/>
  <c r="BU37" i="19"/>
  <c r="BU38" i="19"/>
  <c r="BU39" i="19"/>
  <c r="BU40" i="19"/>
  <c r="BU41" i="19"/>
  <c r="BU42" i="19"/>
  <c r="BU43" i="19"/>
  <c r="BU44" i="19"/>
  <c r="BU45" i="19"/>
  <c r="BU46" i="19"/>
  <c r="BU47" i="19"/>
  <c r="BU48" i="19"/>
  <c r="BU49" i="19"/>
  <c r="BU50" i="19"/>
  <c r="BU51" i="19"/>
  <c r="BU52" i="19"/>
  <c r="BU53" i="19"/>
  <c r="BU54" i="19"/>
  <c r="BU55" i="19"/>
  <c r="BU56" i="19"/>
  <c r="BU57" i="19"/>
  <c r="BU58" i="19"/>
  <c r="BU59" i="19"/>
  <c r="BU60" i="19"/>
  <c r="BU61" i="19"/>
  <c r="BU62" i="19"/>
  <c r="BU63" i="19"/>
  <c r="BU64" i="19"/>
  <c r="BU65" i="19"/>
  <c r="BU66" i="19"/>
  <c r="BU67" i="19"/>
  <c r="BU68" i="19"/>
  <c r="BU69" i="19"/>
  <c r="BU70" i="19"/>
  <c r="BU71" i="19"/>
  <c r="BU72" i="19"/>
  <c r="BU73" i="19"/>
  <c r="BU74" i="19"/>
  <c r="BU75" i="19"/>
  <c r="BU76" i="19"/>
  <c r="BU77" i="19"/>
  <c r="BU78" i="19"/>
  <c r="BU79" i="19"/>
  <c r="BU80" i="19"/>
  <c r="BU81" i="19"/>
  <c r="BU82" i="19"/>
  <c r="BU83" i="19"/>
  <c r="BU84" i="19"/>
  <c r="BU85" i="19"/>
  <c r="BU86" i="19"/>
  <c r="BU87" i="19"/>
  <c r="BU88" i="19"/>
  <c r="BU89" i="19"/>
  <c r="BU90" i="19"/>
  <c r="BU91" i="19"/>
  <c r="BU92" i="19"/>
  <c r="BU93" i="19"/>
  <c r="BU94" i="19"/>
  <c r="BU95" i="19"/>
  <c r="BU96" i="19"/>
  <c r="BU97" i="19"/>
  <c r="BU98" i="19"/>
  <c r="BU99" i="19"/>
  <c r="BU100" i="19"/>
  <c r="BU101" i="19"/>
  <c r="BU102" i="19"/>
  <c r="BU103" i="19"/>
  <c r="BU104" i="19"/>
  <c r="BU105" i="19"/>
  <c r="BU106" i="19"/>
  <c r="BU107" i="19"/>
  <c r="BU108" i="19"/>
  <c r="BU109" i="19"/>
  <c r="BU6" i="19"/>
  <c r="BR7" i="19"/>
  <c r="BR8" i="19"/>
  <c r="BR9" i="19"/>
  <c r="BR10" i="19"/>
  <c r="BR11" i="19"/>
  <c r="BR12" i="19"/>
  <c r="BR13" i="19"/>
  <c r="BR14" i="19"/>
  <c r="BR15" i="19"/>
  <c r="BR16" i="19"/>
  <c r="BR17" i="19"/>
  <c r="BR18" i="19"/>
  <c r="BR19" i="19"/>
  <c r="BR20" i="19"/>
  <c r="BR21" i="19"/>
  <c r="BR22" i="19"/>
  <c r="BR23" i="19"/>
  <c r="BR24" i="19"/>
  <c r="BR25" i="19"/>
  <c r="BR26" i="19"/>
  <c r="BR27" i="19"/>
  <c r="BR28" i="19"/>
  <c r="BR29" i="19"/>
  <c r="BR30" i="19"/>
  <c r="BR31" i="19"/>
  <c r="BR32" i="19"/>
  <c r="BR33" i="19"/>
  <c r="BR34" i="19"/>
  <c r="BR35" i="19"/>
  <c r="BR36" i="19"/>
  <c r="BR37" i="19"/>
  <c r="BR38" i="19"/>
  <c r="BR39" i="19"/>
  <c r="BR40" i="19"/>
  <c r="BR41" i="19"/>
  <c r="BR42" i="19"/>
  <c r="BR43" i="19"/>
  <c r="BR44" i="19"/>
  <c r="BR45" i="19"/>
  <c r="BR46" i="19"/>
  <c r="BR47" i="19"/>
  <c r="BR48" i="19"/>
  <c r="BR49" i="19"/>
  <c r="BR50" i="19"/>
  <c r="BR51" i="19"/>
  <c r="BR52" i="19"/>
  <c r="BR53" i="19"/>
  <c r="BR54" i="19"/>
  <c r="BR55" i="19"/>
  <c r="BR56" i="19"/>
  <c r="BR57" i="19"/>
  <c r="BR58" i="19"/>
  <c r="BR59" i="19"/>
  <c r="BR60" i="19"/>
  <c r="BR61" i="19"/>
  <c r="BR62" i="19"/>
  <c r="BR63" i="19"/>
  <c r="BR64" i="19"/>
  <c r="BR65" i="19"/>
  <c r="BR66" i="19"/>
  <c r="BR67" i="19"/>
  <c r="BR68" i="19"/>
  <c r="BR69" i="19"/>
  <c r="BR70" i="19"/>
  <c r="BR71" i="19"/>
  <c r="BR72" i="19"/>
  <c r="BR73" i="19"/>
  <c r="BR74" i="19"/>
  <c r="BR75" i="19"/>
  <c r="BR76" i="19"/>
  <c r="BR77" i="19"/>
  <c r="BR78" i="19"/>
  <c r="BR79" i="19"/>
  <c r="BR80" i="19"/>
  <c r="BR81" i="19"/>
  <c r="BR82" i="19"/>
  <c r="BR83" i="19"/>
  <c r="BR84" i="19"/>
  <c r="BR85" i="19"/>
  <c r="BR86" i="19"/>
  <c r="BR87" i="19"/>
  <c r="BR88" i="19"/>
  <c r="BR89" i="19"/>
  <c r="BR90" i="19"/>
  <c r="BR91" i="19"/>
  <c r="BR92" i="19"/>
  <c r="BR93" i="19"/>
  <c r="BR94" i="19"/>
  <c r="BR95" i="19"/>
  <c r="BR96" i="19"/>
  <c r="BR97" i="19"/>
  <c r="BR98" i="19"/>
  <c r="BR99" i="19"/>
  <c r="BR100" i="19"/>
  <c r="BR101" i="19"/>
  <c r="BR102" i="19"/>
  <c r="BR103" i="19"/>
  <c r="BR104" i="19"/>
  <c r="BR105" i="19"/>
  <c r="BR106" i="19"/>
  <c r="BR107" i="19"/>
  <c r="BR108" i="19"/>
  <c r="BR109" i="19"/>
  <c r="BR6" i="19"/>
  <c r="BO7" i="19"/>
  <c r="BO8" i="19"/>
  <c r="BO9" i="19"/>
  <c r="BO10" i="19"/>
  <c r="BO11" i="19"/>
  <c r="BO12" i="19"/>
  <c r="BO13" i="19"/>
  <c r="BO14" i="19"/>
  <c r="BO15" i="19"/>
  <c r="BO16" i="19"/>
  <c r="BO17" i="19"/>
  <c r="BO18" i="19"/>
  <c r="BO19" i="19"/>
  <c r="BO20" i="19"/>
  <c r="BO21" i="19"/>
  <c r="BO22" i="19"/>
  <c r="BO23" i="19"/>
  <c r="BO24" i="19"/>
  <c r="BO25" i="19"/>
  <c r="BO26" i="19"/>
  <c r="BO27" i="19"/>
  <c r="BO28" i="19"/>
  <c r="BO29" i="19"/>
  <c r="BO30" i="19"/>
  <c r="BO31" i="19"/>
  <c r="BO32" i="19"/>
  <c r="BO33" i="19"/>
  <c r="BO34" i="19"/>
  <c r="BO35" i="19"/>
  <c r="BO36" i="19"/>
  <c r="BO37" i="19"/>
  <c r="BO38" i="19"/>
  <c r="BO39" i="19"/>
  <c r="BO40" i="19"/>
  <c r="BO41" i="19"/>
  <c r="BO42" i="19"/>
  <c r="BO43" i="19"/>
  <c r="BO44" i="19"/>
  <c r="BO45" i="19"/>
  <c r="BO46" i="19"/>
  <c r="BO47" i="19"/>
  <c r="BO48" i="19"/>
  <c r="BO49" i="19"/>
  <c r="BO50" i="19"/>
  <c r="BO51" i="19"/>
  <c r="BO52" i="19"/>
  <c r="BO53" i="19"/>
  <c r="BO54" i="19"/>
  <c r="BO55" i="19"/>
  <c r="BO56" i="19"/>
  <c r="BO57" i="19"/>
  <c r="BO58" i="19"/>
  <c r="BO59" i="19"/>
  <c r="BO60" i="19"/>
  <c r="BO61" i="19"/>
  <c r="BO62" i="19"/>
  <c r="BO63" i="19"/>
  <c r="BO64" i="19"/>
  <c r="BO65" i="19"/>
  <c r="BO66" i="19"/>
  <c r="BO67" i="19"/>
  <c r="BO68" i="19"/>
  <c r="BO69" i="19"/>
  <c r="BO70" i="19"/>
  <c r="BO71" i="19"/>
  <c r="BO72" i="19"/>
  <c r="BO73" i="19"/>
  <c r="BO74" i="19"/>
  <c r="BO75" i="19"/>
  <c r="BO76" i="19"/>
  <c r="BO77" i="19"/>
  <c r="BO78" i="19"/>
  <c r="BO79" i="19"/>
  <c r="BO80" i="19"/>
  <c r="BO81" i="19"/>
  <c r="BO82" i="19"/>
  <c r="BO83" i="19"/>
  <c r="BO84" i="19"/>
  <c r="BO85" i="19"/>
  <c r="BO86" i="19"/>
  <c r="BO87" i="19"/>
  <c r="BO88" i="19"/>
  <c r="BO89" i="19"/>
  <c r="BO90" i="19"/>
  <c r="BO91" i="19"/>
  <c r="BO92" i="19"/>
  <c r="BO93" i="19"/>
  <c r="BO94" i="19"/>
  <c r="BO95" i="19"/>
  <c r="BO96" i="19"/>
  <c r="BO97" i="19"/>
  <c r="BO98" i="19"/>
  <c r="BO99" i="19"/>
  <c r="BO100" i="19"/>
  <c r="BO101" i="19"/>
  <c r="BO102" i="19"/>
  <c r="BO103" i="19"/>
  <c r="BO104" i="19"/>
  <c r="BO105" i="19"/>
  <c r="BO106" i="19"/>
  <c r="BO107" i="19"/>
  <c r="BO108" i="19"/>
  <c r="BO109" i="19"/>
  <c r="BO6" i="19"/>
  <c r="BL7" i="19"/>
  <c r="BL8" i="19"/>
  <c r="BL9" i="19"/>
  <c r="BL10" i="19"/>
  <c r="BL11" i="19"/>
  <c r="BL12" i="19"/>
  <c r="BL13" i="19"/>
  <c r="BL14" i="19"/>
  <c r="BL15" i="19"/>
  <c r="BL16" i="19"/>
  <c r="BL17" i="19"/>
  <c r="BL18" i="19"/>
  <c r="BL19" i="19"/>
  <c r="BL20" i="19"/>
  <c r="BL21" i="19"/>
  <c r="BL22" i="19"/>
  <c r="BL23" i="19"/>
  <c r="BL24" i="19"/>
  <c r="BL25" i="19"/>
  <c r="BL26" i="19"/>
  <c r="BL27" i="19"/>
  <c r="BL28" i="19"/>
  <c r="BL29" i="19"/>
  <c r="BL30" i="19"/>
  <c r="BL31" i="19"/>
  <c r="BL32" i="19"/>
  <c r="BL33" i="19"/>
  <c r="BL34" i="19"/>
  <c r="BL35" i="19"/>
  <c r="BL36" i="19"/>
  <c r="BL37" i="19"/>
  <c r="BL38" i="19"/>
  <c r="BL39" i="19"/>
  <c r="BL40" i="19"/>
  <c r="BL41" i="19"/>
  <c r="BL42" i="19"/>
  <c r="BL43" i="19"/>
  <c r="BL44" i="19"/>
  <c r="BL45" i="19"/>
  <c r="BL46" i="19"/>
  <c r="BL47" i="19"/>
  <c r="BL48" i="19"/>
  <c r="BL49" i="19"/>
  <c r="BL50" i="19"/>
  <c r="BL51" i="19"/>
  <c r="BL52" i="19"/>
  <c r="BL53" i="19"/>
  <c r="BL54" i="19"/>
  <c r="BL55" i="19"/>
  <c r="BL56" i="19"/>
  <c r="BL57" i="19"/>
  <c r="BL58" i="19"/>
  <c r="BL59" i="19"/>
  <c r="BL60" i="19"/>
  <c r="BL61" i="19"/>
  <c r="BL62" i="19"/>
  <c r="BL63" i="19"/>
  <c r="BL64" i="19"/>
  <c r="BL65" i="19"/>
  <c r="BL66" i="19"/>
  <c r="BL67" i="19"/>
  <c r="BL68" i="19"/>
  <c r="BL69" i="19"/>
  <c r="BL70" i="19"/>
  <c r="BL71" i="19"/>
  <c r="BL72" i="19"/>
  <c r="BL73" i="19"/>
  <c r="BL74" i="19"/>
  <c r="BL75" i="19"/>
  <c r="BL76" i="19"/>
  <c r="BL77" i="19"/>
  <c r="BL78" i="19"/>
  <c r="BL79" i="19"/>
  <c r="BL80" i="19"/>
  <c r="BL81" i="19"/>
  <c r="BL82" i="19"/>
  <c r="BL83" i="19"/>
  <c r="BL84" i="19"/>
  <c r="BL85" i="19"/>
  <c r="BL86" i="19"/>
  <c r="BL87" i="19"/>
  <c r="BL88" i="19"/>
  <c r="BL89" i="19"/>
  <c r="BL90" i="19"/>
  <c r="BL91" i="19"/>
  <c r="BL92" i="19"/>
  <c r="BL93" i="19"/>
  <c r="BL94" i="19"/>
  <c r="BL95" i="19"/>
  <c r="BL96" i="19"/>
  <c r="BL97" i="19"/>
  <c r="BL98" i="19"/>
  <c r="BL99" i="19"/>
  <c r="BL100" i="19"/>
  <c r="BL101" i="19"/>
  <c r="BL102" i="19"/>
  <c r="BL103" i="19"/>
  <c r="BL104" i="19"/>
  <c r="BL105" i="19"/>
  <c r="BL106" i="19"/>
  <c r="BL107" i="19"/>
  <c r="BL108" i="19"/>
  <c r="BL109" i="19"/>
  <c r="BL6" i="19"/>
  <c r="BI7" i="19"/>
  <c r="BI8" i="19"/>
  <c r="BI9" i="19"/>
  <c r="BI10" i="19"/>
  <c r="BI11" i="19"/>
  <c r="BI12" i="19"/>
  <c r="BI13" i="19"/>
  <c r="BI14" i="19"/>
  <c r="BI15" i="19"/>
  <c r="BI16" i="19"/>
  <c r="BI17" i="19"/>
  <c r="BI18" i="19"/>
  <c r="BI19" i="19"/>
  <c r="BI20" i="19"/>
  <c r="BI21" i="19"/>
  <c r="BI22" i="19"/>
  <c r="BI23" i="19"/>
  <c r="BI24" i="19"/>
  <c r="BI25" i="19"/>
  <c r="BI26" i="19"/>
  <c r="BI27" i="19"/>
  <c r="BI28" i="19"/>
  <c r="BI29" i="19"/>
  <c r="BI30" i="19"/>
  <c r="BI31" i="19"/>
  <c r="BI32" i="19"/>
  <c r="BI33" i="19"/>
  <c r="BI34" i="19"/>
  <c r="BI35" i="19"/>
  <c r="BI36" i="19"/>
  <c r="BI37" i="19"/>
  <c r="BI38" i="19"/>
  <c r="BI39" i="19"/>
  <c r="BI40" i="19"/>
  <c r="BI41" i="19"/>
  <c r="BI42" i="19"/>
  <c r="BI43" i="19"/>
  <c r="BI44" i="19"/>
  <c r="BI45" i="19"/>
  <c r="BI46" i="19"/>
  <c r="BI47" i="19"/>
  <c r="BI48" i="19"/>
  <c r="BI49" i="19"/>
  <c r="BI50" i="19"/>
  <c r="BI51" i="19"/>
  <c r="BI52" i="19"/>
  <c r="BI53" i="19"/>
  <c r="BI54" i="19"/>
  <c r="BI55" i="19"/>
  <c r="BI56" i="19"/>
  <c r="BI57" i="19"/>
  <c r="BI58" i="19"/>
  <c r="BI59" i="19"/>
  <c r="BI60" i="19"/>
  <c r="BI61" i="19"/>
  <c r="BI62" i="19"/>
  <c r="BI63" i="19"/>
  <c r="BI64" i="19"/>
  <c r="BI65" i="19"/>
  <c r="BI66" i="19"/>
  <c r="BI67" i="19"/>
  <c r="BI68" i="19"/>
  <c r="BI69" i="19"/>
  <c r="BI70" i="19"/>
  <c r="BI71" i="19"/>
  <c r="BI72" i="19"/>
  <c r="BI73" i="19"/>
  <c r="BI74" i="19"/>
  <c r="BI75" i="19"/>
  <c r="BI76" i="19"/>
  <c r="BI77" i="19"/>
  <c r="BI78" i="19"/>
  <c r="BI79" i="19"/>
  <c r="BI80" i="19"/>
  <c r="BI81" i="19"/>
  <c r="BI82" i="19"/>
  <c r="BI83" i="19"/>
  <c r="BI84" i="19"/>
  <c r="BI85" i="19"/>
  <c r="BI86" i="19"/>
  <c r="BI87" i="19"/>
  <c r="BI88" i="19"/>
  <c r="BI89" i="19"/>
  <c r="BI90" i="19"/>
  <c r="BI91" i="19"/>
  <c r="BI92" i="19"/>
  <c r="BI93" i="19"/>
  <c r="BI94" i="19"/>
  <c r="BI95" i="19"/>
  <c r="BI96" i="19"/>
  <c r="BI97" i="19"/>
  <c r="BI98" i="19"/>
  <c r="BI99" i="19"/>
  <c r="BI100" i="19"/>
  <c r="BI101" i="19"/>
  <c r="BI102" i="19"/>
  <c r="BI103" i="19"/>
  <c r="BI104" i="19"/>
  <c r="BI105" i="19"/>
  <c r="BI106" i="19"/>
  <c r="BI107" i="19"/>
  <c r="BI108" i="19"/>
  <c r="BI109" i="19"/>
  <c r="BI6" i="19"/>
  <c r="BF7" i="19"/>
  <c r="BF8" i="19"/>
  <c r="BF9" i="19"/>
  <c r="BF10" i="19"/>
  <c r="BF11" i="19"/>
  <c r="BF12" i="19"/>
  <c r="BF13" i="19"/>
  <c r="BF14" i="19"/>
  <c r="BF15" i="19"/>
  <c r="BF16" i="19"/>
  <c r="BF17" i="19"/>
  <c r="BF18" i="19"/>
  <c r="BF19" i="19"/>
  <c r="BF20" i="19"/>
  <c r="BF21" i="19"/>
  <c r="BF22" i="19"/>
  <c r="BF23" i="19"/>
  <c r="BF24" i="19"/>
  <c r="BF25" i="19"/>
  <c r="BF26" i="19"/>
  <c r="BF27" i="19"/>
  <c r="BF28" i="19"/>
  <c r="BF29" i="19"/>
  <c r="BF30" i="19"/>
  <c r="BF31" i="19"/>
  <c r="BF32" i="19"/>
  <c r="BF33" i="19"/>
  <c r="BF34" i="19"/>
  <c r="BF35" i="19"/>
  <c r="BF36" i="19"/>
  <c r="BF37" i="19"/>
  <c r="BF38" i="19"/>
  <c r="BF39" i="19"/>
  <c r="BF40" i="19"/>
  <c r="BF41" i="19"/>
  <c r="BF42" i="19"/>
  <c r="BF43" i="19"/>
  <c r="BF44" i="19"/>
  <c r="BF45" i="19"/>
  <c r="BF46" i="19"/>
  <c r="BF47" i="19"/>
  <c r="BF48" i="19"/>
  <c r="BF49" i="19"/>
  <c r="BF50" i="19"/>
  <c r="BF51" i="19"/>
  <c r="BF52" i="19"/>
  <c r="BF53" i="19"/>
  <c r="BF54" i="19"/>
  <c r="BF55" i="19"/>
  <c r="BF56" i="19"/>
  <c r="BF57" i="19"/>
  <c r="BF58" i="19"/>
  <c r="BF59" i="19"/>
  <c r="BF60" i="19"/>
  <c r="BF61" i="19"/>
  <c r="BF62" i="19"/>
  <c r="BF63" i="19"/>
  <c r="BF64" i="19"/>
  <c r="BF65" i="19"/>
  <c r="BF66" i="19"/>
  <c r="BF67" i="19"/>
  <c r="BF68" i="19"/>
  <c r="BF69" i="19"/>
  <c r="BF70" i="19"/>
  <c r="BF71" i="19"/>
  <c r="BF72" i="19"/>
  <c r="BF73" i="19"/>
  <c r="BF74" i="19"/>
  <c r="BF75" i="19"/>
  <c r="BF76" i="19"/>
  <c r="BF77" i="19"/>
  <c r="BF78" i="19"/>
  <c r="BF79" i="19"/>
  <c r="BF80" i="19"/>
  <c r="BF81" i="19"/>
  <c r="BF82" i="19"/>
  <c r="BF83" i="19"/>
  <c r="BF84" i="19"/>
  <c r="BF85" i="19"/>
  <c r="BF86" i="19"/>
  <c r="BF87" i="19"/>
  <c r="BF88" i="19"/>
  <c r="BF89" i="19"/>
  <c r="BF90" i="19"/>
  <c r="BF91" i="19"/>
  <c r="BF92" i="19"/>
  <c r="BF93" i="19"/>
  <c r="BF94" i="19"/>
  <c r="BF95" i="19"/>
  <c r="BF96" i="19"/>
  <c r="BF97" i="19"/>
  <c r="BF98" i="19"/>
  <c r="BF99" i="19"/>
  <c r="BF100" i="19"/>
  <c r="BF101" i="19"/>
  <c r="BF102" i="19"/>
  <c r="BF103" i="19"/>
  <c r="BF104" i="19"/>
  <c r="BF105" i="19"/>
  <c r="BF106" i="19"/>
  <c r="BF107" i="19"/>
  <c r="BF108" i="19"/>
  <c r="BF109" i="19"/>
  <c r="BF6" i="19"/>
  <c r="BC7" i="19"/>
  <c r="BC8" i="19"/>
  <c r="BC9" i="19"/>
  <c r="BC10" i="19"/>
  <c r="BC11" i="19"/>
  <c r="BC12" i="19"/>
  <c r="BC13" i="19"/>
  <c r="BC14" i="19"/>
  <c r="BC15" i="19"/>
  <c r="BC16" i="19"/>
  <c r="BC17" i="19"/>
  <c r="BC18" i="19"/>
  <c r="BC19" i="19"/>
  <c r="BC20" i="19"/>
  <c r="BC21" i="19"/>
  <c r="BC22" i="19"/>
  <c r="BC23" i="19"/>
  <c r="BC24" i="19"/>
  <c r="BC25" i="19"/>
  <c r="BC26" i="19"/>
  <c r="BC27" i="19"/>
  <c r="BC28" i="19"/>
  <c r="BC29" i="19"/>
  <c r="BC30" i="19"/>
  <c r="BC31" i="19"/>
  <c r="BC32" i="19"/>
  <c r="BC33" i="19"/>
  <c r="BC34" i="19"/>
  <c r="BC35" i="19"/>
  <c r="BC36" i="19"/>
  <c r="BC37" i="19"/>
  <c r="BC38" i="19"/>
  <c r="BC39" i="19"/>
  <c r="BC40" i="19"/>
  <c r="BC41" i="19"/>
  <c r="BC42" i="19"/>
  <c r="BC43" i="19"/>
  <c r="BC44" i="19"/>
  <c r="BC45" i="19"/>
  <c r="BC46" i="19"/>
  <c r="BC47" i="19"/>
  <c r="BC48" i="19"/>
  <c r="BC49" i="19"/>
  <c r="BC50" i="19"/>
  <c r="BC51" i="19"/>
  <c r="BC52" i="19"/>
  <c r="BC53" i="19"/>
  <c r="BC54" i="19"/>
  <c r="BC55" i="19"/>
  <c r="BC56" i="19"/>
  <c r="BC57" i="19"/>
  <c r="BC58" i="19"/>
  <c r="BC59" i="19"/>
  <c r="BC60" i="19"/>
  <c r="BC61" i="19"/>
  <c r="BC62" i="19"/>
  <c r="BC63" i="19"/>
  <c r="BC64" i="19"/>
  <c r="BC65" i="19"/>
  <c r="BC66" i="19"/>
  <c r="BC67" i="19"/>
  <c r="BC68" i="19"/>
  <c r="BC69" i="19"/>
  <c r="BC70" i="19"/>
  <c r="BC71" i="19"/>
  <c r="BC72" i="19"/>
  <c r="BC73" i="19"/>
  <c r="BC74" i="19"/>
  <c r="BC75" i="19"/>
  <c r="BC76" i="19"/>
  <c r="BC77" i="19"/>
  <c r="BC78" i="19"/>
  <c r="BC79" i="19"/>
  <c r="BC80" i="19"/>
  <c r="BC81" i="19"/>
  <c r="BC82" i="19"/>
  <c r="BC83" i="19"/>
  <c r="BC84" i="19"/>
  <c r="BC85" i="19"/>
  <c r="BC86" i="19"/>
  <c r="BC87" i="19"/>
  <c r="BC88" i="19"/>
  <c r="BC89" i="19"/>
  <c r="BC90" i="19"/>
  <c r="BC91" i="19"/>
  <c r="BC92" i="19"/>
  <c r="BC93" i="19"/>
  <c r="BC94" i="19"/>
  <c r="BC95" i="19"/>
  <c r="BC96" i="19"/>
  <c r="BC97" i="19"/>
  <c r="BC98" i="19"/>
  <c r="BC99" i="19"/>
  <c r="BC100" i="19"/>
  <c r="BC101" i="19"/>
  <c r="BC102" i="19"/>
  <c r="BC103" i="19"/>
  <c r="BC104" i="19"/>
  <c r="BC105" i="19"/>
  <c r="BC106" i="19"/>
  <c r="BC107" i="19"/>
  <c r="BC108" i="19"/>
  <c r="BC109" i="19"/>
  <c r="BC6" i="19"/>
  <c r="AZ7" i="19"/>
  <c r="AZ8" i="19"/>
  <c r="AZ9" i="19"/>
  <c r="AZ10" i="19"/>
  <c r="AZ11" i="19"/>
  <c r="AZ12" i="19"/>
  <c r="AZ13" i="19"/>
  <c r="AZ14" i="19"/>
  <c r="AZ15" i="19"/>
  <c r="AZ16" i="19"/>
  <c r="AZ17" i="19"/>
  <c r="AZ18" i="19"/>
  <c r="AZ19" i="19"/>
  <c r="AZ20" i="19"/>
  <c r="AZ21" i="19"/>
  <c r="AZ22" i="19"/>
  <c r="AZ23" i="19"/>
  <c r="AZ24" i="19"/>
  <c r="AZ25" i="19"/>
  <c r="AZ26" i="19"/>
  <c r="AZ27" i="19"/>
  <c r="AZ28" i="19"/>
  <c r="AZ29" i="19"/>
  <c r="AZ30" i="19"/>
  <c r="AZ31" i="19"/>
  <c r="AZ32" i="19"/>
  <c r="AZ33" i="19"/>
  <c r="AZ34" i="19"/>
  <c r="AZ35" i="19"/>
  <c r="AZ36" i="19"/>
  <c r="AZ37" i="19"/>
  <c r="AZ38" i="19"/>
  <c r="AZ39" i="19"/>
  <c r="AZ40" i="19"/>
  <c r="AZ41" i="19"/>
  <c r="AZ42" i="19"/>
  <c r="AZ43" i="19"/>
  <c r="AZ44" i="19"/>
  <c r="AZ45" i="19"/>
  <c r="AZ46" i="19"/>
  <c r="AZ47" i="19"/>
  <c r="AZ48" i="19"/>
  <c r="AZ49" i="19"/>
  <c r="AZ50" i="19"/>
  <c r="AZ51" i="19"/>
  <c r="AZ52" i="19"/>
  <c r="AZ53" i="19"/>
  <c r="AZ54" i="19"/>
  <c r="AZ55" i="19"/>
  <c r="AZ56" i="19"/>
  <c r="AZ57" i="19"/>
  <c r="AZ58" i="19"/>
  <c r="AZ59" i="19"/>
  <c r="AZ60" i="19"/>
  <c r="AZ61" i="19"/>
  <c r="AZ62" i="19"/>
  <c r="AZ63" i="19"/>
  <c r="AZ64" i="19"/>
  <c r="AZ65" i="19"/>
  <c r="AZ66" i="19"/>
  <c r="AZ67" i="19"/>
  <c r="AZ68" i="19"/>
  <c r="AZ69" i="19"/>
  <c r="AZ70" i="19"/>
  <c r="AZ71" i="19"/>
  <c r="AZ72" i="19"/>
  <c r="AZ73" i="19"/>
  <c r="AZ74" i="19"/>
  <c r="AZ75" i="19"/>
  <c r="AZ76" i="19"/>
  <c r="AZ77" i="19"/>
  <c r="AZ78" i="19"/>
  <c r="AZ79" i="19"/>
  <c r="AZ80" i="19"/>
  <c r="AZ81" i="19"/>
  <c r="AZ82" i="19"/>
  <c r="AZ83" i="19"/>
  <c r="AZ84" i="19"/>
  <c r="AZ85" i="19"/>
  <c r="AZ86" i="19"/>
  <c r="AZ87" i="19"/>
  <c r="AZ88" i="19"/>
  <c r="AZ89" i="19"/>
  <c r="AZ90" i="19"/>
  <c r="AZ91" i="19"/>
  <c r="AZ92" i="19"/>
  <c r="AZ93" i="19"/>
  <c r="AZ94" i="19"/>
  <c r="AZ95" i="19"/>
  <c r="AZ96" i="19"/>
  <c r="AZ97" i="19"/>
  <c r="AZ98" i="19"/>
  <c r="AZ99" i="19"/>
  <c r="AZ100" i="19"/>
  <c r="AZ101" i="19"/>
  <c r="AZ102" i="19"/>
  <c r="AZ103" i="19"/>
  <c r="AZ104" i="19"/>
  <c r="AZ105" i="19"/>
  <c r="AZ106" i="19"/>
  <c r="AZ107" i="19"/>
  <c r="AZ108" i="19"/>
  <c r="AZ109" i="19"/>
  <c r="AZ6" i="19"/>
  <c r="AW7" i="19"/>
  <c r="AW8" i="19"/>
  <c r="AW9" i="19"/>
  <c r="AW10" i="19"/>
  <c r="AW11" i="19"/>
  <c r="AW12" i="19"/>
  <c r="AW13" i="19"/>
  <c r="AW14" i="19"/>
  <c r="AW15" i="19"/>
  <c r="AW16" i="19"/>
  <c r="AW17" i="19"/>
  <c r="AW18" i="19"/>
  <c r="AW19" i="19"/>
  <c r="AW20" i="19"/>
  <c r="AW21" i="19"/>
  <c r="AW22" i="19"/>
  <c r="AW23" i="19"/>
  <c r="AW24" i="19"/>
  <c r="AW25" i="19"/>
  <c r="AW26" i="19"/>
  <c r="AW27" i="19"/>
  <c r="AW28" i="19"/>
  <c r="AW29" i="19"/>
  <c r="AW30" i="19"/>
  <c r="AW31" i="19"/>
  <c r="AW32" i="19"/>
  <c r="AW33" i="19"/>
  <c r="AW34" i="19"/>
  <c r="AW35" i="19"/>
  <c r="AW36" i="19"/>
  <c r="AW37" i="19"/>
  <c r="AW38" i="19"/>
  <c r="AW39" i="19"/>
  <c r="AW40" i="19"/>
  <c r="AW41" i="19"/>
  <c r="AW42" i="19"/>
  <c r="AW43" i="19"/>
  <c r="AW44" i="19"/>
  <c r="AW45" i="19"/>
  <c r="AW46" i="19"/>
  <c r="AW47" i="19"/>
  <c r="AW48" i="19"/>
  <c r="AW49" i="19"/>
  <c r="AW50" i="19"/>
  <c r="AW51" i="19"/>
  <c r="AW52" i="19"/>
  <c r="AW53" i="19"/>
  <c r="AW54" i="19"/>
  <c r="AW55" i="19"/>
  <c r="AW56" i="19"/>
  <c r="AW57" i="19"/>
  <c r="AW58" i="19"/>
  <c r="AW59" i="19"/>
  <c r="AW60" i="19"/>
  <c r="AW61" i="19"/>
  <c r="AW62" i="19"/>
  <c r="AW63" i="19"/>
  <c r="AW64" i="19"/>
  <c r="AW65" i="19"/>
  <c r="AW66" i="19"/>
  <c r="AW67" i="19"/>
  <c r="AW68" i="19"/>
  <c r="AW69" i="19"/>
  <c r="AW70" i="19"/>
  <c r="AW71" i="19"/>
  <c r="AW72" i="19"/>
  <c r="AW73" i="19"/>
  <c r="AW74" i="19"/>
  <c r="AW75" i="19"/>
  <c r="AW76" i="19"/>
  <c r="AW77" i="19"/>
  <c r="AW78" i="19"/>
  <c r="AW79" i="19"/>
  <c r="AW80" i="19"/>
  <c r="AW81" i="19"/>
  <c r="AW82" i="19"/>
  <c r="AW83" i="19"/>
  <c r="AW84" i="19"/>
  <c r="AW85" i="19"/>
  <c r="AW86" i="19"/>
  <c r="AW87" i="19"/>
  <c r="AW88" i="19"/>
  <c r="AW89" i="19"/>
  <c r="AW90" i="19"/>
  <c r="AW91" i="19"/>
  <c r="AW92" i="19"/>
  <c r="AW93" i="19"/>
  <c r="AW94" i="19"/>
  <c r="AW95" i="19"/>
  <c r="AW96" i="19"/>
  <c r="AW97" i="19"/>
  <c r="AW98" i="19"/>
  <c r="AW99" i="19"/>
  <c r="AW100" i="19"/>
  <c r="AW101" i="19"/>
  <c r="AW102" i="19"/>
  <c r="AW103" i="19"/>
  <c r="AW104" i="19"/>
  <c r="AW105" i="19"/>
  <c r="AW106" i="19"/>
  <c r="AW107" i="19"/>
  <c r="AW108" i="19"/>
  <c r="AW109" i="19"/>
  <c r="AW6" i="19"/>
  <c r="AT7" i="19"/>
  <c r="AT8" i="19"/>
  <c r="AT9" i="19"/>
  <c r="AT10" i="19"/>
  <c r="AT11" i="19"/>
  <c r="AT12" i="19"/>
  <c r="AT13" i="19"/>
  <c r="AT14" i="19"/>
  <c r="AT15" i="19"/>
  <c r="AT16" i="19"/>
  <c r="AT17" i="19"/>
  <c r="AT18" i="19"/>
  <c r="AT19" i="19"/>
  <c r="AT20" i="19"/>
  <c r="AT21" i="19"/>
  <c r="AT22" i="19"/>
  <c r="AT23" i="19"/>
  <c r="AT24" i="19"/>
  <c r="AT25" i="19"/>
  <c r="AT26" i="19"/>
  <c r="AT27" i="19"/>
  <c r="AT28" i="19"/>
  <c r="AT29" i="19"/>
  <c r="AT30" i="19"/>
  <c r="AT31" i="19"/>
  <c r="AT32" i="19"/>
  <c r="AT33" i="19"/>
  <c r="AT34" i="19"/>
  <c r="AT35" i="19"/>
  <c r="AT36" i="19"/>
  <c r="AT37" i="19"/>
  <c r="AT38" i="19"/>
  <c r="AT39" i="19"/>
  <c r="AT40" i="19"/>
  <c r="AT41" i="19"/>
  <c r="AT42" i="19"/>
  <c r="AT43" i="19"/>
  <c r="AT44" i="19"/>
  <c r="AT45" i="19"/>
  <c r="AT46" i="19"/>
  <c r="AT47" i="19"/>
  <c r="AT48" i="19"/>
  <c r="AT49" i="19"/>
  <c r="AT50" i="19"/>
  <c r="AT51" i="19"/>
  <c r="AT52" i="19"/>
  <c r="AT53" i="19"/>
  <c r="AT54" i="19"/>
  <c r="AT55" i="19"/>
  <c r="AT56" i="19"/>
  <c r="AT57" i="19"/>
  <c r="AT58" i="19"/>
  <c r="AT59" i="19"/>
  <c r="AT60" i="19"/>
  <c r="AT61" i="19"/>
  <c r="AT62" i="19"/>
  <c r="AT63" i="19"/>
  <c r="AT64" i="19"/>
  <c r="AT65" i="19"/>
  <c r="AT66" i="19"/>
  <c r="AT67" i="19"/>
  <c r="AT68" i="19"/>
  <c r="AT69" i="19"/>
  <c r="AT70" i="19"/>
  <c r="AT71" i="19"/>
  <c r="AT72" i="19"/>
  <c r="AT73" i="19"/>
  <c r="AT74" i="19"/>
  <c r="AT75" i="19"/>
  <c r="AT76" i="19"/>
  <c r="AT77" i="19"/>
  <c r="AT78" i="19"/>
  <c r="AT79" i="19"/>
  <c r="AT80" i="19"/>
  <c r="AT81" i="19"/>
  <c r="AT82" i="19"/>
  <c r="AT83" i="19"/>
  <c r="AT84" i="19"/>
  <c r="AT85" i="19"/>
  <c r="AT86" i="19"/>
  <c r="AT87" i="19"/>
  <c r="AT88" i="19"/>
  <c r="AT89" i="19"/>
  <c r="AT90" i="19"/>
  <c r="AT91" i="19"/>
  <c r="AT92" i="19"/>
  <c r="AT93" i="19"/>
  <c r="AT94" i="19"/>
  <c r="AT95" i="19"/>
  <c r="AT96" i="19"/>
  <c r="AT97" i="19"/>
  <c r="AT98" i="19"/>
  <c r="AT99" i="19"/>
  <c r="AT100" i="19"/>
  <c r="AT101" i="19"/>
  <c r="AT102" i="19"/>
  <c r="AT103" i="19"/>
  <c r="AT104" i="19"/>
  <c r="AT105" i="19"/>
  <c r="AT106" i="19"/>
  <c r="AT107" i="19"/>
  <c r="AT108" i="19"/>
  <c r="AT109" i="19"/>
  <c r="AT6" i="19"/>
  <c r="AN7" i="19"/>
  <c r="AN8" i="19"/>
  <c r="AN9" i="19"/>
  <c r="AN10" i="19"/>
  <c r="AN11" i="19"/>
  <c r="AN12" i="19"/>
  <c r="AN13" i="19"/>
  <c r="AN14" i="19"/>
  <c r="AN15" i="19"/>
  <c r="AN16" i="19"/>
  <c r="AN17" i="19"/>
  <c r="AN18" i="19"/>
  <c r="AN19" i="19"/>
  <c r="AN20" i="19"/>
  <c r="AN21" i="19"/>
  <c r="AN22" i="19"/>
  <c r="AN23" i="19"/>
  <c r="AN24" i="19"/>
  <c r="AN25" i="19"/>
  <c r="AN26" i="19"/>
  <c r="AN27" i="19"/>
  <c r="AN28" i="19"/>
  <c r="AN29" i="19"/>
  <c r="AN30" i="19"/>
  <c r="AN31" i="19"/>
  <c r="AN32" i="19"/>
  <c r="AN33" i="19"/>
  <c r="AN34" i="19"/>
  <c r="AN35" i="19"/>
  <c r="AN36" i="19"/>
  <c r="AN37" i="19"/>
  <c r="AN38" i="19"/>
  <c r="AN39" i="19"/>
  <c r="AN40" i="19"/>
  <c r="AN41" i="19"/>
  <c r="AN42" i="19"/>
  <c r="AN43" i="19"/>
  <c r="AN44" i="19"/>
  <c r="AN45" i="19"/>
  <c r="AN46" i="19"/>
  <c r="AN47" i="19"/>
  <c r="AN48" i="19"/>
  <c r="AN49" i="19"/>
  <c r="AN50" i="19"/>
  <c r="AN51" i="19"/>
  <c r="AN52" i="19"/>
  <c r="AN53" i="19"/>
  <c r="AN54" i="19"/>
  <c r="AN55" i="19"/>
  <c r="AN56" i="19"/>
  <c r="AN57" i="19"/>
  <c r="AN58" i="19"/>
  <c r="AN59" i="19"/>
  <c r="AN60" i="19"/>
  <c r="AN61" i="19"/>
  <c r="AN62" i="19"/>
  <c r="AN63" i="19"/>
  <c r="AN64" i="19"/>
  <c r="AN65" i="19"/>
  <c r="AN66" i="19"/>
  <c r="AN67" i="19"/>
  <c r="AN68" i="19"/>
  <c r="AN69" i="19"/>
  <c r="AN70" i="19"/>
  <c r="AN71" i="19"/>
  <c r="AN72" i="19"/>
  <c r="AN73" i="19"/>
  <c r="AN74" i="19"/>
  <c r="AN75" i="19"/>
  <c r="AN76" i="19"/>
  <c r="AN77" i="19"/>
  <c r="AN78" i="19"/>
  <c r="AN79" i="19"/>
  <c r="AN80" i="19"/>
  <c r="AN81" i="19"/>
  <c r="AN82" i="19"/>
  <c r="AN83" i="19"/>
  <c r="AN84" i="19"/>
  <c r="AN85" i="19"/>
  <c r="AN86" i="19"/>
  <c r="AN87" i="19"/>
  <c r="AN88" i="19"/>
  <c r="AN89" i="19"/>
  <c r="AN90" i="19"/>
  <c r="AN91" i="19"/>
  <c r="AN92" i="19"/>
  <c r="AN93" i="19"/>
  <c r="AN94" i="19"/>
  <c r="AN95" i="19"/>
  <c r="AN96" i="19"/>
  <c r="AN97" i="19"/>
  <c r="AN98" i="19"/>
  <c r="AN99" i="19"/>
  <c r="AN100" i="19"/>
  <c r="AN101" i="19"/>
  <c r="AN102" i="19"/>
  <c r="AN103" i="19"/>
  <c r="AN104" i="19"/>
  <c r="AN105" i="19"/>
  <c r="AN106" i="19"/>
  <c r="AN107" i="19"/>
  <c r="AN108" i="19"/>
  <c r="AN109" i="19"/>
  <c r="AN6" i="19"/>
  <c r="AK7" i="19"/>
  <c r="AK8" i="19"/>
  <c r="AK9" i="19"/>
  <c r="AK10" i="19"/>
  <c r="AK11" i="19"/>
  <c r="AK12" i="19"/>
  <c r="AK13" i="19"/>
  <c r="AK14" i="19"/>
  <c r="AK15" i="19"/>
  <c r="AK16" i="19"/>
  <c r="AK17" i="19"/>
  <c r="AK18" i="19"/>
  <c r="AK19" i="19"/>
  <c r="AK20" i="19"/>
  <c r="AK21" i="19"/>
  <c r="AK22" i="19"/>
  <c r="AK23" i="19"/>
  <c r="AK24" i="19"/>
  <c r="AK25" i="19"/>
  <c r="AK26" i="19"/>
  <c r="AK27" i="19"/>
  <c r="AK28" i="19"/>
  <c r="AK29" i="19"/>
  <c r="AK30" i="19"/>
  <c r="AK31" i="19"/>
  <c r="AK32" i="19"/>
  <c r="AK33" i="19"/>
  <c r="AK34" i="19"/>
  <c r="AK35" i="19"/>
  <c r="AK36" i="19"/>
  <c r="AK37" i="19"/>
  <c r="AK38" i="19"/>
  <c r="AK39" i="19"/>
  <c r="AK40" i="19"/>
  <c r="AK41" i="19"/>
  <c r="AK42" i="19"/>
  <c r="AK43" i="19"/>
  <c r="AK44" i="19"/>
  <c r="AK45" i="19"/>
  <c r="AK46" i="19"/>
  <c r="AK47" i="19"/>
  <c r="AK48" i="19"/>
  <c r="AK49" i="19"/>
  <c r="AK50" i="19"/>
  <c r="AK51" i="19"/>
  <c r="AK52" i="19"/>
  <c r="AK53" i="19"/>
  <c r="AK54" i="19"/>
  <c r="AK55" i="19"/>
  <c r="AK56" i="19"/>
  <c r="AK57" i="19"/>
  <c r="AK58" i="19"/>
  <c r="AK59" i="19"/>
  <c r="AK60" i="19"/>
  <c r="AK61" i="19"/>
  <c r="AK62" i="19"/>
  <c r="AK63" i="19"/>
  <c r="AK64" i="19"/>
  <c r="AK65" i="19"/>
  <c r="AK66" i="19"/>
  <c r="AK67" i="19"/>
  <c r="AK68" i="19"/>
  <c r="AK69" i="19"/>
  <c r="AK70" i="19"/>
  <c r="AK71" i="19"/>
  <c r="AK72" i="19"/>
  <c r="AK73" i="19"/>
  <c r="AK74" i="19"/>
  <c r="AK75" i="19"/>
  <c r="AK76" i="19"/>
  <c r="AK77" i="19"/>
  <c r="AK78" i="19"/>
  <c r="AK79" i="19"/>
  <c r="AK80" i="19"/>
  <c r="AK81" i="19"/>
  <c r="AK82" i="19"/>
  <c r="AK83" i="19"/>
  <c r="AK84" i="19"/>
  <c r="AK85" i="19"/>
  <c r="AK86" i="19"/>
  <c r="AK87" i="19"/>
  <c r="AK88" i="19"/>
  <c r="AK89" i="19"/>
  <c r="AK90" i="19"/>
  <c r="AK91" i="19"/>
  <c r="AK92" i="19"/>
  <c r="AK93" i="19"/>
  <c r="AK94" i="19"/>
  <c r="AK95" i="19"/>
  <c r="AK96" i="19"/>
  <c r="AK97" i="19"/>
  <c r="AK98" i="19"/>
  <c r="AK99" i="19"/>
  <c r="AK100" i="19"/>
  <c r="AK101" i="19"/>
  <c r="AK102" i="19"/>
  <c r="AK103" i="19"/>
  <c r="AK104" i="19"/>
  <c r="AK105" i="19"/>
  <c r="AK106" i="19"/>
  <c r="AK107" i="19"/>
  <c r="AK108" i="19"/>
  <c r="AK109" i="19"/>
  <c r="AK6" i="19"/>
  <c r="AH7" i="19"/>
  <c r="AH8" i="19"/>
  <c r="AH9" i="19"/>
  <c r="AH10" i="19"/>
  <c r="AH11" i="19"/>
  <c r="AH12" i="19"/>
  <c r="AH13" i="19"/>
  <c r="AH14" i="19"/>
  <c r="AH15" i="19"/>
  <c r="AH16" i="19"/>
  <c r="AH17" i="19"/>
  <c r="AH18" i="19"/>
  <c r="AH19" i="19"/>
  <c r="AH20" i="19"/>
  <c r="AH21" i="19"/>
  <c r="AH22" i="19"/>
  <c r="AH23" i="19"/>
  <c r="AH24" i="19"/>
  <c r="AH25" i="19"/>
  <c r="AH26" i="19"/>
  <c r="AH27" i="19"/>
  <c r="AH28" i="19"/>
  <c r="AH29" i="19"/>
  <c r="AH30" i="19"/>
  <c r="AH31" i="19"/>
  <c r="AH32" i="19"/>
  <c r="AH33" i="19"/>
  <c r="AH34" i="19"/>
  <c r="AH35" i="19"/>
  <c r="AH36" i="19"/>
  <c r="AH37" i="19"/>
  <c r="AH38" i="19"/>
  <c r="AH39" i="19"/>
  <c r="AH40" i="19"/>
  <c r="AH41" i="19"/>
  <c r="AH42" i="19"/>
  <c r="AH43" i="19"/>
  <c r="AH44" i="19"/>
  <c r="AH45" i="19"/>
  <c r="AH46" i="19"/>
  <c r="AH47" i="19"/>
  <c r="AH48" i="19"/>
  <c r="AH49" i="19"/>
  <c r="AH50" i="19"/>
  <c r="AH51" i="19"/>
  <c r="AH52" i="19"/>
  <c r="AH53" i="19"/>
  <c r="AH54" i="19"/>
  <c r="AH55" i="19"/>
  <c r="AH56" i="19"/>
  <c r="AH57" i="19"/>
  <c r="AH58" i="19"/>
  <c r="AH59" i="19"/>
  <c r="AH60" i="19"/>
  <c r="AH61" i="19"/>
  <c r="AH62" i="19"/>
  <c r="AH63" i="19"/>
  <c r="AH64" i="19"/>
  <c r="AH65" i="19"/>
  <c r="AH66" i="19"/>
  <c r="AH67" i="19"/>
  <c r="AH68" i="19"/>
  <c r="AH69" i="19"/>
  <c r="AH70" i="19"/>
  <c r="AH71" i="19"/>
  <c r="AH72" i="19"/>
  <c r="AH73" i="19"/>
  <c r="AH74" i="19"/>
  <c r="AH75" i="19"/>
  <c r="AH76" i="19"/>
  <c r="AH77" i="19"/>
  <c r="AH78" i="19"/>
  <c r="AH79" i="19"/>
  <c r="AH80" i="19"/>
  <c r="AH81" i="19"/>
  <c r="AH82" i="19"/>
  <c r="AH83" i="19"/>
  <c r="AH84" i="19"/>
  <c r="AH85" i="19"/>
  <c r="AH86" i="19"/>
  <c r="AH87" i="19"/>
  <c r="AH88" i="19"/>
  <c r="AH89" i="19"/>
  <c r="AH90" i="19"/>
  <c r="AH91" i="19"/>
  <c r="AH92" i="19"/>
  <c r="AH93" i="19"/>
  <c r="AH94" i="19"/>
  <c r="AH95" i="19"/>
  <c r="AH96" i="19"/>
  <c r="AH97" i="19"/>
  <c r="AH98" i="19"/>
  <c r="AH99" i="19"/>
  <c r="AH100" i="19"/>
  <c r="AH101" i="19"/>
  <c r="AH102" i="19"/>
  <c r="AH103" i="19"/>
  <c r="AH104" i="19"/>
  <c r="AH105" i="19"/>
  <c r="AH106" i="19"/>
  <c r="AH107" i="19"/>
  <c r="AH108" i="19"/>
  <c r="AH109" i="19"/>
  <c r="AH6" i="19"/>
  <c r="AE7" i="19"/>
  <c r="AE8" i="19"/>
  <c r="AE9" i="19"/>
  <c r="AE10" i="19"/>
  <c r="AE11" i="19"/>
  <c r="AE12" i="19"/>
  <c r="AE13" i="19"/>
  <c r="AE14" i="19"/>
  <c r="AE15" i="19"/>
  <c r="AE16" i="19"/>
  <c r="AE17" i="19"/>
  <c r="AE18" i="19"/>
  <c r="AE19" i="19"/>
  <c r="AE20" i="19"/>
  <c r="AE21" i="19"/>
  <c r="AE22" i="19"/>
  <c r="AE23" i="19"/>
  <c r="AE24" i="19"/>
  <c r="AE25" i="19"/>
  <c r="AE26" i="19"/>
  <c r="AE27" i="19"/>
  <c r="AE28" i="19"/>
  <c r="AE29" i="19"/>
  <c r="AE30" i="19"/>
  <c r="AE31" i="19"/>
  <c r="AE32" i="19"/>
  <c r="AE33" i="19"/>
  <c r="AE34" i="19"/>
  <c r="AE35" i="19"/>
  <c r="AE36" i="19"/>
  <c r="AE37" i="19"/>
  <c r="AE38" i="19"/>
  <c r="AE39" i="19"/>
  <c r="AE40" i="19"/>
  <c r="AE41" i="19"/>
  <c r="AE42" i="19"/>
  <c r="AE43" i="19"/>
  <c r="AE44" i="19"/>
  <c r="AE45" i="19"/>
  <c r="AE46" i="19"/>
  <c r="AE47" i="19"/>
  <c r="AE48" i="19"/>
  <c r="AE49" i="19"/>
  <c r="AE50" i="19"/>
  <c r="AE51" i="19"/>
  <c r="AE52" i="19"/>
  <c r="AE53" i="19"/>
  <c r="AE54" i="19"/>
  <c r="AE55" i="19"/>
  <c r="AE56" i="19"/>
  <c r="AE57" i="19"/>
  <c r="AE58" i="19"/>
  <c r="AE59" i="19"/>
  <c r="AE60" i="19"/>
  <c r="AE61" i="19"/>
  <c r="AE62" i="19"/>
  <c r="AE63" i="19"/>
  <c r="AE64" i="19"/>
  <c r="AE65" i="19"/>
  <c r="AE66" i="19"/>
  <c r="AE67" i="19"/>
  <c r="AE68" i="19"/>
  <c r="AE69" i="19"/>
  <c r="AE70" i="19"/>
  <c r="AE71" i="19"/>
  <c r="AE72" i="19"/>
  <c r="AE73" i="19"/>
  <c r="AE74" i="19"/>
  <c r="AE75" i="19"/>
  <c r="AE76" i="19"/>
  <c r="AE77" i="19"/>
  <c r="AE78" i="19"/>
  <c r="AE79" i="19"/>
  <c r="AE80" i="19"/>
  <c r="AE81" i="19"/>
  <c r="AE82" i="19"/>
  <c r="AE83" i="19"/>
  <c r="AE84" i="19"/>
  <c r="AE85" i="19"/>
  <c r="AE86" i="19"/>
  <c r="AE87" i="19"/>
  <c r="AE88" i="19"/>
  <c r="AE89" i="19"/>
  <c r="AE90" i="19"/>
  <c r="AE91" i="19"/>
  <c r="AE92" i="19"/>
  <c r="AE93" i="19"/>
  <c r="AE94" i="19"/>
  <c r="AE95" i="19"/>
  <c r="AE96" i="19"/>
  <c r="AE97" i="19"/>
  <c r="AE98" i="19"/>
  <c r="AE99" i="19"/>
  <c r="AE100" i="19"/>
  <c r="AE101" i="19"/>
  <c r="AE102" i="19"/>
  <c r="AE103" i="19"/>
  <c r="AE104" i="19"/>
  <c r="AE105" i="19"/>
  <c r="AE106" i="19"/>
  <c r="AE107" i="19"/>
  <c r="AE108" i="19"/>
  <c r="AE109" i="19"/>
  <c r="AE6" i="19"/>
  <c r="AB7" i="19"/>
  <c r="AB8" i="19"/>
  <c r="AB9" i="19"/>
  <c r="AB10" i="19"/>
  <c r="AB11" i="19"/>
  <c r="AB12" i="19"/>
  <c r="AB13" i="19"/>
  <c r="AB14" i="19"/>
  <c r="AB15" i="19"/>
  <c r="AB16" i="19"/>
  <c r="AB17" i="19"/>
  <c r="AB18" i="19"/>
  <c r="AB19" i="19"/>
  <c r="AB20" i="19"/>
  <c r="AB21" i="19"/>
  <c r="AB22" i="19"/>
  <c r="AB23" i="19"/>
  <c r="AB24" i="19"/>
  <c r="AB25" i="19"/>
  <c r="AB26" i="19"/>
  <c r="AB27" i="19"/>
  <c r="AB28" i="19"/>
  <c r="AB29" i="19"/>
  <c r="AB30" i="19"/>
  <c r="AB31" i="19"/>
  <c r="AB32" i="19"/>
  <c r="AB33" i="19"/>
  <c r="AB34" i="19"/>
  <c r="AB35" i="19"/>
  <c r="AB36" i="19"/>
  <c r="AB37" i="19"/>
  <c r="AB38" i="19"/>
  <c r="AB39" i="19"/>
  <c r="AB40" i="19"/>
  <c r="AB41" i="19"/>
  <c r="AB42" i="19"/>
  <c r="AB43" i="19"/>
  <c r="AB44" i="19"/>
  <c r="AB45" i="19"/>
  <c r="AB46" i="19"/>
  <c r="AB47" i="19"/>
  <c r="AB48" i="19"/>
  <c r="AB49" i="19"/>
  <c r="AB50" i="19"/>
  <c r="AB51" i="19"/>
  <c r="AB52" i="19"/>
  <c r="AB53" i="19"/>
  <c r="AB54" i="19"/>
  <c r="AB55" i="19"/>
  <c r="AB56" i="19"/>
  <c r="AB57" i="19"/>
  <c r="AB58" i="19"/>
  <c r="AB59" i="19"/>
  <c r="AB60" i="19"/>
  <c r="AB61" i="19"/>
  <c r="AB62" i="19"/>
  <c r="AB63" i="19"/>
  <c r="AB64" i="19"/>
  <c r="AB65" i="19"/>
  <c r="AB66" i="19"/>
  <c r="AB67" i="19"/>
  <c r="AB68" i="19"/>
  <c r="AB69" i="19"/>
  <c r="AB70" i="19"/>
  <c r="AB71" i="19"/>
  <c r="AB72" i="19"/>
  <c r="AB73" i="19"/>
  <c r="AB74" i="19"/>
  <c r="AB75" i="19"/>
  <c r="AB76" i="19"/>
  <c r="AB77" i="19"/>
  <c r="AB78" i="19"/>
  <c r="AB79" i="19"/>
  <c r="AB80" i="19"/>
  <c r="AB81" i="19"/>
  <c r="AB82" i="19"/>
  <c r="AB83" i="19"/>
  <c r="AB84" i="19"/>
  <c r="AB85" i="19"/>
  <c r="AB86" i="19"/>
  <c r="AB87" i="19"/>
  <c r="AB88" i="19"/>
  <c r="AB89" i="19"/>
  <c r="AB90" i="19"/>
  <c r="AB91" i="19"/>
  <c r="AB92" i="19"/>
  <c r="AB93" i="19"/>
  <c r="AB94" i="19"/>
  <c r="AB95" i="19"/>
  <c r="AB96" i="19"/>
  <c r="AB97" i="19"/>
  <c r="AB98" i="19"/>
  <c r="AB99" i="19"/>
  <c r="AB100" i="19"/>
  <c r="AB101" i="19"/>
  <c r="AB102" i="19"/>
  <c r="AB103" i="19"/>
  <c r="AB104" i="19"/>
  <c r="AB105" i="19"/>
  <c r="AB106" i="19"/>
  <c r="AB107" i="19"/>
  <c r="AB108" i="19"/>
  <c r="AB109" i="19"/>
  <c r="AB6" i="19"/>
  <c r="Y7" i="19"/>
  <c r="Y8" i="19"/>
  <c r="Y9" i="19"/>
  <c r="Y10" i="19"/>
  <c r="Y11" i="19"/>
  <c r="Y12" i="19"/>
  <c r="Y13" i="19"/>
  <c r="Y14" i="19"/>
  <c r="Y15" i="19"/>
  <c r="Y16" i="19"/>
  <c r="Y17" i="19"/>
  <c r="Y18" i="19"/>
  <c r="Y19" i="19"/>
  <c r="Y20" i="19"/>
  <c r="Y21" i="19"/>
  <c r="Y22" i="19"/>
  <c r="Y23" i="19"/>
  <c r="Y24" i="19"/>
  <c r="Y25" i="19"/>
  <c r="Y26" i="19"/>
  <c r="Y27" i="19"/>
  <c r="Y28" i="19"/>
  <c r="Y29" i="19"/>
  <c r="Y30" i="19"/>
  <c r="Y31" i="19"/>
  <c r="Y32" i="19"/>
  <c r="Y33" i="19"/>
  <c r="Y34" i="19"/>
  <c r="Y35" i="19"/>
  <c r="Y36" i="19"/>
  <c r="Y37" i="19"/>
  <c r="Y38" i="19"/>
  <c r="Y39" i="19"/>
  <c r="Y40" i="19"/>
  <c r="Y41" i="19"/>
  <c r="Y42" i="19"/>
  <c r="Y43" i="19"/>
  <c r="Y44" i="19"/>
  <c r="Y45" i="19"/>
  <c r="Y46" i="19"/>
  <c r="Y47" i="19"/>
  <c r="Y48" i="19"/>
  <c r="Y49" i="19"/>
  <c r="Y50" i="19"/>
  <c r="Y51" i="19"/>
  <c r="Y52" i="19"/>
  <c r="Y53" i="19"/>
  <c r="Y54" i="19"/>
  <c r="Y55" i="19"/>
  <c r="Y56" i="19"/>
  <c r="Y57" i="19"/>
  <c r="Y58" i="19"/>
  <c r="Y59" i="19"/>
  <c r="Y60" i="19"/>
  <c r="Y61" i="19"/>
  <c r="Y62" i="19"/>
  <c r="Y63" i="19"/>
  <c r="Y64" i="19"/>
  <c r="Y65" i="19"/>
  <c r="Y66" i="19"/>
  <c r="Y67" i="19"/>
  <c r="Y68" i="19"/>
  <c r="Y69" i="19"/>
  <c r="Y70" i="19"/>
  <c r="Y71" i="19"/>
  <c r="Y72" i="19"/>
  <c r="Y73" i="19"/>
  <c r="Y74" i="19"/>
  <c r="Y75" i="19"/>
  <c r="Y76" i="19"/>
  <c r="Y77" i="19"/>
  <c r="Y78" i="19"/>
  <c r="Y79" i="19"/>
  <c r="Y80" i="19"/>
  <c r="Y81" i="19"/>
  <c r="Y82" i="19"/>
  <c r="Y83" i="19"/>
  <c r="Y84" i="19"/>
  <c r="Y85" i="19"/>
  <c r="Y86" i="19"/>
  <c r="Y87" i="19"/>
  <c r="Y88" i="19"/>
  <c r="Y89" i="19"/>
  <c r="Y90" i="19"/>
  <c r="Y91" i="19"/>
  <c r="Y92" i="19"/>
  <c r="Y93" i="19"/>
  <c r="Y94" i="19"/>
  <c r="Y95" i="19"/>
  <c r="Y96" i="19"/>
  <c r="Y97" i="19"/>
  <c r="Y98" i="19"/>
  <c r="Y99" i="19"/>
  <c r="Y100" i="19"/>
  <c r="Y101" i="19"/>
  <c r="Y102" i="19"/>
  <c r="Y103" i="19"/>
  <c r="Y104" i="19"/>
  <c r="Y105" i="19"/>
  <c r="Y106" i="19"/>
  <c r="Y107" i="19"/>
  <c r="Y108" i="19"/>
  <c r="Y109" i="19"/>
  <c r="Y6" i="19"/>
  <c r="V7" i="19"/>
  <c r="V8" i="19"/>
  <c r="V9" i="19"/>
  <c r="V10" i="19"/>
  <c r="V11" i="19"/>
  <c r="V12" i="19"/>
  <c r="V13" i="19"/>
  <c r="V14" i="19"/>
  <c r="V15" i="19"/>
  <c r="V16" i="19"/>
  <c r="V17" i="19"/>
  <c r="V18" i="19"/>
  <c r="V19" i="19"/>
  <c r="V20" i="19"/>
  <c r="V21" i="19"/>
  <c r="V22" i="19"/>
  <c r="V23" i="19"/>
  <c r="V24" i="19"/>
  <c r="V25" i="19"/>
  <c r="V26" i="19"/>
  <c r="V27" i="19"/>
  <c r="V28" i="19"/>
  <c r="V29" i="19"/>
  <c r="V30" i="19"/>
  <c r="V31" i="19"/>
  <c r="V32" i="19"/>
  <c r="V33" i="19"/>
  <c r="V34" i="19"/>
  <c r="V35" i="19"/>
  <c r="V36" i="19"/>
  <c r="V37" i="19"/>
  <c r="V38" i="19"/>
  <c r="V39" i="19"/>
  <c r="V40" i="19"/>
  <c r="V41" i="19"/>
  <c r="V42" i="19"/>
  <c r="V43" i="19"/>
  <c r="V44" i="19"/>
  <c r="V45" i="19"/>
  <c r="V46" i="19"/>
  <c r="V47" i="19"/>
  <c r="V48" i="19"/>
  <c r="V49" i="19"/>
  <c r="V50" i="19"/>
  <c r="V51" i="19"/>
  <c r="V52" i="19"/>
  <c r="V53" i="19"/>
  <c r="V54" i="19"/>
  <c r="V55" i="19"/>
  <c r="V56" i="19"/>
  <c r="V57" i="19"/>
  <c r="V58" i="19"/>
  <c r="V59" i="19"/>
  <c r="V60" i="19"/>
  <c r="V61" i="19"/>
  <c r="V62" i="19"/>
  <c r="V63" i="19"/>
  <c r="V64" i="19"/>
  <c r="V65" i="19"/>
  <c r="V66" i="19"/>
  <c r="V67" i="19"/>
  <c r="V68" i="19"/>
  <c r="V69" i="19"/>
  <c r="V70" i="19"/>
  <c r="V71" i="19"/>
  <c r="V72" i="19"/>
  <c r="V73" i="19"/>
  <c r="V74" i="19"/>
  <c r="V75" i="19"/>
  <c r="V76" i="19"/>
  <c r="V77" i="19"/>
  <c r="V78" i="19"/>
  <c r="V79" i="19"/>
  <c r="V80" i="19"/>
  <c r="V81" i="19"/>
  <c r="V82" i="19"/>
  <c r="V83" i="19"/>
  <c r="V84" i="19"/>
  <c r="V85" i="19"/>
  <c r="V86" i="19"/>
  <c r="V87" i="19"/>
  <c r="V88" i="19"/>
  <c r="V89" i="19"/>
  <c r="V90" i="19"/>
  <c r="V91" i="19"/>
  <c r="V92" i="19"/>
  <c r="V93" i="19"/>
  <c r="V94" i="19"/>
  <c r="V95" i="19"/>
  <c r="V96" i="19"/>
  <c r="V97" i="19"/>
  <c r="V98" i="19"/>
  <c r="V99" i="19"/>
  <c r="V100" i="19"/>
  <c r="V101" i="19"/>
  <c r="V102" i="19"/>
  <c r="V103" i="19"/>
  <c r="V104" i="19"/>
  <c r="V105" i="19"/>
  <c r="V106" i="19"/>
  <c r="V107" i="19"/>
  <c r="V108" i="19"/>
  <c r="V109" i="19"/>
  <c r="V6" i="19"/>
  <c r="S7" i="19"/>
  <c r="S8" i="19"/>
  <c r="S9" i="19"/>
  <c r="S10" i="19"/>
  <c r="S11" i="19"/>
  <c r="S12" i="19"/>
  <c r="S13" i="19"/>
  <c r="S14" i="19"/>
  <c r="S15" i="19"/>
  <c r="S16" i="19"/>
  <c r="S17" i="19"/>
  <c r="S18" i="19"/>
  <c r="S19" i="19"/>
  <c r="S20" i="19"/>
  <c r="S21" i="19"/>
  <c r="S22" i="19"/>
  <c r="S23" i="19"/>
  <c r="S24" i="19"/>
  <c r="S25" i="19"/>
  <c r="S26" i="19"/>
  <c r="S27" i="19"/>
  <c r="S28" i="19"/>
  <c r="S29" i="19"/>
  <c r="S30" i="19"/>
  <c r="S31" i="19"/>
  <c r="S32" i="19"/>
  <c r="S33" i="19"/>
  <c r="S34" i="19"/>
  <c r="S35" i="19"/>
  <c r="S36" i="19"/>
  <c r="S37" i="19"/>
  <c r="S38" i="19"/>
  <c r="S39" i="19"/>
  <c r="S40" i="19"/>
  <c r="S41" i="19"/>
  <c r="S42" i="19"/>
  <c r="S43" i="19"/>
  <c r="S44" i="19"/>
  <c r="S45" i="19"/>
  <c r="S46" i="19"/>
  <c r="S47" i="19"/>
  <c r="S48" i="19"/>
  <c r="S49" i="19"/>
  <c r="S50" i="19"/>
  <c r="S51" i="19"/>
  <c r="S52" i="19"/>
  <c r="S53" i="19"/>
  <c r="S54" i="19"/>
  <c r="S55" i="19"/>
  <c r="S56" i="19"/>
  <c r="S57" i="19"/>
  <c r="S58" i="19"/>
  <c r="S59" i="19"/>
  <c r="S60" i="19"/>
  <c r="S61" i="19"/>
  <c r="S62" i="19"/>
  <c r="S63" i="19"/>
  <c r="S64" i="19"/>
  <c r="S65" i="19"/>
  <c r="S66" i="19"/>
  <c r="S67" i="19"/>
  <c r="S68" i="19"/>
  <c r="S69" i="19"/>
  <c r="S70" i="19"/>
  <c r="S71" i="19"/>
  <c r="S72" i="19"/>
  <c r="S73" i="19"/>
  <c r="S74" i="19"/>
  <c r="S75" i="19"/>
  <c r="S76" i="19"/>
  <c r="S77" i="19"/>
  <c r="S78" i="19"/>
  <c r="S79" i="19"/>
  <c r="S80" i="19"/>
  <c r="S81" i="19"/>
  <c r="S82" i="19"/>
  <c r="S83" i="19"/>
  <c r="S84" i="19"/>
  <c r="S85" i="19"/>
  <c r="S86" i="19"/>
  <c r="S87" i="19"/>
  <c r="S88" i="19"/>
  <c r="S89" i="19"/>
  <c r="S90" i="19"/>
  <c r="S91" i="19"/>
  <c r="S92" i="19"/>
  <c r="S93" i="19"/>
  <c r="S94" i="19"/>
  <c r="S95" i="19"/>
  <c r="S96" i="19"/>
  <c r="S97" i="19"/>
  <c r="S98" i="19"/>
  <c r="S99" i="19"/>
  <c r="S100" i="19"/>
  <c r="S101" i="19"/>
  <c r="S102" i="19"/>
  <c r="S103" i="19"/>
  <c r="S104" i="19"/>
  <c r="S105" i="19"/>
  <c r="S106" i="19"/>
  <c r="S107" i="19"/>
  <c r="S108" i="19"/>
  <c r="S109" i="19"/>
  <c r="S6" i="19"/>
  <c r="P7" i="19"/>
  <c r="P8" i="19"/>
  <c r="P9" i="19"/>
  <c r="P10" i="19"/>
  <c r="P11" i="19"/>
  <c r="P12" i="19"/>
  <c r="P13" i="19"/>
  <c r="P14" i="19"/>
  <c r="P15" i="19"/>
  <c r="P16" i="19"/>
  <c r="P17" i="19"/>
  <c r="P18" i="19"/>
  <c r="P19" i="19"/>
  <c r="P20" i="19"/>
  <c r="P21" i="19"/>
  <c r="P22" i="19"/>
  <c r="P23" i="19"/>
  <c r="P24" i="19"/>
  <c r="P25" i="19"/>
  <c r="P26" i="19"/>
  <c r="P27" i="19"/>
  <c r="P28" i="19"/>
  <c r="P29" i="19"/>
  <c r="P30" i="19"/>
  <c r="P31" i="19"/>
  <c r="P32" i="19"/>
  <c r="P33" i="19"/>
  <c r="P34" i="19"/>
  <c r="P35" i="19"/>
  <c r="P36" i="19"/>
  <c r="P37" i="19"/>
  <c r="P38" i="19"/>
  <c r="P39" i="19"/>
  <c r="P40" i="19"/>
  <c r="P41" i="19"/>
  <c r="P42" i="19"/>
  <c r="P43" i="19"/>
  <c r="P44" i="19"/>
  <c r="P45" i="19"/>
  <c r="P46" i="19"/>
  <c r="P47" i="19"/>
  <c r="P48" i="19"/>
  <c r="P49" i="19"/>
  <c r="P50" i="19"/>
  <c r="P51" i="19"/>
  <c r="P52" i="19"/>
  <c r="P53" i="19"/>
  <c r="P54" i="19"/>
  <c r="P55" i="19"/>
  <c r="P56" i="19"/>
  <c r="P57" i="19"/>
  <c r="P58" i="19"/>
  <c r="P59" i="19"/>
  <c r="P60" i="19"/>
  <c r="P61" i="19"/>
  <c r="P62" i="19"/>
  <c r="P63" i="19"/>
  <c r="P64" i="19"/>
  <c r="P65" i="19"/>
  <c r="P66" i="19"/>
  <c r="P67" i="19"/>
  <c r="P68" i="19"/>
  <c r="P69" i="19"/>
  <c r="P70" i="19"/>
  <c r="P71" i="19"/>
  <c r="P72" i="19"/>
  <c r="P73" i="19"/>
  <c r="P74" i="19"/>
  <c r="P75" i="19"/>
  <c r="P76" i="19"/>
  <c r="P77" i="19"/>
  <c r="P78" i="19"/>
  <c r="P79" i="19"/>
  <c r="P80" i="19"/>
  <c r="P81" i="19"/>
  <c r="P82" i="19"/>
  <c r="P83" i="19"/>
  <c r="P84" i="19"/>
  <c r="P85" i="19"/>
  <c r="P86" i="19"/>
  <c r="P87" i="19"/>
  <c r="P88" i="19"/>
  <c r="P89" i="19"/>
  <c r="P90" i="19"/>
  <c r="P91" i="19"/>
  <c r="P92" i="19"/>
  <c r="P93" i="19"/>
  <c r="P94" i="19"/>
  <c r="P95" i="19"/>
  <c r="P96" i="19"/>
  <c r="P97" i="19"/>
  <c r="P98" i="19"/>
  <c r="P99" i="19"/>
  <c r="P100" i="19"/>
  <c r="P101" i="19"/>
  <c r="P102" i="19"/>
  <c r="P103" i="19"/>
  <c r="P104" i="19"/>
  <c r="P105" i="19"/>
  <c r="P106" i="19"/>
  <c r="P107" i="19"/>
  <c r="P108" i="19"/>
  <c r="M7" i="19"/>
  <c r="M8" i="19"/>
  <c r="M9" i="19"/>
  <c r="M10" i="19"/>
  <c r="M11" i="19"/>
  <c r="M12" i="19"/>
  <c r="M13" i="19"/>
  <c r="M14" i="19"/>
  <c r="M15" i="19"/>
  <c r="M16" i="19"/>
  <c r="M17" i="19"/>
  <c r="M18" i="19"/>
  <c r="M19" i="19"/>
  <c r="M20" i="19"/>
  <c r="M21" i="19"/>
  <c r="M22" i="19"/>
  <c r="M23" i="19"/>
  <c r="M24" i="19"/>
  <c r="M25" i="19"/>
  <c r="M26" i="19"/>
  <c r="M27" i="19"/>
  <c r="M28" i="19"/>
  <c r="M29" i="19"/>
  <c r="M30" i="19"/>
  <c r="M31" i="19"/>
  <c r="M32" i="19"/>
  <c r="M33" i="19"/>
  <c r="M34" i="19"/>
  <c r="M35" i="19"/>
  <c r="M36" i="19"/>
  <c r="M37" i="19"/>
  <c r="M38" i="19"/>
  <c r="M39" i="19"/>
  <c r="M40" i="19"/>
  <c r="M41" i="19"/>
  <c r="M42" i="19"/>
  <c r="M43" i="19"/>
  <c r="M44" i="19"/>
  <c r="M45" i="19"/>
  <c r="M46" i="19"/>
  <c r="M47" i="19"/>
  <c r="M48" i="19"/>
  <c r="M49" i="19"/>
  <c r="M50" i="19"/>
  <c r="M51" i="19"/>
  <c r="M52" i="19"/>
  <c r="M53" i="19"/>
  <c r="M54" i="19"/>
  <c r="M55" i="19"/>
  <c r="M56" i="19"/>
  <c r="M57" i="19"/>
  <c r="M58" i="19"/>
  <c r="M59" i="19"/>
  <c r="M60" i="19"/>
  <c r="M61" i="19"/>
  <c r="M62" i="19"/>
  <c r="M63" i="19"/>
  <c r="M64" i="19"/>
  <c r="M65" i="19"/>
  <c r="M66" i="19"/>
  <c r="M67" i="19"/>
  <c r="M68" i="19"/>
  <c r="M69" i="19"/>
  <c r="M70" i="19"/>
  <c r="M71" i="19"/>
  <c r="M72" i="19"/>
  <c r="M73" i="19"/>
  <c r="M74" i="19"/>
  <c r="M75" i="19"/>
  <c r="M76" i="19"/>
  <c r="M77" i="19"/>
  <c r="M78" i="19"/>
  <c r="M79" i="19"/>
  <c r="M80" i="19"/>
  <c r="M81" i="19"/>
  <c r="M82" i="19"/>
  <c r="M83" i="19"/>
  <c r="M84" i="19"/>
  <c r="M85" i="19"/>
  <c r="M86" i="19"/>
  <c r="M87" i="19"/>
  <c r="M88" i="19"/>
  <c r="M89" i="19"/>
  <c r="M90" i="19"/>
  <c r="M91" i="19"/>
  <c r="M92" i="19"/>
  <c r="M93" i="19"/>
  <c r="M94" i="19"/>
  <c r="M95" i="19"/>
  <c r="M96" i="19"/>
  <c r="M97" i="19"/>
  <c r="M98" i="19"/>
  <c r="M99" i="19"/>
  <c r="M100" i="19"/>
  <c r="M101" i="19"/>
  <c r="M102" i="19"/>
  <c r="M103" i="19"/>
  <c r="M104" i="19"/>
  <c r="M105" i="19"/>
  <c r="M106" i="19"/>
  <c r="M107" i="19"/>
  <c r="M108" i="19"/>
  <c r="M109" i="19"/>
  <c r="M6" i="19"/>
  <c r="J7" i="19"/>
  <c r="J8" i="19"/>
  <c r="J9" i="19"/>
  <c r="J10" i="19"/>
  <c r="J11" i="19"/>
  <c r="J12" i="19"/>
  <c r="J13" i="19"/>
  <c r="J14" i="19"/>
  <c r="J15" i="19"/>
  <c r="J16" i="19"/>
  <c r="J17" i="19"/>
  <c r="J18" i="19"/>
  <c r="J19" i="19"/>
  <c r="J20" i="19"/>
  <c r="J21" i="19"/>
  <c r="J22" i="19"/>
  <c r="J23" i="19"/>
  <c r="J24" i="19"/>
  <c r="J25" i="19"/>
  <c r="J26" i="19"/>
  <c r="J27" i="19"/>
  <c r="J28" i="19"/>
  <c r="J29" i="19"/>
  <c r="J30" i="19"/>
  <c r="J31" i="19"/>
  <c r="J32" i="19"/>
  <c r="J33" i="19"/>
  <c r="J34" i="19"/>
  <c r="J35" i="19"/>
  <c r="J36" i="19"/>
  <c r="J37" i="19"/>
  <c r="J38" i="19"/>
  <c r="J39" i="19"/>
  <c r="J40" i="19"/>
  <c r="J41" i="19"/>
  <c r="J42" i="19"/>
  <c r="J43" i="19"/>
  <c r="J44" i="19"/>
  <c r="J45" i="19"/>
  <c r="J46" i="19"/>
  <c r="J47" i="19"/>
  <c r="J48" i="19"/>
  <c r="J49" i="19"/>
  <c r="J50" i="19"/>
  <c r="J51" i="19"/>
  <c r="J52" i="19"/>
  <c r="J53" i="19"/>
  <c r="J54" i="19"/>
  <c r="J55" i="19"/>
  <c r="J56" i="19"/>
  <c r="J57" i="19"/>
  <c r="J58" i="19"/>
  <c r="J59" i="19"/>
  <c r="J60" i="19"/>
  <c r="J61" i="19"/>
  <c r="J62" i="19"/>
  <c r="J63" i="19"/>
  <c r="J64" i="19"/>
  <c r="J65" i="19"/>
  <c r="J66" i="19"/>
  <c r="J67" i="19"/>
  <c r="J68" i="19"/>
  <c r="J69" i="19"/>
  <c r="J70" i="19"/>
  <c r="J71" i="19"/>
  <c r="J72" i="19"/>
  <c r="J73" i="19"/>
  <c r="J74" i="19"/>
  <c r="J75" i="19"/>
  <c r="J76" i="19"/>
  <c r="J77" i="19"/>
  <c r="J78" i="19"/>
  <c r="J79" i="19"/>
  <c r="J80" i="19"/>
  <c r="J81" i="19"/>
  <c r="J82" i="19"/>
  <c r="J83" i="19"/>
  <c r="J84" i="19"/>
  <c r="J85" i="19"/>
  <c r="J86" i="19"/>
  <c r="J87" i="19"/>
  <c r="J88" i="19"/>
  <c r="J89" i="19"/>
  <c r="J90" i="19"/>
  <c r="J91" i="19"/>
  <c r="J92" i="19"/>
  <c r="J93" i="19"/>
  <c r="J94" i="19"/>
  <c r="J95" i="19"/>
  <c r="J96" i="19"/>
  <c r="J97" i="19"/>
  <c r="J98" i="19"/>
  <c r="J99" i="19"/>
  <c r="J100" i="19"/>
  <c r="J101" i="19"/>
  <c r="J102" i="19"/>
  <c r="J103" i="19"/>
  <c r="J104" i="19"/>
  <c r="J105" i="19"/>
  <c r="J106" i="19"/>
  <c r="J107" i="19"/>
  <c r="J108" i="19"/>
  <c r="J109" i="19"/>
  <c r="J6" i="19"/>
  <c r="G7" i="19"/>
  <c r="G8" i="19"/>
  <c r="G9" i="19"/>
  <c r="G10" i="19"/>
  <c r="G11" i="19"/>
  <c r="G12" i="19"/>
  <c r="G13" i="19"/>
  <c r="G14" i="19"/>
  <c r="G15" i="19"/>
  <c r="G16" i="19"/>
  <c r="G17" i="19"/>
  <c r="G18" i="19"/>
  <c r="G19" i="19"/>
  <c r="G20" i="19"/>
  <c r="G21" i="19"/>
  <c r="G22" i="19"/>
  <c r="G23" i="19"/>
  <c r="G24" i="19"/>
  <c r="G25" i="19"/>
  <c r="G26" i="19"/>
  <c r="G27" i="19"/>
  <c r="G28" i="19"/>
  <c r="G29" i="19"/>
  <c r="G30" i="19"/>
  <c r="G31" i="19"/>
  <c r="G32" i="19"/>
  <c r="G33" i="19"/>
  <c r="G34" i="19"/>
  <c r="G35" i="19"/>
  <c r="G36" i="19"/>
  <c r="G37" i="19"/>
  <c r="G38" i="19"/>
  <c r="G39" i="19"/>
  <c r="G40" i="19"/>
  <c r="G41" i="19"/>
  <c r="G42" i="19"/>
  <c r="G43" i="19"/>
  <c r="G44" i="19"/>
  <c r="G45" i="19"/>
  <c r="G46" i="19"/>
  <c r="G47" i="19"/>
  <c r="G48" i="19"/>
  <c r="G49" i="19"/>
  <c r="G50" i="19"/>
  <c r="G51" i="19"/>
  <c r="G52" i="19"/>
  <c r="G53" i="19"/>
  <c r="G54" i="19"/>
  <c r="G55" i="19"/>
  <c r="G56" i="19"/>
  <c r="G57" i="19"/>
  <c r="G58" i="19"/>
  <c r="G59" i="19"/>
  <c r="G60" i="19"/>
  <c r="G61" i="19"/>
  <c r="G62" i="19"/>
  <c r="G63" i="19"/>
  <c r="G64" i="19"/>
  <c r="G65" i="19"/>
  <c r="G66" i="19"/>
  <c r="G67" i="19"/>
  <c r="G68" i="19"/>
  <c r="G69" i="19"/>
  <c r="G70" i="19"/>
  <c r="G71" i="19"/>
  <c r="G72" i="19"/>
  <c r="G73" i="19"/>
  <c r="G74" i="19"/>
  <c r="G75" i="19"/>
  <c r="G76" i="19"/>
  <c r="G77" i="19"/>
  <c r="G78" i="19"/>
  <c r="G79" i="19"/>
  <c r="G80" i="19"/>
  <c r="G81" i="19"/>
  <c r="G82" i="19"/>
  <c r="G83" i="19"/>
  <c r="G84" i="19"/>
  <c r="G85" i="19"/>
  <c r="G86" i="19"/>
  <c r="G87" i="19"/>
  <c r="G88" i="19"/>
  <c r="G89" i="19"/>
  <c r="G90" i="19"/>
  <c r="G91" i="19"/>
  <c r="G92" i="19"/>
  <c r="G93" i="19"/>
  <c r="G94" i="19"/>
  <c r="G95" i="19"/>
  <c r="G96" i="19"/>
  <c r="G97" i="19"/>
  <c r="G98" i="19"/>
  <c r="G99" i="19"/>
  <c r="G100" i="19"/>
  <c r="G101" i="19"/>
  <c r="G102" i="19"/>
  <c r="G103" i="19"/>
  <c r="G104" i="19"/>
  <c r="G105" i="19"/>
  <c r="G106" i="19"/>
  <c r="G107" i="19"/>
  <c r="G108" i="19"/>
  <c r="G109" i="19"/>
  <c r="G6" i="19"/>
  <c r="H48" i="4"/>
  <c r="I48" i="4"/>
  <c r="J48" i="4"/>
  <c r="K48" i="4"/>
  <c r="L48" i="4"/>
  <c r="M48" i="4"/>
  <c r="N48" i="4"/>
  <c r="O48" i="4"/>
  <c r="P48" i="4"/>
  <c r="Q48" i="4"/>
  <c r="R48" i="4"/>
  <c r="S48" i="4"/>
  <c r="T48" i="4"/>
  <c r="U48" i="4"/>
  <c r="V48" i="4"/>
  <c r="W48" i="4"/>
  <c r="X48" i="4"/>
  <c r="Y48" i="4"/>
  <c r="Z48" i="4"/>
  <c r="AA48" i="4"/>
  <c r="AB48" i="4"/>
  <c r="AC48" i="4"/>
  <c r="AD48" i="4"/>
  <c r="AE48" i="4"/>
  <c r="AF48" i="4"/>
  <c r="E48" i="4"/>
  <c r="G47" i="4"/>
  <c r="F47" i="4" s="1"/>
  <c r="G46" i="4"/>
  <c r="F46" i="4" s="1"/>
  <c r="G45" i="4"/>
  <c r="F45" i="4" s="1"/>
  <c r="G44" i="4"/>
  <c r="F44" i="4" s="1"/>
  <c r="G43" i="4"/>
  <c r="F43" i="4" s="1"/>
  <c r="G42" i="4"/>
  <c r="F42" i="4" s="1"/>
  <c r="G41" i="4"/>
  <c r="F41" i="4" s="1"/>
  <c r="F40" i="4"/>
  <c r="G39" i="4"/>
  <c r="F39" i="4" s="1"/>
  <c r="G38" i="4"/>
  <c r="F38" i="4" s="1"/>
  <c r="G37" i="4"/>
  <c r="F37" i="4" s="1"/>
  <c r="G36" i="4"/>
  <c r="F36" i="4" s="1"/>
  <c r="G35" i="4"/>
  <c r="F35" i="4" s="1"/>
  <c r="G34" i="4"/>
  <c r="F34" i="4" s="1"/>
  <c r="G33" i="4"/>
  <c r="F33" i="4" s="1"/>
  <c r="G32" i="4"/>
  <c r="F32" i="4" s="1"/>
  <c r="G31" i="4"/>
  <c r="F31" i="4" s="1"/>
  <c r="G30" i="4"/>
  <c r="F30" i="4" s="1"/>
  <c r="G29" i="4"/>
  <c r="F29" i="4" s="1"/>
  <c r="G28" i="4"/>
  <c r="F28" i="4" s="1"/>
  <c r="G27" i="4"/>
  <c r="F27" i="4" s="1"/>
  <c r="G26" i="4"/>
  <c r="F26" i="4" s="1"/>
  <c r="G25" i="4"/>
  <c r="F25" i="4" s="1"/>
  <c r="G24" i="4"/>
  <c r="F24" i="4" s="1"/>
  <c r="G23" i="4"/>
  <c r="F23" i="4" s="1"/>
  <c r="G22" i="4"/>
  <c r="F22" i="4" s="1"/>
  <c r="G21" i="4"/>
  <c r="F21" i="4" s="1"/>
  <c r="G20" i="4"/>
  <c r="F20" i="4" s="1"/>
  <c r="G19" i="4"/>
  <c r="F19" i="4" s="1"/>
  <c r="G18" i="4"/>
  <c r="F18" i="4" s="1"/>
  <c r="G17" i="4"/>
  <c r="F17" i="4" s="1"/>
  <c r="G16" i="4"/>
  <c r="F16" i="4" s="1"/>
  <c r="G15" i="4"/>
  <c r="F15" i="4" s="1"/>
  <c r="G14" i="4"/>
  <c r="F14" i="4" s="1"/>
  <c r="G13" i="4"/>
  <c r="F13" i="4" s="1"/>
  <c r="G12" i="4"/>
  <c r="F12" i="4" s="1"/>
  <c r="G11" i="4"/>
  <c r="F11" i="4" s="1"/>
  <c r="G10" i="4"/>
  <c r="AG10" i="4"/>
  <c r="AG11" i="4"/>
  <c r="F6" i="21" s="1"/>
  <c r="AG12" i="4"/>
  <c r="F8" i="21" s="1"/>
  <c r="AG13" i="4"/>
  <c r="F9" i="21" s="1"/>
  <c r="AG14" i="4"/>
  <c r="F10" i="21" s="1"/>
  <c r="AG15" i="4"/>
  <c r="F11" i="21" s="1"/>
  <c r="AG16" i="4"/>
  <c r="F12" i="21" s="1"/>
  <c r="AG17" i="4"/>
  <c r="F14" i="21" s="1"/>
  <c r="AG18" i="4"/>
  <c r="F17" i="21" s="1"/>
  <c r="AG19" i="4"/>
  <c r="F19" i="21" s="1"/>
  <c r="AG20" i="4"/>
  <c r="F21" i="21" s="1"/>
  <c r="AG21" i="4"/>
  <c r="F22" i="21" s="1"/>
  <c r="AG22" i="4"/>
  <c r="F23" i="21" s="1"/>
  <c r="AG23" i="4"/>
  <c r="F25" i="21" s="1"/>
  <c r="AG24" i="4"/>
  <c r="F26" i="21" s="1"/>
  <c r="AG25" i="4"/>
  <c r="F27" i="21" s="1"/>
  <c r="AG26" i="4"/>
  <c r="F28" i="21" s="1"/>
  <c r="AG27" i="4"/>
  <c r="F29" i="21" s="1"/>
  <c r="AG28" i="4"/>
  <c r="F31" i="21" s="1"/>
  <c r="AG29" i="4"/>
  <c r="F32" i="21" s="1"/>
  <c r="AG30" i="4"/>
  <c r="F33" i="21" s="1"/>
  <c r="AG31" i="4"/>
  <c r="F34" i="21" s="1"/>
  <c r="AG32" i="4"/>
  <c r="F35" i="21" s="1"/>
  <c r="AG33" i="4"/>
  <c r="F36" i="21" s="1"/>
  <c r="AG34" i="4"/>
  <c r="F41" i="21" s="1"/>
  <c r="AG35" i="4"/>
  <c r="F47" i="21" s="1"/>
  <c r="AG36" i="4"/>
  <c r="F56" i="21" s="1"/>
  <c r="AG37" i="4"/>
  <c r="F57" i="21" s="1"/>
  <c r="AG38" i="4"/>
  <c r="F69" i="21" s="1"/>
  <c r="AG39" i="4"/>
  <c r="F71" i="21" s="1"/>
  <c r="AG40" i="4"/>
  <c r="F72" i="21" s="1"/>
  <c r="AG41" i="4"/>
  <c r="F75" i="21" s="1"/>
  <c r="AG42" i="4"/>
  <c r="F77" i="21" s="1"/>
  <c r="AG43" i="4"/>
  <c r="F81" i="21" s="1"/>
  <c r="AG44" i="4"/>
  <c r="F84" i="21" s="1"/>
  <c r="AG45" i="4"/>
  <c r="F88" i="21" s="1"/>
  <c r="AG46" i="4"/>
  <c r="F89" i="21" s="1"/>
  <c r="AG47" i="4"/>
  <c r="F90" i="21" s="1"/>
  <c r="CD75" i="19" l="1"/>
  <c r="F10" i="4"/>
  <c r="G48" i="4"/>
  <c r="AG48" i="4"/>
  <c r="F5" i="21"/>
  <c r="G110" i="19"/>
  <c r="F48" i="4"/>
  <c r="H6" i="42" l="1"/>
  <c r="H7" i="42"/>
  <c r="H8" i="42"/>
  <c r="H9" i="42"/>
  <c r="H10" i="42"/>
  <c r="H11" i="42"/>
  <c r="H12" i="42"/>
  <c r="H13" i="42"/>
  <c r="H14" i="42"/>
  <c r="H15" i="42"/>
  <c r="H16" i="42"/>
  <c r="H17" i="42"/>
  <c r="H18" i="42"/>
  <c r="H19" i="42"/>
  <c r="H20" i="42"/>
  <c r="H21" i="42"/>
  <c r="H22" i="42"/>
  <c r="H23" i="42"/>
  <c r="H24" i="42"/>
  <c r="H25" i="42"/>
  <c r="H26" i="42"/>
  <c r="H27" i="42"/>
  <c r="H28" i="42"/>
  <c r="H29" i="42"/>
  <c r="H30" i="42"/>
  <c r="H31" i="42"/>
  <c r="H32" i="42"/>
  <c r="H33" i="42"/>
  <c r="H34" i="42"/>
  <c r="H35" i="42"/>
  <c r="H36" i="42"/>
  <c r="H37" i="42"/>
  <c r="H38" i="42"/>
  <c r="H39" i="42"/>
  <c r="H40" i="42"/>
  <c r="H41" i="42"/>
  <c r="H43" i="42"/>
  <c r="H44" i="42"/>
  <c r="H45" i="42"/>
  <c r="H46" i="42"/>
  <c r="H47" i="42"/>
  <c r="H48" i="42"/>
  <c r="H49" i="42"/>
  <c r="H50" i="42"/>
  <c r="H51" i="42"/>
  <c r="H53" i="42"/>
  <c r="H54" i="42"/>
  <c r="H55" i="42"/>
  <c r="H57" i="42"/>
  <c r="H58" i="42"/>
  <c r="H59" i="42"/>
  <c r="H60" i="42"/>
  <c r="H61" i="42"/>
  <c r="H62" i="42"/>
  <c r="H63" i="42"/>
  <c r="I61" i="42" l="1"/>
  <c r="J61" i="42" s="1"/>
  <c r="I36" i="42"/>
  <c r="J36" i="42" s="1"/>
  <c r="I26" i="42"/>
  <c r="J26" i="42" s="1"/>
  <c r="I19" i="42"/>
  <c r="J19" i="42" s="1"/>
  <c r="I51" i="42"/>
  <c r="J51" i="42" s="1"/>
  <c r="I47" i="42"/>
  <c r="J47" i="42" s="1"/>
  <c r="I43" i="42"/>
  <c r="J43" i="42" s="1"/>
  <c r="I29" i="42"/>
  <c r="J29" i="42" s="1"/>
  <c r="I25" i="42"/>
  <c r="J25" i="42" s="1"/>
  <c r="I12" i="42"/>
  <c r="J12" i="42" s="1"/>
  <c r="I57" i="42"/>
  <c r="J57" i="42" s="1"/>
  <c r="I46" i="42"/>
  <c r="J46" i="42" s="1"/>
  <c r="I41" i="42"/>
  <c r="J41" i="42" s="1"/>
  <c r="K41" i="42" s="1"/>
  <c r="I39" i="42"/>
  <c r="J39" i="42" s="1"/>
  <c r="I34" i="42"/>
  <c r="J34" i="42" s="1"/>
  <c r="I22" i="42"/>
  <c r="J22" i="42" s="1"/>
  <c r="I16" i="42"/>
  <c r="J16" i="42" s="1"/>
  <c r="I11" i="42"/>
  <c r="J11" i="42" s="1"/>
  <c r="I62" i="42"/>
  <c r="J62" i="42" s="1"/>
  <c r="I60" i="42"/>
  <c r="J60" i="42" s="1"/>
  <c r="K60" i="42" s="1"/>
  <c r="I45" i="42"/>
  <c r="J45" i="42" s="1"/>
  <c r="I38" i="42"/>
  <c r="J38" i="42" s="1"/>
  <c r="I33" i="42"/>
  <c r="J33" i="42" s="1"/>
  <c r="K33" i="42" s="1"/>
  <c r="I28" i="42"/>
  <c r="J28" i="42" s="1"/>
  <c r="I21" i="42"/>
  <c r="J21" i="42" s="1"/>
  <c r="I10" i="42"/>
  <c r="J10" i="42" s="1"/>
  <c r="I59" i="42"/>
  <c r="J59" i="42" s="1"/>
  <c r="I53" i="42"/>
  <c r="J53" i="42" s="1"/>
  <c r="I44" i="42"/>
  <c r="J44" i="42" s="1"/>
  <c r="K44" i="42" s="1"/>
  <c r="I32" i="42"/>
  <c r="J32" i="42" s="1"/>
  <c r="K32" i="42" s="1"/>
  <c r="I27" i="42"/>
  <c r="J27" i="42" s="1"/>
  <c r="K27" i="42" s="1"/>
  <c r="I18" i="42"/>
  <c r="J18" i="42" s="1"/>
  <c r="K18" i="42" s="1"/>
  <c r="I9" i="42"/>
  <c r="J9" i="42" s="1"/>
  <c r="I58" i="42"/>
  <c r="J58" i="42" s="1"/>
  <c r="I50" i="42"/>
  <c r="J50" i="42" s="1"/>
  <c r="I35" i="42"/>
  <c r="J35" i="42" s="1"/>
  <c r="I24" i="42"/>
  <c r="J24" i="42" s="1"/>
  <c r="K24" i="42" s="1"/>
  <c r="I17" i="42"/>
  <c r="J17" i="42" s="1"/>
  <c r="I15" i="42"/>
  <c r="J15" i="42" s="1"/>
  <c r="I8" i="42"/>
  <c r="J8" i="42" s="1"/>
  <c r="I63" i="42"/>
  <c r="J63" i="42" s="1"/>
  <c r="I55" i="42"/>
  <c r="J55" i="42" s="1"/>
  <c r="I49" i="42"/>
  <c r="J49" i="42" s="1"/>
  <c r="I40" i="42"/>
  <c r="J40" i="42" s="1"/>
  <c r="K40" i="42" s="1"/>
  <c r="I31" i="42"/>
  <c r="J31" i="42" s="1"/>
  <c r="I23" i="42"/>
  <c r="J23" i="42" s="1"/>
  <c r="I14" i="42"/>
  <c r="J14" i="42" s="1"/>
  <c r="I7" i="42"/>
  <c r="J7" i="42" s="1"/>
  <c r="I54" i="42"/>
  <c r="J54" i="42" s="1"/>
  <c r="I48" i="42"/>
  <c r="J48" i="42" s="1"/>
  <c r="I37" i="42"/>
  <c r="J37" i="42" s="1"/>
  <c r="I30" i="42"/>
  <c r="J30" i="42" s="1"/>
  <c r="K30" i="42" s="1"/>
  <c r="I20" i="42"/>
  <c r="J20" i="42" s="1"/>
  <c r="I13" i="42"/>
  <c r="J13" i="42" s="1"/>
  <c r="I6" i="42"/>
  <c r="J6" i="42" s="1"/>
  <c r="H5" i="42"/>
  <c r="H64" i="42" s="1"/>
  <c r="K49" i="42" l="1"/>
  <c r="K31" i="42"/>
  <c r="K29" i="42"/>
  <c r="K51" i="42"/>
  <c r="K28" i="42"/>
  <c r="K23" i="42"/>
  <c r="K47" i="42"/>
  <c r="K36" i="42"/>
  <c r="K7" i="42"/>
  <c r="K53" i="42"/>
  <c r="K15" i="42"/>
  <c r="K26" i="42"/>
  <c r="K62" i="42"/>
  <c r="K59" i="42"/>
  <c r="K43" i="42"/>
  <c r="K55" i="42"/>
  <c r="K8" i="42"/>
  <c r="K45" i="42"/>
  <c r="K14" i="42"/>
  <c r="K16" i="42"/>
  <c r="K57" i="42"/>
  <c r="K12" i="42"/>
  <c r="K25" i="42"/>
  <c r="K20" i="42"/>
  <c r="K48" i="42"/>
  <c r="K9" i="42"/>
  <c r="I5" i="42"/>
  <c r="K21" i="42"/>
  <c r="K34" i="42"/>
  <c r="K46" i="42"/>
  <c r="K6" i="42"/>
  <c r="K37" i="42"/>
  <c r="K17" i="42"/>
  <c r="K58" i="42"/>
  <c r="K38" i="42"/>
  <c r="K19" i="42"/>
  <c r="K61" i="42"/>
  <c r="K10" i="42"/>
  <c r="K22" i="42"/>
  <c r="K13" i="42"/>
  <c r="K54" i="42"/>
  <c r="K63" i="42"/>
  <c r="K35" i="42"/>
  <c r="K50" i="42"/>
  <c r="K11" i="42"/>
  <c r="K39" i="42"/>
  <c r="I64" i="42" l="1"/>
  <c r="J5" i="42"/>
  <c r="T30" i="17"/>
  <c r="T31" i="17"/>
  <c r="T29" i="17"/>
  <c r="Q29" i="17"/>
  <c r="P32" i="17"/>
  <c r="O32" i="17"/>
  <c r="Q31" i="17"/>
  <c r="Q30" i="17"/>
  <c r="O20" i="17"/>
  <c r="J64" i="42" l="1"/>
  <c r="K5" i="42"/>
  <c r="Q32" i="17"/>
  <c r="N7" i="41"/>
  <c r="L7" i="41"/>
  <c r="J7" i="41"/>
  <c r="H7" i="41"/>
  <c r="P6" i="41"/>
  <c r="Q6" i="41" s="1"/>
  <c r="R6" i="41" s="1"/>
  <c r="S6" i="41" s="1"/>
  <c r="T6" i="41" s="1"/>
  <c r="U6" i="41" s="1"/>
  <c r="V6" i="41" s="1"/>
  <c r="O6" i="41"/>
  <c r="M6" i="41"/>
  <c r="K6" i="41"/>
  <c r="I6" i="41"/>
  <c r="P5" i="41"/>
  <c r="Q5" i="41" s="1"/>
  <c r="O5" i="41"/>
  <c r="M5" i="41"/>
  <c r="K5" i="41"/>
  <c r="I5" i="41"/>
  <c r="O4" i="41"/>
  <c r="M4" i="41"/>
  <c r="K4" i="41"/>
  <c r="I4" i="41"/>
  <c r="W4" i="41" s="1"/>
  <c r="K64" i="42" l="1"/>
  <c r="Q7" i="41"/>
  <c r="R5" i="41"/>
  <c r="K7" i="41"/>
  <c r="P7" i="41"/>
  <c r="W5" i="41"/>
  <c r="X5" i="41" s="1"/>
  <c r="Y5" i="41" s="1"/>
  <c r="O7" i="41"/>
  <c r="W6" i="41"/>
  <c r="X6" i="41" s="1"/>
  <c r="Y6" i="41" s="1"/>
  <c r="I7" i="41"/>
  <c r="X4" i="41"/>
  <c r="M7" i="41"/>
  <c r="T35" i="17"/>
  <c r="R7" i="41" l="1"/>
  <c r="S5" i="41"/>
  <c r="W7" i="41"/>
  <c r="Y4" i="41"/>
  <c r="X7" i="41"/>
  <c r="Z6" i="41"/>
  <c r="Z5" i="41"/>
  <c r="S7" i="41" l="1"/>
  <c r="T5" i="41"/>
  <c r="Y7" i="41"/>
  <c r="Z4" i="41"/>
  <c r="Z7" i="41" s="1"/>
  <c r="BA93" i="19"/>
  <c r="BJ93" i="19"/>
  <c r="BS93" i="19"/>
  <c r="BA92" i="19"/>
  <c r="AO92" i="19"/>
  <c r="AI92" i="19"/>
  <c r="BP92" i="19"/>
  <c r="BY92" i="19"/>
  <c r="CB92" i="19"/>
  <c r="BY91" i="19"/>
  <c r="BV91" i="19"/>
  <c r="AI91" i="19"/>
  <c r="W91" i="19"/>
  <c r="Z91" i="19"/>
  <c r="T59" i="19"/>
  <c r="AC59" i="19"/>
  <c r="BJ59" i="19"/>
  <c r="BY59" i="19"/>
  <c r="CB59" i="19"/>
  <c r="Z31" i="19"/>
  <c r="AI31" i="19"/>
  <c r="AU31" i="19"/>
  <c r="BJ29" i="19"/>
  <c r="W29" i="19"/>
  <c r="T29" i="19"/>
  <c r="CB29" i="19"/>
  <c r="T7" i="41" l="1"/>
  <c r="U5" i="41"/>
  <c r="F52" i="8"/>
  <c r="F33" i="8"/>
  <c r="F55" i="8"/>
  <c r="F11" i="8"/>
  <c r="U7" i="41" l="1"/>
  <c r="V5" i="41"/>
  <c r="V7" i="41" s="1"/>
  <c r="K52" i="8"/>
  <c r="L52" i="8" s="1"/>
  <c r="M52" i="8" s="1"/>
  <c r="N52" i="8" s="1"/>
  <c r="H52" i="8"/>
  <c r="K55" i="8"/>
  <c r="H33" i="8" l="1"/>
  <c r="K33" i="8"/>
  <c r="H55" i="8"/>
  <c r="K11" i="8"/>
  <c r="H11" i="8"/>
  <c r="F90" i="8" l="1"/>
  <c r="F66" i="8"/>
  <c r="F65" i="8"/>
  <c r="F64" i="8"/>
  <c r="F63" i="8"/>
  <c r="F62" i="8"/>
  <c r="F60" i="8"/>
  <c r="F54" i="8"/>
  <c r="F53" i="8"/>
  <c r="F51" i="8"/>
  <c r="F50" i="8"/>
  <c r="F48" i="8"/>
  <c r="F47" i="8"/>
  <c r="F42" i="8"/>
  <c r="F41" i="8"/>
  <c r="F39" i="8"/>
  <c r="F37" i="8"/>
  <c r="F36" i="8"/>
  <c r="F32" i="8"/>
  <c r="F31" i="8"/>
  <c r="F30" i="8"/>
  <c r="F29" i="8"/>
  <c r="F26" i="8"/>
  <c r="F25" i="8"/>
  <c r="F24" i="8"/>
  <c r="F22" i="8"/>
  <c r="F17" i="8"/>
  <c r="F16" i="8"/>
  <c r="F15" i="8"/>
  <c r="F14" i="8"/>
  <c r="F13" i="8"/>
  <c r="F10" i="8"/>
  <c r="F9" i="8"/>
  <c r="F8" i="8"/>
  <c r="F7" i="8"/>
  <c r="F6" i="8"/>
  <c r="F5" i="8" l="1"/>
  <c r="K3" i="17" l="1"/>
  <c r="E92" i="8" l="1"/>
  <c r="E108" i="8"/>
  <c r="E98" i="8"/>
  <c r="H63" i="8"/>
  <c r="E91" i="8"/>
  <c r="E101" i="8"/>
  <c r="E84" i="8"/>
  <c r="E109" i="8"/>
  <c r="E100" i="8"/>
  <c r="E99" i="8"/>
  <c r="E97" i="8"/>
  <c r="E81" i="8"/>
  <c r="E85" i="8"/>
  <c r="E105" i="8"/>
  <c r="E74" i="8"/>
  <c r="E110" i="8"/>
  <c r="E79" i="8"/>
  <c r="E75" i="8" l="1"/>
  <c r="E88" i="8"/>
  <c r="K90" i="8"/>
  <c r="L90" i="8" s="1"/>
  <c r="E90" i="8"/>
  <c r="H90" i="8"/>
  <c r="E80" i="8"/>
  <c r="E83" i="8"/>
  <c r="E77" i="8"/>
  <c r="E76" i="8"/>
  <c r="E89" i="8"/>
  <c r="E78" i="8"/>
  <c r="H66" i="8"/>
  <c r="E71" i="8"/>
  <c r="E72" i="8"/>
  <c r="H41" i="8"/>
  <c r="E73" i="8"/>
  <c r="E70" i="8"/>
  <c r="H47" i="8"/>
  <c r="K63" i="8"/>
  <c r="H64" i="8"/>
  <c r="H8" i="8"/>
  <c r="H9" i="8"/>
  <c r="H6" i="8"/>
  <c r="M93" i="8" l="1"/>
  <c r="H5" i="8"/>
  <c r="E5" i="8"/>
  <c r="E96" i="8"/>
  <c r="M102" i="8" s="1"/>
  <c r="O102" i="8" s="1"/>
  <c r="D113" i="8"/>
  <c r="K66" i="8"/>
  <c r="H54" i="8"/>
  <c r="H48" i="8"/>
  <c r="H17" i="8"/>
  <c r="H39" i="8"/>
  <c r="H36" i="8"/>
  <c r="H16" i="8"/>
  <c r="H53" i="8"/>
  <c r="H25" i="8"/>
  <c r="H26" i="8"/>
  <c r="H22" i="8"/>
  <c r="H7" i="8"/>
  <c r="H30" i="8"/>
  <c r="H50" i="8"/>
  <c r="H37" i="8"/>
  <c r="H14" i="8"/>
  <c r="H15" i="8"/>
  <c r="H31" i="8"/>
  <c r="H62" i="8"/>
  <c r="H13" i="8"/>
  <c r="H29" i="8"/>
  <c r="H60" i="8"/>
  <c r="H24" i="8"/>
  <c r="K10" i="8"/>
  <c r="H10" i="8"/>
  <c r="H42" i="8"/>
  <c r="H32" i="8"/>
  <c r="H51" i="8"/>
  <c r="H65" i="8"/>
  <c r="K65" i="8"/>
  <c r="K64" i="8"/>
  <c r="K7" i="8"/>
  <c r="K14" i="8"/>
  <c r="K8" i="8"/>
  <c r="K5" i="8"/>
  <c r="K9" i="8"/>
  <c r="K6" i="8"/>
  <c r="E115" i="8" l="1"/>
  <c r="G18" i="17" s="1"/>
  <c r="O93" i="8"/>
  <c r="AO25" i="6" l="1"/>
  <c r="AL17" i="6"/>
  <c r="AO17" i="6"/>
  <c r="AL18" i="6"/>
  <c r="AO18" i="6" s="1"/>
  <c r="AL19" i="6"/>
  <c r="AO19" i="6" s="1"/>
  <c r="AJ20" i="6"/>
  <c r="AK20" i="6"/>
  <c r="P20" i="17"/>
  <c r="AL20" i="6" l="1"/>
  <c r="AO20" i="6"/>
  <c r="AO27" i="6" s="1"/>
  <c r="AO30" i="6" s="1"/>
  <c r="AO31" i="6" s="1"/>
  <c r="Q17" i="17" l="1"/>
  <c r="Q18" i="17"/>
  <c r="T18" i="17" s="1"/>
  <c r="Q19" i="17"/>
  <c r="G3" i="17"/>
  <c r="T17" i="17" l="1"/>
  <c r="Q20" i="17"/>
  <c r="G17" i="17"/>
  <c r="L3" i="17"/>
  <c r="T19" i="17"/>
  <c r="G14" i="17"/>
  <c r="F91" i="8"/>
  <c r="F78" i="8"/>
  <c r="F77" i="8"/>
  <c r="F76" i="8"/>
  <c r="F75" i="8"/>
  <c r="F74" i="8"/>
  <c r="F73" i="8"/>
  <c r="F72" i="8"/>
  <c r="F71" i="8"/>
  <c r="I19" i="17" l="1"/>
  <c r="G19" i="17"/>
  <c r="T20" i="17"/>
  <c r="H74" i="8"/>
  <c r="K74" i="8"/>
  <c r="K32" i="8"/>
  <c r="K53" i="8"/>
  <c r="L53" i="8" s="1"/>
  <c r="M53" i="8" s="1"/>
  <c r="N53" i="8" s="1"/>
  <c r="O53" i="8" s="1"/>
  <c r="K48" i="8"/>
  <c r="K50" i="8"/>
  <c r="K39" i="8"/>
  <c r="K31" i="8"/>
  <c r="K13" i="8"/>
  <c r="T37" i="17" l="1"/>
  <c r="T22" i="17"/>
  <c r="K30" i="8"/>
  <c r="K16" i="8"/>
  <c r="L16" i="8" s="1"/>
  <c r="M16" i="8" s="1"/>
  <c r="N16" i="8" s="1"/>
  <c r="O16" i="8" s="1"/>
  <c r="K26" i="8"/>
  <c r="K17" i="8"/>
  <c r="K62" i="8"/>
  <c r="K25" i="8"/>
  <c r="K54" i="8"/>
  <c r="L54" i="8" s="1"/>
  <c r="M54" i="8" s="1"/>
  <c r="N54" i="8" s="1"/>
  <c r="O54" i="8" s="1"/>
  <c r="K41" i="8"/>
  <c r="K24" i="8"/>
  <c r="K15" i="8"/>
  <c r="K36" i="8"/>
  <c r="L36" i="8" s="1"/>
  <c r="M36" i="8" s="1"/>
  <c r="N36" i="8" s="1"/>
  <c r="O36" i="8" s="1"/>
  <c r="K29" i="8"/>
  <c r="K37" i="8"/>
  <c r="L37" i="8" s="1"/>
  <c r="M37" i="8" s="1"/>
  <c r="N37" i="8" s="1"/>
  <c r="O37" i="8" s="1"/>
  <c r="K60" i="8"/>
  <c r="L60" i="8" s="1"/>
  <c r="M60" i="8" s="1"/>
  <c r="N60" i="8" s="1"/>
  <c r="O60" i="8" s="1"/>
  <c r="K51" i="8"/>
  <c r="K22" i="8"/>
  <c r="H91" i="8"/>
  <c r="K91" i="8"/>
  <c r="K78" i="8"/>
  <c r="H78" i="8"/>
  <c r="K75" i="8"/>
  <c r="H75" i="8"/>
  <c r="H76" i="8"/>
  <c r="K76" i="8"/>
  <c r="H77" i="8"/>
  <c r="K77" i="8"/>
  <c r="H73" i="8"/>
  <c r="K73" i="8"/>
  <c r="H72" i="8"/>
  <c r="K72" i="8"/>
  <c r="H71" i="8"/>
  <c r="K71" i="8"/>
  <c r="L24" i="8" l="1"/>
  <c r="M24" i="8" s="1"/>
  <c r="N24" i="8" s="1"/>
  <c r="L22" i="8"/>
  <c r="M22" i="8" s="1"/>
  <c r="N22" i="8" s="1"/>
  <c r="O22" i="8" s="1"/>
  <c r="L17" i="8"/>
  <c r="M17" i="8" s="1"/>
  <c r="N17" i="8" s="1"/>
  <c r="O17" i="8" s="1"/>
  <c r="AU93" i="19" l="1"/>
  <c r="AR93" i="19"/>
  <c r="AO93" i="19"/>
  <c r="AL93" i="19"/>
  <c r="AI93" i="19"/>
  <c r="AF93" i="19"/>
  <c r="AC93" i="19"/>
  <c r="Z93" i="19"/>
  <c r="W93" i="19"/>
  <c r="T93" i="19"/>
  <c r="AL92" i="19"/>
  <c r="AL91" i="19"/>
  <c r="H90" i="19"/>
  <c r="AU89" i="19"/>
  <c r="K86" i="19"/>
  <c r="AL82" i="19"/>
  <c r="BY75" i="19"/>
  <c r="AO75" i="19"/>
  <c r="AL75" i="19"/>
  <c r="AI75" i="19"/>
  <c r="T75" i="19"/>
  <c r="BJ63" i="19"/>
  <c r="AX63" i="19"/>
  <c r="AU63" i="19"/>
  <c r="BG61" i="19"/>
  <c r="AU61" i="19"/>
  <c r="AL61" i="19"/>
  <c r="AF61" i="19"/>
  <c r="CB60" i="19"/>
  <c r="BJ60" i="19"/>
  <c r="AU60" i="19"/>
  <c r="AI60" i="19"/>
  <c r="AF60" i="19"/>
  <c r="Z60" i="19"/>
  <c r="W60" i="19"/>
  <c r="T60" i="19"/>
  <c r="AL59" i="19"/>
  <c r="Z59" i="19"/>
  <c r="W59" i="19"/>
  <c r="H59" i="19"/>
  <c r="AC50" i="19"/>
  <c r="Z50" i="19"/>
  <c r="W50" i="19"/>
  <c r="K50" i="19"/>
  <c r="AU37" i="19"/>
  <c r="AI37" i="19"/>
  <c r="K37" i="19"/>
  <c r="H37" i="19"/>
  <c r="BS34" i="19"/>
  <c r="BG34" i="19"/>
  <c r="W34" i="19"/>
  <c r="W33" i="19"/>
  <c r="T33" i="19"/>
  <c r="H33" i="19"/>
  <c r="K32" i="19"/>
  <c r="AU30" i="19"/>
  <c r="AI30" i="19"/>
  <c r="AR29" i="19"/>
  <c r="AX29" i="19"/>
  <c r="AO29" i="19"/>
  <c r="AC29" i="19"/>
  <c r="Z29" i="19"/>
  <c r="N29" i="19"/>
  <c r="AU28" i="19"/>
  <c r="AR28" i="19"/>
  <c r="AO28" i="19"/>
  <c r="Z28" i="19"/>
  <c r="K27" i="19"/>
  <c r="H27" i="19"/>
  <c r="BV24" i="19"/>
  <c r="AU24" i="19"/>
  <c r="H24" i="19"/>
  <c r="BS22" i="19"/>
  <c r="T22" i="19"/>
  <c r="K22" i="19"/>
  <c r="K17" i="19"/>
  <c r="Z16" i="19"/>
  <c r="H16" i="19"/>
  <c r="BY15" i="19"/>
  <c r="Z15" i="19"/>
  <c r="T13" i="19"/>
  <c r="BS13" i="19"/>
  <c r="I107" i="21" l="1"/>
  <c r="Q3" i="21"/>
  <c r="K47" i="8" l="1"/>
  <c r="L47" i="8" s="1"/>
  <c r="M47" i="8" s="1"/>
  <c r="N47" i="8" s="1"/>
  <c r="O47" i="8" s="1"/>
  <c r="F108" i="8"/>
  <c r="F110" i="8"/>
  <c r="F115" i="8" s="1"/>
  <c r="F109" i="8"/>
  <c r="F105" i="8"/>
  <c r="H105" i="8"/>
  <c r="F100" i="8"/>
  <c r="F99" i="8"/>
  <c r="F101" i="8"/>
  <c r="F98" i="8"/>
  <c r="F97" i="8"/>
  <c r="H97" i="8"/>
  <c r="F96" i="8"/>
  <c r="F92" i="8"/>
  <c r="F89" i="8"/>
  <c r="H89" i="8"/>
  <c r="F88" i="8"/>
  <c r="F85" i="8"/>
  <c r="F84" i="8"/>
  <c r="F83" i="8"/>
  <c r="F81" i="8"/>
  <c r="H81" i="8"/>
  <c r="F80" i="8"/>
  <c r="F79" i="8"/>
  <c r="H79" i="8"/>
  <c r="F70" i="8"/>
  <c r="K42" i="8"/>
  <c r="L42" i="8" s="1"/>
  <c r="M42" i="8" s="1"/>
  <c r="N42" i="8" s="1"/>
  <c r="O42" i="8" s="1"/>
  <c r="K67" i="8" l="1"/>
  <c r="K70" i="8"/>
  <c r="K80" i="8"/>
  <c r="L29" i="8" s="1"/>
  <c r="M29" i="8" s="1"/>
  <c r="N29" i="8" s="1"/>
  <c r="O29" i="8" s="1"/>
  <c r="K108" i="8"/>
  <c r="K101" i="8"/>
  <c r="K100" i="8"/>
  <c r="K110" i="8"/>
  <c r="K99" i="8"/>
  <c r="K98" i="8"/>
  <c r="L15" i="8" s="1"/>
  <c r="M15" i="8" s="1"/>
  <c r="N15" i="8" s="1"/>
  <c r="O15" i="8" s="1"/>
  <c r="H108" i="8"/>
  <c r="K96" i="8"/>
  <c r="H109" i="8"/>
  <c r="K109" i="8"/>
  <c r="K105" i="8"/>
  <c r="H110" i="8"/>
  <c r="H100" i="8"/>
  <c r="H99" i="8"/>
  <c r="K97" i="8"/>
  <c r="L12" i="8" s="1"/>
  <c r="H96" i="8"/>
  <c r="H98" i="8"/>
  <c r="H101" i="8"/>
  <c r="K89" i="8"/>
  <c r="K84" i="8"/>
  <c r="L39" i="8" s="1"/>
  <c r="M39" i="8" s="1"/>
  <c r="N39" i="8" s="1"/>
  <c r="O39" i="8" s="1"/>
  <c r="K79" i="8"/>
  <c r="L26" i="8" s="1"/>
  <c r="M26" i="8" s="1"/>
  <c r="N26" i="8" s="1"/>
  <c r="O26" i="8" s="1"/>
  <c r="K81" i="8"/>
  <c r="H80" i="8"/>
  <c r="K85" i="8"/>
  <c r="L41" i="8" s="1"/>
  <c r="M41" i="8" s="1"/>
  <c r="N41" i="8" s="1"/>
  <c r="O41" i="8" s="1"/>
  <c r="H85" i="8"/>
  <c r="H83" i="8"/>
  <c r="H88" i="8"/>
  <c r="H92" i="8"/>
  <c r="K83" i="8"/>
  <c r="K88" i="8"/>
  <c r="K92" i="8"/>
  <c r="L62" i="8" s="1"/>
  <c r="M62" i="8" s="1"/>
  <c r="N62" i="8" s="1"/>
  <c r="O62" i="8" s="1"/>
  <c r="H84" i="8"/>
  <c r="H70" i="8"/>
  <c r="L50" i="8" l="1"/>
  <c r="M50" i="8" s="1"/>
  <c r="N50" i="8" s="1"/>
  <c r="O50" i="8" s="1"/>
  <c r="L48" i="8"/>
  <c r="M48" i="8" s="1"/>
  <c r="N48" i="8" s="1"/>
  <c r="O48" i="8" s="1"/>
  <c r="L32" i="8"/>
  <c r="M32" i="8" s="1"/>
  <c r="N32" i="8" s="1"/>
  <c r="O32" i="8" s="1"/>
  <c r="L5" i="8"/>
  <c r="L30" i="8"/>
  <c r="M30" i="8" s="1"/>
  <c r="N30" i="8" s="1"/>
  <c r="O30" i="8" s="1"/>
  <c r="M12" i="8"/>
  <c r="N12" i="8" s="1"/>
  <c r="O12" i="8" s="1"/>
  <c r="K93" i="8"/>
  <c r="K102" i="8"/>
  <c r="K111" i="8"/>
  <c r="C6" i="5"/>
  <c r="D6" i="5"/>
  <c r="AS31" i="25"/>
  <c r="AS3" i="25" s="1"/>
  <c r="AR31" i="25"/>
  <c r="AR3" i="25" s="1"/>
  <c r="AQ31" i="25"/>
  <c r="AQ3" i="25" s="1"/>
  <c r="M5" i="8" l="1"/>
  <c r="N5" i="8" s="1"/>
  <c r="M67" i="8"/>
  <c r="I3" i="17"/>
  <c r="L4" i="17" s="1"/>
  <c r="L5" i="17" s="1"/>
  <c r="L6" i="17" s="1"/>
  <c r="K113" i="8"/>
  <c r="M113" i="8" s="1"/>
  <c r="N113" i="8" s="1"/>
  <c r="O113" i="8" s="1"/>
  <c r="E117" i="8"/>
  <c r="K31" i="25"/>
  <c r="K3" i="25" s="1"/>
  <c r="T31" i="25"/>
  <c r="T3" i="25" s="1"/>
  <c r="AL31" i="25"/>
  <c r="AL3" i="25" s="1"/>
  <c r="E31" i="25"/>
  <c r="E3" i="25" s="1"/>
  <c r="AK31" i="25"/>
  <c r="AK3" i="25" s="1"/>
  <c r="N67" i="8" l="1"/>
  <c r="O5" i="8"/>
  <c r="O67" i="8" s="1"/>
  <c r="F116" i="8"/>
  <c r="G146" i="23"/>
  <c r="G176" i="23"/>
  <c r="G179" i="23"/>
  <c r="G180" i="23"/>
  <c r="G193" i="23"/>
  <c r="G42" i="23"/>
  <c r="G75" i="23"/>
  <c r="H6" i="1" l="1"/>
  <c r="BJ104" i="19"/>
  <c r="G1975" i="23" s="1"/>
  <c r="BD104" i="19"/>
  <c r="G1767" i="23" s="1"/>
  <c r="AI104" i="19"/>
  <c r="G1039" i="23" s="1"/>
  <c r="T104" i="19"/>
  <c r="G519" i="23" s="1"/>
  <c r="N104" i="19"/>
  <c r="G311" i="23" s="1"/>
  <c r="K104" i="19"/>
  <c r="G207" i="23" s="1"/>
  <c r="H104" i="19"/>
  <c r="G103" i="23" s="1"/>
  <c r="BM93" i="19"/>
  <c r="G2068" i="23" s="1"/>
  <c r="N93" i="19"/>
  <c r="G300" i="23" s="1"/>
  <c r="K93" i="19"/>
  <c r="G196" i="23" s="1"/>
  <c r="G92" i="23"/>
  <c r="G1964" i="23"/>
  <c r="G1860" i="23"/>
  <c r="G1756" i="23"/>
  <c r="G1548" i="23"/>
  <c r="G1444" i="23"/>
  <c r="G1132" i="23"/>
  <c r="G1028" i="23"/>
  <c r="G924" i="23"/>
  <c r="G820" i="23"/>
  <c r="G716" i="23"/>
  <c r="G612" i="23"/>
  <c r="G508" i="23"/>
  <c r="AX92" i="19"/>
  <c r="G1547" i="23" s="1"/>
  <c r="G1131" i="23"/>
  <c r="G611" i="23"/>
  <c r="G507" i="23"/>
  <c r="G91" i="23"/>
  <c r="G2587" i="23"/>
  <c r="BM92" i="19"/>
  <c r="G2067" i="23" s="1"/>
  <c r="G923" i="23"/>
  <c r="G715" i="23"/>
  <c r="BM91" i="19"/>
  <c r="G2066" i="23" s="1"/>
  <c r="BA91" i="19"/>
  <c r="G1650" i="23" s="1"/>
  <c r="AX91" i="19"/>
  <c r="G1546" i="23" s="1"/>
  <c r="G1130" i="23"/>
  <c r="G506" i="23"/>
  <c r="G922" i="23"/>
  <c r="G714" i="23"/>
  <c r="G610" i="23"/>
  <c r="BD87" i="19"/>
  <c r="G1750" i="23" s="1"/>
  <c r="AX87" i="19"/>
  <c r="G1542" i="23" s="1"/>
  <c r="AU87" i="19"/>
  <c r="G1438" i="23" s="1"/>
  <c r="K87" i="19"/>
  <c r="G190" i="23" s="1"/>
  <c r="H87" i="19"/>
  <c r="G86" i="23" s="1"/>
  <c r="AL86" i="19"/>
  <c r="G1125" i="23" s="1"/>
  <c r="T86" i="19"/>
  <c r="G501" i="23" s="1"/>
  <c r="H86" i="19"/>
  <c r="G85" i="23" s="1"/>
  <c r="T81" i="19"/>
  <c r="G496" i="23" s="1"/>
  <c r="AL81" i="19"/>
  <c r="G1120" i="23" s="1"/>
  <c r="AU81" i="19"/>
  <c r="G1432" i="23" s="1"/>
  <c r="BD81" i="19"/>
  <c r="G1744" i="23" s="1"/>
  <c r="AU80" i="19"/>
  <c r="G1431" i="23" s="1"/>
  <c r="AX80" i="19"/>
  <c r="G1535" i="23" s="1"/>
  <c r="BD80" i="19"/>
  <c r="G1743" i="23" s="1"/>
  <c r="CB80" i="19"/>
  <c r="G2575" i="23" s="1"/>
  <c r="BY78" i="19"/>
  <c r="G2469" i="23" s="1"/>
  <c r="BM78" i="19"/>
  <c r="G2053" i="23" s="1"/>
  <c r="BD78" i="19"/>
  <c r="G1741" i="23" s="1"/>
  <c r="AU78" i="19"/>
  <c r="G1429" i="23" s="1"/>
  <c r="T78" i="19"/>
  <c r="G493" i="23" s="1"/>
  <c r="G2258" i="23"/>
  <c r="G1946" i="23"/>
  <c r="BA75" i="19"/>
  <c r="G1634" i="23" s="1"/>
  <c r="G1114" i="23"/>
  <c r="G906" i="23"/>
  <c r="G490" i="23"/>
  <c r="N75" i="19"/>
  <c r="G282" i="23" s="1"/>
  <c r="K75" i="19"/>
  <c r="G178" i="23" s="1"/>
  <c r="G74" i="23"/>
  <c r="G802" i="23"/>
  <c r="G1426" i="23"/>
  <c r="AU74" i="19"/>
  <c r="G1425" i="23" s="1"/>
  <c r="AC74" i="19"/>
  <c r="G801" i="23" s="1"/>
  <c r="T74" i="19"/>
  <c r="G489" i="23" s="1"/>
  <c r="H73" i="19"/>
  <c r="G72" i="23" s="1"/>
  <c r="AO63" i="19"/>
  <c r="G1206" i="23" s="1"/>
  <c r="BY60" i="19"/>
  <c r="G2451" i="23" s="1"/>
  <c r="AX60" i="19"/>
  <c r="G1515" i="23" s="1"/>
  <c r="G1411" i="23"/>
  <c r="G995" i="23"/>
  <c r="G579" i="23"/>
  <c r="G891" i="23"/>
  <c r="AC60" i="19"/>
  <c r="G787" i="23" s="1"/>
  <c r="G683" i="23"/>
  <c r="G475" i="23"/>
  <c r="G59" i="23"/>
  <c r="AX59" i="19"/>
  <c r="G1514" i="23" s="1"/>
  <c r="G1930" i="23"/>
  <c r="G2554" i="23"/>
  <c r="G2450" i="23"/>
  <c r="BA59" i="19"/>
  <c r="G1618" i="23" s="1"/>
  <c r="G1410" i="23"/>
  <c r="AO59" i="19"/>
  <c r="G1202" i="23" s="1"/>
  <c r="G1098" i="23"/>
  <c r="G890" i="23"/>
  <c r="G578" i="23"/>
  <c r="G682" i="23"/>
  <c r="G786" i="23"/>
  <c r="AI59" i="19"/>
  <c r="G994" i="23" s="1"/>
  <c r="BD50" i="19"/>
  <c r="G1713" i="23" s="1"/>
  <c r="AL50" i="19"/>
  <c r="G1089" i="23" s="1"/>
  <c r="G673" i="23"/>
  <c r="G569" i="23"/>
  <c r="T50" i="19"/>
  <c r="G465" i="23" s="1"/>
  <c r="G153" i="23"/>
  <c r="H50" i="19"/>
  <c r="G49" i="23" s="1"/>
  <c r="G777" i="23"/>
  <c r="AI50" i="19"/>
  <c r="G985" i="23" s="1"/>
  <c r="AU39" i="19"/>
  <c r="G1390" i="23" s="1"/>
  <c r="AL39" i="19"/>
  <c r="G1078" i="23" s="1"/>
  <c r="AC39" i="19"/>
  <c r="G766" i="23" s="1"/>
  <c r="AL37" i="19"/>
  <c r="G1076" i="23" s="1"/>
  <c r="AL36" i="19"/>
  <c r="G1075" i="23" s="1"/>
  <c r="W36" i="19"/>
  <c r="G555" i="23" s="1"/>
  <c r="T36" i="19"/>
  <c r="G451" i="23" s="1"/>
  <c r="K36" i="19"/>
  <c r="G139" i="23" s="1"/>
  <c r="AC36" i="19"/>
  <c r="G763" i="23" s="1"/>
  <c r="BD35" i="19"/>
  <c r="G1698" i="23" s="1"/>
  <c r="G1801" i="23"/>
  <c r="AL34" i="19"/>
  <c r="G1073" i="23" s="1"/>
  <c r="T34" i="19"/>
  <c r="G449" i="23" s="1"/>
  <c r="H34" i="19"/>
  <c r="G33" i="23" s="1"/>
  <c r="K34" i="19"/>
  <c r="G137" i="23" s="1"/>
  <c r="G553" i="23"/>
  <c r="G448" i="23"/>
  <c r="K33" i="19"/>
  <c r="G136" i="23" s="1"/>
  <c r="G32" i="23"/>
  <c r="G552" i="23"/>
  <c r="AL33" i="19"/>
  <c r="G1072" i="23" s="1"/>
  <c r="BG33" i="19"/>
  <c r="G1800" i="23" s="1"/>
  <c r="BV32" i="19"/>
  <c r="G2319" i="23" s="1"/>
  <c r="BS32" i="19"/>
  <c r="G2215" i="23" s="1"/>
  <c r="BG32" i="19"/>
  <c r="G1799" i="23" s="1"/>
  <c r="AL32" i="19"/>
  <c r="G1071" i="23" s="1"/>
  <c r="AI32" i="19"/>
  <c r="G967" i="23" s="1"/>
  <c r="G863" i="23"/>
  <c r="AC32" i="19"/>
  <c r="G759" i="23" s="1"/>
  <c r="Z32" i="19"/>
  <c r="G655" i="23" s="1"/>
  <c r="W32" i="19"/>
  <c r="G551" i="23" s="1"/>
  <c r="G447" i="23"/>
  <c r="G135" i="23"/>
  <c r="BY32" i="19"/>
  <c r="G2423" i="23" s="1"/>
  <c r="CB32" i="19"/>
  <c r="G2527" i="23" s="1"/>
  <c r="G1796" i="23"/>
  <c r="BA29" i="19"/>
  <c r="G1588" i="23" s="1"/>
  <c r="G1380" i="23"/>
  <c r="AL29" i="19"/>
  <c r="G1068" i="23" s="1"/>
  <c r="AI29" i="19"/>
  <c r="G964" i="23" s="1"/>
  <c r="AF29" i="19"/>
  <c r="G860" i="23" s="1"/>
  <c r="G652" i="23"/>
  <c r="G548" i="23"/>
  <c r="G444" i="23"/>
  <c r="G236" i="23"/>
  <c r="K29" i="19"/>
  <c r="G132" i="23" s="1"/>
  <c r="H29" i="19"/>
  <c r="G28" i="23" s="1"/>
  <c r="G756" i="23"/>
  <c r="BY29" i="19"/>
  <c r="G2420" i="23" s="1"/>
  <c r="G2211" i="23"/>
  <c r="BM28" i="19"/>
  <c r="G2003" i="23" s="1"/>
  <c r="G1795" i="23"/>
  <c r="G1379" i="23"/>
  <c r="G1067" i="23"/>
  <c r="G963" i="23"/>
  <c r="G859" i="23"/>
  <c r="G651" i="23"/>
  <c r="W28" i="19"/>
  <c r="G547" i="23" s="1"/>
  <c r="G443" i="23"/>
  <c r="N28" i="19"/>
  <c r="G235" i="23" s="1"/>
  <c r="G27" i="23"/>
  <c r="BD24" i="19"/>
  <c r="G1687" i="23" s="1"/>
  <c r="G2311" i="23"/>
  <c r="AX22" i="19"/>
  <c r="G1477" i="23" s="1"/>
  <c r="AU22" i="19"/>
  <c r="G1373" i="23" s="1"/>
  <c r="AL22" i="19"/>
  <c r="G1061" i="23" s="1"/>
  <c r="G853" i="23"/>
  <c r="AC22" i="19"/>
  <c r="G749" i="23" s="1"/>
  <c r="G645" i="23"/>
  <c r="W22" i="19"/>
  <c r="G541" i="23" s="1"/>
  <c r="G125" i="23"/>
  <c r="H22" i="19"/>
  <c r="G21" i="23" s="1"/>
  <c r="K20" i="19"/>
  <c r="G123" i="23" s="1"/>
  <c r="W18" i="19"/>
  <c r="G537" i="23" s="1"/>
  <c r="AX18" i="19"/>
  <c r="G1473" i="23" s="1"/>
  <c r="BD18" i="19"/>
  <c r="G1681" i="23" s="1"/>
  <c r="BM18" i="19"/>
  <c r="G1993" i="23" s="1"/>
  <c r="H18" i="19"/>
  <c r="G17" i="23" s="1"/>
  <c r="K18" i="19"/>
  <c r="G121" i="23" s="1"/>
  <c r="N18" i="19"/>
  <c r="G225" i="23" s="1"/>
  <c r="AI18" i="19"/>
  <c r="G953" i="23" s="1"/>
  <c r="BY18" i="19"/>
  <c r="G2409" i="23" s="1"/>
  <c r="H17" i="19"/>
  <c r="G16" i="23" s="1"/>
  <c r="T17" i="19"/>
  <c r="G432" i="23" s="1"/>
  <c r="AI17" i="19"/>
  <c r="G952" i="23" s="1"/>
  <c r="AL17" i="19"/>
  <c r="G1056" i="23" s="1"/>
  <c r="AU17" i="19"/>
  <c r="G1368" i="23" s="1"/>
  <c r="AX17" i="19"/>
  <c r="G1472" i="23" s="1"/>
  <c r="BD17" i="19"/>
  <c r="G1680" i="23" s="1"/>
  <c r="BJ17" i="19"/>
  <c r="G1888" i="23" s="1"/>
  <c r="BS17" i="19"/>
  <c r="G2200" i="23" s="1"/>
  <c r="BV17" i="19"/>
  <c r="G2304" i="23" s="1"/>
  <c r="G120" i="23"/>
  <c r="N17" i="19"/>
  <c r="G224" i="23" s="1"/>
  <c r="BG17" i="19"/>
  <c r="G1784" i="23" s="1"/>
  <c r="BY17" i="19"/>
  <c r="G2408" i="23" s="1"/>
  <c r="G15" i="23"/>
  <c r="G639" i="23"/>
  <c r="BD16" i="19"/>
  <c r="G1679" i="23" s="1"/>
  <c r="BJ13" i="19"/>
  <c r="G1884" i="23" s="1"/>
  <c r="BG13" i="19"/>
  <c r="G1780" i="23" s="1"/>
  <c r="BD13" i="19"/>
  <c r="G1676" i="23" s="1"/>
  <c r="BA13" i="19"/>
  <c r="G1572" i="23" s="1"/>
  <c r="AX13" i="19"/>
  <c r="G1468" i="23" s="1"/>
  <c r="AL13" i="19"/>
  <c r="G1052" i="23" s="1"/>
  <c r="AI13" i="19"/>
  <c r="G948" i="23" s="1"/>
  <c r="CG13" i="19"/>
  <c r="W13" i="19"/>
  <c r="G532" i="23" s="1"/>
  <c r="AC13" i="19"/>
  <c r="G740" i="23" s="1"/>
  <c r="AU15" i="19"/>
  <c r="G1366" i="23" s="1"/>
  <c r="T15" i="19"/>
  <c r="G430" i="23" s="1"/>
  <c r="H15" i="19"/>
  <c r="G14" i="23" s="1"/>
  <c r="BD15" i="19"/>
  <c r="G1678" i="23" s="1"/>
  <c r="BG15" i="19"/>
  <c r="G1782" i="23" s="1"/>
  <c r="BV15" i="19"/>
  <c r="G2302" i="23" s="1"/>
  <c r="G2406" i="23"/>
  <c r="AU12" i="19"/>
  <c r="G1363" i="23" s="1"/>
  <c r="AU11" i="19"/>
  <c r="G1362" i="23" s="1"/>
  <c r="AU9" i="19"/>
  <c r="G1360" i="23" s="1"/>
  <c r="AU8" i="19"/>
  <c r="G1359" i="23" s="1"/>
  <c r="CB7" i="19"/>
  <c r="G2502" i="23" s="1"/>
  <c r="CB8" i="19"/>
  <c r="G2503" i="23" s="1"/>
  <c r="CB9" i="19"/>
  <c r="G2504" i="23" s="1"/>
  <c r="CB10" i="19"/>
  <c r="G2505" i="23" s="1"/>
  <c r="CB11" i="19"/>
  <c r="G2506" i="23" s="1"/>
  <c r="CB12" i="19"/>
  <c r="G2507" i="23" s="1"/>
  <c r="CB13" i="19"/>
  <c r="G2508" i="23" s="1"/>
  <c r="CB14" i="19"/>
  <c r="G2509" i="23" s="1"/>
  <c r="CB15" i="19"/>
  <c r="G2510" i="23" s="1"/>
  <c r="CB16" i="19"/>
  <c r="G2511" i="23" s="1"/>
  <c r="CB17" i="19"/>
  <c r="G2512" i="23" s="1"/>
  <c r="CB18" i="19"/>
  <c r="G2513" i="23" s="1"/>
  <c r="CB19" i="19"/>
  <c r="G2514" i="23" s="1"/>
  <c r="CB20" i="19"/>
  <c r="G2515" i="23" s="1"/>
  <c r="CB21" i="19"/>
  <c r="G2516" i="23" s="1"/>
  <c r="CB22" i="19"/>
  <c r="G2517" i="23" s="1"/>
  <c r="CB23" i="19"/>
  <c r="G2518" i="23" s="1"/>
  <c r="CB24" i="19"/>
  <c r="G2519" i="23" s="1"/>
  <c r="CB25" i="19"/>
  <c r="G2520" i="23" s="1"/>
  <c r="CB26" i="19"/>
  <c r="G2521" i="23" s="1"/>
  <c r="CB27" i="19"/>
  <c r="G2522" i="23" s="1"/>
  <c r="CB28" i="19"/>
  <c r="G2523" i="23" s="1"/>
  <c r="G2524" i="23"/>
  <c r="CB30" i="19"/>
  <c r="G2525" i="23" s="1"/>
  <c r="CB31" i="19"/>
  <c r="G2526" i="23" s="1"/>
  <c r="CB33" i="19"/>
  <c r="G2528" i="23" s="1"/>
  <c r="CB34" i="19"/>
  <c r="G2529" i="23" s="1"/>
  <c r="CB35" i="19"/>
  <c r="G2530" i="23" s="1"/>
  <c r="CB36" i="19"/>
  <c r="G2531" i="23" s="1"/>
  <c r="CB37" i="19"/>
  <c r="G2532" i="23" s="1"/>
  <c r="CB38" i="19"/>
  <c r="G2533" i="23" s="1"/>
  <c r="CB39" i="19"/>
  <c r="G2534" i="23" s="1"/>
  <c r="CB40" i="19"/>
  <c r="G2535" i="23" s="1"/>
  <c r="CB41" i="19"/>
  <c r="G2536" i="23" s="1"/>
  <c r="CB42" i="19"/>
  <c r="G2537" i="23" s="1"/>
  <c r="CB43" i="19"/>
  <c r="G2538" i="23" s="1"/>
  <c r="CB44" i="19"/>
  <c r="G2539" i="23" s="1"/>
  <c r="CB45" i="19"/>
  <c r="G2540" i="23" s="1"/>
  <c r="CB46" i="19"/>
  <c r="G2541" i="23" s="1"/>
  <c r="CB47" i="19"/>
  <c r="G2542" i="23" s="1"/>
  <c r="CB48" i="19"/>
  <c r="G2543" i="23" s="1"/>
  <c r="CB49" i="19"/>
  <c r="G2544" i="23" s="1"/>
  <c r="CB50" i="19"/>
  <c r="G2545" i="23" s="1"/>
  <c r="CB51" i="19"/>
  <c r="G2546" i="23" s="1"/>
  <c r="CB52" i="19"/>
  <c r="G2547" i="23" s="1"/>
  <c r="CB53" i="19"/>
  <c r="G2548" i="23" s="1"/>
  <c r="CB54" i="19"/>
  <c r="G2549" i="23" s="1"/>
  <c r="CB55" i="19"/>
  <c r="G2550" i="23" s="1"/>
  <c r="CB56" i="19"/>
  <c r="G2551" i="23" s="1"/>
  <c r="CB57" i="19"/>
  <c r="G2552" i="23" s="1"/>
  <c r="CB58" i="19"/>
  <c r="G2553" i="23" s="1"/>
  <c r="G2555" i="23"/>
  <c r="CB61" i="19"/>
  <c r="G2556" i="23" s="1"/>
  <c r="CB62" i="19"/>
  <c r="G2557" i="23" s="1"/>
  <c r="CB63" i="19"/>
  <c r="G2558" i="23" s="1"/>
  <c r="CB64" i="19"/>
  <c r="G2559" i="23" s="1"/>
  <c r="CB65" i="19"/>
  <c r="G2560" i="23" s="1"/>
  <c r="CB66" i="19"/>
  <c r="G2561" i="23" s="1"/>
  <c r="CB67" i="19"/>
  <c r="G2562" i="23" s="1"/>
  <c r="CB68" i="19"/>
  <c r="G2563" i="23" s="1"/>
  <c r="CB69" i="19"/>
  <c r="G2564" i="23" s="1"/>
  <c r="CB70" i="19"/>
  <c r="G2565" i="23" s="1"/>
  <c r="CB71" i="19"/>
  <c r="G2566" i="23" s="1"/>
  <c r="CB72" i="19"/>
  <c r="G2567" i="23" s="1"/>
  <c r="CB73" i="19"/>
  <c r="G2568" i="23" s="1"/>
  <c r="CB74" i="19"/>
  <c r="G2569" i="23" s="1"/>
  <c r="CB75" i="19"/>
  <c r="G2570" i="23" s="1"/>
  <c r="CB76" i="19"/>
  <c r="G2571" i="23" s="1"/>
  <c r="CB77" i="19"/>
  <c r="G2572" i="23" s="1"/>
  <c r="CB78" i="19"/>
  <c r="G2573" i="23" s="1"/>
  <c r="CB79" i="19"/>
  <c r="G2574" i="23" s="1"/>
  <c r="CB81" i="19"/>
  <c r="G2576" i="23" s="1"/>
  <c r="CB82" i="19"/>
  <c r="G2577" i="23" s="1"/>
  <c r="CB83" i="19"/>
  <c r="G2578" i="23" s="1"/>
  <c r="CB84" i="19"/>
  <c r="G2579" i="23" s="1"/>
  <c r="CB85" i="19"/>
  <c r="G2580" i="23" s="1"/>
  <c r="CB86" i="19"/>
  <c r="G2581" i="23" s="1"/>
  <c r="CB87" i="19"/>
  <c r="G2582" i="23" s="1"/>
  <c r="CB88" i="19"/>
  <c r="G2583" i="23" s="1"/>
  <c r="CB89" i="19"/>
  <c r="G2584" i="23" s="1"/>
  <c r="CB90" i="19"/>
  <c r="G2585" i="23" s="1"/>
  <c r="G2586" i="23"/>
  <c r="CB93" i="19"/>
  <c r="G2588" i="23" s="1"/>
  <c r="CB94" i="19"/>
  <c r="G2589" i="23" s="1"/>
  <c r="CB95" i="19"/>
  <c r="G2590" i="23" s="1"/>
  <c r="CB96" i="19"/>
  <c r="G2591" i="23" s="1"/>
  <c r="CB97" i="19"/>
  <c r="G2592" i="23" s="1"/>
  <c r="CB98" i="19"/>
  <c r="G2593" i="23" s="1"/>
  <c r="CB99" i="19"/>
  <c r="G2594" i="23" s="1"/>
  <c r="CB100" i="19"/>
  <c r="G2595" i="23" s="1"/>
  <c r="CB101" i="19"/>
  <c r="G2596" i="23" s="1"/>
  <c r="CB102" i="19"/>
  <c r="G2597" i="23" s="1"/>
  <c r="CB103" i="19"/>
  <c r="G2598" i="23" s="1"/>
  <c r="CB104" i="19"/>
  <c r="G2599" i="23" s="1"/>
  <c r="CB105" i="19"/>
  <c r="G2600" i="23" s="1"/>
  <c r="CB106" i="19"/>
  <c r="G2601" i="23" s="1"/>
  <c r="CB107" i="19"/>
  <c r="G2602" i="23" s="1"/>
  <c r="CB108" i="19"/>
  <c r="G2603" i="23" s="1"/>
  <c r="CB109" i="19"/>
  <c r="G2604" i="23" s="1"/>
  <c r="BY7" i="19"/>
  <c r="G2398" i="23" s="1"/>
  <c r="BY8" i="19"/>
  <c r="G2399" i="23" s="1"/>
  <c r="BY9" i="19"/>
  <c r="G2400" i="23" s="1"/>
  <c r="BY10" i="19"/>
  <c r="G2401" i="23" s="1"/>
  <c r="BY11" i="19"/>
  <c r="G2402" i="23" s="1"/>
  <c r="BY12" i="19"/>
  <c r="G2403" i="23" s="1"/>
  <c r="BY13" i="19"/>
  <c r="G2404" i="23" s="1"/>
  <c r="BY14" i="19"/>
  <c r="G2405" i="23" s="1"/>
  <c r="BY16" i="19"/>
  <c r="G2407" i="23" s="1"/>
  <c r="BY19" i="19"/>
  <c r="G2410" i="23" s="1"/>
  <c r="BY20" i="19"/>
  <c r="G2411" i="23" s="1"/>
  <c r="BY21" i="19"/>
  <c r="G2412" i="23" s="1"/>
  <c r="BY22" i="19"/>
  <c r="G2413" i="23" s="1"/>
  <c r="BY23" i="19"/>
  <c r="G2414" i="23" s="1"/>
  <c r="BY24" i="19"/>
  <c r="G2415" i="23" s="1"/>
  <c r="BY25" i="19"/>
  <c r="G2416" i="23" s="1"/>
  <c r="BY26" i="19"/>
  <c r="G2417" i="23" s="1"/>
  <c r="BY27" i="19"/>
  <c r="G2418" i="23" s="1"/>
  <c r="G2419" i="23"/>
  <c r="BY30" i="19"/>
  <c r="G2421" i="23" s="1"/>
  <c r="BY31" i="19"/>
  <c r="G2422" i="23" s="1"/>
  <c r="BY33" i="19"/>
  <c r="G2424" i="23" s="1"/>
  <c r="BY34" i="19"/>
  <c r="G2425" i="23" s="1"/>
  <c r="BY35" i="19"/>
  <c r="G2426" i="23" s="1"/>
  <c r="BY36" i="19"/>
  <c r="G2427" i="23" s="1"/>
  <c r="BY37" i="19"/>
  <c r="G2428" i="23" s="1"/>
  <c r="BY38" i="19"/>
  <c r="G2429" i="23" s="1"/>
  <c r="BY39" i="19"/>
  <c r="G2430" i="23" s="1"/>
  <c r="BY40" i="19"/>
  <c r="G2431" i="23" s="1"/>
  <c r="BY41" i="19"/>
  <c r="G2432" i="23" s="1"/>
  <c r="BY42" i="19"/>
  <c r="G2433" i="23" s="1"/>
  <c r="BY43" i="19"/>
  <c r="G2434" i="23" s="1"/>
  <c r="BY44" i="19"/>
  <c r="G2435" i="23" s="1"/>
  <c r="BY45" i="19"/>
  <c r="G2436" i="23" s="1"/>
  <c r="BY46" i="19"/>
  <c r="G2437" i="23" s="1"/>
  <c r="BY47" i="19"/>
  <c r="G2438" i="23" s="1"/>
  <c r="BY48" i="19"/>
  <c r="G2439" i="23" s="1"/>
  <c r="BY49" i="19"/>
  <c r="G2440" i="23" s="1"/>
  <c r="BY50" i="19"/>
  <c r="G2441" i="23" s="1"/>
  <c r="BY51" i="19"/>
  <c r="G2442" i="23" s="1"/>
  <c r="BY52" i="19"/>
  <c r="G2443" i="23" s="1"/>
  <c r="BY53" i="19"/>
  <c r="G2444" i="23" s="1"/>
  <c r="BY54" i="19"/>
  <c r="G2445" i="23" s="1"/>
  <c r="BY55" i="19"/>
  <c r="G2446" i="23" s="1"/>
  <c r="BY56" i="19"/>
  <c r="G2447" i="23" s="1"/>
  <c r="BY57" i="19"/>
  <c r="G2448" i="23" s="1"/>
  <c r="BY58" i="19"/>
  <c r="G2449" i="23" s="1"/>
  <c r="BY61" i="19"/>
  <c r="G2452" i="23" s="1"/>
  <c r="BY62" i="19"/>
  <c r="G2453" i="23" s="1"/>
  <c r="BY63" i="19"/>
  <c r="G2454" i="23" s="1"/>
  <c r="BY64" i="19"/>
  <c r="G2455" i="23" s="1"/>
  <c r="BY65" i="19"/>
  <c r="G2456" i="23" s="1"/>
  <c r="BY66" i="19"/>
  <c r="G2457" i="23" s="1"/>
  <c r="BY67" i="19"/>
  <c r="G2458" i="23" s="1"/>
  <c r="BY68" i="19"/>
  <c r="G2459" i="23" s="1"/>
  <c r="BY69" i="19"/>
  <c r="G2460" i="23" s="1"/>
  <c r="BY70" i="19"/>
  <c r="G2461" i="23" s="1"/>
  <c r="BY71" i="19"/>
  <c r="G2462" i="23" s="1"/>
  <c r="BY72" i="19"/>
  <c r="G2463" i="23" s="1"/>
  <c r="BY73" i="19"/>
  <c r="G2464" i="23" s="1"/>
  <c r="BY74" i="19"/>
  <c r="G2465" i="23" s="1"/>
  <c r="G2466" i="23"/>
  <c r="BY76" i="19"/>
  <c r="G2467" i="23" s="1"/>
  <c r="BY77" i="19"/>
  <c r="G2468" i="23" s="1"/>
  <c r="BY79" i="19"/>
  <c r="G2470" i="23" s="1"/>
  <c r="BY80" i="19"/>
  <c r="G2471" i="23" s="1"/>
  <c r="BY81" i="19"/>
  <c r="G2472" i="23" s="1"/>
  <c r="BY82" i="19"/>
  <c r="G2473" i="23" s="1"/>
  <c r="BY83" i="19"/>
  <c r="G2474" i="23" s="1"/>
  <c r="BY84" i="19"/>
  <c r="G2475" i="23" s="1"/>
  <c r="BY85" i="19"/>
  <c r="G2476" i="23" s="1"/>
  <c r="BY86" i="19"/>
  <c r="G2477" i="23" s="1"/>
  <c r="BY87" i="19"/>
  <c r="G2478" i="23" s="1"/>
  <c r="BY88" i="19"/>
  <c r="G2479" i="23" s="1"/>
  <c r="BY89" i="19"/>
  <c r="G2480" i="23" s="1"/>
  <c r="BY90" i="19"/>
  <c r="G2481" i="23" s="1"/>
  <c r="G2482" i="23"/>
  <c r="G2483" i="23"/>
  <c r="G2484" i="23"/>
  <c r="BY94" i="19"/>
  <c r="G2485" i="23" s="1"/>
  <c r="BY95" i="19"/>
  <c r="G2486" i="23" s="1"/>
  <c r="BY96" i="19"/>
  <c r="G2487" i="23" s="1"/>
  <c r="BY97" i="19"/>
  <c r="G2488" i="23" s="1"/>
  <c r="BY98" i="19"/>
  <c r="G2489" i="23" s="1"/>
  <c r="BY99" i="19"/>
  <c r="G2490" i="23" s="1"/>
  <c r="BY100" i="19"/>
  <c r="G2491" i="23" s="1"/>
  <c r="BY101" i="19"/>
  <c r="G2492" i="23" s="1"/>
  <c r="BY102" i="19"/>
  <c r="G2493" i="23" s="1"/>
  <c r="BY103" i="19"/>
  <c r="G2494" i="23" s="1"/>
  <c r="BY104" i="19"/>
  <c r="G2495" i="23" s="1"/>
  <c r="BY105" i="19"/>
  <c r="G2496" i="23" s="1"/>
  <c r="BY106" i="19"/>
  <c r="G2497" i="23" s="1"/>
  <c r="BY107" i="19"/>
  <c r="G2498" i="23" s="1"/>
  <c r="BY108" i="19"/>
  <c r="G2499" i="23" s="1"/>
  <c r="BY109" i="19"/>
  <c r="G2500" i="23" s="1"/>
  <c r="BV7" i="19"/>
  <c r="G2294" i="23" s="1"/>
  <c r="BV8" i="19"/>
  <c r="G2295" i="23" s="1"/>
  <c r="BV9" i="19"/>
  <c r="G2296" i="23" s="1"/>
  <c r="BV10" i="19"/>
  <c r="G2297" i="23" s="1"/>
  <c r="BV11" i="19"/>
  <c r="G2298" i="23" s="1"/>
  <c r="BV12" i="19"/>
  <c r="G2299" i="23" s="1"/>
  <c r="BV13" i="19"/>
  <c r="G2300" i="23" s="1"/>
  <c r="BV14" i="19"/>
  <c r="G2301" i="23" s="1"/>
  <c r="BV16" i="19"/>
  <c r="G2303" i="23" s="1"/>
  <c r="BV18" i="19"/>
  <c r="G2305" i="23" s="1"/>
  <c r="BV19" i="19"/>
  <c r="G2306" i="23" s="1"/>
  <c r="BV20" i="19"/>
  <c r="G2307" i="23" s="1"/>
  <c r="BV21" i="19"/>
  <c r="G2308" i="23" s="1"/>
  <c r="BV22" i="19"/>
  <c r="G2309" i="23" s="1"/>
  <c r="BV23" i="19"/>
  <c r="G2310" i="23" s="1"/>
  <c r="BV25" i="19"/>
  <c r="G2312" i="23" s="1"/>
  <c r="BV26" i="19"/>
  <c r="G2313" i="23" s="1"/>
  <c r="BV27" i="19"/>
  <c r="G2314" i="23" s="1"/>
  <c r="G2315" i="23"/>
  <c r="BV29" i="19"/>
  <c r="G2316" i="23" s="1"/>
  <c r="BV30" i="19"/>
  <c r="G2317" i="23" s="1"/>
  <c r="BV31" i="19"/>
  <c r="G2318" i="23" s="1"/>
  <c r="BV33" i="19"/>
  <c r="G2320" i="23" s="1"/>
  <c r="BV34" i="19"/>
  <c r="G2321" i="23" s="1"/>
  <c r="BV35" i="19"/>
  <c r="G2322" i="23" s="1"/>
  <c r="BV36" i="19"/>
  <c r="G2323" i="23" s="1"/>
  <c r="BV37" i="19"/>
  <c r="G2324" i="23" s="1"/>
  <c r="BV38" i="19"/>
  <c r="G2325" i="23" s="1"/>
  <c r="BV39" i="19"/>
  <c r="G2326" i="23" s="1"/>
  <c r="BV40" i="19"/>
  <c r="G2327" i="23" s="1"/>
  <c r="BV41" i="19"/>
  <c r="G2328" i="23" s="1"/>
  <c r="BV42" i="19"/>
  <c r="G2329" i="23" s="1"/>
  <c r="BV43" i="19"/>
  <c r="G2330" i="23" s="1"/>
  <c r="BV44" i="19"/>
  <c r="G2331" i="23" s="1"/>
  <c r="BV45" i="19"/>
  <c r="G2332" i="23" s="1"/>
  <c r="BV46" i="19"/>
  <c r="G2333" i="23" s="1"/>
  <c r="BV47" i="19"/>
  <c r="G2334" i="23" s="1"/>
  <c r="BV48" i="19"/>
  <c r="G2335" i="23" s="1"/>
  <c r="BV49" i="19"/>
  <c r="G2336" i="23" s="1"/>
  <c r="BV50" i="19"/>
  <c r="G2337" i="23" s="1"/>
  <c r="BV51" i="19"/>
  <c r="G2338" i="23" s="1"/>
  <c r="BV52" i="19"/>
  <c r="G2339" i="23" s="1"/>
  <c r="BV53" i="19"/>
  <c r="G2340" i="23" s="1"/>
  <c r="BV54" i="19"/>
  <c r="G2341" i="23" s="1"/>
  <c r="BV55" i="19"/>
  <c r="G2342" i="23" s="1"/>
  <c r="BV56" i="19"/>
  <c r="G2343" i="23" s="1"/>
  <c r="BV57" i="19"/>
  <c r="G2344" i="23" s="1"/>
  <c r="BV58" i="19"/>
  <c r="G2345" i="23" s="1"/>
  <c r="BV59" i="19"/>
  <c r="G2346" i="23" s="1"/>
  <c r="BV60" i="19"/>
  <c r="G2347" i="23" s="1"/>
  <c r="BV61" i="19"/>
  <c r="G2348" i="23" s="1"/>
  <c r="BV62" i="19"/>
  <c r="G2349" i="23" s="1"/>
  <c r="BV63" i="19"/>
  <c r="G2350" i="23" s="1"/>
  <c r="BV64" i="19"/>
  <c r="G2351" i="23" s="1"/>
  <c r="BV65" i="19"/>
  <c r="G2352" i="23" s="1"/>
  <c r="BV66" i="19"/>
  <c r="G2353" i="23" s="1"/>
  <c r="BV67" i="19"/>
  <c r="G2354" i="23" s="1"/>
  <c r="BV68" i="19"/>
  <c r="G2355" i="23" s="1"/>
  <c r="BV69" i="19"/>
  <c r="G2356" i="23" s="1"/>
  <c r="BV70" i="19"/>
  <c r="G2357" i="23" s="1"/>
  <c r="BV71" i="19"/>
  <c r="G2358" i="23" s="1"/>
  <c r="BV72" i="19"/>
  <c r="G2359" i="23" s="1"/>
  <c r="BV73" i="19"/>
  <c r="G2360" i="23" s="1"/>
  <c r="BV74" i="19"/>
  <c r="G2361" i="23" s="1"/>
  <c r="G2362" i="23"/>
  <c r="BV76" i="19"/>
  <c r="G2363" i="23" s="1"/>
  <c r="BV77" i="19"/>
  <c r="G2364" i="23" s="1"/>
  <c r="BV78" i="19"/>
  <c r="G2365" i="23" s="1"/>
  <c r="BV79" i="19"/>
  <c r="G2366" i="23" s="1"/>
  <c r="BV80" i="19"/>
  <c r="G2367" i="23" s="1"/>
  <c r="BV81" i="19"/>
  <c r="G2368" i="23" s="1"/>
  <c r="BV82" i="19"/>
  <c r="G2369" i="23" s="1"/>
  <c r="BV83" i="19"/>
  <c r="G2370" i="23" s="1"/>
  <c r="BV84" i="19"/>
  <c r="G2371" i="23" s="1"/>
  <c r="BV85" i="19"/>
  <c r="G2372" i="23" s="1"/>
  <c r="BV86" i="19"/>
  <c r="G2373" i="23" s="1"/>
  <c r="BV87" i="19"/>
  <c r="G2374" i="23" s="1"/>
  <c r="BV88" i="19"/>
  <c r="G2375" i="23" s="1"/>
  <c r="BV89" i="19"/>
  <c r="G2376" i="23" s="1"/>
  <c r="BV90" i="19"/>
  <c r="G2377" i="23" s="1"/>
  <c r="G2378" i="23"/>
  <c r="G2379" i="23"/>
  <c r="BV93" i="19"/>
  <c r="G2380" i="23" s="1"/>
  <c r="BV94" i="19"/>
  <c r="G2381" i="23" s="1"/>
  <c r="BV95" i="19"/>
  <c r="G2382" i="23" s="1"/>
  <c r="BV96" i="19"/>
  <c r="G2383" i="23" s="1"/>
  <c r="BV97" i="19"/>
  <c r="G2384" i="23" s="1"/>
  <c r="BV98" i="19"/>
  <c r="G2385" i="23" s="1"/>
  <c r="BV99" i="19"/>
  <c r="G2386" i="23" s="1"/>
  <c r="BV100" i="19"/>
  <c r="G2387" i="23" s="1"/>
  <c r="BV101" i="19"/>
  <c r="G2388" i="23" s="1"/>
  <c r="BV102" i="19"/>
  <c r="G2389" i="23" s="1"/>
  <c r="BV103" i="19"/>
  <c r="G2390" i="23" s="1"/>
  <c r="BV104" i="19"/>
  <c r="G2391" i="23" s="1"/>
  <c r="BV105" i="19"/>
  <c r="G2392" i="23" s="1"/>
  <c r="BV106" i="19"/>
  <c r="G2393" i="23" s="1"/>
  <c r="BV107" i="19"/>
  <c r="G2394" i="23" s="1"/>
  <c r="BV108" i="19"/>
  <c r="G2395" i="23" s="1"/>
  <c r="BV109" i="19"/>
  <c r="G2396" i="23" s="1"/>
  <c r="BS7" i="19"/>
  <c r="G2190" i="23" s="1"/>
  <c r="BS8" i="19"/>
  <c r="G2191" i="23" s="1"/>
  <c r="BS9" i="19"/>
  <c r="G2192" i="23" s="1"/>
  <c r="BS10" i="19"/>
  <c r="G2193" i="23" s="1"/>
  <c r="BS11" i="19"/>
  <c r="G2194" i="23" s="1"/>
  <c r="BS12" i="19"/>
  <c r="G2195" i="23" s="1"/>
  <c r="G2196" i="23"/>
  <c r="BS14" i="19"/>
  <c r="G2197" i="23" s="1"/>
  <c r="BS15" i="19"/>
  <c r="G2198" i="23" s="1"/>
  <c r="BS16" i="19"/>
  <c r="G2199" i="23" s="1"/>
  <c r="BS18" i="19"/>
  <c r="G2201" i="23" s="1"/>
  <c r="BS19" i="19"/>
  <c r="G2202" i="23" s="1"/>
  <c r="BS20" i="19"/>
  <c r="G2203" i="23" s="1"/>
  <c r="BS21" i="19"/>
  <c r="G2204" i="23" s="1"/>
  <c r="G2205" i="23"/>
  <c r="BS23" i="19"/>
  <c r="G2206" i="23" s="1"/>
  <c r="BS24" i="19"/>
  <c r="G2207" i="23" s="1"/>
  <c r="BS25" i="19"/>
  <c r="G2208" i="23" s="1"/>
  <c r="BS26" i="19"/>
  <c r="G2209" i="23" s="1"/>
  <c r="BS27" i="19"/>
  <c r="G2210" i="23" s="1"/>
  <c r="G2212" i="23"/>
  <c r="BS30" i="19"/>
  <c r="G2213" i="23" s="1"/>
  <c r="BS31" i="19"/>
  <c r="G2214" i="23" s="1"/>
  <c r="BS33" i="19"/>
  <c r="G2216" i="23" s="1"/>
  <c r="G2217" i="23"/>
  <c r="BS35" i="19"/>
  <c r="G2218" i="23" s="1"/>
  <c r="BS36" i="19"/>
  <c r="G2219" i="23" s="1"/>
  <c r="BS37" i="19"/>
  <c r="G2220" i="23" s="1"/>
  <c r="BS38" i="19"/>
  <c r="G2221" i="23" s="1"/>
  <c r="BS39" i="19"/>
  <c r="G2222" i="23" s="1"/>
  <c r="BS40" i="19"/>
  <c r="G2223" i="23" s="1"/>
  <c r="BS41" i="19"/>
  <c r="G2224" i="23" s="1"/>
  <c r="BS42" i="19"/>
  <c r="G2225" i="23" s="1"/>
  <c r="BS43" i="19"/>
  <c r="G2226" i="23" s="1"/>
  <c r="BS44" i="19"/>
  <c r="G2227" i="23" s="1"/>
  <c r="BS45" i="19"/>
  <c r="G2228" i="23" s="1"/>
  <c r="BS46" i="19"/>
  <c r="G2229" i="23" s="1"/>
  <c r="BS47" i="19"/>
  <c r="G2230" i="23" s="1"/>
  <c r="BS48" i="19"/>
  <c r="G2231" i="23" s="1"/>
  <c r="BS49" i="19"/>
  <c r="G2232" i="23" s="1"/>
  <c r="BS50" i="19"/>
  <c r="G2233" i="23" s="1"/>
  <c r="BS51" i="19"/>
  <c r="G2234" i="23" s="1"/>
  <c r="BS52" i="19"/>
  <c r="G2235" i="23" s="1"/>
  <c r="BS53" i="19"/>
  <c r="G2236" i="23" s="1"/>
  <c r="BS54" i="19"/>
  <c r="G2237" i="23" s="1"/>
  <c r="BS55" i="19"/>
  <c r="G2238" i="23" s="1"/>
  <c r="BS56" i="19"/>
  <c r="G2239" i="23" s="1"/>
  <c r="BS57" i="19"/>
  <c r="G2240" i="23" s="1"/>
  <c r="BS58" i="19"/>
  <c r="G2241" i="23" s="1"/>
  <c r="G2242" i="23"/>
  <c r="BS60" i="19"/>
  <c r="G2243" i="23" s="1"/>
  <c r="BS61" i="19"/>
  <c r="G2244" i="23" s="1"/>
  <c r="BS62" i="19"/>
  <c r="G2245" i="23" s="1"/>
  <c r="BS63" i="19"/>
  <c r="G2246" i="23" s="1"/>
  <c r="BS64" i="19"/>
  <c r="G2247" i="23" s="1"/>
  <c r="BS65" i="19"/>
  <c r="G2248" i="23" s="1"/>
  <c r="BS66" i="19"/>
  <c r="G2249" i="23" s="1"/>
  <c r="BS67" i="19"/>
  <c r="G2250" i="23" s="1"/>
  <c r="BS68" i="19"/>
  <c r="G2251" i="23" s="1"/>
  <c r="BS69" i="19"/>
  <c r="G2252" i="23" s="1"/>
  <c r="BS70" i="19"/>
  <c r="G2253" i="23" s="1"/>
  <c r="BS71" i="19"/>
  <c r="G2254" i="23" s="1"/>
  <c r="BS72" i="19"/>
  <c r="G2255" i="23" s="1"/>
  <c r="BS73" i="19"/>
  <c r="G2256" i="23" s="1"/>
  <c r="BS74" i="19"/>
  <c r="G2257" i="23" s="1"/>
  <c r="BS76" i="19"/>
  <c r="G2259" i="23" s="1"/>
  <c r="BS77" i="19"/>
  <c r="G2260" i="23" s="1"/>
  <c r="G2261" i="23"/>
  <c r="BS79" i="19"/>
  <c r="G2262" i="23" s="1"/>
  <c r="BS80" i="19"/>
  <c r="G2263" i="23" s="1"/>
  <c r="BS81" i="19"/>
  <c r="G2264" i="23" s="1"/>
  <c r="BS82" i="19"/>
  <c r="G2265" i="23" s="1"/>
  <c r="BS83" i="19"/>
  <c r="G2266" i="23" s="1"/>
  <c r="BS84" i="19"/>
  <c r="G2267" i="23" s="1"/>
  <c r="BS85" i="19"/>
  <c r="G2268" i="23" s="1"/>
  <c r="BS86" i="19"/>
  <c r="G2269" i="23" s="1"/>
  <c r="BS87" i="19"/>
  <c r="G2270" i="23" s="1"/>
  <c r="BS88" i="19"/>
  <c r="G2271" i="23" s="1"/>
  <c r="BS89" i="19"/>
  <c r="G2272" i="23" s="1"/>
  <c r="BS90" i="19"/>
  <c r="G2273" i="23" s="1"/>
  <c r="BS91" i="19"/>
  <c r="G2274" i="23" s="1"/>
  <c r="BS92" i="19"/>
  <c r="G2275" i="23" s="1"/>
  <c r="G2276" i="23"/>
  <c r="BS94" i="19"/>
  <c r="G2277" i="23" s="1"/>
  <c r="BS95" i="19"/>
  <c r="G2278" i="23" s="1"/>
  <c r="BS96" i="19"/>
  <c r="G2279" i="23" s="1"/>
  <c r="BS97" i="19"/>
  <c r="G2280" i="23" s="1"/>
  <c r="BS98" i="19"/>
  <c r="G2281" i="23" s="1"/>
  <c r="BS99" i="19"/>
  <c r="G2282" i="23" s="1"/>
  <c r="BS100" i="19"/>
  <c r="G2283" i="23" s="1"/>
  <c r="BS101" i="19"/>
  <c r="G2284" i="23" s="1"/>
  <c r="BS102" i="19"/>
  <c r="G2285" i="23" s="1"/>
  <c r="BS103" i="19"/>
  <c r="G2286" i="23" s="1"/>
  <c r="BS104" i="19"/>
  <c r="G2287" i="23" s="1"/>
  <c r="BS105" i="19"/>
  <c r="G2288" i="23" s="1"/>
  <c r="BS106" i="19"/>
  <c r="G2289" i="23" s="1"/>
  <c r="BS107" i="19"/>
  <c r="G2290" i="23" s="1"/>
  <c r="BS108" i="19"/>
  <c r="G2291" i="23" s="1"/>
  <c r="BS109" i="19"/>
  <c r="G2292" i="23" s="1"/>
  <c r="BP7" i="19"/>
  <c r="G2086" i="23" s="1"/>
  <c r="BP8" i="19"/>
  <c r="G2087" i="23" s="1"/>
  <c r="BP9" i="19"/>
  <c r="G2088" i="23" s="1"/>
  <c r="BP10" i="19"/>
  <c r="G2089" i="23" s="1"/>
  <c r="BP11" i="19"/>
  <c r="G2090" i="23" s="1"/>
  <c r="BP12" i="19"/>
  <c r="G2091" i="23" s="1"/>
  <c r="BP13" i="19"/>
  <c r="G2092" i="23" s="1"/>
  <c r="BP14" i="19"/>
  <c r="G2093" i="23" s="1"/>
  <c r="BP15" i="19"/>
  <c r="G2094" i="23" s="1"/>
  <c r="BP16" i="19"/>
  <c r="G2095" i="23" s="1"/>
  <c r="BP17" i="19"/>
  <c r="G2096" i="23" s="1"/>
  <c r="BP18" i="19"/>
  <c r="G2097" i="23" s="1"/>
  <c r="BP19" i="19"/>
  <c r="G2098" i="23" s="1"/>
  <c r="BP20" i="19"/>
  <c r="G2099" i="23" s="1"/>
  <c r="BP21" i="19"/>
  <c r="G2100" i="23" s="1"/>
  <c r="BP22" i="19"/>
  <c r="G2101" i="23" s="1"/>
  <c r="BP23" i="19"/>
  <c r="G2102" i="23" s="1"/>
  <c r="BP24" i="19"/>
  <c r="G2103" i="23" s="1"/>
  <c r="BP25" i="19"/>
  <c r="G2104" i="23" s="1"/>
  <c r="BP26" i="19"/>
  <c r="G2105" i="23" s="1"/>
  <c r="BP27" i="19"/>
  <c r="G2106" i="23" s="1"/>
  <c r="G2107" i="23"/>
  <c r="G2108" i="23"/>
  <c r="BP30" i="19"/>
  <c r="G2109" i="23" s="1"/>
  <c r="BP31" i="19"/>
  <c r="G2110" i="23" s="1"/>
  <c r="BP32" i="19"/>
  <c r="G2111" i="23" s="1"/>
  <c r="BP33" i="19"/>
  <c r="G2112" i="23" s="1"/>
  <c r="BP34" i="19"/>
  <c r="G2113" i="23" s="1"/>
  <c r="BP35" i="19"/>
  <c r="G2114" i="23" s="1"/>
  <c r="BP36" i="19"/>
  <c r="G2115" i="23" s="1"/>
  <c r="BP37" i="19"/>
  <c r="G2116" i="23" s="1"/>
  <c r="BP38" i="19"/>
  <c r="G2117" i="23" s="1"/>
  <c r="BP39" i="19"/>
  <c r="G2118" i="23" s="1"/>
  <c r="BP40" i="19"/>
  <c r="G2119" i="23" s="1"/>
  <c r="BP41" i="19"/>
  <c r="G2120" i="23" s="1"/>
  <c r="BP42" i="19"/>
  <c r="G2121" i="23" s="1"/>
  <c r="BP43" i="19"/>
  <c r="G2122" i="23" s="1"/>
  <c r="BP44" i="19"/>
  <c r="G2123" i="23" s="1"/>
  <c r="BP45" i="19"/>
  <c r="G2124" i="23" s="1"/>
  <c r="BP46" i="19"/>
  <c r="G2125" i="23" s="1"/>
  <c r="BP47" i="19"/>
  <c r="G2126" i="23" s="1"/>
  <c r="BP48" i="19"/>
  <c r="G2127" i="23" s="1"/>
  <c r="BP49" i="19"/>
  <c r="G2128" i="23" s="1"/>
  <c r="BP50" i="19"/>
  <c r="G2129" i="23" s="1"/>
  <c r="BP51" i="19"/>
  <c r="G2130" i="23" s="1"/>
  <c r="BP52" i="19"/>
  <c r="G2131" i="23" s="1"/>
  <c r="BP53" i="19"/>
  <c r="G2132" i="23" s="1"/>
  <c r="BP54" i="19"/>
  <c r="G2133" i="23" s="1"/>
  <c r="BP55" i="19"/>
  <c r="G2134" i="23" s="1"/>
  <c r="BP56" i="19"/>
  <c r="G2135" i="23" s="1"/>
  <c r="BP57" i="19"/>
  <c r="G2136" i="23" s="1"/>
  <c r="BP58" i="19"/>
  <c r="G2137" i="23" s="1"/>
  <c r="BP59" i="19"/>
  <c r="G2138" i="23" s="1"/>
  <c r="BP60" i="19"/>
  <c r="G2139" i="23" s="1"/>
  <c r="BP61" i="19"/>
  <c r="G2140" i="23" s="1"/>
  <c r="BP62" i="19"/>
  <c r="G2141" i="23" s="1"/>
  <c r="BP63" i="19"/>
  <c r="G2142" i="23" s="1"/>
  <c r="BP64" i="19"/>
  <c r="G2143" i="23" s="1"/>
  <c r="BP65" i="19"/>
  <c r="G2144" i="23" s="1"/>
  <c r="BP66" i="19"/>
  <c r="G2145" i="23" s="1"/>
  <c r="BP67" i="19"/>
  <c r="G2146" i="23" s="1"/>
  <c r="BP68" i="19"/>
  <c r="G2147" i="23" s="1"/>
  <c r="BP69" i="19"/>
  <c r="G2148" i="23" s="1"/>
  <c r="BP70" i="19"/>
  <c r="G2149" i="23" s="1"/>
  <c r="BP71" i="19"/>
  <c r="G2150" i="23" s="1"/>
  <c r="BP72" i="19"/>
  <c r="G2151" i="23" s="1"/>
  <c r="BP73" i="19"/>
  <c r="G2152" i="23" s="1"/>
  <c r="BP74" i="19"/>
  <c r="G2153" i="23" s="1"/>
  <c r="G2154" i="23"/>
  <c r="BP76" i="19"/>
  <c r="G2155" i="23" s="1"/>
  <c r="BP77" i="19"/>
  <c r="G2156" i="23" s="1"/>
  <c r="BP78" i="19"/>
  <c r="G2157" i="23" s="1"/>
  <c r="BP79" i="19"/>
  <c r="G2158" i="23" s="1"/>
  <c r="BP80" i="19"/>
  <c r="G2159" i="23" s="1"/>
  <c r="BP81" i="19"/>
  <c r="G2160" i="23" s="1"/>
  <c r="BP82" i="19"/>
  <c r="G2161" i="23" s="1"/>
  <c r="BP83" i="19"/>
  <c r="G2162" i="23" s="1"/>
  <c r="BP84" i="19"/>
  <c r="G2163" i="23" s="1"/>
  <c r="BP85" i="19"/>
  <c r="G2164" i="23" s="1"/>
  <c r="BP86" i="19"/>
  <c r="G2165" i="23" s="1"/>
  <c r="BP87" i="19"/>
  <c r="G2166" i="23" s="1"/>
  <c r="BP88" i="19"/>
  <c r="G2167" i="23" s="1"/>
  <c r="BP89" i="19"/>
  <c r="G2168" i="23" s="1"/>
  <c r="BP90" i="19"/>
  <c r="G2169" i="23" s="1"/>
  <c r="G2170" i="23"/>
  <c r="G2171" i="23"/>
  <c r="G2172" i="23"/>
  <c r="BP94" i="19"/>
  <c r="G2173" i="23" s="1"/>
  <c r="BP95" i="19"/>
  <c r="G2174" i="23" s="1"/>
  <c r="BP96" i="19"/>
  <c r="G2175" i="23" s="1"/>
  <c r="BP97" i="19"/>
  <c r="G2176" i="23" s="1"/>
  <c r="BP98" i="19"/>
  <c r="G2177" i="23" s="1"/>
  <c r="BP99" i="19"/>
  <c r="G2178" i="23" s="1"/>
  <c r="BP100" i="19"/>
  <c r="G2179" i="23" s="1"/>
  <c r="BP101" i="19"/>
  <c r="G2180" i="23" s="1"/>
  <c r="BP102" i="19"/>
  <c r="G2181" i="23" s="1"/>
  <c r="BP103" i="19"/>
  <c r="G2182" i="23" s="1"/>
  <c r="BP104" i="19"/>
  <c r="G2183" i="23" s="1"/>
  <c r="BP105" i="19"/>
  <c r="G2184" i="23" s="1"/>
  <c r="BP106" i="19"/>
  <c r="G2185" i="23" s="1"/>
  <c r="BP107" i="19"/>
  <c r="G2186" i="23" s="1"/>
  <c r="BP108" i="19"/>
  <c r="G2187" i="23" s="1"/>
  <c r="BP109" i="19"/>
  <c r="G2188" i="23" s="1"/>
  <c r="BM7" i="19"/>
  <c r="G1982" i="23" s="1"/>
  <c r="BM8" i="19"/>
  <c r="G1983" i="23" s="1"/>
  <c r="BM9" i="19"/>
  <c r="G1984" i="23" s="1"/>
  <c r="BM10" i="19"/>
  <c r="G1985" i="23" s="1"/>
  <c r="BM11" i="19"/>
  <c r="G1986" i="23" s="1"/>
  <c r="BM12" i="19"/>
  <c r="G1987" i="23" s="1"/>
  <c r="BM13" i="19"/>
  <c r="G1988" i="23" s="1"/>
  <c r="BM14" i="19"/>
  <c r="G1989" i="23" s="1"/>
  <c r="BM15" i="19"/>
  <c r="G1990" i="23" s="1"/>
  <c r="BM16" i="19"/>
  <c r="G1991" i="23" s="1"/>
  <c r="BM17" i="19"/>
  <c r="G1992" i="23" s="1"/>
  <c r="BM19" i="19"/>
  <c r="G1994" i="23" s="1"/>
  <c r="BM20" i="19"/>
  <c r="G1995" i="23" s="1"/>
  <c r="BM21" i="19"/>
  <c r="G1996" i="23" s="1"/>
  <c r="BM22" i="19"/>
  <c r="G1997" i="23" s="1"/>
  <c r="BM23" i="19"/>
  <c r="G1998" i="23" s="1"/>
  <c r="BM24" i="19"/>
  <c r="G1999" i="23" s="1"/>
  <c r="BM25" i="19"/>
  <c r="G2000" i="23" s="1"/>
  <c r="BM26" i="19"/>
  <c r="G2001" i="23" s="1"/>
  <c r="BM27" i="19"/>
  <c r="G2002" i="23" s="1"/>
  <c r="BM29" i="19"/>
  <c r="G2004" i="23" s="1"/>
  <c r="BM30" i="19"/>
  <c r="G2005" i="23" s="1"/>
  <c r="BM31" i="19"/>
  <c r="G2006" i="23" s="1"/>
  <c r="BM32" i="19"/>
  <c r="G2007" i="23" s="1"/>
  <c r="BM33" i="19"/>
  <c r="G2008" i="23" s="1"/>
  <c r="BM34" i="19"/>
  <c r="G2009" i="23" s="1"/>
  <c r="BM35" i="19"/>
  <c r="G2010" i="23" s="1"/>
  <c r="BM36" i="19"/>
  <c r="G2011" i="23" s="1"/>
  <c r="BM37" i="19"/>
  <c r="G2012" i="23" s="1"/>
  <c r="BM38" i="19"/>
  <c r="G2013" i="23" s="1"/>
  <c r="BM39" i="19"/>
  <c r="G2014" i="23" s="1"/>
  <c r="BM40" i="19"/>
  <c r="G2015" i="23" s="1"/>
  <c r="BM41" i="19"/>
  <c r="G2016" i="23" s="1"/>
  <c r="BM42" i="19"/>
  <c r="G2017" i="23" s="1"/>
  <c r="BM43" i="19"/>
  <c r="G2018" i="23" s="1"/>
  <c r="BM44" i="19"/>
  <c r="G2019" i="23" s="1"/>
  <c r="BM45" i="19"/>
  <c r="G2020" i="23" s="1"/>
  <c r="BM46" i="19"/>
  <c r="G2021" i="23" s="1"/>
  <c r="BM47" i="19"/>
  <c r="G2022" i="23" s="1"/>
  <c r="BM48" i="19"/>
  <c r="G2023" i="23" s="1"/>
  <c r="BM49" i="19"/>
  <c r="G2024" i="23" s="1"/>
  <c r="BM50" i="19"/>
  <c r="G2025" i="23" s="1"/>
  <c r="BM51" i="19"/>
  <c r="G2026" i="23" s="1"/>
  <c r="BM52" i="19"/>
  <c r="G2027" i="23" s="1"/>
  <c r="BM53" i="19"/>
  <c r="G2028" i="23" s="1"/>
  <c r="BM54" i="19"/>
  <c r="G2029" i="23" s="1"/>
  <c r="BM55" i="19"/>
  <c r="G2030" i="23" s="1"/>
  <c r="BM56" i="19"/>
  <c r="G2031" i="23" s="1"/>
  <c r="BM57" i="19"/>
  <c r="G2032" i="23" s="1"/>
  <c r="BM58" i="19"/>
  <c r="G2033" i="23" s="1"/>
  <c r="BM59" i="19"/>
  <c r="G2034" i="23" s="1"/>
  <c r="BM60" i="19"/>
  <c r="G2035" i="23" s="1"/>
  <c r="BM61" i="19"/>
  <c r="G2036" i="23" s="1"/>
  <c r="BM62" i="19"/>
  <c r="G2037" i="23" s="1"/>
  <c r="BM63" i="19"/>
  <c r="G2038" i="23" s="1"/>
  <c r="BM64" i="19"/>
  <c r="G2039" i="23" s="1"/>
  <c r="BM65" i="19"/>
  <c r="G2040" i="23" s="1"/>
  <c r="BM66" i="19"/>
  <c r="G2041" i="23" s="1"/>
  <c r="BM67" i="19"/>
  <c r="G2042" i="23" s="1"/>
  <c r="BM68" i="19"/>
  <c r="G2043" i="23" s="1"/>
  <c r="BM69" i="19"/>
  <c r="G2044" i="23" s="1"/>
  <c r="BM70" i="19"/>
  <c r="G2045" i="23" s="1"/>
  <c r="BM71" i="19"/>
  <c r="G2046" i="23" s="1"/>
  <c r="BM72" i="19"/>
  <c r="G2047" i="23" s="1"/>
  <c r="BM73" i="19"/>
  <c r="G2048" i="23" s="1"/>
  <c r="BM74" i="19"/>
  <c r="G2049" i="23" s="1"/>
  <c r="BM75" i="19"/>
  <c r="G2050" i="23" s="1"/>
  <c r="BM76" i="19"/>
  <c r="G2051" i="23" s="1"/>
  <c r="BM77" i="19"/>
  <c r="G2052" i="23" s="1"/>
  <c r="BM79" i="19"/>
  <c r="G2054" i="23" s="1"/>
  <c r="BM80" i="19"/>
  <c r="G2055" i="23" s="1"/>
  <c r="BM81" i="19"/>
  <c r="G2056" i="23" s="1"/>
  <c r="BM82" i="19"/>
  <c r="G2057" i="23" s="1"/>
  <c r="BM83" i="19"/>
  <c r="G2058" i="23" s="1"/>
  <c r="BM84" i="19"/>
  <c r="G2059" i="23" s="1"/>
  <c r="BM85" i="19"/>
  <c r="G2060" i="23" s="1"/>
  <c r="BM86" i="19"/>
  <c r="G2061" i="23" s="1"/>
  <c r="BM87" i="19"/>
  <c r="G2062" i="23" s="1"/>
  <c r="BM88" i="19"/>
  <c r="G2063" i="23" s="1"/>
  <c r="BM89" i="19"/>
  <c r="G2064" i="23" s="1"/>
  <c r="BM90" i="19"/>
  <c r="G2065" i="23" s="1"/>
  <c r="BM94" i="19"/>
  <c r="G2069" i="23" s="1"/>
  <c r="BM95" i="19"/>
  <c r="G2070" i="23" s="1"/>
  <c r="BM96" i="19"/>
  <c r="G2071" i="23" s="1"/>
  <c r="BM97" i="19"/>
  <c r="G2072" i="23" s="1"/>
  <c r="BM98" i="19"/>
  <c r="G2073" i="23" s="1"/>
  <c r="BM99" i="19"/>
  <c r="G2074" i="23" s="1"/>
  <c r="BM100" i="19"/>
  <c r="G2075" i="23" s="1"/>
  <c r="BM101" i="19"/>
  <c r="G2076" i="23" s="1"/>
  <c r="BM102" i="19"/>
  <c r="G2077" i="23" s="1"/>
  <c r="BM103" i="19"/>
  <c r="G2078" i="23" s="1"/>
  <c r="BM104" i="19"/>
  <c r="G2079" i="23" s="1"/>
  <c r="BM105" i="19"/>
  <c r="G2080" i="23" s="1"/>
  <c r="BM106" i="19"/>
  <c r="G2081" i="23" s="1"/>
  <c r="BM107" i="19"/>
  <c r="G2082" i="23" s="1"/>
  <c r="BM108" i="19"/>
  <c r="G2083" i="23" s="1"/>
  <c r="BM109" i="19"/>
  <c r="G2084" i="23" s="1"/>
  <c r="BJ7" i="19"/>
  <c r="G1878" i="23" s="1"/>
  <c r="BJ8" i="19"/>
  <c r="G1879" i="23" s="1"/>
  <c r="BJ9" i="19"/>
  <c r="G1880" i="23" s="1"/>
  <c r="BJ10" i="19"/>
  <c r="G1881" i="23" s="1"/>
  <c r="BJ11" i="19"/>
  <c r="G1882" i="23" s="1"/>
  <c r="BJ12" i="19"/>
  <c r="G1883" i="23" s="1"/>
  <c r="BJ14" i="19"/>
  <c r="G1885" i="23" s="1"/>
  <c r="BJ15" i="19"/>
  <c r="G1886" i="23" s="1"/>
  <c r="BJ16" i="19"/>
  <c r="G1887" i="23" s="1"/>
  <c r="BJ18" i="19"/>
  <c r="G1889" i="23" s="1"/>
  <c r="BJ19" i="19"/>
  <c r="G1890" i="23" s="1"/>
  <c r="BJ20" i="19"/>
  <c r="G1891" i="23" s="1"/>
  <c r="BJ21" i="19"/>
  <c r="G1892" i="23" s="1"/>
  <c r="BJ22" i="19"/>
  <c r="G1893" i="23" s="1"/>
  <c r="BJ23" i="19"/>
  <c r="G1894" i="23" s="1"/>
  <c r="BJ24" i="19"/>
  <c r="G1895" i="23" s="1"/>
  <c r="BJ25" i="19"/>
  <c r="G1896" i="23" s="1"/>
  <c r="BJ26" i="19"/>
  <c r="G1897" i="23" s="1"/>
  <c r="BJ27" i="19"/>
  <c r="G1898" i="23" s="1"/>
  <c r="BJ28" i="19"/>
  <c r="G1899" i="23" s="1"/>
  <c r="G1900" i="23"/>
  <c r="BJ30" i="19"/>
  <c r="G1901" i="23" s="1"/>
  <c r="BJ31" i="19"/>
  <c r="G1902" i="23" s="1"/>
  <c r="BJ32" i="19"/>
  <c r="G1903" i="23" s="1"/>
  <c r="BJ33" i="19"/>
  <c r="G1904" i="23" s="1"/>
  <c r="BJ34" i="19"/>
  <c r="G1905" i="23" s="1"/>
  <c r="BJ35" i="19"/>
  <c r="G1906" i="23" s="1"/>
  <c r="BJ36" i="19"/>
  <c r="G1907" i="23" s="1"/>
  <c r="BJ37" i="19"/>
  <c r="G1908" i="23" s="1"/>
  <c r="BJ38" i="19"/>
  <c r="G1909" i="23" s="1"/>
  <c r="BJ39" i="19"/>
  <c r="G1910" i="23" s="1"/>
  <c r="BJ40" i="19"/>
  <c r="G1911" i="23" s="1"/>
  <c r="BJ41" i="19"/>
  <c r="G1912" i="23" s="1"/>
  <c r="BJ42" i="19"/>
  <c r="G1913" i="23" s="1"/>
  <c r="BJ43" i="19"/>
  <c r="G1914" i="23" s="1"/>
  <c r="BJ44" i="19"/>
  <c r="G1915" i="23" s="1"/>
  <c r="BJ45" i="19"/>
  <c r="G1916" i="23" s="1"/>
  <c r="BJ46" i="19"/>
  <c r="G1917" i="23" s="1"/>
  <c r="BJ47" i="19"/>
  <c r="G1918" i="23" s="1"/>
  <c r="BJ48" i="19"/>
  <c r="G1919" i="23" s="1"/>
  <c r="BJ49" i="19"/>
  <c r="G1920" i="23" s="1"/>
  <c r="BJ50" i="19"/>
  <c r="G1921" i="23" s="1"/>
  <c r="BJ51" i="19"/>
  <c r="G1922" i="23" s="1"/>
  <c r="BJ52" i="19"/>
  <c r="G1923" i="23" s="1"/>
  <c r="BJ53" i="19"/>
  <c r="G1924" i="23" s="1"/>
  <c r="BJ54" i="19"/>
  <c r="G1925" i="23" s="1"/>
  <c r="BJ55" i="19"/>
  <c r="G1926" i="23" s="1"/>
  <c r="BJ56" i="19"/>
  <c r="G1927" i="23" s="1"/>
  <c r="BJ57" i="19"/>
  <c r="G1928" i="23" s="1"/>
  <c r="BJ58" i="19"/>
  <c r="G1929" i="23" s="1"/>
  <c r="G1931" i="23"/>
  <c r="BJ61" i="19"/>
  <c r="G1932" i="23" s="1"/>
  <c r="BJ62" i="19"/>
  <c r="G1933" i="23" s="1"/>
  <c r="G1934" i="23"/>
  <c r="BJ64" i="19"/>
  <c r="G1935" i="23" s="1"/>
  <c r="BJ65" i="19"/>
  <c r="G1936" i="23" s="1"/>
  <c r="BJ66" i="19"/>
  <c r="G1937" i="23" s="1"/>
  <c r="BJ67" i="19"/>
  <c r="G1938" i="23" s="1"/>
  <c r="BJ68" i="19"/>
  <c r="G1939" i="23" s="1"/>
  <c r="BJ69" i="19"/>
  <c r="G1940" i="23" s="1"/>
  <c r="BJ70" i="19"/>
  <c r="G1941" i="23" s="1"/>
  <c r="BJ71" i="19"/>
  <c r="G1942" i="23" s="1"/>
  <c r="BJ72" i="19"/>
  <c r="G1943" i="23" s="1"/>
  <c r="BJ73" i="19"/>
  <c r="G1944" i="23" s="1"/>
  <c r="BJ74" i="19"/>
  <c r="G1945" i="23" s="1"/>
  <c r="BJ76" i="19"/>
  <c r="G1947" i="23" s="1"/>
  <c r="BJ77" i="19"/>
  <c r="G1948" i="23" s="1"/>
  <c r="G1949" i="23"/>
  <c r="BJ79" i="19"/>
  <c r="G1950" i="23" s="1"/>
  <c r="BJ80" i="19"/>
  <c r="G1951" i="23" s="1"/>
  <c r="BJ81" i="19"/>
  <c r="G1952" i="23" s="1"/>
  <c r="BJ82" i="19"/>
  <c r="G1953" i="23" s="1"/>
  <c r="BJ83" i="19"/>
  <c r="G1954" i="23" s="1"/>
  <c r="BJ84" i="19"/>
  <c r="G1955" i="23" s="1"/>
  <c r="BJ85" i="19"/>
  <c r="G1956" i="23" s="1"/>
  <c r="BJ86" i="19"/>
  <c r="G1957" i="23" s="1"/>
  <c r="BJ87" i="19"/>
  <c r="G1958" i="23" s="1"/>
  <c r="BJ88" i="19"/>
  <c r="G1959" i="23" s="1"/>
  <c r="BJ89" i="19"/>
  <c r="G1960" i="23" s="1"/>
  <c r="BJ90" i="19"/>
  <c r="G1961" i="23" s="1"/>
  <c r="BJ91" i="19"/>
  <c r="G1962" i="23" s="1"/>
  <c r="G1963" i="23"/>
  <c r="BJ94" i="19"/>
  <c r="G1965" i="23" s="1"/>
  <c r="BJ95" i="19"/>
  <c r="G1966" i="23" s="1"/>
  <c r="BJ96" i="19"/>
  <c r="G1967" i="23" s="1"/>
  <c r="BJ97" i="19"/>
  <c r="G1968" i="23" s="1"/>
  <c r="BJ98" i="19"/>
  <c r="G1969" i="23" s="1"/>
  <c r="BJ99" i="19"/>
  <c r="G1970" i="23" s="1"/>
  <c r="BJ100" i="19"/>
  <c r="G1971" i="23" s="1"/>
  <c r="BJ101" i="19"/>
  <c r="G1972" i="23" s="1"/>
  <c r="BJ102" i="19"/>
  <c r="G1973" i="23" s="1"/>
  <c r="BJ103" i="19"/>
  <c r="G1974" i="23" s="1"/>
  <c r="BJ105" i="19"/>
  <c r="G1976" i="23" s="1"/>
  <c r="BJ106" i="19"/>
  <c r="G1977" i="23" s="1"/>
  <c r="BJ107" i="19"/>
  <c r="G1978" i="23" s="1"/>
  <c r="BJ108" i="19"/>
  <c r="G1979" i="23" s="1"/>
  <c r="BJ109" i="19"/>
  <c r="G1980" i="23" s="1"/>
  <c r="BG7" i="19"/>
  <c r="G1774" i="23" s="1"/>
  <c r="BG8" i="19"/>
  <c r="G1775" i="23" s="1"/>
  <c r="BG9" i="19"/>
  <c r="G1776" i="23" s="1"/>
  <c r="BG10" i="19"/>
  <c r="G1777" i="23" s="1"/>
  <c r="BG11" i="19"/>
  <c r="G1778" i="23" s="1"/>
  <c r="BG12" i="19"/>
  <c r="G1779" i="23" s="1"/>
  <c r="BG14" i="19"/>
  <c r="G1781" i="23" s="1"/>
  <c r="BG16" i="19"/>
  <c r="G1783" i="23" s="1"/>
  <c r="BG18" i="19"/>
  <c r="G1785" i="23" s="1"/>
  <c r="BG19" i="19"/>
  <c r="G1786" i="23" s="1"/>
  <c r="BG20" i="19"/>
  <c r="G1787" i="23" s="1"/>
  <c r="BG21" i="19"/>
  <c r="G1788" i="23" s="1"/>
  <c r="BG22" i="19"/>
  <c r="G1789" i="23" s="1"/>
  <c r="BG23" i="19"/>
  <c r="G1790" i="23" s="1"/>
  <c r="BG24" i="19"/>
  <c r="G1791" i="23" s="1"/>
  <c r="BG25" i="19"/>
  <c r="G1792" i="23" s="1"/>
  <c r="BG26" i="19"/>
  <c r="G1793" i="23" s="1"/>
  <c r="BG27" i="19"/>
  <c r="G1794" i="23" s="1"/>
  <c r="BG30" i="19"/>
  <c r="G1797" i="23" s="1"/>
  <c r="BG31" i="19"/>
  <c r="G1798" i="23" s="1"/>
  <c r="BG35" i="19"/>
  <c r="G1802" i="23" s="1"/>
  <c r="BG36" i="19"/>
  <c r="G1803" i="23" s="1"/>
  <c r="BG37" i="19"/>
  <c r="G1804" i="23" s="1"/>
  <c r="BG38" i="19"/>
  <c r="G1805" i="23" s="1"/>
  <c r="BG39" i="19"/>
  <c r="G1806" i="23" s="1"/>
  <c r="BG40" i="19"/>
  <c r="G1807" i="23" s="1"/>
  <c r="BG41" i="19"/>
  <c r="G1808" i="23" s="1"/>
  <c r="BG42" i="19"/>
  <c r="G1809" i="23" s="1"/>
  <c r="BG43" i="19"/>
  <c r="G1810" i="23" s="1"/>
  <c r="BG44" i="19"/>
  <c r="G1811" i="23" s="1"/>
  <c r="BG45" i="19"/>
  <c r="G1812" i="23" s="1"/>
  <c r="BG46" i="19"/>
  <c r="G1813" i="23" s="1"/>
  <c r="BG47" i="19"/>
  <c r="G1814" i="23" s="1"/>
  <c r="BG48" i="19"/>
  <c r="G1815" i="23" s="1"/>
  <c r="BG49" i="19"/>
  <c r="G1816" i="23" s="1"/>
  <c r="BG50" i="19"/>
  <c r="G1817" i="23" s="1"/>
  <c r="BG51" i="19"/>
  <c r="G1818" i="23" s="1"/>
  <c r="BG52" i="19"/>
  <c r="G1819" i="23" s="1"/>
  <c r="BG53" i="19"/>
  <c r="G1820" i="23" s="1"/>
  <c r="BG54" i="19"/>
  <c r="G1821" i="23" s="1"/>
  <c r="BG55" i="19"/>
  <c r="G1822" i="23" s="1"/>
  <c r="BG56" i="19"/>
  <c r="G1823" i="23" s="1"/>
  <c r="BG57" i="19"/>
  <c r="G1824" i="23" s="1"/>
  <c r="BG58" i="19"/>
  <c r="G1825" i="23" s="1"/>
  <c r="G1826" i="23"/>
  <c r="BG60" i="19"/>
  <c r="G1827" i="23" s="1"/>
  <c r="G1828" i="23"/>
  <c r="BG62" i="19"/>
  <c r="G1829" i="23" s="1"/>
  <c r="BG63" i="19"/>
  <c r="G1830" i="23" s="1"/>
  <c r="BG64" i="19"/>
  <c r="G1831" i="23" s="1"/>
  <c r="BG65" i="19"/>
  <c r="G1832" i="23" s="1"/>
  <c r="BG66" i="19"/>
  <c r="G1833" i="23" s="1"/>
  <c r="BG67" i="19"/>
  <c r="G1834" i="23" s="1"/>
  <c r="BG68" i="19"/>
  <c r="G1835" i="23" s="1"/>
  <c r="BG69" i="19"/>
  <c r="G1836" i="23" s="1"/>
  <c r="BG70" i="19"/>
  <c r="G1837" i="23" s="1"/>
  <c r="BG71" i="19"/>
  <c r="G1838" i="23" s="1"/>
  <c r="BG72" i="19"/>
  <c r="G1839" i="23" s="1"/>
  <c r="BG73" i="19"/>
  <c r="G1840" i="23" s="1"/>
  <c r="BG74" i="19"/>
  <c r="G1841" i="23" s="1"/>
  <c r="G1842" i="23"/>
  <c r="BG76" i="19"/>
  <c r="G1843" i="23" s="1"/>
  <c r="BG77" i="19"/>
  <c r="G1844" i="23" s="1"/>
  <c r="BG78" i="19"/>
  <c r="G1845" i="23" s="1"/>
  <c r="BG79" i="19"/>
  <c r="G1846" i="23" s="1"/>
  <c r="BG80" i="19"/>
  <c r="G1847" i="23" s="1"/>
  <c r="BG81" i="19"/>
  <c r="G1848" i="23" s="1"/>
  <c r="BG82" i="19"/>
  <c r="G1849" i="23" s="1"/>
  <c r="BG83" i="19"/>
  <c r="G1850" i="23" s="1"/>
  <c r="BG84" i="19"/>
  <c r="G1851" i="23" s="1"/>
  <c r="BG85" i="19"/>
  <c r="G1852" i="23" s="1"/>
  <c r="BG86" i="19"/>
  <c r="G1853" i="23" s="1"/>
  <c r="BG87" i="19"/>
  <c r="G1854" i="23" s="1"/>
  <c r="BG88" i="19"/>
  <c r="G1855" i="23" s="1"/>
  <c r="BG89" i="19"/>
  <c r="G1856" i="23" s="1"/>
  <c r="BG90" i="19"/>
  <c r="G1857" i="23" s="1"/>
  <c r="G1858" i="23"/>
  <c r="G1859" i="23"/>
  <c r="BG94" i="19"/>
  <c r="G1861" i="23" s="1"/>
  <c r="BG95" i="19"/>
  <c r="G1862" i="23" s="1"/>
  <c r="BG96" i="19"/>
  <c r="G1863" i="23" s="1"/>
  <c r="BG97" i="19"/>
  <c r="G1864" i="23" s="1"/>
  <c r="BG98" i="19"/>
  <c r="G1865" i="23" s="1"/>
  <c r="BG99" i="19"/>
  <c r="G1866" i="23" s="1"/>
  <c r="BG100" i="19"/>
  <c r="G1867" i="23" s="1"/>
  <c r="BG101" i="19"/>
  <c r="G1868" i="23" s="1"/>
  <c r="BG102" i="19"/>
  <c r="G1869" i="23" s="1"/>
  <c r="BG103" i="19"/>
  <c r="G1870" i="23" s="1"/>
  <c r="BG104" i="19"/>
  <c r="G1871" i="23" s="1"/>
  <c r="BG105" i="19"/>
  <c r="G1872" i="23" s="1"/>
  <c r="BG106" i="19"/>
  <c r="G1873" i="23" s="1"/>
  <c r="BG107" i="19"/>
  <c r="G1874" i="23" s="1"/>
  <c r="BG108" i="19"/>
  <c r="G1875" i="23" s="1"/>
  <c r="BG109" i="19"/>
  <c r="G1876" i="23" s="1"/>
  <c r="BD7" i="19"/>
  <c r="G1670" i="23" s="1"/>
  <c r="BD8" i="19"/>
  <c r="G1671" i="23" s="1"/>
  <c r="BD9" i="19"/>
  <c r="G1672" i="23" s="1"/>
  <c r="BD10" i="19"/>
  <c r="G1673" i="23" s="1"/>
  <c r="BD11" i="19"/>
  <c r="G1674" i="23" s="1"/>
  <c r="BD12" i="19"/>
  <c r="G1675" i="23" s="1"/>
  <c r="BD14" i="19"/>
  <c r="G1677" i="23" s="1"/>
  <c r="BD19" i="19"/>
  <c r="G1682" i="23" s="1"/>
  <c r="BD20" i="19"/>
  <c r="G1683" i="23" s="1"/>
  <c r="BD21" i="19"/>
  <c r="G1684" i="23" s="1"/>
  <c r="BD22" i="19"/>
  <c r="G1685" i="23" s="1"/>
  <c r="BD23" i="19"/>
  <c r="G1686" i="23" s="1"/>
  <c r="BD25" i="19"/>
  <c r="G1688" i="23" s="1"/>
  <c r="BD26" i="19"/>
  <c r="G1689" i="23" s="1"/>
  <c r="BD27" i="19"/>
  <c r="G1690" i="23" s="1"/>
  <c r="G1691" i="23"/>
  <c r="BD29" i="19"/>
  <c r="G1692" i="23" s="1"/>
  <c r="BD30" i="19"/>
  <c r="G1693" i="23" s="1"/>
  <c r="BD31" i="19"/>
  <c r="G1694" i="23" s="1"/>
  <c r="BD32" i="19"/>
  <c r="G1695" i="23" s="1"/>
  <c r="BD33" i="19"/>
  <c r="G1696" i="23" s="1"/>
  <c r="BD34" i="19"/>
  <c r="G1697" i="23" s="1"/>
  <c r="BD36" i="19"/>
  <c r="G1699" i="23" s="1"/>
  <c r="BD37" i="19"/>
  <c r="G1700" i="23" s="1"/>
  <c r="BD38" i="19"/>
  <c r="G1701" i="23" s="1"/>
  <c r="BD39" i="19"/>
  <c r="G1702" i="23" s="1"/>
  <c r="BD40" i="19"/>
  <c r="G1703" i="23" s="1"/>
  <c r="BD41" i="19"/>
  <c r="G1704" i="23" s="1"/>
  <c r="BD42" i="19"/>
  <c r="G1705" i="23" s="1"/>
  <c r="BD43" i="19"/>
  <c r="G1706" i="23" s="1"/>
  <c r="BD44" i="19"/>
  <c r="G1707" i="23" s="1"/>
  <c r="BD45" i="19"/>
  <c r="G1708" i="23" s="1"/>
  <c r="BD46" i="19"/>
  <c r="G1709" i="23" s="1"/>
  <c r="BD47" i="19"/>
  <c r="G1710" i="23" s="1"/>
  <c r="BD48" i="19"/>
  <c r="G1711" i="23" s="1"/>
  <c r="BD49" i="19"/>
  <c r="G1712" i="23" s="1"/>
  <c r="BD51" i="19"/>
  <c r="G1714" i="23" s="1"/>
  <c r="BD52" i="19"/>
  <c r="G1715" i="23" s="1"/>
  <c r="BD53" i="19"/>
  <c r="G1716" i="23" s="1"/>
  <c r="BD54" i="19"/>
  <c r="G1717" i="23" s="1"/>
  <c r="BD55" i="19"/>
  <c r="G1718" i="23" s="1"/>
  <c r="BD56" i="19"/>
  <c r="G1719" i="23" s="1"/>
  <c r="BD57" i="19"/>
  <c r="G1720" i="23" s="1"/>
  <c r="BD58" i="19"/>
  <c r="G1721" i="23" s="1"/>
  <c r="BD59" i="19"/>
  <c r="G1722" i="23" s="1"/>
  <c r="BD60" i="19"/>
  <c r="G1723" i="23" s="1"/>
  <c r="BD61" i="19"/>
  <c r="G1724" i="23" s="1"/>
  <c r="BD62" i="19"/>
  <c r="G1725" i="23" s="1"/>
  <c r="BD63" i="19"/>
  <c r="G1726" i="23" s="1"/>
  <c r="BD64" i="19"/>
  <c r="G1727" i="23" s="1"/>
  <c r="BD65" i="19"/>
  <c r="G1728" i="23" s="1"/>
  <c r="BD66" i="19"/>
  <c r="G1729" i="23" s="1"/>
  <c r="BD67" i="19"/>
  <c r="G1730" i="23" s="1"/>
  <c r="BD68" i="19"/>
  <c r="G1731" i="23" s="1"/>
  <c r="BD69" i="19"/>
  <c r="G1732" i="23" s="1"/>
  <c r="BD70" i="19"/>
  <c r="G1733" i="23" s="1"/>
  <c r="BD71" i="19"/>
  <c r="G1734" i="23" s="1"/>
  <c r="BD72" i="19"/>
  <c r="G1735" i="23" s="1"/>
  <c r="BD73" i="19"/>
  <c r="G1736" i="23" s="1"/>
  <c r="BD74" i="19"/>
  <c r="G1737" i="23" s="1"/>
  <c r="BD75" i="19"/>
  <c r="G1738" i="23" s="1"/>
  <c r="BD76" i="19"/>
  <c r="G1739" i="23" s="1"/>
  <c r="BD77" i="19"/>
  <c r="G1740" i="23" s="1"/>
  <c r="BD79" i="19"/>
  <c r="G1742" i="23" s="1"/>
  <c r="BD82" i="19"/>
  <c r="G1745" i="23" s="1"/>
  <c r="BD83" i="19"/>
  <c r="G1746" i="23" s="1"/>
  <c r="BD84" i="19"/>
  <c r="G1747" i="23" s="1"/>
  <c r="BD85" i="19"/>
  <c r="G1748" i="23" s="1"/>
  <c r="BD86" i="19"/>
  <c r="G1749" i="23" s="1"/>
  <c r="BD88" i="19"/>
  <c r="G1751" i="23" s="1"/>
  <c r="BD89" i="19"/>
  <c r="G1752" i="23" s="1"/>
  <c r="BD90" i="19"/>
  <c r="G1753" i="23" s="1"/>
  <c r="G1754" i="23"/>
  <c r="G1755" i="23"/>
  <c r="BD94" i="19"/>
  <c r="G1757" i="23" s="1"/>
  <c r="BD95" i="19"/>
  <c r="G1758" i="23" s="1"/>
  <c r="BD96" i="19"/>
  <c r="G1759" i="23" s="1"/>
  <c r="BD97" i="19"/>
  <c r="G1760" i="23" s="1"/>
  <c r="BD98" i="19"/>
  <c r="G1761" i="23" s="1"/>
  <c r="BD99" i="19"/>
  <c r="G1762" i="23" s="1"/>
  <c r="BD100" i="19"/>
  <c r="G1763" i="23" s="1"/>
  <c r="BD101" i="19"/>
  <c r="G1764" i="23" s="1"/>
  <c r="BD102" i="19"/>
  <c r="G1765" i="23" s="1"/>
  <c r="BD103" i="19"/>
  <c r="G1766" i="23" s="1"/>
  <c r="BD105" i="19"/>
  <c r="G1768" i="23" s="1"/>
  <c r="BD106" i="19"/>
  <c r="G1769" i="23" s="1"/>
  <c r="BD107" i="19"/>
  <c r="G1770" i="23" s="1"/>
  <c r="BD108" i="19"/>
  <c r="G1771" i="23" s="1"/>
  <c r="BD109" i="19"/>
  <c r="G1772" i="23" s="1"/>
  <c r="BA7" i="19"/>
  <c r="G1566" i="23" s="1"/>
  <c r="BA8" i="19"/>
  <c r="G1567" i="23" s="1"/>
  <c r="BA9" i="19"/>
  <c r="G1568" i="23" s="1"/>
  <c r="BA10" i="19"/>
  <c r="G1569" i="23" s="1"/>
  <c r="BA11" i="19"/>
  <c r="G1570" i="23" s="1"/>
  <c r="BA12" i="19"/>
  <c r="G1571" i="23" s="1"/>
  <c r="BA14" i="19"/>
  <c r="G1573" i="23" s="1"/>
  <c r="BA15" i="19"/>
  <c r="G1574" i="23" s="1"/>
  <c r="BA16" i="19"/>
  <c r="G1575" i="23" s="1"/>
  <c r="BA17" i="19"/>
  <c r="G1576" i="23" s="1"/>
  <c r="BA18" i="19"/>
  <c r="G1577" i="23" s="1"/>
  <c r="BA19" i="19"/>
  <c r="G1578" i="23" s="1"/>
  <c r="BA20" i="19"/>
  <c r="G1579" i="23" s="1"/>
  <c r="BA21" i="19"/>
  <c r="G1580" i="23" s="1"/>
  <c r="BA22" i="19"/>
  <c r="G1581" i="23" s="1"/>
  <c r="BA23" i="19"/>
  <c r="G1582" i="23" s="1"/>
  <c r="BA24" i="19"/>
  <c r="G1583" i="23" s="1"/>
  <c r="BA25" i="19"/>
  <c r="G1584" i="23" s="1"/>
  <c r="BA26" i="19"/>
  <c r="G1585" i="23" s="1"/>
  <c r="BA27" i="19"/>
  <c r="G1586" i="23" s="1"/>
  <c r="BA28" i="19"/>
  <c r="G1587" i="23" s="1"/>
  <c r="BA30" i="19"/>
  <c r="G1589" i="23" s="1"/>
  <c r="BA31" i="19"/>
  <c r="G1590" i="23" s="1"/>
  <c r="BA32" i="19"/>
  <c r="G1591" i="23" s="1"/>
  <c r="BA33" i="19"/>
  <c r="G1592" i="23" s="1"/>
  <c r="BA34" i="19"/>
  <c r="G1593" i="23" s="1"/>
  <c r="BA35" i="19"/>
  <c r="G1594" i="23" s="1"/>
  <c r="BA36" i="19"/>
  <c r="G1595" i="23" s="1"/>
  <c r="BA37" i="19"/>
  <c r="G1596" i="23" s="1"/>
  <c r="BA38" i="19"/>
  <c r="G1597" i="23" s="1"/>
  <c r="BA39" i="19"/>
  <c r="G1598" i="23" s="1"/>
  <c r="BA40" i="19"/>
  <c r="G1599" i="23" s="1"/>
  <c r="BA41" i="19"/>
  <c r="G1600" i="23" s="1"/>
  <c r="BA42" i="19"/>
  <c r="G1601" i="23" s="1"/>
  <c r="BA43" i="19"/>
  <c r="G1602" i="23" s="1"/>
  <c r="BA44" i="19"/>
  <c r="G1603" i="23" s="1"/>
  <c r="BA45" i="19"/>
  <c r="G1604" i="23" s="1"/>
  <c r="BA46" i="19"/>
  <c r="G1605" i="23" s="1"/>
  <c r="BA47" i="19"/>
  <c r="G1606" i="23" s="1"/>
  <c r="BA48" i="19"/>
  <c r="G1607" i="23" s="1"/>
  <c r="BA49" i="19"/>
  <c r="G1608" i="23" s="1"/>
  <c r="BA50" i="19"/>
  <c r="G1609" i="23" s="1"/>
  <c r="BA51" i="19"/>
  <c r="G1610" i="23" s="1"/>
  <c r="BA52" i="19"/>
  <c r="G1611" i="23" s="1"/>
  <c r="BA53" i="19"/>
  <c r="G1612" i="23" s="1"/>
  <c r="BA54" i="19"/>
  <c r="G1613" i="23" s="1"/>
  <c r="BA55" i="19"/>
  <c r="G1614" i="23" s="1"/>
  <c r="BA56" i="19"/>
  <c r="G1615" i="23" s="1"/>
  <c r="BA57" i="19"/>
  <c r="G1616" i="23" s="1"/>
  <c r="BA58" i="19"/>
  <c r="G1617" i="23" s="1"/>
  <c r="BA60" i="19"/>
  <c r="G1619" i="23" s="1"/>
  <c r="BA61" i="19"/>
  <c r="G1620" i="23" s="1"/>
  <c r="BA62" i="19"/>
  <c r="G1621" i="23" s="1"/>
  <c r="BA63" i="19"/>
  <c r="G1622" i="23" s="1"/>
  <c r="BA64" i="19"/>
  <c r="G1623" i="23" s="1"/>
  <c r="BA65" i="19"/>
  <c r="G1624" i="23" s="1"/>
  <c r="BA66" i="19"/>
  <c r="G1625" i="23" s="1"/>
  <c r="BA67" i="19"/>
  <c r="G1626" i="23" s="1"/>
  <c r="BA68" i="19"/>
  <c r="G1627" i="23" s="1"/>
  <c r="BA69" i="19"/>
  <c r="G1628" i="23" s="1"/>
  <c r="BA70" i="19"/>
  <c r="G1629" i="23" s="1"/>
  <c r="BA71" i="19"/>
  <c r="G1630" i="23" s="1"/>
  <c r="BA72" i="19"/>
  <c r="G1631" i="23" s="1"/>
  <c r="BA73" i="19"/>
  <c r="G1632" i="23" s="1"/>
  <c r="BA74" i="19"/>
  <c r="G1633" i="23" s="1"/>
  <c r="BA76" i="19"/>
  <c r="G1635" i="23" s="1"/>
  <c r="BA77" i="19"/>
  <c r="G1636" i="23" s="1"/>
  <c r="BA78" i="19"/>
  <c r="G1637" i="23" s="1"/>
  <c r="BA79" i="19"/>
  <c r="G1638" i="23" s="1"/>
  <c r="BA80" i="19"/>
  <c r="G1639" i="23" s="1"/>
  <c r="BA81" i="19"/>
  <c r="G1640" i="23" s="1"/>
  <c r="BA82" i="19"/>
  <c r="G1641" i="23" s="1"/>
  <c r="BA83" i="19"/>
  <c r="G1642" i="23" s="1"/>
  <c r="BA84" i="19"/>
  <c r="G1643" i="23" s="1"/>
  <c r="BA85" i="19"/>
  <c r="G1644" i="23" s="1"/>
  <c r="BA86" i="19"/>
  <c r="G1645" i="23" s="1"/>
  <c r="BA87" i="19"/>
  <c r="G1646" i="23" s="1"/>
  <c r="BA88" i="19"/>
  <c r="G1647" i="23" s="1"/>
  <c r="BA89" i="19"/>
  <c r="G1648" i="23" s="1"/>
  <c r="BA90" i="19"/>
  <c r="G1649" i="23" s="1"/>
  <c r="G1651" i="23"/>
  <c r="G1652" i="23"/>
  <c r="BA94" i="19"/>
  <c r="G1653" i="23" s="1"/>
  <c r="BA95" i="19"/>
  <c r="G1654" i="23" s="1"/>
  <c r="BA96" i="19"/>
  <c r="G1655" i="23" s="1"/>
  <c r="BA97" i="19"/>
  <c r="G1656" i="23" s="1"/>
  <c r="BA98" i="19"/>
  <c r="G1657" i="23" s="1"/>
  <c r="BA99" i="19"/>
  <c r="G1658" i="23" s="1"/>
  <c r="BA100" i="19"/>
  <c r="G1659" i="23" s="1"/>
  <c r="BA101" i="19"/>
  <c r="G1660" i="23" s="1"/>
  <c r="BA102" i="19"/>
  <c r="G1661" i="23" s="1"/>
  <c r="BA103" i="19"/>
  <c r="G1662" i="23" s="1"/>
  <c r="BA104" i="19"/>
  <c r="G1663" i="23" s="1"/>
  <c r="BA105" i="19"/>
  <c r="G1664" i="23" s="1"/>
  <c r="BA106" i="19"/>
  <c r="G1665" i="23" s="1"/>
  <c r="BA107" i="19"/>
  <c r="G1666" i="23" s="1"/>
  <c r="BA108" i="19"/>
  <c r="G1667" i="23" s="1"/>
  <c r="BA109" i="19"/>
  <c r="G1668" i="23" s="1"/>
  <c r="AX7" i="19"/>
  <c r="G1462" i="23" s="1"/>
  <c r="AX8" i="19"/>
  <c r="G1463" i="23" s="1"/>
  <c r="AX9" i="19"/>
  <c r="G1464" i="23" s="1"/>
  <c r="AX10" i="19"/>
  <c r="G1465" i="23" s="1"/>
  <c r="AX11" i="19"/>
  <c r="G1466" i="23" s="1"/>
  <c r="AX12" i="19"/>
  <c r="G1467" i="23" s="1"/>
  <c r="AX14" i="19"/>
  <c r="G1469" i="23" s="1"/>
  <c r="AX15" i="19"/>
  <c r="G1470" i="23" s="1"/>
  <c r="AX16" i="19"/>
  <c r="G1471" i="23" s="1"/>
  <c r="AX19" i="19"/>
  <c r="G1474" i="23" s="1"/>
  <c r="AX20" i="19"/>
  <c r="G1475" i="23" s="1"/>
  <c r="AX21" i="19"/>
  <c r="G1476" i="23" s="1"/>
  <c r="AX23" i="19"/>
  <c r="G1478" i="23" s="1"/>
  <c r="AX24" i="19"/>
  <c r="G1479" i="23" s="1"/>
  <c r="AX25" i="19"/>
  <c r="G1480" i="23" s="1"/>
  <c r="AX26" i="19"/>
  <c r="G1481" i="23" s="1"/>
  <c r="AX27" i="19"/>
  <c r="G1482" i="23" s="1"/>
  <c r="AX28" i="19"/>
  <c r="G1483" i="23" s="1"/>
  <c r="G1484" i="23"/>
  <c r="AX30" i="19"/>
  <c r="G1485" i="23" s="1"/>
  <c r="AX31" i="19"/>
  <c r="G1486" i="23" s="1"/>
  <c r="AX32" i="19"/>
  <c r="G1487" i="23" s="1"/>
  <c r="AX33" i="19"/>
  <c r="G1488" i="23" s="1"/>
  <c r="AX34" i="19"/>
  <c r="G1489" i="23" s="1"/>
  <c r="AX35" i="19"/>
  <c r="G1490" i="23" s="1"/>
  <c r="AX36" i="19"/>
  <c r="G1491" i="23" s="1"/>
  <c r="AX37" i="19"/>
  <c r="G1492" i="23" s="1"/>
  <c r="AX38" i="19"/>
  <c r="G1493" i="23" s="1"/>
  <c r="AX39" i="19"/>
  <c r="G1494" i="23" s="1"/>
  <c r="AX40" i="19"/>
  <c r="G1495" i="23" s="1"/>
  <c r="AX41" i="19"/>
  <c r="G1496" i="23" s="1"/>
  <c r="AX42" i="19"/>
  <c r="G1497" i="23" s="1"/>
  <c r="AX43" i="19"/>
  <c r="G1498" i="23" s="1"/>
  <c r="AX44" i="19"/>
  <c r="G1499" i="23" s="1"/>
  <c r="AX45" i="19"/>
  <c r="G1500" i="23" s="1"/>
  <c r="AX46" i="19"/>
  <c r="G1501" i="23" s="1"/>
  <c r="AX47" i="19"/>
  <c r="G1502" i="23" s="1"/>
  <c r="AX48" i="19"/>
  <c r="G1503" i="23" s="1"/>
  <c r="AX49" i="19"/>
  <c r="G1504" i="23" s="1"/>
  <c r="AX50" i="19"/>
  <c r="G1505" i="23" s="1"/>
  <c r="AX51" i="19"/>
  <c r="G1506" i="23" s="1"/>
  <c r="AX52" i="19"/>
  <c r="G1507" i="23" s="1"/>
  <c r="AX53" i="19"/>
  <c r="G1508" i="23" s="1"/>
  <c r="AX54" i="19"/>
  <c r="G1509" i="23" s="1"/>
  <c r="AX55" i="19"/>
  <c r="G1510" i="23" s="1"/>
  <c r="AX56" i="19"/>
  <c r="G1511" i="23" s="1"/>
  <c r="AX57" i="19"/>
  <c r="G1512" i="23" s="1"/>
  <c r="AX58" i="19"/>
  <c r="G1513" i="23" s="1"/>
  <c r="AX61" i="19"/>
  <c r="G1516" i="23" s="1"/>
  <c r="AX62" i="19"/>
  <c r="G1517" i="23" s="1"/>
  <c r="G1518" i="23"/>
  <c r="AX64" i="19"/>
  <c r="G1519" i="23" s="1"/>
  <c r="AX65" i="19"/>
  <c r="G1520" i="23" s="1"/>
  <c r="AX66" i="19"/>
  <c r="G1521" i="23" s="1"/>
  <c r="AX67" i="19"/>
  <c r="G1522" i="23" s="1"/>
  <c r="AX68" i="19"/>
  <c r="G1523" i="23" s="1"/>
  <c r="AX69" i="19"/>
  <c r="G1524" i="23" s="1"/>
  <c r="AX70" i="19"/>
  <c r="G1525" i="23" s="1"/>
  <c r="AX71" i="19"/>
  <c r="G1526" i="23" s="1"/>
  <c r="AX72" i="19"/>
  <c r="G1527" i="23" s="1"/>
  <c r="AX73" i="19"/>
  <c r="G1528" i="23" s="1"/>
  <c r="AX74" i="19"/>
  <c r="G1529" i="23" s="1"/>
  <c r="AX75" i="19"/>
  <c r="G1530" i="23" s="1"/>
  <c r="AX76" i="19"/>
  <c r="G1531" i="23" s="1"/>
  <c r="AX77" i="19"/>
  <c r="G1532" i="23" s="1"/>
  <c r="AX78" i="19"/>
  <c r="G1533" i="23" s="1"/>
  <c r="AX79" i="19"/>
  <c r="G1534" i="23" s="1"/>
  <c r="AX81" i="19"/>
  <c r="G1536" i="23" s="1"/>
  <c r="AX82" i="19"/>
  <c r="G1537" i="23" s="1"/>
  <c r="AX83" i="19"/>
  <c r="G1538" i="23" s="1"/>
  <c r="AX84" i="19"/>
  <c r="G1539" i="23" s="1"/>
  <c r="AX85" i="19"/>
  <c r="G1540" i="23" s="1"/>
  <c r="AX86" i="19"/>
  <c r="G1541" i="23" s="1"/>
  <c r="AX88" i="19"/>
  <c r="G1543" i="23" s="1"/>
  <c r="AX89" i="19"/>
  <c r="G1544" i="23" s="1"/>
  <c r="AX90" i="19"/>
  <c r="G1545" i="23" s="1"/>
  <c r="AX94" i="19"/>
  <c r="G1549" i="23" s="1"/>
  <c r="AX95" i="19"/>
  <c r="G1550" i="23" s="1"/>
  <c r="AX96" i="19"/>
  <c r="G1551" i="23" s="1"/>
  <c r="AX97" i="19"/>
  <c r="G1552" i="23" s="1"/>
  <c r="AX98" i="19"/>
  <c r="G1553" i="23" s="1"/>
  <c r="AX99" i="19"/>
  <c r="G1554" i="23" s="1"/>
  <c r="AX100" i="19"/>
  <c r="G1555" i="23" s="1"/>
  <c r="AX101" i="19"/>
  <c r="G1556" i="23" s="1"/>
  <c r="AX102" i="19"/>
  <c r="G1557" i="23" s="1"/>
  <c r="AX103" i="19"/>
  <c r="G1558" i="23" s="1"/>
  <c r="AX104" i="19"/>
  <c r="G1559" i="23" s="1"/>
  <c r="AX105" i="19"/>
  <c r="G1560" i="23" s="1"/>
  <c r="AX106" i="19"/>
  <c r="G1561" i="23" s="1"/>
  <c r="AX107" i="19"/>
  <c r="G1562" i="23" s="1"/>
  <c r="AX108" i="19"/>
  <c r="G1563" i="23" s="1"/>
  <c r="AX109" i="19"/>
  <c r="G1564" i="23" s="1"/>
  <c r="AU7" i="19"/>
  <c r="G1358" i="23" s="1"/>
  <c r="AU10" i="19"/>
  <c r="G1361" i="23" s="1"/>
  <c r="AU13" i="19"/>
  <c r="G1364" i="23" s="1"/>
  <c r="AU14" i="19"/>
  <c r="G1365" i="23" s="1"/>
  <c r="AU16" i="19"/>
  <c r="G1367" i="23" s="1"/>
  <c r="AU18" i="19"/>
  <c r="G1369" i="23" s="1"/>
  <c r="AU19" i="19"/>
  <c r="G1370" i="23" s="1"/>
  <c r="AU20" i="19"/>
  <c r="G1371" i="23" s="1"/>
  <c r="AU21" i="19"/>
  <c r="G1372" i="23" s="1"/>
  <c r="AU23" i="19"/>
  <c r="G1374" i="23" s="1"/>
  <c r="G1375" i="23"/>
  <c r="AU25" i="19"/>
  <c r="G1376" i="23" s="1"/>
  <c r="AU26" i="19"/>
  <c r="G1377" i="23" s="1"/>
  <c r="AU27" i="19"/>
  <c r="G1378" i="23" s="1"/>
  <c r="G1381" i="23"/>
  <c r="G1382" i="23"/>
  <c r="AU32" i="19"/>
  <c r="G1383" i="23" s="1"/>
  <c r="AU33" i="19"/>
  <c r="G1384" i="23" s="1"/>
  <c r="AU34" i="19"/>
  <c r="G1385" i="23" s="1"/>
  <c r="AU35" i="19"/>
  <c r="G1386" i="23" s="1"/>
  <c r="AU36" i="19"/>
  <c r="G1387" i="23" s="1"/>
  <c r="G1388" i="23"/>
  <c r="AU38" i="19"/>
  <c r="G1389" i="23" s="1"/>
  <c r="AU40" i="19"/>
  <c r="G1391" i="23" s="1"/>
  <c r="AU41" i="19"/>
  <c r="G1392" i="23" s="1"/>
  <c r="AU42" i="19"/>
  <c r="G1393" i="23" s="1"/>
  <c r="AU43" i="19"/>
  <c r="G1394" i="23" s="1"/>
  <c r="AU44" i="19"/>
  <c r="G1395" i="23" s="1"/>
  <c r="AU45" i="19"/>
  <c r="G1396" i="23" s="1"/>
  <c r="AU46" i="19"/>
  <c r="G1397" i="23" s="1"/>
  <c r="AU47" i="19"/>
  <c r="G1398" i="23" s="1"/>
  <c r="AU48" i="19"/>
  <c r="G1399" i="23" s="1"/>
  <c r="AU49" i="19"/>
  <c r="G1400" i="23" s="1"/>
  <c r="AU50" i="19"/>
  <c r="G1401" i="23" s="1"/>
  <c r="AU51" i="19"/>
  <c r="G1402" i="23" s="1"/>
  <c r="AU52" i="19"/>
  <c r="G1403" i="23" s="1"/>
  <c r="AU53" i="19"/>
  <c r="G1404" i="23" s="1"/>
  <c r="AU54" i="19"/>
  <c r="G1405" i="23" s="1"/>
  <c r="AU55" i="19"/>
  <c r="G1406" i="23" s="1"/>
  <c r="AU56" i="19"/>
  <c r="G1407" i="23" s="1"/>
  <c r="AU57" i="19"/>
  <c r="G1408" i="23" s="1"/>
  <c r="AU58" i="19"/>
  <c r="G1409" i="23" s="1"/>
  <c r="G1412" i="23"/>
  <c r="AU62" i="19"/>
  <c r="G1413" i="23" s="1"/>
  <c r="G1414" i="23"/>
  <c r="AU64" i="19"/>
  <c r="G1415" i="23" s="1"/>
  <c r="AU65" i="19"/>
  <c r="G1416" i="23" s="1"/>
  <c r="AU66" i="19"/>
  <c r="G1417" i="23" s="1"/>
  <c r="AU67" i="19"/>
  <c r="G1418" i="23" s="1"/>
  <c r="AU68" i="19"/>
  <c r="G1419" i="23" s="1"/>
  <c r="AU69" i="19"/>
  <c r="G1420" i="23" s="1"/>
  <c r="AU70" i="19"/>
  <c r="G1421" i="23" s="1"/>
  <c r="AU71" i="19"/>
  <c r="G1422" i="23" s="1"/>
  <c r="AU72" i="19"/>
  <c r="G1423" i="23" s="1"/>
  <c r="AU73" i="19"/>
  <c r="G1424" i="23" s="1"/>
  <c r="AU76" i="19"/>
  <c r="G1427" i="23" s="1"/>
  <c r="AU77" i="19"/>
  <c r="G1428" i="23" s="1"/>
  <c r="AU79" i="19"/>
  <c r="G1430" i="23" s="1"/>
  <c r="AU82" i="19"/>
  <c r="G1433" i="23" s="1"/>
  <c r="AU83" i="19"/>
  <c r="G1434" i="23" s="1"/>
  <c r="AU84" i="19"/>
  <c r="G1435" i="23" s="1"/>
  <c r="AU85" i="19"/>
  <c r="G1436" i="23" s="1"/>
  <c r="AU86" i="19"/>
  <c r="G1437" i="23" s="1"/>
  <c r="AU88" i="19"/>
  <c r="G1439" i="23" s="1"/>
  <c r="G1440" i="23"/>
  <c r="AU90" i="19"/>
  <c r="G1441" i="23" s="1"/>
  <c r="G1442" i="23"/>
  <c r="G1443" i="23"/>
  <c r="AU94" i="19"/>
  <c r="G1445" i="23" s="1"/>
  <c r="AU95" i="19"/>
  <c r="G1446" i="23" s="1"/>
  <c r="AU96" i="19"/>
  <c r="G1447" i="23" s="1"/>
  <c r="AU97" i="19"/>
  <c r="G1448" i="23" s="1"/>
  <c r="AU98" i="19"/>
  <c r="G1449" i="23" s="1"/>
  <c r="AU99" i="19"/>
  <c r="G1450" i="23" s="1"/>
  <c r="AU100" i="19"/>
  <c r="G1451" i="23" s="1"/>
  <c r="AU101" i="19"/>
  <c r="G1452" i="23" s="1"/>
  <c r="AU102" i="19"/>
  <c r="G1453" i="23" s="1"/>
  <c r="AU103" i="19"/>
  <c r="G1454" i="23" s="1"/>
  <c r="AU104" i="19"/>
  <c r="G1455" i="23" s="1"/>
  <c r="AU105" i="19"/>
  <c r="G1456" i="23" s="1"/>
  <c r="AU106" i="19"/>
  <c r="G1457" i="23" s="1"/>
  <c r="AU107" i="19"/>
  <c r="G1458" i="23" s="1"/>
  <c r="AU108" i="19"/>
  <c r="G1459" i="23" s="1"/>
  <c r="AU109" i="19"/>
  <c r="G1460" i="23" s="1"/>
  <c r="AR7" i="19"/>
  <c r="G1254" i="23" s="1"/>
  <c r="AR8" i="19"/>
  <c r="G1255" i="23" s="1"/>
  <c r="AR9" i="19"/>
  <c r="G1256" i="23" s="1"/>
  <c r="AR10" i="19"/>
  <c r="G1257" i="23" s="1"/>
  <c r="AR11" i="19"/>
  <c r="G1258" i="23" s="1"/>
  <c r="AR12" i="19"/>
  <c r="G1259" i="23" s="1"/>
  <c r="AR13" i="19"/>
  <c r="G1260" i="23" s="1"/>
  <c r="AR14" i="19"/>
  <c r="G1261" i="23" s="1"/>
  <c r="AR15" i="19"/>
  <c r="G1262" i="23" s="1"/>
  <c r="AR16" i="19"/>
  <c r="G1263" i="23" s="1"/>
  <c r="AR17" i="19"/>
  <c r="G1264" i="23" s="1"/>
  <c r="AR18" i="19"/>
  <c r="G1265" i="23" s="1"/>
  <c r="AR19" i="19"/>
  <c r="G1266" i="23" s="1"/>
  <c r="AR20" i="19"/>
  <c r="G1267" i="23" s="1"/>
  <c r="AR21" i="19"/>
  <c r="G1268" i="23" s="1"/>
  <c r="AR22" i="19"/>
  <c r="G1269" i="23" s="1"/>
  <c r="AR23" i="19"/>
  <c r="G1270" i="23" s="1"/>
  <c r="AR24" i="19"/>
  <c r="G1271" i="23" s="1"/>
  <c r="AR25" i="19"/>
  <c r="G1272" i="23" s="1"/>
  <c r="AR26" i="19"/>
  <c r="G1273" i="23" s="1"/>
  <c r="AR27" i="19"/>
  <c r="G1274" i="23" s="1"/>
  <c r="G1275" i="23"/>
  <c r="G1276" i="23"/>
  <c r="AR30" i="19"/>
  <c r="G1277" i="23" s="1"/>
  <c r="AR31" i="19"/>
  <c r="G1278" i="23" s="1"/>
  <c r="AR32" i="19"/>
  <c r="G1279" i="23" s="1"/>
  <c r="AR33" i="19"/>
  <c r="G1280" i="23" s="1"/>
  <c r="AR34" i="19"/>
  <c r="G1281" i="23" s="1"/>
  <c r="AR35" i="19"/>
  <c r="G1282" i="23" s="1"/>
  <c r="AR36" i="19"/>
  <c r="G1283" i="23" s="1"/>
  <c r="AR37" i="19"/>
  <c r="G1284" i="23" s="1"/>
  <c r="AR38" i="19"/>
  <c r="G1285" i="23" s="1"/>
  <c r="AR39" i="19"/>
  <c r="G1286" i="23" s="1"/>
  <c r="AR40" i="19"/>
  <c r="G1287" i="23" s="1"/>
  <c r="AR41" i="19"/>
  <c r="G1288" i="23" s="1"/>
  <c r="AR42" i="19"/>
  <c r="G1289" i="23" s="1"/>
  <c r="AR43" i="19"/>
  <c r="G1290" i="23" s="1"/>
  <c r="AR44" i="19"/>
  <c r="G1291" i="23" s="1"/>
  <c r="AR45" i="19"/>
  <c r="G1292" i="23" s="1"/>
  <c r="AR46" i="19"/>
  <c r="G1293" i="23" s="1"/>
  <c r="AR47" i="19"/>
  <c r="G1294" i="23" s="1"/>
  <c r="AR48" i="19"/>
  <c r="G1295" i="23" s="1"/>
  <c r="AR49" i="19"/>
  <c r="G1296" i="23" s="1"/>
  <c r="AR50" i="19"/>
  <c r="G1297" i="23" s="1"/>
  <c r="AR51" i="19"/>
  <c r="G1298" i="23" s="1"/>
  <c r="AR52" i="19"/>
  <c r="G1299" i="23" s="1"/>
  <c r="AR53" i="19"/>
  <c r="G1300" i="23" s="1"/>
  <c r="AR54" i="19"/>
  <c r="G1301" i="23" s="1"/>
  <c r="AR55" i="19"/>
  <c r="G1302" i="23" s="1"/>
  <c r="AR56" i="19"/>
  <c r="G1303" i="23" s="1"/>
  <c r="AR57" i="19"/>
  <c r="G1304" i="23" s="1"/>
  <c r="AR58" i="19"/>
  <c r="G1305" i="23" s="1"/>
  <c r="G1306" i="23"/>
  <c r="AR60" i="19"/>
  <c r="G1307" i="23" s="1"/>
  <c r="AR61" i="19"/>
  <c r="G1308" i="23" s="1"/>
  <c r="AR62" i="19"/>
  <c r="G1309" i="23" s="1"/>
  <c r="AR63" i="19"/>
  <c r="G1310" i="23" s="1"/>
  <c r="AR64" i="19"/>
  <c r="G1311" i="23" s="1"/>
  <c r="AR65" i="19"/>
  <c r="G1312" i="23" s="1"/>
  <c r="AR66" i="19"/>
  <c r="G1313" i="23" s="1"/>
  <c r="AR67" i="19"/>
  <c r="G1314" i="23" s="1"/>
  <c r="AR68" i="19"/>
  <c r="G1315" i="23" s="1"/>
  <c r="AR69" i="19"/>
  <c r="G1316" i="23" s="1"/>
  <c r="AR70" i="19"/>
  <c r="G1317" i="23" s="1"/>
  <c r="AR71" i="19"/>
  <c r="G1318" i="23" s="1"/>
  <c r="AR72" i="19"/>
  <c r="G1319" i="23" s="1"/>
  <c r="AR73" i="19"/>
  <c r="G1320" i="23" s="1"/>
  <c r="AR74" i="19"/>
  <c r="G1321" i="23" s="1"/>
  <c r="G1322" i="23"/>
  <c r="AR76" i="19"/>
  <c r="G1323" i="23" s="1"/>
  <c r="AR77" i="19"/>
  <c r="G1324" i="23" s="1"/>
  <c r="AR78" i="19"/>
  <c r="G1325" i="23" s="1"/>
  <c r="AR79" i="19"/>
  <c r="G1326" i="23" s="1"/>
  <c r="AR80" i="19"/>
  <c r="G1327" i="23" s="1"/>
  <c r="AR81" i="19"/>
  <c r="G1328" i="23" s="1"/>
  <c r="AR82" i="19"/>
  <c r="G1329" i="23" s="1"/>
  <c r="AR83" i="19"/>
  <c r="G1330" i="23" s="1"/>
  <c r="AR84" i="19"/>
  <c r="G1331" i="23" s="1"/>
  <c r="AR85" i="19"/>
  <c r="G1332" i="23" s="1"/>
  <c r="AR86" i="19"/>
  <c r="G1333" i="23" s="1"/>
  <c r="AR87" i="19"/>
  <c r="G1334" i="23" s="1"/>
  <c r="AR88" i="19"/>
  <c r="G1335" i="23" s="1"/>
  <c r="AR89" i="19"/>
  <c r="G1336" i="23" s="1"/>
  <c r="AR90" i="19"/>
  <c r="G1337" i="23" s="1"/>
  <c r="G1338" i="23"/>
  <c r="AR92" i="19"/>
  <c r="G1339" i="23" s="1"/>
  <c r="G1340" i="23"/>
  <c r="AR94" i="19"/>
  <c r="G1341" i="23" s="1"/>
  <c r="AR95" i="19"/>
  <c r="G1342" i="23" s="1"/>
  <c r="AR96" i="19"/>
  <c r="G1343" i="23" s="1"/>
  <c r="AR97" i="19"/>
  <c r="G1344" i="23" s="1"/>
  <c r="AR98" i="19"/>
  <c r="G1345" i="23" s="1"/>
  <c r="AR99" i="19"/>
  <c r="G1346" i="23" s="1"/>
  <c r="AR100" i="19"/>
  <c r="G1347" i="23" s="1"/>
  <c r="AR101" i="19"/>
  <c r="G1348" i="23" s="1"/>
  <c r="AR102" i="19"/>
  <c r="G1349" i="23" s="1"/>
  <c r="AR103" i="19"/>
  <c r="G1350" i="23" s="1"/>
  <c r="AR104" i="19"/>
  <c r="G1351" i="23" s="1"/>
  <c r="AR105" i="19"/>
  <c r="G1352" i="23" s="1"/>
  <c r="AR106" i="19"/>
  <c r="G1353" i="23" s="1"/>
  <c r="AR107" i="19"/>
  <c r="G1354" i="23" s="1"/>
  <c r="AR108" i="19"/>
  <c r="G1355" i="23" s="1"/>
  <c r="AR109" i="19"/>
  <c r="G1356" i="23" s="1"/>
  <c r="AO7" i="19"/>
  <c r="G1150" i="23" s="1"/>
  <c r="AO8" i="19"/>
  <c r="G1151" i="23" s="1"/>
  <c r="AO9" i="19"/>
  <c r="G1152" i="23" s="1"/>
  <c r="AO10" i="19"/>
  <c r="G1153" i="23" s="1"/>
  <c r="AO11" i="19"/>
  <c r="G1154" i="23" s="1"/>
  <c r="AO12" i="19"/>
  <c r="G1155" i="23" s="1"/>
  <c r="AO13" i="19"/>
  <c r="G1156" i="23" s="1"/>
  <c r="AO14" i="19"/>
  <c r="G1157" i="23" s="1"/>
  <c r="AO15" i="19"/>
  <c r="G1158" i="23" s="1"/>
  <c r="AO16" i="19"/>
  <c r="G1159" i="23" s="1"/>
  <c r="AO17" i="19"/>
  <c r="G1160" i="23" s="1"/>
  <c r="AO18" i="19"/>
  <c r="G1161" i="23" s="1"/>
  <c r="AO19" i="19"/>
  <c r="G1162" i="23" s="1"/>
  <c r="AO20" i="19"/>
  <c r="G1163" i="23" s="1"/>
  <c r="AO21" i="19"/>
  <c r="G1164" i="23" s="1"/>
  <c r="AO22" i="19"/>
  <c r="G1165" i="23" s="1"/>
  <c r="AO23" i="19"/>
  <c r="G1166" i="23" s="1"/>
  <c r="AO24" i="19"/>
  <c r="G1167" i="23" s="1"/>
  <c r="AO25" i="19"/>
  <c r="G1168" i="23" s="1"/>
  <c r="AO26" i="19"/>
  <c r="G1169" i="23" s="1"/>
  <c r="AO27" i="19"/>
  <c r="G1170" i="23" s="1"/>
  <c r="G1171" i="23"/>
  <c r="G1172" i="23"/>
  <c r="AO30" i="19"/>
  <c r="G1173" i="23" s="1"/>
  <c r="AO31" i="19"/>
  <c r="G1174" i="23" s="1"/>
  <c r="AO32" i="19"/>
  <c r="G1175" i="23" s="1"/>
  <c r="AO33" i="19"/>
  <c r="G1176" i="23" s="1"/>
  <c r="AO34" i="19"/>
  <c r="G1177" i="23" s="1"/>
  <c r="AO35" i="19"/>
  <c r="G1178" i="23" s="1"/>
  <c r="AO36" i="19"/>
  <c r="G1179" i="23" s="1"/>
  <c r="AO37" i="19"/>
  <c r="G1180" i="23" s="1"/>
  <c r="AO38" i="19"/>
  <c r="G1181" i="23" s="1"/>
  <c r="AO39" i="19"/>
  <c r="G1182" i="23" s="1"/>
  <c r="AO40" i="19"/>
  <c r="G1183" i="23" s="1"/>
  <c r="AO41" i="19"/>
  <c r="G1184" i="23" s="1"/>
  <c r="AO42" i="19"/>
  <c r="G1185" i="23" s="1"/>
  <c r="AO43" i="19"/>
  <c r="G1186" i="23" s="1"/>
  <c r="AO44" i="19"/>
  <c r="G1187" i="23" s="1"/>
  <c r="AO45" i="19"/>
  <c r="G1188" i="23" s="1"/>
  <c r="AO46" i="19"/>
  <c r="G1189" i="23" s="1"/>
  <c r="AO47" i="19"/>
  <c r="G1190" i="23" s="1"/>
  <c r="AO48" i="19"/>
  <c r="G1191" i="23" s="1"/>
  <c r="AO49" i="19"/>
  <c r="G1192" i="23" s="1"/>
  <c r="AO50" i="19"/>
  <c r="G1193" i="23" s="1"/>
  <c r="AO51" i="19"/>
  <c r="G1194" i="23" s="1"/>
  <c r="AO52" i="19"/>
  <c r="G1195" i="23" s="1"/>
  <c r="AO53" i="19"/>
  <c r="G1196" i="23" s="1"/>
  <c r="AO54" i="19"/>
  <c r="G1197" i="23" s="1"/>
  <c r="AO55" i="19"/>
  <c r="G1198" i="23" s="1"/>
  <c r="AO56" i="19"/>
  <c r="G1199" i="23" s="1"/>
  <c r="AO57" i="19"/>
  <c r="G1200" i="23" s="1"/>
  <c r="AO58" i="19"/>
  <c r="G1201" i="23" s="1"/>
  <c r="AO60" i="19"/>
  <c r="G1203" i="23" s="1"/>
  <c r="AO61" i="19"/>
  <c r="G1204" i="23" s="1"/>
  <c r="AO62" i="19"/>
  <c r="G1205" i="23" s="1"/>
  <c r="AO64" i="19"/>
  <c r="G1207" i="23" s="1"/>
  <c r="AO65" i="19"/>
  <c r="G1208" i="23" s="1"/>
  <c r="AO66" i="19"/>
  <c r="G1209" i="23" s="1"/>
  <c r="AO67" i="19"/>
  <c r="G1210" i="23" s="1"/>
  <c r="AO68" i="19"/>
  <c r="G1211" i="23" s="1"/>
  <c r="AO69" i="19"/>
  <c r="G1212" i="23" s="1"/>
  <c r="AO70" i="19"/>
  <c r="G1213" i="23" s="1"/>
  <c r="AO71" i="19"/>
  <c r="G1214" i="23" s="1"/>
  <c r="AO72" i="19"/>
  <c r="G1215" i="23" s="1"/>
  <c r="AO73" i="19"/>
  <c r="G1216" i="23" s="1"/>
  <c r="AO74" i="19"/>
  <c r="G1217" i="23" s="1"/>
  <c r="G1218" i="23"/>
  <c r="AO76" i="19"/>
  <c r="G1219" i="23" s="1"/>
  <c r="AO77" i="19"/>
  <c r="G1220" i="23" s="1"/>
  <c r="AO78" i="19"/>
  <c r="G1221" i="23" s="1"/>
  <c r="AO79" i="19"/>
  <c r="G1222" i="23" s="1"/>
  <c r="AO80" i="19"/>
  <c r="G1223" i="23" s="1"/>
  <c r="AO81" i="19"/>
  <c r="G1224" i="23" s="1"/>
  <c r="AO82" i="19"/>
  <c r="G1225" i="23" s="1"/>
  <c r="AO83" i="19"/>
  <c r="G1226" i="23" s="1"/>
  <c r="AO84" i="19"/>
  <c r="G1227" i="23" s="1"/>
  <c r="AO85" i="19"/>
  <c r="G1228" i="23" s="1"/>
  <c r="AO86" i="19"/>
  <c r="G1229" i="23" s="1"/>
  <c r="AO87" i="19"/>
  <c r="G1230" i="23" s="1"/>
  <c r="AO88" i="19"/>
  <c r="G1231" i="23" s="1"/>
  <c r="AO89" i="19"/>
  <c r="G1232" i="23" s="1"/>
  <c r="AO90" i="19"/>
  <c r="G1233" i="23" s="1"/>
  <c r="AO91" i="19"/>
  <c r="G1234" i="23" s="1"/>
  <c r="G1235" i="23"/>
  <c r="G1236" i="23"/>
  <c r="AO94" i="19"/>
  <c r="G1237" i="23" s="1"/>
  <c r="AO95" i="19"/>
  <c r="G1238" i="23" s="1"/>
  <c r="AO96" i="19"/>
  <c r="G1239" i="23" s="1"/>
  <c r="AO97" i="19"/>
  <c r="G1240" i="23" s="1"/>
  <c r="AO98" i="19"/>
  <c r="G1241" i="23" s="1"/>
  <c r="AO99" i="19"/>
  <c r="G1242" i="23" s="1"/>
  <c r="AO100" i="19"/>
  <c r="G1243" i="23" s="1"/>
  <c r="AO101" i="19"/>
  <c r="G1244" i="23" s="1"/>
  <c r="AO102" i="19"/>
  <c r="G1245" i="23" s="1"/>
  <c r="AO103" i="19"/>
  <c r="G1246" i="23" s="1"/>
  <c r="AO104" i="19"/>
  <c r="G1247" i="23" s="1"/>
  <c r="AO105" i="19"/>
  <c r="G1248" i="23" s="1"/>
  <c r="AO106" i="19"/>
  <c r="G1249" i="23" s="1"/>
  <c r="AO107" i="19"/>
  <c r="G1250" i="23" s="1"/>
  <c r="AO108" i="19"/>
  <c r="G1251" i="23" s="1"/>
  <c r="AO109" i="19"/>
  <c r="G1252" i="23" s="1"/>
  <c r="AL7" i="19"/>
  <c r="G1046" i="23" s="1"/>
  <c r="AL8" i="19"/>
  <c r="G1047" i="23" s="1"/>
  <c r="AL9" i="19"/>
  <c r="G1048" i="23" s="1"/>
  <c r="AL10" i="19"/>
  <c r="G1049" i="23" s="1"/>
  <c r="AL11" i="19"/>
  <c r="G1050" i="23" s="1"/>
  <c r="AL12" i="19"/>
  <c r="G1051" i="23" s="1"/>
  <c r="AL14" i="19"/>
  <c r="G1053" i="23" s="1"/>
  <c r="AL15" i="19"/>
  <c r="G1054" i="23" s="1"/>
  <c r="AL16" i="19"/>
  <c r="G1055" i="23" s="1"/>
  <c r="AL18" i="19"/>
  <c r="G1057" i="23" s="1"/>
  <c r="AL19" i="19"/>
  <c r="G1058" i="23" s="1"/>
  <c r="AL20" i="19"/>
  <c r="G1059" i="23" s="1"/>
  <c r="AL21" i="19"/>
  <c r="G1060" i="23" s="1"/>
  <c r="AL23" i="19"/>
  <c r="G1062" i="23" s="1"/>
  <c r="AL24" i="19"/>
  <c r="G1063" i="23" s="1"/>
  <c r="AL25" i="19"/>
  <c r="G1064" i="23" s="1"/>
  <c r="AL26" i="19"/>
  <c r="G1065" i="23" s="1"/>
  <c r="AL27" i="19"/>
  <c r="G1066" i="23" s="1"/>
  <c r="AL30" i="19"/>
  <c r="G1069" i="23" s="1"/>
  <c r="AL31" i="19"/>
  <c r="G1070" i="23" s="1"/>
  <c r="AL35" i="19"/>
  <c r="G1074" i="23" s="1"/>
  <c r="AL38" i="19"/>
  <c r="G1077" i="23" s="1"/>
  <c r="AL40" i="19"/>
  <c r="G1079" i="23" s="1"/>
  <c r="AL41" i="19"/>
  <c r="G1080" i="23" s="1"/>
  <c r="AL42" i="19"/>
  <c r="G1081" i="23" s="1"/>
  <c r="AL43" i="19"/>
  <c r="G1082" i="23" s="1"/>
  <c r="AL44" i="19"/>
  <c r="G1083" i="23" s="1"/>
  <c r="AL45" i="19"/>
  <c r="G1084" i="23" s="1"/>
  <c r="AL46" i="19"/>
  <c r="G1085" i="23" s="1"/>
  <c r="AL47" i="19"/>
  <c r="G1086" i="23" s="1"/>
  <c r="AL48" i="19"/>
  <c r="G1087" i="23" s="1"/>
  <c r="AL49" i="19"/>
  <c r="G1088" i="23" s="1"/>
  <c r="AL51" i="19"/>
  <c r="G1090" i="23" s="1"/>
  <c r="AL52" i="19"/>
  <c r="G1091" i="23" s="1"/>
  <c r="AL53" i="19"/>
  <c r="G1092" i="23" s="1"/>
  <c r="AL54" i="19"/>
  <c r="G1093" i="23" s="1"/>
  <c r="AL55" i="19"/>
  <c r="G1094" i="23" s="1"/>
  <c r="AL56" i="19"/>
  <c r="G1095" i="23" s="1"/>
  <c r="AL57" i="19"/>
  <c r="G1096" i="23" s="1"/>
  <c r="AL58" i="19"/>
  <c r="G1097" i="23" s="1"/>
  <c r="AL60" i="19"/>
  <c r="G1099" i="23" s="1"/>
  <c r="G1100" i="23"/>
  <c r="AL62" i="19"/>
  <c r="G1101" i="23" s="1"/>
  <c r="AL63" i="19"/>
  <c r="G1102" i="23" s="1"/>
  <c r="AL64" i="19"/>
  <c r="G1103" i="23" s="1"/>
  <c r="AL65" i="19"/>
  <c r="G1104" i="23" s="1"/>
  <c r="AL66" i="19"/>
  <c r="G1105" i="23" s="1"/>
  <c r="AL67" i="19"/>
  <c r="G1106" i="23" s="1"/>
  <c r="AL68" i="19"/>
  <c r="G1107" i="23" s="1"/>
  <c r="AL69" i="19"/>
  <c r="G1108" i="23" s="1"/>
  <c r="AL70" i="19"/>
  <c r="G1109" i="23" s="1"/>
  <c r="AL71" i="19"/>
  <c r="G1110" i="23" s="1"/>
  <c r="AL72" i="19"/>
  <c r="G1111" i="23" s="1"/>
  <c r="AL73" i="19"/>
  <c r="G1112" i="23" s="1"/>
  <c r="AL74" i="19"/>
  <c r="G1113" i="23" s="1"/>
  <c r="AL76" i="19"/>
  <c r="G1115" i="23" s="1"/>
  <c r="AL77" i="19"/>
  <c r="G1116" i="23" s="1"/>
  <c r="AL78" i="19"/>
  <c r="G1117" i="23" s="1"/>
  <c r="AL79" i="19"/>
  <c r="G1118" i="23" s="1"/>
  <c r="AL80" i="19"/>
  <c r="G1119" i="23" s="1"/>
  <c r="G1121" i="23"/>
  <c r="AL83" i="19"/>
  <c r="G1122" i="23" s="1"/>
  <c r="AL84" i="19"/>
  <c r="G1123" i="23" s="1"/>
  <c r="AL85" i="19"/>
  <c r="G1124" i="23" s="1"/>
  <c r="AL87" i="19"/>
  <c r="G1126" i="23" s="1"/>
  <c r="AL88" i="19"/>
  <c r="G1127" i="23" s="1"/>
  <c r="AL89" i="19"/>
  <c r="G1128" i="23" s="1"/>
  <c r="AL90" i="19"/>
  <c r="G1129" i="23" s="1"/>
  <c r="AL94" i="19"/>
  <c r="G1133" i="23" s="1"/>
  <c r="AL95" i="19"/>
  <c r="G1134" i="23" s="1"/>
  <c r="AL96" i="19"/>
  <c r="G1135" i="23" s="1"/>
  <c r="AL97" i="19"/>
  <c r="G1136" i="23" s="1"/>
  <c r="AL98" i="19"/>
  <c r="G1137" i="23" s="1"/>
  <c r="AL99" i="19"/>
  <c r="G1138" i="23" s="1"/>
  <c r="AL100" i="19"/>
  <c r="G1139" i="23" s="1"/>
  <c r="AL101" i="19"/>
  <c r="G1140" i="23" s="1"/>
  <c r="AL102" i="19"/>
  <c r="G1141" i="23" s="1"/>
  <c r="AL103" i="19"/>
  <c r="G1142" i="23" s="1"/>
  <c r="AL104" i="19"/>
  <c r="G1143" i="23" s="1"/>
  <c r="AL105" i="19"/>
  <c r="G1144" i="23" s="1"/>
  <c r="AL106" i="19"/>
  <c r="G1145" i="23" s="1"/>
  <c r="AL107" i="19"/>
  <c r="G1146" i="23" s="1"/>
  <c r="AL108" i="19"/>
  <c r="G1147" i="23" s="1"/>
  <c r="AL109" i="19"/>
  <c r="G1148" i="23" s="1"/>
  <c r="AI7" i="19"/>
  <c r="G942" i="23" s="1"/>
  <c r="AI8" i="19"/>
  <c r="G943" i="23" s="1"/>
  <c r="AI9" i="19"/>
  <c r="G944" i="23" s="1"/>
  <c r="AI10" i="19"/>
  <c r="G945" i="23" s="1"/>
  <c r="AI11" i="19"/>
  <c r="G946" i="23" s="1"/>
  <c r="AI12" i="19"/>
  <c r="G947" i="23" s="1"/>
  <c r="AI14" i="19"/>
  <c r="G949" i="23" s="1"/>
  <c r="AI15" i="19"/>
  <c r="G950" i="23" s="1"/>
  <c r="AI16" i="19"/>
  <c r="G951" i="23" s="1"/>
  <c r="AI19" i="19"/>
  <c r="G954" i="23" s="1"/>
  <c r="G955" i="23"/>
  <c r="AI21" i="19"/>
  <c r="G956" i="23" s="1"/>
  <c r="AI22" i="19"/>
  <c r="G957" i="23" s="1"/>
  <c r="AI23" i="19"/>
  <c r="G958" i="23" s="1"/>
  <c r="AI24" i="19"/>
  <c r="G959" i="23" s="1"/>
  <c r="AI25" i="19"/>
  <c r="G960" i="23" s="1"/>
  <c r="AI26" i="19"/>
  <c r="G961" i="23" s="1"/>
  <c r="AI27" i="19"/>
  <c r="G962" i="23" s="1"/>
  <c r="G965" i="23"/>
  <c r="G966" i="23"/>
  <c r="AI33" i="19"/>
  <c r="G968" i="23" s="1"/>
  <c r="AI34" i="19"/>
  <c r="G969" i="23" s="1"/>
  <c r="AI35" i="19"/>
  <c r="G970" i="23" s="1"/>
  <c r="AI36" i="19"/>
  <c r="G971" i="23" s="1"/>
  <c r="G972" i="23"/>
  <c r="AI38" i="19"/>
  <c r="G973" i="23" s="1"/>
  <c r="AI39" i="19"/>
  <c r="G974" i="23" s="1"/>
  <c r="AI40" i="19"/>
  <c r="G975" i="23" s="1"/>
  <c r="AI41" i="19"/>
  <c r="G976" i="23" s="1"/>
  <c r="AI42" i="19"/>
  <c r="G977" i="23" s="1"/>
  <c r="AI43" i="19"/>
  <c r="G978" i="23" s="1"/>
  <c r="AI44" i="19"/>
  <c r="G979" i="23" s="1"/>
  <c r="AI45" i="19"/>
  <c r="G980" i="23" s="1"/>
  <c r="AI46" i="19"/>
  <c r="G981" i="23" s="1"/>
  <c r="AI47" i="19"/>
  <c r="G982" i="23" s="1"/>
  <c r="AI48" i="19"/>
  <c r="G983" i="23" s="1"/>
  <c r="AI49" i="19"/>
  <c r="G984" i="23" s="1"/>
  <c r="AI51" i="19"/>
  <c r="G986" i="23" s="1"/>
  <c r="AI52" i="19"/>
  <c r="G987" i="23" s="1"/>
  <c r="AI53" i="19"/>
  <c r="G988" i="23" s="1"/>
  <c r="AI54" i="19"/>
  <c r="G989" i="23" s="1"/>
  <c r="AI55" i="19"/>
  <c r="G990" i="23" s="1"/>
  <c r="AI56" i="19"/>
  <c r="G991" i="23" s="1"/>
  <c r="AI57" i="19"/>
  <c r="G992" i="23" s="1"/>
  <c r="AI58" i="19"/>
  <c r="G993" i="23" s="1"/>
  <c r="AI61" i="19"/>
  <c r="G996" i="23" s="1"/>
  <c r="AI62" i="19"/>
  <c r="G997" i="23" s="1"/>
  <c r="AI63" i="19"/>
  <c r="G998" i="23" s="1"/>
  <c r="AI64" i="19"/>
  <c r="G999" i="23" s="1"/>
  <c r="AI65" i="19"/>
  <c r="G1000" i="23" s="1"/>
  <c r="AI66" i="19"/>
  <c r="G1001" i="23" s="1"/>
  <c r="AI67" i="19"/>
  <c r="G1002" i="23" s="1"/>
  <c r="AI68" i="19"/>
  <c r="G1003" i="23" s="1"/>
  <c r="AI69" i="19"/>
  <c r="G1004" i="23" s="1"/>
  <c r="AI70" i="19"/>
  <c r="G1005" i="23" s="1"/>
  <c r="AI71" i="19"/>
  <c r="G1006" i="23" s="1"/>
  <c r="AI72" i="19"/>
  <c r="G1007" i="23" s="1"/>
  <c r="AI73" i="19"/>
  <c r="G1008" i="23" s="1"/>
  <c r="AI74" i="19"/>
  <c r="G1009" i="23" s="1"/>
  <c r="G1010" i="23"/>
  <c r="AI76" i="19"/>
  <c r="G1011" i="23" s="1"/>
  <c r="AI77" i="19"/>
  <c r="G1012" i="23" s="1"/>
  <c r="AI78" i="19"/>
  <c r="G1013" i="23" s="1"/>
  <c r="AI79" i="19"/>
  <c r="G1014" i="23" s="1"/>
  <c r="AI80" i="19"/>
  <c r="G1015" i="23" s="1"/>
  <c r="AI81" i="19"/>
  <c r="G1016" i="23" s="1"/>
  <c r="AI82" i="19"/>
  <c r="G1017" i="23" s="1"/>
  <c r="AI83" i="19"/>
  <c r="G1018" i="23" s="1"/>
  <c r="AI84" i="19"/>
  <c r="G1019" i="23" s="1"/>
  <c r="AI85" i="19"/>
  <c r="G1020" i="23" s="1"/>
  <c r="AI86" i="19"/>
  <c r="G1021" i="23" s="1"/>
  <c r="AI87" i="19"/>
  <c r="G1022" i="23" s="1"/>
  <c r="AI88" i="19"/>
  <c r="G1023" i="23" s="1"/>
  <c r="AI89" i="19"/>
  <c r="G1024" i="23" s="1"/>
  <c r="AI90" i="19"/>
  <c r="G1025" i="23" s="1"/>
  <c r="G1026" i="23"/>
  <c r="G1027" i="23"/>
  <c r="AI94" i="19"/>
  <c r="G1029" i="23" s="1"/>
  <c r="AI95" i="19"/>
  <c r="G1030" i="23" s="1"/>
  <c r="AI96" i="19"/>
  <c r="G1031" i="23" s="1"/>
  <c r="AI97" i="19"/>
  <c r="G1032" i="23" s="1"/>
  <c r="AI98" i="19"/>
  <c r="G1033" i="23" s="1"/>
  <c r="AI99" i="19"/>
  <c r="G1034" i="23" s="1"/>
  <c r="AI100" i="19"/>
  <c r="G1035" i="23" s="1"/>
  <c r="AI101" i="19"/>
  <c r="G1036" i="23" s="1"/>
  <c r="AI102" i="19"/>
  <c r="G1037" i="23" s="1"/>
  <c r="AI103" i="19"/>
  <c r="G1038" i="23" s="1"/>
  <c r="AI105" i="19"/>
  <c r="G1040" i="23" s="1"/>
  <c r="AI106" i="19"/>
  <c r="G1041" i="23" s="1"/>
  <c r="AI107" i="19"/>
  <c r="G1042" i="23" s="1"/>
  <c r="AI108" i="19"/>
  <c r="G1043" i="23" s="1"/>
  <c r="AI109" i="19"/>
  <c r="G1044" i="23" s="1"/>
  <c r="AF7" i="19"/>
  <c r="G838" i="23" s="1"/>
  <c r="AF8" i="19"/>
  <c r="G839" i="23" s="1"/>
  <c r="AF9" i="19"/>
  <c r="G840" i="23" s="1"/>
  <c r="AF10" i="19"/>
  <c r="G841" i="23" s="1"/>
  <c r="AF11" i="19"/>
  <c r="G842" i="23" s="1"/>
  <c r="AF12" i="19"/>
  <c r="G843" i="23" s="1"/>
  <c r="AF13" i="19"/>
  <c r="G844" i="23" s="1"/>
  <c r="AF14" i="19"/>
  <c r="G845" i="23" s="1"/>
  <c r="AF15" i="19"/>
  <c r="G846" i="23" s="1"/>
  <c r="AF16" i="19"/>
  <c r="G847" i="23" s="1"/>
  <c r="AF17" i="19"/>
  <c r="G848" i="23" s="1"/>
  <c r="AF18" i="19"/>
  <c r="G849" i="23" s="1"/>
  <c r="AF19" i="19"/>
  <c r="G850" i="23" s="1"/>
  <c r="AF20" i="19"/>
  <c r="G851" i="23" s="1"/>
  <c r="AF21" i="19"/>
  <c r="G852" i="23" s="1"/>
  <c r="AF23" i="19"/>
  <c r="G854" i="23" s="1"/>
  <c r="AF24" i="19"/>
  <c r="G855" i="23" s="1"/>
  <c r="AF25" i="19"/>
  <c r="G856" i="23" s="1"/>
  <c r="AF26" i="19"/>
  <c r="G857" i="23" s="1"/>
  <c r="AF27" i="19"/>
  <c r="G858" i="23" s="1"/>
  <c r="AF30" i="19"/>
  <c r="G861" i="23" s="1"/>
  <c r="AF31" i="19"/>
  <c r="G862" i="23" s="1"/>
  <c r="AF33" i="19"/>
  <c r="G864" i="23" s="1"/>
  <c r="AF34" i="19"/>
  <c r="G865" i="23" s="1"/>
  <c r="AF35" i="19"/>
  <c r="G866" i="23" s="1"/>
  <c r="AF36" i="19"/>
  <c r="G867" i="23" s="1"/>
  <c r="AF37" i="19"/>
  <c r="G868" i="23" s="1"/>
  <c r="AF38" i="19"/>
  <c r="G869" i="23" s="1"/>
  <c r="AF39" i="19"/>
  <c r="G870" i="23" s="1"/>
  <c r="AF40" i="19"/>
  <c r="G871" i="23" s="1"/>
  <c r="AF41" i="19"/>
  <c r="G872" i="23" s="1"/>
  <c r="AF42" i="19"/>
  <c r="G873" i="23" s="1"/>
  <c r="AF43" i="19"/>
  <c r="G874" i="23" s="1"/>
  <c r="AF44" i="19"/>
  <c r="G875" i="23" s="1"/>
  <c r="AF45" i="19"/>
  <c r="G876" i="23" s="1"/>
  <c r="AF46" i="19"/>
  <c r="G877" i="23" s="1"/>
  <c r="AF47" i="19"/>
  <c r="G878" i="23" s="1"/>
  <c r="AF48" i="19"/>
  <c r="G879" i="23" s="1"/>
  <c r="AF49" i="19"/>
  <c r="G880" i="23" s="1"/>
  <c r="AF50" i="19"/>
  <c r="G881" i="23" s="1"/>
  <c r="AF51" i="19"/>
  <c r="G882" i="23" s="1"/>
  <c r="AF52" i="19"/>
  <c r="G883" i="23" s="1"/>
  <c r="AF53" i="19"/>
  <c r="G884" i="23" s="1"/>
  <c r="AF54" i="19"/>
  <c r="G885" i="23" s="1"/>
  <c r="AF55" i="19"/>
  <c r="G886" i="23" s="1"/>
  <c r="AF56" i="19"/>
  <c r="G887" i="23" s="1"/>
  <c r="AF57" i="19"/>
  <c r="G888" i="23" s="1"/>
  <c r="AF58" i="19"/>
  <c r="G889" i="23" s="1"/>
  <c r="G892" i="23"/>
  <c r="AF62" i="19"/>
  <c r="G893" i="23" s="1"/>
  <c r="AF63" i="19"/>
  <c r="G894" i="23" s="1"/>
  <c r="AF64" i="19"/>
  <c r="G895" i="23" s="1"/>
  <c r="AF65" i="19"/>
  <c r="G896" i="23" s="1"/>
  <c r="AF66" i="19"/>
  <c r="G897" i="23" s="1"/>
  <c r="AF67" i="19"/>
  <c r="G898" i="23" s="1"/>
  <c r="AF68" i="19"/>
  <c r="G899" i="23" s="1"/>
  <c r="AF69" i="19"/>
  <c r="G900" i="23" s="1"/>
  <c r="AF70" i="19"/>
  <c r="G901" i="23" s="1"/>
  <c r="AF71" i="19"/>
  <c r="G902" i="23" s="1"/>
  <c r="AF72" i="19"/>
  <c r="G903" i="23" s="1"/>
  <c r="AF73" i="19"/>
  <c r="G904" i="23" s="1"/>
  <c r="AF74" i="19"/>
  <c r="G905" i="23" s="1"/>
  <c r="AF76" i="19"/>
  <c r="G907" i="23" s="1"/>
  <c r="AF77" i="19"/>
  <c r="G908" i="23" s="1"/>
  <c r="AF78" i="19"/>
  <c r="G909" i="23" s="1"/>
  <c r="AF79" i="19"/>
  <c r="G910" i="23" s="1"/>
  <c r="AF80" i="19"/>
  <c r="G911" i="23" s="1"/>
  <c r="AF81" i="19"/>
  <c r="G912" i="23" s="1"/>
  <c r="AF82" i="19"/>
  <c r="G913" i="23" s="1"/>
  <c r="AF83" i="19"/>
  <c r="G914" i="23" s="1"/>
  <c r="AF84" i="19"/>
  <c r="G915" i="23" s="1"/>
  <c r="AF85" i="19"/>
  <c r="G916" i="23" s="1"/>
  <c r="AF86" i="19"/>
  <c r="G917" i="23" s="1"/>
  <c r="AF87" i="19"/>
  <c r="G918" i="23" s="1"/>
  <c r="AF88" i="19"/>
  <c r="G919" i="23" s="1"/>
  <c r="AF89" i="19"/>
  <c r="G920" i="23" s="1"/>
  <c r="AF90" i="19"/>
  <c r="G921" i="23" s="1"/>
  <c r="AF94" i="19"/>
  <c r="G925" i="23" s="1"/>
  <c r="AF95" i="19"/>
  <c r="G926" i="23" s="1"/>
  <c r="AF96" i="19"/>
  <c r="G927" i="23" s="1"/>
  <c r="AF97" i="19"/>
  <c r="G928" i="23" s="1"/>
  <c r="AF98" i="19"/>
  <c r="G929" i="23" s="1"/>
  <c r="AF99" i="19"/>
  <c r="G930" i="23" s="1"/>
  <c r="AF100" i="19"/>
  <c r="G931" i="23" s="1"/>
  <c r="AF101" i="19"/>
  <c r="G932" i="23" s="1"/>
  <c r="AF102" i="19"/>
  <c r="G933" i="23" s="1"/>
  <c r="AF103" i="19"/>
  <c r="G934" i="23" s="1"/>
  <c r="AF104" i="19"/>
  <c r="G935" i="23" s="1"/>
  <c r="AF105" i="19"/>
  <c r="G936" i="23" s="1"/>
  <c r="AF106" i="19"/>
  <c r="G937" i="23" s="1"/>
  <c r="AF107" i="19"/>
  <c r="G938" i="23" s="1"/>
  <c r="AF108" i="19"/>
  <c r="G939" i="23" s="1"/>
  <c r="AF109" i="19"/>
  <c r="G940" i="23" s="1"/>
  <c r="AC7" i="19"/>
  <c r="G734" i="23" s="1"/>
  <c r="AC8" i="19"/>
  <c r="G735" i="23" s="1"/>
  <c r="AC9" i="19"/>
  <c r="G736" i="23" s="1"/>
  <c r="AC10" i="19"/>
  <c r="G737" i="23" s="1"/>
  <c r="AC11" i="19"/>
  <c r="G738" i="23" s="1"/>
  <c r="AC12" i="19"/>
  <c r="G739" i="23" s="1"/>
  <c r="AC14" i="19"/>
  <c r="G741" i="23" s="1"/>
  <c r="AC15" i="19"/>
  <c r="G742" i="23" s="1"/>
  <c r="AC16" i="19"/>
  <c r="G743" i="23" s="1"/>
  <c r="AC17" i="19"/>
  <c r="G744" i="23" s="1"/>
  <c r="AC18" i="19"/>
  <c r="G745" i="23" s="1"/>
  <c r="AC19" i="19"/>
  <c r="G746" i="23" s="1"/>
  <c r="AC20" i="19"/>
  <c r="G747" i="23" s="1"/>
  <c r="AC21" i="19"/>
  <c r="G748" i="23" s="1"/>
  <c r="AC23" i="19"/>
  <c r="G750" i="23" s="1"/>
  <c r="AC24" i="19"/>
  <c r="G751" i="23" s="1"/>
  <c r="AC25" i="19"/>
  <c r="G752" i="23" s="1"/>
  <c r="AC26" i="19"/>
  <c r="G753" i="23" s="1"/>
  <c r="AC27" i="19"/>
  <c r="G754" i="23" s="1"/>
  <c r="G755" i="23"/>
  <c r="AC30" i="19"/>
  <c r="G757" i="23" s="1"/>
  <c r="AC31" i="19"/>
  <c r="G758" i="23" s="1"/>
  <c r="AC33" i="19"/>
  <c r="G760" i="23" s="1"/>
  <c r="AC34" i="19"/>
  <c r="G761" i="23" s="1"/>
  <c r="AC35" i="19"/>
  <c r="G762" i="23" s="1"/>
  <c r="AC37" i="19"/>
  <c r="G764" i="23" s="1"/>
  <c r="AC38" i="19"/>
  <c r="G765" i="23" s="1"/>
  <c r="AC40" i="19"/>
  <c r="G767" i="23" s="1"/>
  <c r="AC41" i="19"/>
  <c r="G768" i="23" s="1"/>
  <c r="AC42" i="19"/>
  <c r="G769" i="23" s="1"/>
  <c r="AC43" i="19"/>
  <c r="G770" i="23" s="1"/>
  <c r="AC44" i="19"/>
  <c r="G771" i="23" s="1"/>
  <c r="AC45" i="19"/>
  <c r="G772" i="23" s="1"/>
  <c r="AC46" i="19"/>
  <c r="G773" i="23" s="1"/>
  <c r="AC47" i="19"/>
  <c r="G774" i="23" s="1"/>
  <c r="AC48" i="19"/>
  <c r="G775" i="23" s="1"/>
  <c r="AC49" i="19"/>
  <c r="G776" i="23" s="1"/>
  <c r="AC51" i="19"/>
  <c r="G778" i="23" s="1"/>
  <c r="AC52" i="19"/>
  <c r="G779" i="23" s="1"/>
  <c r="AC53" i="19"/>
  <c r="G780" i="23" s="1"/>
  <c r="AC54" i="19"/>
  <c r="G781" i="23" s="1"/>
  <c r="AC55" i="19"/>
  <c r="G782" i="23" s="1"/>
  <c r="AC56" i="19"/>
  <c r="G783" i="23" s="1"/>
  <c r="AC57" i="19"/>
  <c r="G784" i="23" s="1"/>
  <c r="AC58" i="19"/>
  <c r="G785" i="23" s="1"/>
  <c r="AC61" i="19"/>
  <c r="G788" i="23" s="1"/>
  <c r="AC62" i="19"/>
  <c r="G789" i="23" s="1"/>
  <c r="AC63" i="19"/>
  <c r="G790" i="23" s="1"/>
  <c r="AC64" i="19"/>
  <c r="G791" i="23" s="1"/>
  <c r="AC65" i="19"/>
  <c r="G792" i="23" s="1"/>
  <c r="AC66" i="19"/>
  <c r="G793" i="23" s="1"/>
  <c r="AC67" i="19"/>
  <c r="G794" i="23" s="1"/>
  <c r="AC68" i="19"/>
  <c r="G795" i="23" s="1"/>
  <c r="AC69" i="19"/>
  <c r="G796" i="23" s="1"/>
  <c r="AC70" i="19"/>
  <c r="G797" i="23" s="1"/>
  <c r="AC71" i="19"/>
  <c r="G798" i="23" s="1"/>
  <c r="AC72" i="19"/>
  <c r="G799" i="23" s="1"/>
  <c r="AC73" i="19"/>
  <c r="G800" i="23" s="1"/>
  <c r="AC76" i="19"/>
  <c r="G803" i="23" s="1"/>
  <c r="AC77" i="19"/>
  <c r="G804" i="23" s="1"/>
  <c r="AC78" i="19"/>
  <c r="G805" i="23" s="1"/>
  <c r="AC79" i="19"/>
  <c r="G806" i="23" s="1"/>
  <c r="AC80" i="19"/>
  <c r="G807" i="23" s="1"/>
  <c r="AC81" i="19"/>
  <c r="G808" i="23" s="1"/>
  <c r="AC82" i="19"/>
  <c r="G809" i="23" s="1"/>
  <c r="AC83" i="19"/>
  <c r="G810" i="23" s="1"/>
  <c r="AC84" i="19"/>
  <c r="G811" i="23" s="1"/>
  <c r="AC85" i="19"/>
  <c r="G812" i="23" s="1"/>
  <c r="AC86" i="19"/>
  <c r="G813" i="23" s="1"/>
  <c r="AC87" i="19"/>
  <c r="G814" i="23" s="1"/>
  <c r="AC88" i="19"/>
  <c r="G815" i="23" s="1"/>
  <c r="AC89" i="19"/>
  <c r="G816" i="23" s="1"/>
  <c r="AC90" i="19"/>
  <c r="G817" i="23" s="1"/>
  <c r="AC91" i="19"/>
  <c r="G818" i="23" s="1"/>
  <c r="G819" i="23"/>
  <c r="AC94" i="19"/>
  <c r="G821" i="23" s="1"/>
  <c r="AC95" i="19"/>
  <c r="G822" i="23" s="1"/>
  <c r="AC96" i="19"/>
  <c r="G823" i="23" s="1"/>
  <c r="AC97" i="19"/>
  <c r="G824" i="23" s="1"/>
  <c r="AC98" i="19"/>
  <c r="G825" i="23" s="1"/>
  <c r="AC99" i="19"/>
  <c r="G826" i="23" s="1"/>
  <c r="AC100" i="19"/>
  <c r="G827" i="23" s="1"/>
  <c r="AC101" i="19"/>
  <c r="G828" i="23" s="1"/>
  <c r="AC102" i="19"/>
  <c r="G829" i="23" s="1"/>
  <c r="AC103" i="19"/>
  <c r="G830" i="23" s="1"/>
  <c r="AC104" i="19"/>
  <c r="G831" i="23" s="1"/>
  <c r="AC105" i="19"/>
  <c r="G832" i="23" s="1"/>
  <c r="AC106" i="19"/>
  <c r="G833" i="23" s="1"/>
  <c r="AC107" i="19"/>
  <c r="G834" i="23" s="1"/>
  <c r="AC108" i="19"/>
  <c r="G835" i="23" s="1"/>
  <c r="AC109" i="19"/>
  <c r="G836" i="23" s="1"/>
  <c r="Z7" i="19"/>
  <c r="G630" i="23" s="1"/>
  <c r="Z8" i="19"/>
  <c r="G631" i="23" s="1"/>
  <c r="Z9" i="19"/>
  <c r="G632" i="23" s="1"/>
  <c r="Z10" i="19"/>
  <c r="G633" i="23" s="1"/>
  <c r="Z11" i="19"/>
  <c r="G634" i="23" s="1"/>
  <c r="Z12" i="19"/>
  <c r="G635" i="23" s="1"/>
  <c r="Z13" i="19"/>
  <c r="G636" i="23" s="1"/>
  <c r="Z14" i="19"/>
  <c r="G637" i="23" s="1"/>
  <c r="G638" i="23"/>
  <c r="Z17" i="19"/>
  <c r="G640" i="23" s="1"/>
  <c r="Z18" i="19"/>
  <c r="G641" i="23" s="1"/>
  <c r="Z19" i="19"/>
  <c r="G642" i="23" s="1"/>
  <c r="Z20" i="19"/>
  <c r="G643" i="23" s="1"/>
  <c r="Z21" i="19"/>
  <c r="G644" i="23" s="1"/>
  <c r="Z23" i="19"/>
  <c r="G646" i="23" s="1"/>
  <c r="Z24" i="19"/>
  <c r="G647" i="23" s="1"/>
  <c r="Z25" i="19"/>
  <c r="G648" i="23" s="1"/>
  <c r="Z26" i="19"/>
  <c r="G649" i="23" s="1"/>
  <c r="Z27" i="19"/>
  <c r="G650" i="23" s="1"/>
  <c r="Z30" i="19"/>
  <c r="G653" i="23" s="1"/>
  <c r="G654" i="23"/>
  <c r="Z33" i="19"/>
  <c r="G656" i="23" s="1"/>
  <c r="Z34" i="19"/>
  <c r="G657" i="23" s="1"/>
  <c r="G658" i="23"/>
  <c r="Z36" i="19"/>
  <c r="G659" i="23" s="1"/>
  <c r="Z37" i="19"/>
  <c r="G660" i="23" s="1"/>
  <c r="Z38" i="19"/>
  <c r="G661" i="23" s="1"/>
  <c r="Z39" i="19"/>
  <c r="G662" i="23" s="1"/>
  <c r="Z40" i="19"/>
  <c r="G663" i="23" s="1"/>
  <c r="Z41" i="19"/>
  <c r="G664" i="23" s="1"/>
  <c r="Z42" i="19"/>
  <c r="G665" i="23" s="1"/>
  <c r="Z43" i="19"/>
  <c r="G666" i="23" s="1"/>
  <c r="Z44" i="19"/>
  <c r="G667" i="23" s="1"/>
  <c r="Z45" i="19"/>
  <c r="G668" i="23" s="1"/>
  <c r="Z46" i="19"/>
  <c r="G669" i="23" s="1"/>
  <c r="Z47" i="19"/>
  <c r="G670" i="23" s="1"/>
  <c r="Z48" i="19"/>
  <c r="G671" i="23" s="1"/>
  <c r="Z49" i="19"/>
  <c r="G672" i="23" s="1"/>
  <c r="Z51" i="19"/>
  <c r="G674" i="23" s="1"/>
  <c r="Z52" i="19"/>
  <c r="G675" i="23" s="1"/>
  <c r="Z53" i="19"/>
  <c r="G676" i="23" s="1"/>
  <c r="Z54" i="19"/>
  <c r="G677" i="23" s="1"/>
  <c r="Z55" i="19"/>
  <c r="G678" i="23" s="1"/>
  <c r="Z56" i="19"/>
  <c r="G679" i="23" s="1"/>
  <c r="Z57" i="19"/>
  <c r="G680" i="23" s="1"/>
  <c r="Z58" i="19"/>
  <c r="G681" i="23" s="1"/>
  <c r="Z61" i="19"/>
  <c r="G684" i="23" s="1"/>
  <c r="Z62" i="19"/>
  <c r="G685" i="23" s="1"/>
  <c r="Z63" i="19"/>
  <c r="G686" i="23" s="1"/>
  <c r="Z64" i="19"/>
  <c r="G687" i="23" s="1"/>
  <c r="Z65" i="19"/>
  <c r="G688" i="23" s="1"/>
  <c r="Z66" i="19"/>
  <c r="G689" i="23" s="1"/>
  <c r="Z67" i="19"/>
  <c r="G690" i="23" s="1"/>
  <c r="Z68" i="19"/>
  <c r="G691" i="23" s="1"/>
  <c r="Z69" i="19"/>
  <c r="G692" i="23" s="1"/>
  <c r="Z70" i="19"/>
  <c r="G693" i="23" s="1"/>
  <c r="Z71" i="19"/>
  <c r="G694" i="23" s="1"/>
  <c r="G695" i="23"/>
  <c r="Z73" i="19"/>
  <c r="G696" i="23" s="1"/>
  <c r="Z74" i="19"/>
  <c r="G697" i="23" s="1"/>
  <c r="G698" i="23"/>
  <c r="Z76" i="19"/>
  <c r="G699" i="23" s="1"/>
  <c r="Z77" i="19"/>
  <c r="G700" i="23" s="1"/>
  <c r="Z78" i="19"/>
  <c r="G701" i="23" s="1"/>
  <c r="Z79" i="19"/>
  <c r="G702" i="23" s="1"/>
  <c r="Z80" i="19"/>
  <c r="G703" i="23" s="1"/>
  <c r="Z81" i="19"/>
  <c r="G704" i="23" s="1"/>
  <c r="Z82" i="19"/>
  <c r="G705" i="23" s="1"/>
  <c r="Z83" i="19"/>
  <c r="G706" i="23" s="1"/>
  <c r="Z84" i="19"/>
  <c r="G707" i="23" s="1"/>
  <c r="Z85" i="19"/>
  <c r="G708" i="23" s="1"/>
  <c r="Z86" i="19"/>
  <c r="G709" i="23" s="1"/>
  <c r="Z87" i="19"/>
  <c r="G710" i="23" s="1"/>
  <c r="Z88" i="19"/>
  <c r="G711" i="23" s="1"/>
  <c r="Z89" i="19"/>
  <c r="G712" i="23" s="1"/>
  <c r="Z90" i="19"/>
  <c r="G713" i="23" s="1"/>
  <c r="Z94" i="19"/>
  <c r="G717" i="23" s="1"/>
  <c r="Z95" i="19"/>
  <c r="G718" i="23" s="1"/>
  <c r="Z96" i="19"/>
  <c r="G719" i="23" s="1"/>
  <c r="Z97" i="19"/>
  <c r="G720" i="23" s="1"/>
  <c r="Z98" i="19"/>
  <c r="G721" i="23" s="1"/>
  <c r="Z99" i="19"/>
  <c r="G722" i="23" s="1"/>
  <c r="Z100" i="19"/>
  <c r="G723" i="23" s="1"/>
  <c r="Z101" i="19"/>
  <c r="G724" i="23" s="1"/>
  <c r="Z102" i="19"/>
  <c r="G725" i="23" s="1"/>
  <c r="Z103" i="19"/>
  <c r="G726" i="23" s="1"/>
  <c r="Z104" i="19"/>
  <c r="G727" i="23" s="1"/>
  <c r="Z105" i="19"/>
  <c r="G728" i="23" s="1"/>
  <c r="Z106" i="19"/>
  <c r="G729" i="23" s="1"/>
  <c r="Z107" i="19"/>
  <c r="G730" i="23" s="1"/>
  <c r="Z108" i="19"/>
  <c r="G731" i="23" s="1"/>
  <c r="Z109" i="19"/>
  <c r="G732" i="23" s="1"/>
  <c r="W7" i="19"/>
  <c r="G526" i="23" s="1"/>
  <c r="W8" i="19"/>
  <c r="G527" i="23" s="1"/>
  <c r="W9" i="19"/>
  <c r="G528" i="23" s="1"/>
  <c r="W10" i="19"/>
  <c r="G529" i="23" s="1"/>
  <c r="W11" i="19"/>
  <c r="G530" i="23" s="1"/>
  <c r="W12" i="19"/>
  <c r="G531" i="23" s="1"/>
  <c r="W14" i="19"/>
  <c r="G533" i="23" s="1"/>
  <c r="W15" i="19"/>
  <c r="G534" i="23" s="1"/>
  <c r="W16" i="19"/>
  <c r="G535" i="23" s="1"/>
  <c r="W17" i="19"/>
  <c r="G536" i="23" s="1"/>
  <c r="W19" i="19"/>
  <c r="G538" i="23" s="1"/>
  <c r="W20" i="19"/>
  <c r="G539" i="23" s="1"/>
  <c r="W21" i="19"/>
  <c r="G540" i="23" s="1"/>
  <c r="W23" i="19"/>
  <c r="G542" i="23" s="1"/>
  <c r="W24" i="19"/>
  <c r="G543" i="23" s="1"/>
  <c r="W25" i="19"/>
  <c r="G544" i="23" s="1"/>
  <c r="W26" i="19"/>
  <c r="G545" i="23" s="1"/>
  <c r="W27" i="19"/>
  <c r="G546" i="23" s="1"/>
  <c r="W30" i="19"/>
  <c r="G549" i="23" s="1"/>
  <c r="W31" i="19"/>
  <c r="G550" i="23" s="1"/>
  <c r="W35" i="19"/>
  <c r="G554" i="23" s="1"/>
  <c r="W37" i="19"/>
  <c r="G556" i="23" s="1"/>
  <c r="W38" i="19"/>
  <c r="G557" i="23" s="1"/>
  <c r="W39" i="19"/>
  <c r="G558" i="23" s="1"/>
  <c r="W40" i="19"/>
  <c r="G559" i="23" s="1"/>
  <c r="W41" i="19"/>
  <c r="G560" i="23" s="1"/>
  <c r="W42" i="19"/>
  <c r="G561" i="23" s="1"/>
  <c r="W43" i="19"/>
  <c r="G562" i="23" s="1"/>
  <c r="W44" i="19"/>
  <c r="G563" i="23" s="1"/>
  <c r="W45" i="19"/>
  <c r="G564" i="23" s="1"/>
  <c r="W46" i="19"/>
  <c r="G565" i="23" s="1"/>
  <c r="W47" i="19"/>
  <c r="G566" i="23" s="1"/>
  <c r="W48" i="19"/>
  <c r="G567" i="23" s="1"/>
  <c r="W49" i="19"/>
  <c r="G568" i="23" s="1"/>
  <c r="W51" i="19"/>
  <c r="G570" i="23" s="1"/>
  <c r="W52" i="19"/>
  <c r="G571" i="23" s="1"/>
  <c r="W53" i="19"/>
  <c r="G572" i="23" s="1"/>
  <c r="W54" i="19"/>
  <c r="G573" i="23" s="1"/>
  <c r="W55" i="19"/>
  <c r="G574" i="23" s="1"/>
  <c r="W56" i="19"/>
  <c r="G575" i="23" s="1"/>
  <c r="W57" i="19"/>
  <c r="G576" i="23" s="1"/>
  <c r="W58" i="19"/>
  <c r="G577" i="23" s="1"/>
  <c r="W61" i="19"/>
  <c r="G580" i="23" s="1"/>
  <c r="W62" i="19"/>
  <c r="G581" i="23" s="1"/>
  <c r="W63" i="19"/>
  <c r="G582" i="23" s="1"/>
  <c r="W64" i="19"/>
  <c r="G583" i="23" s="1"/>
  <c r="W65" i="19"/>
  <c r="G584" i="23" s="1"/>
  <c r="W66" i="19"/>
  <c r="G585" i="23" s="1"/>
  <c r="W67" i="19"/>
  <c r="G586" i="23" s="1"/>
  <c r="W68" i="19"/>
  <c r="G587" i="23" s="1"/>
  <c r="W69" i="19"/>
  <c r="G588" i="23" s="1"/>
  <c r="W70" i="19"/>
  <c r="G589" i="23" s="1"/>
  <c r="W71" i="19"/>
  <c r="G590" i="23" s="1"/>
  <c r="W72" i="19"/>
  <c r="G591" i="23" s="1"/>
  <c r="W73" i="19"/>
  <c r="G592" i="23" s="1"/>
  <c r="W74" i="19"/>
  <c r="G593" i="23" s="1"/>
  <c r="G594" i="23"/>
  <c r="W76" i="19"/>
  <c r="G595" i="23" s="1"/>
  <c r="W77" i="19"/>
  <c r="G596" i="23" s="1"/>
  <c r="W78" i="19"/>
  <c r="G597" i="23" s="1"/>
  <c r="W79" i="19"/>
  <c r="G598" i="23" s="1"/>
  <c r="W80" i="19"/>
  <c r="G599" i="23" s="1"/>
  <c r="W81" i="19"/>
  <c r="G600" i="23" s="1"/>
  <c r="W82" i="19"/>
  <c r="G601" i="23" s="1"/>
  <c r="W83" i="19"/>
  <c r="G602" i="23" s="1"/>
  <c r="W84" i="19"/>
  <c r="G603" i="23" s="1"/>
  <c r="W85" i="19"/>
  <c r="G604" i="23" s="1"/>
  <c r="W86" i="19"/>
  <c r="G605" i="23" s="1"/>
  <c r="W87" i="19"/>
  <c r="G606" i="23" s="1"/>
  <c r="W88" i="19"/>
  <c r="G607" i="23" s="1"/>
  <c r="W89" i="19"/>
  <c r="G608" i="23" s="1"/>
  <c r="W90" i="19"/>
  <c r="G609" i="23" s="1"/>
  <c r="W94" i="19"/>
  <c r="G613" i="23" s="1"/>
  <c r="W95" i="19"/>
  <c r="G614" i="23" s="1"/>
  <c r="W96" i="19"/>
  <c r="G615" i="23" s="1"/>
  <c r="W97" i="19"/>
  <c r="G616" i="23" s="1"/>
  <c r="W98" i="19"/>
  <c r="G617" i="23" s="1"/>
  <c r="W99" i="19"/>
  <c r="G618" i="23" s="1"/>
  <c r="W100" i="19"/>
  <c r="G619" i="23" s="1"/>
  <c r="W101" i="19"/>
  <c r="G620" i="23" s="1"/>
  <c r="W102" i="19"/>
  <c r="G621" i="23" s="1"/>
  <c r="W103" i="19"/>
  <c r="G622" i="23" s="1"/>
  <c r="W104" i="19"/>
  <c r="G623" i="23" s="1"/>
  <c r="W105" i="19"/>
  <c r="G624" i="23" s="1"/>
  <c r="W106" i="19"/>
  <c r="G625" i="23" s="1"/>
  <c r="W107" i="19"/>
  <c r="G626" i="23" s="1"/>
  <c r="W108" i="19"/>
  <c r="G627" i="23" s="1"/>
  <c r="W109" i="19"/>
  <c r="G628" i="23" s="1"/>
  <c r="T19" i="19"/>
  <c r="G434" i="23" s="1"/>
  <c r="T20" i="19"/>
  <c r="G435" i="23" s="1"/>
  <c r="T21" i="19"/>
  <c r="G436" i="23" s="1"/>
  <c r="G437" i="23"/>
  <c r="T23" i="19"/>
  <c r="G438" i="23" s="1"/>
  <c r="T24" i="19"/>
  <c r="G439" i="23" s="1"/>
  <c r="T25" i="19"/>
  <c r="G440" i="23" s="1"/>
  <c r="T26" i="19"/>
  <c r="G441" i="23" s="1"/>
  <c r="T27" i="19"/>
  <c r="G442" i="23" s="1"/>
  <c r="T30" i="19"/>
  <c r="G445" i="23" s="1"/>
  <c r="T31" i="19"/>
  <c r="G446" i="23" s="1"/>
  <c r="G450" i="23"/>
  <c r="T37" i="19"/>
  <c r="G452" i="23" s="1"/>
  <c r="T38" i="19"/>
  <c r="G453" i="23" s="1"/>
  <c r="T39" i="19"/>
  <c r="G454" i="23" s="1"/>
  <c r="T40" i="19"/>
  <c r="G455" i="23" s="1"/>
  <c r="T41" i="19"/>
  <c r="G456" i="23" s="1"/>
  <c r="T42" i="19"/>
  <c r="G457" i="23" s="1"/>
  <c r="T43" i="19"/>
  <c r="G458" i="23" s="1"/>
  <c r="T44" i="19"/>
  <c r="G459" i="23" s="1"/>
  <c r="T45" i="19"/>
  <c r="G460" i="23" s="1"/>
  <c r="T46" i="19"/>
  <c r="G461" i="23" s="1"/>
  <c r="T47" i="19"/>
  <c r="G462" i="23" s="1"/>
  <c r="T48" i="19"/>
  <c r="G463" i="23" s="1"/>
  <c r="T49" i="19"/>
  <c r="G464" i="23" s="1"/>
  <c r="T51" i="19"/>
  <c r="G466" i="23" s="1"/>
  <c r="T52" i="19"/>
  <c r="G467" i="23" s="1"/>
  <c r="T53" i="19"/>
  <c r="G468" i="23" s="1"/>
  <c r="T54" i="19"/>
  <c r="G469" i="23" s="1"/>
  <c r="T55" i="19"/>
  <c r="G470" i="23" s="1"/>
  <c r="T56" i="19"/>
  <c r="G471" i="23" s="1"/>
  <c r="T57" i="19"/>
  <c r="G472" i="23" s="1"/>
  <c r="T58" i="19"/>
  <c r="G473" i="23" s="1"/>
  <c r="G474" i="23"/>
  <c r="T61" i="19"/>
  <c r="G476" i="23" s="1"/>
  <c r="T62" i="19"/>
  <c r="G477" i="23" s="1"/>
  <c r="T63" i="19"/>
  <c r="G478" i="23" s="1"/>
  <c r="T64" i="19"/>
  <c r="G479" i="23" s="1"/>
  <c r="T65" i="19"/>
  <c r="G480" i="23" s="1"/>
  <c r="T66" i="19"/>
  <c r="G481" i="23" s="1"/>
  <c r="T67" i="19"/>
  <c r="G482" i="23" s="1"/>
  <c r="T68" i="19"/>
  <c r="G483" i="23" s="1"/>
  <c r="T69" i="19"/>
  <c r="G484" i="23" s="1"/>
  <c r="T70" i="19"/>
  <c r="G485" i="23" s="1"/>
  <c r="T71" i="19"/>
  <c r="G486" i="23" s="1"/>
  <c r="T72" i="19"/>
  <c r="G487" i="23" s="1"/>
  <c r="T73" i="19"/>
  <c r="G488" i="23" s="1"/>
  <c r="T76" i="19"/>
  <c r="G491" i="23" s="1"/>
  <c r="T77" i="19"/>
  <c r="G492" i="23" s="1"/>
  <c r="T79" i="19"/>
  <c r="G494" i="23" s="1"/>
  <c r="T80" i="19"/>
  <c r="G495" i="23" s="1"/>
  <c r="T82" i="19"/>
  <c r="G497" i="23" s="1"/>
  <c r="T83" i="19"/>
  <c r="G498" i="23" s="1"/>
  <c r="T84" i="19"/>
  <c r="G499" i="23" s="1"/>
  <c r="T85" i="19"/>
  <c r="G500" i="23" s="1"/>
  <c r="T87" i="19"/>
  <c r="G502" i="23" s="1"/>
  <c r="T88" i="19"/>
  <c r="G503" i="23" s="1"/>
  <c r="T89" i="19"/>
  <c r="G504" i="23" s="1"/>
  <c r="T90" i="19"/>
  <c r="G505" i="23" s="1"/>
  <c r="T94" i="19"/>
  <c r="G509" i="23" s="1"/>
  <c r="T95" i="19"/>
  <c r="G510" i="23" s="1"/>
  <c r="T96" i="19"/>
  <c r="G511" i="23" s="1"/>
  <c r="T97" i="19"/>
  <c r="G512" i="23" s="1"/>
  <c r="T98" i="19"/>
  <c r="G513" i="23" s="1"/>
  <c r="T99" i="19"/>
  <c r="G514" i="23" s="1"/>
  <c r="T100" i="19"/>
  <c r="G515" i="23" s="1"/>
  <c r="T101" i="19"/>
  <c r="G516" i="23" s="1"/>
  <c r="T102" i="19"/>
  <c r="G517" i="23" s="1"/>
  <c r="T103" i="19"/>
  <c r="G518" i="23" s="1"/>
  <c r="T105" i="19"/>
  <c r="G520" i="23" s="1"/>
  <c r="T106" i="19"/>
  <c r="G521" i="23" s="1"/>
  <c r="T107" i="19"/>
  <c r="G522" i="23" s="1"/>
  <c r="T108" i="19"/>
  <c r="G523" i="23" s="1"/>
  <c r="T109" i="19"/>
  <c r="G524" i="23" s="1"/>
  <c r="T7" i="19"/>
  <c r="G422" i="23" s="1"/>
  <c r="T8" i="19"/>
  <c r="G423" i="23" s="1"/>
  <c r="T9" i="19"/>
  <c r="G424" i="23" s="1"/>
  <c r="T10" i="19"/>
  <c r="G425" i="23" s="1"/>
  <c r="T11" i="19"/>
  <c r="G426" i="23" s="1"/>
  <c r="T12" i="19"/>
  <c r="G427" i="23" s="1"/>
  <c r="G428" i="23"/>
  <c r="T14" i="19"/>
  <c r="G429" i="23" s="1"/>
  <c r="T16" i="19"/>
  <c r="G431" i="23" s="1"/>
  <c r="T18" i="19"/>
  <c r="G433" i="23" s="1"/>
  <c r="T6" i="19"/>
  <c r="G421" i="23" s="1"/>
  <c r="Q7" i="19"/>
  <c r="G318" i="23" s="1"/>
  <c r="Q8" i="19"/>
  <c r="G319" i="23" s="1"/>
  <c r="Q9" i="19"/>
  <c r="G320" i="23" s="1"/>
  <c r="Q10" i="19"/>
  <c r="G321" i="23" s="1"/>
  <c r="Q11" i="19"/>
  <c r="G322" i="23" s="1"/>
  <c r="Q12" i="19"/>
  <c r="G323" i="23" s="1"/>
  <c r="Q13" i="19"/>
  <c r="G324" i="23" s="1"/>
  <c r="Q14" i="19"/>
  <c r="G325" i="23" s="1"/>
  <c r="Q15" i="19"/>
  <c r="G326" i="23" s="1"/>
  <c r="Q16" i="19"/>
  <c r="G327" i="23" s="1"/>
  <c r="Q17" i="19"/>
  <c r="G328" i="23" s="1"/>
  <c r="Q18" i="19"/>
  <c r="G329" i="23" s="1"/>
  <c r="Q19" i="19"/>
  <c r="G330" i="23" s="1"/>
  <c r="Q20" i="19"/>
  <c r="G331" i="23" s="1"/>
  <c r="Q21" i="19"/>
  <c r="G332" i="23" s="1"/>
  <c r="Q22" i="19"/>
  <c r="G333" i="23" s="1"/>
  <c r="Q23" i="19"/>
  <c r="G334" i="23" s="1"/>
  <c r="Q24" i="19"/>
  <c r="G335" i="23" s="1"/>
  <c r="Q25" i="19"/>
  <c r="G336" i="23" s="1"/>
  <c r="Q26" i="19"/>
  <c r="G337" i="23" s="1"/>
  <c r="Q27" i="19"/>
  <c r="G338" i="23" s="1"/>
  <c r="Q28" i="19"/>
  <c r="G339" i="23" s="1"/>
  <c r="Q29" i="19"/>
  <c r="G340" i="23" s="1"/>
  <c r="Q30" i="19"/>
  <c r="G341" i="23" s="1"/>
  <c r="Q31" i="19"/>
  <c r="G342" i="23" s="1"/>
  <c r="Q32" i="19"/>
  <c r="G343" i="23" s="1"/>
  <c r="Q33" i="19"/>
  <c r="G344" i="23" s="1"/>
  <c r="Q34" i="19"/>
  <c r="G345" i="23" s="1"/>
  <c r="Q35" i="19"/>
  <c r="G346" i="23" s="1"/>
  <c r="Q36" i="19"/>
  <c r="G347" i="23" s="1"/>
  <c r="Q37" i="19"/>
  <c r="G348" i="23" s="1"/>
  <c r="Q38" i="19"/>
  <c r="G349" i="23" s="1"/>
  <c r="Q39" i="19"/>
  <c r="G350" i="23" s="1"/>
  <c r="Q40" i="19"/>
  <c r="G351" i="23" s="1"/>
  <c r="Q41" i="19"/>
  <c r="G352" i="23" s="1"/>
  <c r="Q42" i="19"/>
  <c r="G353" i="23" s="1"/>
  <c r="Q43" i="19"/>
  <c r="G354" i="23" s="1"/>
  <c r="Q44" i="19"/>
  <c r="G355" i="23" s="1"/>
  <c r="Q45" i="19"/>
  <c r="G356" i="23" s="1"/>
  <c r="Q46" i="19"/>
  <c r="G357" i="23" s="1"/>
  <c r="Q47" i="19"/>
  <c r="G358" i="23" s="1"/>
  <c r="Q48" i="19"/>
  <c r="G359" i="23" s="1"/>
  <c r="Q49" i="19"/>
  <c r="G360" i="23" s="1"/>
  <c r="Q50" i="19"/>
  <c r="G361" i="23" s="1"/>
  <c r="Q51" i="19"/>
  <c r="G362" i="23" s="1"/>
  <c r="Q52" i="19"/>
  <c r="G363" i="23" s="1"/>
  <c r="Q53" i="19"/>
  <c r="G364" i="23" s="1"/>
  <c r="Q54" i="19"/>
  <c r="G365" i="23" s="1"/>
  <c r="Q55" i="19"/>
  <c r="G366" i="23" s="1"/>
  <c r="Q56" i="19"/>
  <c r="G367" i="23" s="1"/>
  <c r="Q57" i="19"/>
  <c r="G368" i="23" s="1"/>
  <c r="Q58" i="19"/>
  <c r="G369" i="23" s="1"/>
  <c r="Q59" i="19"/>
  <c r="G370" i="23" s="1"/>
  <c r="Q60" i="19"/>
  <c r="G371" i="23" s="1"/>
  <c r="Q61" i="19"/>
  <c r="G372" i="23" s="1"/>
  <c r="Q62" i="19"/>
  <c r="G373" i="23" s="1"/>
  <c r="Q63" i="19"/>
  <c r="G374" i="23" s="1"/>
  <c r="Q64" i="19"/>
  <c r="G375" i="23" s="1"/>
  <c r="Q65" i="19"/>
  <c r="G376" i="23" s="1"/>
  <c r="Q66" i="19"/>
  <c r="G377" i="23" s="1"/>
  <c r="Q67" i="19"/>
  <c r="G378" i="23" s="1"/>
  <c r="Q68" i="19"/>
  <c r="G379" i="23" s="1"/>
  <c r="Q69" i="19"/>
  <c r="G380" i="23" s="1"/>
  <c r="Q70" i="19"/>
  <c r="G381" i="23" s="1"/>
  <c r="Q71" i="19"/>
  <c r="G382" i="23" s="1"/>
  <c r="Q72" i="19"/>
  <c r="G383" i="23" s="1"/>
  <c r="Q73" i="19"/>
  <c r="G384" i="23" s="1"/>
  <c r="Q74" i="19"/>
  <c r="G385" i="23" s="1"/>
  <c r="Q75" i="19"/>
  <c r="G386" i="23" s="1"/>
  <c r="Q76" i="19"/>
  <c r="G387" i="23" s="1"/>
  <c r="Q77" i="19"/>
  <c r="G388" i="23" s="1"/>
  <c r="Q78" i="19"/>
  <c r="G389" i="23" s="1"/>
  <c r="Q79" i="19"/>
  <c r="G390" i="23" s="1"/>
  <c r="Q80" i="19"/>
  <c r="G391" i="23" s="1"/>
  <c r="Q81" i="19"/>
  <c r="G392" i="23" s="1"/>
  <c r="Q82" i="19"/>
  <c r="G393" i="23" s="1"/>
  <c r="Q83" i="19"/>
  <c r="G394" i="23" s="1"/>
  <c r="Q84" i="19"/>
  <c r="G395" i="23" s="1"/>
  <c r="Q85" i="19"/>
  <c r="G396" i="23" s="1"/>
  <c r="Q86" i="19"/>
  <c r="G397" i="23" s="1"/>
  <c r="Q87" i="19"/>
  <c r="G398" i="23" s="1"/>
  <c r="Q88" i="19"/>
  <c r="G399" i="23" s="1"/>
  <c r="Q89" i="19"/>
  <c r="G400" i="23" s="1"/>
  <c r="Q90" i="19"/>
  <c r="G401" i="23" s="1"/>
  <c r="Q91" i="19"/>
  <c r="G402" i="23" s="1"/>
  <c r="Q92" i="19"/>
  <c r="G403" i="23" s="1"/>
  <c r="Q93" i="19"/>
  <c r="G404" i="23" s="1"/>
  <c r="Q94" i="19"/>
  <c r="G405" i="23" s="1"/>
  <c r="Q95" i="19"/>
  <c r="G406" i="23" s="1"/>
  <c r="Q96" i="19"/>
  <c r="G407" i="23" s="1"/>
  <c r="Q97" i="19"/>
  <c r="G408" i="23" s="1"/>
  <c r="Q98" i="19"/>
  <c r="G409" i="23" s="1"/>
  <c r="Q99" i="19"/>
  <c r="G410" i="23" s="1"/>
  <c r="Q100" i="19"/>
  <c r="G411" i="23" s="1"/>
  <c r="Q101" i="19"/>
  <c r="G412" i="23" s="1"/>
  <c r="Q102" i="19"/>
  <c r="G413" i="23" s="1"/>
  <c r="Q103" i="19"/>
  <c r="G414" i="23" s="1"/>
  <c r="Q104" i="19"/>
  <c r="G415" i="23" s="1"/>
  <c r="Q105" i="19"/>
  <c r="G416" i="23" s="1"/>
  <c r="Q106" i="19"/>
  <c r="G417" i="23" s="1"/>
  <c r="Q107" i="19"/>
  <c r="G418" i="23" s="1"/>
  <c r="Q108" i="19"/>
  <c r="G419" i="23" s="1"/>
  <c r="Q109" i="19"/>
  <c r="G420" i="23" s="1"/>
  <c r="N109" i="19"/>
  <c r="G316" i="23" s="1"/>
  <c r="N7" i="19"/>
  <c r="G214" i="23" s="1"/>
  <c r="N8" i="19"/>
  <c r="G215" i="23" s="1"/>
  <c r="N9" i="19"/>
  <c r="G216" i="23" s="1"/>
  <c r="N10" i="19"/>
  <c r="G217" i="23" s="1"/>
  <c r="N11" i="19"/>
  <c r="G218" i="23" s="1"/>
  <c r="N12" i="19"/>
  <c r="G219" i="23" s="1"/>
  <c r="N13" i="19"/>
  <c r="G220" i="23" s="1"/>
  <c r="N14" i="19"/>
  <c r="G221" i="23" s="1"/>
  <c r="N15" i="19"/>
  <c r="G222" i="23" s="1"/>
  <c r="N16" i="19"/>
  <c r="G223" i="23" s="1"/>
  <c r="N19" i="19"/>
  <c r="G226" i="23" s="1"/>
  <c r="N20" i="19"/>
  <c r="G227" i="23" s="1"/>
  <c r="N21" i="19"/>
  <c r="G228" i="23" s="1"/>
  <c r="N22" i="19"/>
  <c r="G229" i="23" s="1"/>
  <c r="N23" i="19"/>
  <c r="G230" i="23" s="1"/>
  <c r="N24" i="19"/>
  <c r="G231" i="23" s="1"/>
  <c r="N25" i="19"/>
  <c r="G232" i="23" s="1"/>
  <c r="N26" i="19"/>
  <c r="G233" i="23" s="1"/>
  <c r="N27" i="19"/>
  <c r="G234" i="23" s="1"/>
  <c r="N30" i="19"/>
  <c r="G237" i="23" s="1"/>
  <c r="N31" i="19"/>
  <c r="G238" i="23" s="1"/>
  <c r="N32" i="19"/>
  <c r="G239" i="23" s="1"/>
  <c r="N33" i="19"/>
  <c r="G240" i="23" s="1"/>
  <c r="G241" i="23"/>
  <c r="G242" i="23"/>
  <c r="N36" i="19"/>
  <c r="G243" i="23" s="1"/>
  <c r="N37" i="19"/>
  <c r="G244" i="23" s="1"/>
  <c r="N38" i="19"/>
  <c r="G245" i="23" s="1"/>
  <c r="N39" i="19"/>
  <c r="G246" i="23" s="1"/>
  <c r="N40" i="19"/>
  <c r="G247" i="23" s="1"/>
  <c r="N41" i="19"/>
  <c r="G248" i="23" s="1"/>
  <c r="N42" i="19"/>
  <c r="G249" i="23" s="1"/>
  <c r="N43" i="19"/>
  <c r="G250" i="23" s="1"/>
  <c r="N44" i="19"/>
  <c r="G251" i="23" s="1"/>
  <c r="N45" i="19"/>
  <c r="G252" i="23" s="1"/>
  <c r="N46" i="19"/>
  <c r="G253" i="23" s="1"/>
  <c r="N47" i="19"/>
  <c r="G254" i="23" s="1"/>
  <c r="N48" i="19"/>
  <c r="G255" i="23" s="1"/>
  <c r="N49" i="19"/>
  <c r="G256" i="23" s="1"/>
  <c r="N50" i="19"/>
  <c r="G257" i="23" s="1"/>
  <c r="N51" i="19"/>
  <c r="G258" i="23" s="1"/>
  <c r="N52" i="19"/>
  <c r="G259" i="23" s="1"/>
  <c r="N53" i="19"/>
  <c r="G260" i="23" s="1"/>
  <c r="N54" i="19"/>
  <c r="G261" i="23" s="1"/>
  <c r="N55" i="19"/>
  <c r="G262" i="23" s="1"/>
  <c r="N56" i="19"/>
  <c r="G263" i="23" s="1"/>
  <c r="N57" i="19"/>
  <c r="G264" i="23" s="1"/>
  <c r="N58" i="19"/>
  <c r="G265" i="23" s="1"/>
  <c r="N59" i="19"/>
  <c r="G266" i="23" s="1"/>
  <c r="N60" i="19"/>
  <c r="G267" i="23" s="1"/>
  <c r="N61" i="19"/>
  <c r="G268" i="23" s="1"/>
  <c r="N62" i="19"/>
  <c r="G269" i="23" s="1"/>
  <c r="N63" i="19"/>
  <c r="G270" i="23" s="1"/>
  <c r="N64" i="19"/>
  <c r="G271" i="23" s="1"/>
  <c r="N65" i="19"/>
  <c r="G272" i="23" s="1"/>
  <c r="N66" i="19"/>
  <c r="G273" i="23" s="1"/>
  <c r="N67" i="19"/>
  <c r="G274" i="23" s="1"/>
  <c r="N68" i="19"/>
  <c r="G275" i="23" s="1"/>
  <c r="N69" i="19"/>
  <c r="G276" i="23" s="1"/>
  <c r="N70" i="19"/>
  <c r="G277" i="23" s="1"/>
  <c r="N71" i="19"/>
  <c r="G278" i="23" s="1"/>
  <c r="N72" i="19"/>
  <c r="G279" i="23" s="1"/>
  <c r="N73" i="19"/>
  <c r="G280" i="23" s="1"/>
  <c r="N74" i="19"/>
  <c r="G281" i="23" s="1"/>
  <c r="N76" i="19"/>
  <c r="G283" i="23" s="1"/>
  <c r="N77" i="19"/>
  <c r="G284" i="23" s="1"/>
  <c r="N78" i="19"/>
  <c r="G285" i="23" s="1"/>
  <c r="N79" i="19"/>
  <c r="G286" i="23" s="1"/>
  <c r="N80" i="19"/>
  <c r="G287" i="23" s="1"/>
  <c r="N81" i="19"/>
  <c r="G288" i="23" s="1"/>
  <c r="N82" i="19"/>
  <c r="G289" i="23" s="1"/>
  <c r="N83" i="19"/>
  <c r="G290" i="23" s="1"/>
  <c r="N84" i="19"/>
  <c r="G291" i="23" s="1"/>
  <c r="N85" i="19"/>
  <c r="G292" i="23" s="1"/>
  <c r="N86" i="19"/>
  <c r="G293" i="23" s="1"/>
  <c r="N87" i="19"/>
  <c r="G294" i="23" s="1"/>
  <c r="N88" i="19"/>
  <c r="G295" i="23" s="1"/>
  <c r="N89" i="19"/>
  <c r="G296" i="23" s="1"/>
  <c r="N90" i="19"/>
  <c r="G297" i="23" s="1"/>
  <c r="N91" i="19"/>
  <c r="G298" i="23" s="1"/>
  <c r="N92" i="19"/>
  <c r="G299" i="23" s="1"/>
  <c r="N94" i="19"/>
  <c r="G301" i="23" s="1"/>
  <c r="N95" i="19"/>
  <c r="G302" i="23" s="1"/>
  <c r="N96" i="19"/>
  <c r="G303" i="23" s="1"/>
  <c r="N97" i="19"/>
  <c r="G304" i="23" s="1"/>
  <c r="N98" i="19"/>
  <c r="G305" i="23" s="1"/>
  <c r="N99" i="19"/>
  <c r="G306" i="23" s="1"/>
  <c r="N100" i="19"/>
  <c r="G307" i="23" s="1"/>
  <c r="N101" i="19"/>
  <c r="G308" i="23" s="1"/>
  <c r="N102" i="19"/>
  <c r="G309" i="23" s="1"/>
  <c r="N103" i="19"/>
  <c r="G310" i="23" s="1"/>
  <c r="N105" i="19"/>
  <c r="G312" i="23" s="1"/>
  <c r="N106" i="19"/>
  <c r="G313" i="23" s="1"/>
  <c r="N107" i="19"/>
  <c r="G314" i="23" s="1"/>
  <c r="N108" i="19"/>
  <c r="G315" i="23" s="1"/>
  <c r="G40" i="21" l="1"/>
  <c r="H40" i="21" s="1"/>
  <c r="I40" i="21" s="1"/>
  <c r="J40" i="21" s="1"/>
  <c r="CI43" i="19" s="1"/>
  <c r="G50" i="21"/>
  <c r="H50" i="21" s="1"/>
  <c r="I50" i="21" s="1"/>
  <c r="J50" i="21" s="1"/>
  <c r="CI53" i="19" s="1"/>
  <c r="G66" i="21"/>
  <c r="H66" i="21" s="1"/>
  <c r="I66" i="21" s="1"/>
  <c r="J66" i="21" s="1"/>
  <c r="CI69" i="19" s="1"/>
  <c r="G67" i="21"/>
  <c r="H67" i="21" s="1"/>
  <c r="I67" i="21" s="1"/>
  <c r="J67" i="21" s="1"/>
  <c r="CI70" i="19" s="1"/>
  <c r="G73" i="21"/>
  <c r="H73" i="21" s="1"/>
  <c r="I73" i="21" s="1"/>
  <c r="J73" i="21" s="1"/>
  <c r="CI76" i="19" s="1"/>
  <c r="G96" i="21"/>
  <c r="H96" i="21" s="1"/>
  <c r="I96" i="21" s="1"/>
  <c r="J96" i="21" s="1"/>
  <c r="CI99" i="19" s="1"/>
  <c r="G98" i="21"/>
  <c r="H98" i="21" s="1"/>
  <c r="I98" i="21" s="1"/>
  <c r="J98" i="21" s="1"/>
  <c r="CI101" i="19" s="1"/>
  <c r="G104" i="21"/>
  <c r="H104" i="21" s="1"/>
  <c r="I104" i="21" s="1"/>
  <c r="J104" i="21" s="1"/>
  <c r="CI107" i="19" s="1"/>
  <c r="E107" i="21"/>
  <c r="Q106" i="21"/>
  <c r="K106" i="21"/>
  <c r="M106" i="21" s="1"/>
  <c r="Q105" i="21"/>
  <c r="K105" i="21"/>
  <c r="Q104" i="21"/>
  <c r="K104" i="21"/>
  <c r="Q103" i="21"/>
  <c r="K103" i="21"/>
  <c r="Q102" i="21"/>
  <c r="K102" i="21"/>
  <c r="M102" i="21" s="1"/>
  <c r="N102" i="21" s="1"/>
  <c r="Q101" i="21"/>
  <c r="K101" i="21"/>
  <c r="M101" i="21" s="1"/>
  <c r="N101" i="21" s="1"/>
  <c r="Q100" i="21"/>
  <c r="K100" i="21"/>
  <c r="M100" i="21" s="1"/>
  <c r="N100" i="21" s="1"/>
  <c r="Q99" i="21"/>
  <c r="K99" i="21"/>
  <c r="Q98" i="21"/>
  <c r="K98" i="21"/>
  <c r="M98" i="21" s="1"/>
  <c r="Q97" i="21"/>
  <c r="K97" i="21"/>
  <c r="Q96" i="21"/>
  <c r="K96" i="21"/>
  <c r="Q95" i="21"/>
  <c r="K95" i="21"/>
  <c r="M95" i="21" s="1"/>
  <c r="N95" i="21" s="1"/>
  <c r="Q94" i="21"/>
  <c r="K94" i="21"/>
  <c r="Q93" i="21"/>
  <c r="K93" i="21"/>
  <c r="M93" i="21" s="1"/>
  <c r="N93" i="21" s="1"/>
  <c r="Q92" i="21"/>
  <c r="K92" i="21"/>
  <c r="Q91" i="21"/>
  <c r="K91" i="21"/>
  <c r="Q90" i="21"/>
  <c r="K90" i="21"/>
  <c r="Q89" i="21"/>
  <c r="K89" i="21"/>
  <c r="M89" i="21" s="1"/>
  <c r="N89" i="21" s="1"/>
  <c r="Q88" i="21"/>
  <c r="K88" i="21"/>
  <c r="M88" i="21" s="1"/>
  <c r="N88" i="21" s="1"/>
  <c r="Q87" i="21"/>
  <c r="K87" i="21"/>
  <c r="M87" i="21" s="1"/>
  <c r="N87" i="21" s="1"/>
  <c r="Q86" i="21"/>
  <c r="K86" i="21"/>
  <c r="Q85" i="21"/>
  <c r="K85" i="21"/>
  <c r="M85" i="21" s="1"/>
  <c r="Q84" i="21"/>
  <c r="K84" i="21"/>
  <c r="Q83" i="21"/>
  <c r="K83" i="21"/>
  <c r="Q82" i="21"/>
  <c r="K82" i="21"/>
  <c r="M82" i="21" s="1"/>
  <c r="N82" i="21" s="1"/>
  <c r="Q81" i="21"/>
  <c r="K81" i="21"/>
  <c r="Q80" i="21"/>
  <c r="K80" i="21"/>
  <c r="Q79" i="21"/>
  <c r="K79" i="21"/>
  <c r="M79" i="21" s="1"/>
  <c r="N79" i="21" s="1"/>
  <c r="Q78" i="21"/>
  <c r="K78" i="21"/>
  <c r="M78" i="21" s="1"/>
  <c r="N78" i="21" s="1"/>
  <c r="Q77" i="21"/>
  <c r="K77" i="21"/>
  <c r="M77" i="21" s="1"/>
  <c r="N77" i="21" s="1"/>
  <c r="Q76" i="21"/>
  <c r="K76" i="21"/>
  <c r="Q75" i="21"/>
  <c r="K75" i="21"/>
  <c r="Q74" i="21"/>
  <c r="K74" i="21"/>
  <c r="Q73" i="21"/>
  <c r="K73" i="21"/>
  <c r="Q72" i="21"/>
  <c r="K72" i="21"/>
  <c r="M72" i="21" s="1"/>
  <c r="N72" i="21" s="1"/>
  <c r="Q71" i="21"/>
  <c r="K71" i="21"/>
  <c r="M71" i="21" s="1"/>
  <c r="N71" i="21" s="1"/>
  <c r="Q70" i="21"/>
  <c r="K70" i="21"/>
  <c r="M70" i="21" s="1"/>
  <c r="N70" i="21" s="1"/>
  <c r="Q69" i="21"/>
  <c r="K69" i="21"/>
  <c r="M69" i="21" s="1"/>
  <c r="N69" i="21" s="1"/>
  <c r="Q68" i="21"/>
  <c r="K68" i="21"/>
  <c r="Q67" i="21"/>
  <c r="K67" i="21"/>
  <c r="M67" i="21" s="1"/>
  <c r="N67" i="21" s="1"/>
  <c r="Q66" i="21"/>
  <c r="K66" i="21"/>
  <c r="Q65" i="21"/>
  <c r="K65" i="21"/>
  <c r="Q64" i="21"/>
  <c r="K64" i="21"/>
  <c r="Q63" i="21"/>
  <c r="K63" i="21"/>
  <c r="Q62" i="21"/>
  <c r="K62" i="21"/>
  <c r="M62" i="21" s="1"/>
  <c r="N62" i="21" s="1"/>
  <c r="Q61" i="21"/>
  <c r="K61" i="21"/>
  <c r="Q60" i="21"/>
  <c r="K60" i="21"/>
  <c r="M60" i="21" s="1"/>
  <c r="N60" i="21" s="1"/>
  <c r="Q59" i="21"/>
  <c r="K59" i="21"/>
  <c r="M59" i="21" s="1"/>
  <c r="Q58" i="21"/>
  <c r="K58" i="21"/>
  <c r="M58" i="21" s="1"/>
  <c r="Q57" i="21"/>
  <c r="K57" i="21"/>
  <c r="M57" i="21" s="1"/>
  <c r="Q56" i="21"/>
  <c r="K56" i="21"/>
  <c r="M56" i="21" s="1"/>
  <c r="N56" i="21" s="1"/>
  <c r="Q55" i="21"/>
  <c r="K55" i="21"/>
  <c r="Q54" i="21"/>
  <c r="K54" i="21"/>
  <c r="Q53" i="21"/>
  <c r="K53" i="21"/>
  <c r="M53" i="21" s="1"/>
  <c r="Q52" i="21"/>
  <c r="K52" i="21"/>
  <c r="Q51" i="21"/>
  <c r="K51" i="21"/>
  <c r="M51" i="21" s="1"/>
  <c r="Q50" i="21"/>
  <c r="K50" i="21"/>
  <c r="M50" i="21" s="1"/>
  <c r="Q49" i="21"/>
  <c r="K49" i="21"/>
  <c r="Q48" i="21"/>
  <c r="K48" i="21"/>
  <c r="M48" i="21" s="1"/>
  <c r="N48" i="21" s="1"/>
  <c r="Q47" i="21"/>
  <c r="K47" i="21"/>
  <c r="M47" i="21" s="1"/>
  <c r="N47" i="21" s="1"/>
  <c r="Q46" i="21"/>
  <c r="K46" i="21"/>
  <c r="M46" i="21" s="1"/>
  <c r="Q45" i="21"/>
  <c r="K45" i="21"/>
  <c r="Q44" i="21"/>
  <c r="K44" i="21"/>
  <c r="M44" i="21" s="1"/>
  <c r="Q43" i="21"/>
  <c r="K43" i="21"/>
  <c r="M43" i="21" s="1"/>
  <c r="N43" i="21" s="1"/>
  <c r="Q42" i="21"/>
  <c r="K42" i="21"/>
  <c r="M42" i="21" s="1"/>
  <c r="Q41" i="21"/>
  <c r="K41" i="21"/>
  <c r="M41" i="21" s="1"/>
  <c r="Q40" i="21"/>
  <c r="K40" i="21"/>
  <c r="M40" i="21" s="1"/>
  <c r="Q39" i="21"/>
  <c r="K39" i="21"/>
  <c r="M39" i="21" s="1"/>
  <c r="Q38" i="21"/>
  <c r="K38" i="21"/>
  <c r="Q37" i="21"/>
  <c r="K37" i="21"/>
  <c r="M37" i="21" s="1"/>
  <c r="Q36" i="21"/>
  <c r="K36" i="21"/>
  <c r="Q35" i="21"/>
  <c r="K35" i="21"/>
  <c r="M35" i="21" s="1"/>
  <c r="Q34" i="21"/>
  <c r="K34" i="21"/>
  <c r="M34" i="21" s="1"/>
  <c r="Q33" i="21"/>
  <c r="K33" i="21"/>
  <c r="Q32" i="21"/>
  <c r="K32" i="21"/>
  <c r="Q31" i="21"/>
  <c r="K31" i="21"/>
  <c r="M31" i="21" s="1"/>
  <c r="Q30" i="21"/>
  <c r="K30" i="21"/>
  <c r="Q29" i="21"/>
  <c r="K29" i="21"/>
  <c r="M29" i="21" s="1"/>
  <c r="Q28" i="21"/>
  <c r="K28" i="21"/>
  <c r="M28" i="21" s="1"/>
  <c r="Q27" i="21"/>
  <c r="K27" i="21"/>
  <c r="Q26" i="21"/>
  <c r="K26" i="21"/>
  <c r="M26" i="21" s="1"/>
  <c r="Q25" i="21"/>
  <c r="K25" i="21"/>
  <c r="Q24" i="21"/>
  <c r="K24" i="21"/>
  <c r="M24" i="21" s="1"/>
  <c r="N24" i="21" s="1"/>
  <c r="Q23" i="21"/>
  <c r="K23" i="21"/>
  <c r="Q22" i="21"/>
  <c r="K22" i="21"/>
  <c r="Q21" i="21"/>
  <c r="K21" i="21"/>
  <c r="M21" i="21" s="1"/>
  <c r="Q20" i="21"/>
  <c r="K20" i="21"/>
  <c r="Q19" i="21"/>
  <c r="K19" i="21"/>
  <c r="Q18" i="21"/>
  <c r="K18" i="21"/>
  <c r="Q17" i="21"/>
  <c r="K17" i="21"/>
  <c r="Q16" i="21"/>
  <c r="K16" i="21"/>
  <c r="Q15" i="21"/>
  <c r="K15" i="21"/>
  <c r="M15" i="21" s="1"/>
  <c r="Q14" i="21"/>
  <c r="K14" i="21"/>
  <c r="Q13" i="21"/>
  <c r="K13" i="21"/>
  <c r="M13" i="21" s="1"/>
  <c r="Q12" i="21"/>
  <c r="K12" i="21"/>
  <c r="Q11" i="21"/>
  <c r="K11" i="21"/>
  <c r="Q10" i="21"/>
  <c r="K10" i="21"/>
  <c r="Q9" i="21"/>
  <c r="K9" i="21"/>
  <c r="Q8" i="21"/>
  <c r="K8" i="21"/>
  <c r="Q7" i="21"/>
  <c r="K7" i="21"/>
  <c r="Q6" i="21"/>
  <c r="K6" i="21"/>
  <c r="Q5" i="21"/>
  <c r="K5" i="21"/>
  <c r="Q4" i="21"/>
  <c r="K4" i="21"/>
  <c r="M3" i="21"/>
  <c r="L104" i="21" l="1"/>
  <c r="O67" i="21"/>
  <c r="M19" i="21"/>
  <c r="N19" i="21" s="1"/>
  <c r="G68" i="21"/>
  <c r="H68" i="21" s="1"/>
  <c r="I68" i="21" s="1"/>
  <c r="J68" i="21" s="1"/>
  <c r="CI71" i="19" s="1"/>
  <c r="G46" i="21"/>
  <c r="H46" i="21" s="1"/>
  <c r="I46" i="21" s="1"/>
  <c r="J46" i="21" s="1"/>
  <c r="CI49" i="19" s="1"/>
  <c r="G94" i="21"/>
  <c r="H94" i="21" s="1"/>
  <c r="I94" i="21" s="1"/>
  <c r="J94" i="21" s="1"/>
  <c r="CI97" i="19" s="1"/>
  <c r="G55" i="21"/>
  <c r="H55" i="21" s="1"/>
  <c r="I55" i="21" s="1"/>
  <c r="J55" i="21" s="1"/>
  <c r="CI58" i="19" s="1"/>
  <c r="G63" i="21"/>
  <c r="H63" i="21" s="1"/>
  <c r="I63" i="21" s="1"/>
  <c r="J63" i="21" s="1"/>
  <c r="CI66" i="19" s="1"/>
  <c r="G65" i="21"/>
  <c r="H65" i="21" s="1"/>
  <c r="I65" i="21" s="1"/>
  <c r="J65" i="21" s="1"/>
  <c r="CI68" i="19" s="1"/>
  <c r="G85" i="21"/>
  <c r="H85" i="21" s="1"/>
  <c r="I85" i="21" s="1"/>
  <c r="J85" i="21" s="1"/>
  <c r="CI88" i="19" s="1"/>
  <c r="G100" i="21"/>
  <c r="H100" i="21" s="1"/>
  <c r="I100" i="21" s="1"/>
  <c r="J100" i="21" s="1"/>
  <c r="CI103" i="19" s="1"/>
  <c r="G80" i="21"/>
  <c r="H80" i="21" s="1"/>
  <c r="I80" i="21" s="1"/>
  <c r="J80" i="21" s="1"/>
  <c r="CI83" i="19" s="1"/>
  <c r="G53" i="21"/>
  <c r="H53" i="21" s="1"/>
  <c r="I53" i="21" s="1"/>
  <c r="J53" i="21" s="1"/>
  <c r="CI56" i="19" s="1"/>
  <c r="G39" i="21"/>
  <c r="H39" i="21" s="1"/>
  <c r="I39" i="21" s="1"/>
  <c r="J39" i="21" s="1"/>
  <c r="CI42" i="19" s="1"/>
  <c r="G95" i="21"/>
  <c r="H95" i="21" s="1"/>
  <c r="I95" i="21" s="1"/>
  <c r="J95" i="21" s="1"/>
  <c r="CI98" i="19" s="1"/>
  <c r="G69" i="21"/>
  <c r="H69" i="21" s="1"/>
  <c r="I69" i="21" s="1"/>
  <c r="J69" i="21" s="1"/>
  <c r="G54" i="21"/>
  <c r="H54" i="21" s="1"/>
  <c r="I54" i="21" s="1"/>
  <c r="J54" i="21" s="1"/>
  <c r="CI57" i="19" s="1"/>
  <c r="G52" i="21"/>
  <c r="H52" i="21" s="1"/>
  <c r="I52" i="21" s="1"/>
  <c r="J52" i="21" s="1"/>
  <c r="CI55" i="19" s="1"/>
  <c r="G93" i="21"/>
  <c r="H93" i="21" s="1"/>
  <c r="I93" i="21" s="1"/>
  <c r="J93" i="21" s="1"/>
  <c r="CI96" i="19" s="1"/>
  <c r="P50" i="21"/>
  <c r="CF53" i="19" s="1"/>
  <c r="G51" i="21"/>
  <c r="H51" i="21" s="1"/>
  <c r="I51" i="21" s="1"/>
  <c r="J51" i="21" s="1"/>
  <c r="CI54" i="19" s="1"/>
  <c r="P98" i="21"/>
  <c r="CF101" i="19" s="1"/>
  <c r="G103" i="21"/>
  <c r="H103" i="21" s="1"/>
  <c r="I103" i="21" s="1"/>
  <c r="J103" i="21" s="1"/>
  <c r="CI106" i="19" s="1"/>
  <c r="N28" i="21"/>
  <c r="M55" i="21"/>
  <c r="N55" i="21" s="1"/>
  <c r="N26" i="21"/>
  <c r="N58" i="21"/>
  <c r="N39" i="21"/>
  <c r="M90" i="21"/>
  <c r="N90" i="21" s="1"/>
  <c r="N106" i="21"/>
  <c r="G74" i="21"/>
  <c r="H74" i="21" s="1"/>
  <c r="I74" i="21" s="1"/>
  <c r="J74" i="21" s="1"/>
  <c r="CI77" i="19" s="1"/>
  <c r="M45" i="21"/>
  <c r="N45" i="21" s="1"/>
  <c r="L67" i="21"/>
  <c r="M75" i="21"/>
  <c r="N75" i="21" s="1"/>
  <c r="M94" i="21"/>
  <c r="N94" i="21" s="1"/>
  <c r="M96" i="21"/>
  <c r="N96" i="21" s="1"/>
  <c r="O96" i="21" s="1"/>
  <c r="M104" i="21"/>
  <c r="N104" i="21" s="1"/>
  <c r="O104" i="21" s="1"/>
  <c r="M30" i="21"/>
  <c r="N30" i="21" s="1"/>
  <c r="N34" i="21"/>
  <c r="M36" i="21"/>
  <c r="N36" i="21" s="1"/>
  <c r="P104" i="21"/>
  <c r="CF107" i="19" s="1"/>
  <c r="P40" i="21"/>
  <c r="CF43" i="19" s="1"/>
  <c r="M17" i="21"/>
  <c r="N17" i="21" s="1"/>
  <c r="N51" i="21"/>
  <c r="M63" i="21"/>
  <c r="N63" i="21" s="1"/>
  <c r="M65" i="21"/>
  <c r="N65" i="21" s="1"/>
  <c r="M73" i="21"/>
  <c r="N73" i="21" s="1"/>
  <c r="O73" i="21" s="1"/>
  <c r="M84" i="21"/>
  <c r="N84" i="21" s="1"/>
  <c r="M80" i="21"/>
  <c r="N80" i="21" s="1"/>
  <c r="M91" i="21"/>
  <c r="N91" i="21" s="1"/>
  <c r="N53" i="21"/>
  <c r="M74" i="21"/>
  <c r="N74" i="21" s="1"/>
  <c r="M83" i="21"/>
  <c r="N83" i="21" s="1"/>
  <c r="N85" i="21"/>
  <c r="N98" i="21"/>
  <c r="O98" i="21" s="1"/>
  <c r="G42" i="21"/>
  <c r="H42" i="21" s="1"/>
  <c r="I42" i="21" s="1"/>
  <c r="J42" i="21" s="1"/>
  <c r="CI45" i="19" s="1"/>
  <c r="G99" i="21"/>
  <c r="H99" i="21" s="1"/>
  <c r="I99" i="21" s="1"/>
  <c r="J99" i="21" s="1"/>
  <c r="CI102" i="19" s="1"/>
  <c r="G64" i="21"/>
  <c r="H64" i="21" s="1"/>
  <c r="I64" i="21" s="1"/>
  <c r="J64" i="21" s="1"/>
  <c r="CI67" i="19" s="1"/>
  <c r="P66" i="21"/>
  <c r="CF69" i="19" s="1"/>
  <c r="P67" i="21"/>
  <c r="CF70" i="19" s="1"/>
  <c r="G43" i="21"/>
  <c r="H43" i="21" s="1"/>
  <c r="I43" i="21" s="1"/>
  <c r="J43" i="21" s="1"/>
  <c r="CI46" i="19" s="1"/>
  <c r="L40" i="21"/>
  <c r="P96" i="21"/>
  <c r="CF99" i="19" s="1"/>
  <c r="M8" i="21"/>
  <c r="N8" i="21" s="1"/>
  <c r="N3" i="21"/>
  <c r="M7" i="21"/>
  <c r="N7" i="21" s="1"/>
  <c r="M9" i="21"/>
  <c r="N9" i="21" s="1"/>
  <c r="M23" i="21"/>
  <c r="N23" i="21" s="1"/>
  <c r="P73" i="21"/>
  <c r="CF76" i="19" s="1"/>
  <c r="L73" i="21"/>
  <c r="L96" i="21"/>
  <c r="M5" i="21"/>
  <c r="N5" i="21" s="1"/>
  <c r="M11" i="21"/>
  <c r="N11" i="21" s="1"/>
  <c r="M64" i="21"/>
  <c r="N64" i="21" s="1"/>
  <c r="N21" i="21"/>
  <c r="M32" i="21"/>
  <c r="N32" i="21" s="1"/>
  <c r="M4" i="21"/>
  <c r="N4" i="21" s="1"/>
  <c r="M6" i="21"/>
  <c r="N6" i="21" s="1"/>
  <c r="M25" i="21"/>
  <c r="N25" i="21" s="1"/>
  <c r="N15" i="21"/>
  <c r="N31" i="21"/>
  <c r="N13" i="21"/>
  <c r="M27" i="21"/>
  <c r="N27" i="21" s="1"/>
  <c r="N29" i="21"/>
  <c r="M81" i="21"/>
  <c r="N81" i="21" s="1"/>
  <c r="M105" i="21"/>
  <c r="N105" i="21" s="1"/>
  <c r="M33" i="21"/>
  <c r="N33" i="21" s="1"/>
  <c r="M38" i="21"/>
  <c r="N38" i="21" s="1"/>
  <c r="M68" i="21"/>
  <c r="N68" i="21" s="1"/>
  <c r="M86" i="21"/>
  <c r="N86" i="21" s="1"/>
  <c r="N37" i="21"/>
  <c r="M54" i="21"/>
  <c r="N54" i="21" s="1"/>
  <c r="M10" i="21"/>
  <c r="N10" i="21" s="1"/>
  <c r="M12" i="21"/>
  <c r="N12" i="21" s="1"/>
  <c r="M14" i="21"/>
  <c r="N14" i="21" s="1"/>
  <c r="M16" i="21"/>
  <c r="N16" i="21" s="1"/>
  <c r="M18" i="21"/>
  <c r="N18" i="21" s="1"/>
  <c r="M20" i="21"/>
  <c r="N20" i="21" s="1"/>
  <c r="M22" i="21"/>
  <c r="N22" i="21" s="1"/>
  <c r="N44" i="21"/>
  <c r="M52" i="21"/>
  <c r="N52" i="21" s="1"/>
  <c r="N57" i="21"/>
  <c r="M61" i="21"/>
  <c r="N61" i="21" s="1"/>
  <c r="N50" i="21"/>
  <c r="O50" i="21" s="1"/>
  <c r="L50" i="21"/>
  <c r="N35" i="21"/>
  <c r="M49" i="21"/>
  <c r="N49" i="21" s="1"/>
  <c r="M66" i="21"/>
  <c r="N66" i="21" s="1"/>
  <c r="O66" i="21" s="1"/>
  <c r="L66" i="21"/>
  <c r="M76" i="21"/>
  <c r="N76" i="21" s="1"/>
  <c r="N40" i="21"/>
  <c r="O40" i="21" s="1"/>
  <c r="N41" i="21"/>
  <c r="N42" i="21"/>
  <c r="N46" i="21"/>
  <c r="N59" i="21"/>
  <c r="M103" i="21"/>
  <c r="N103" i="21" s="1"/>
  <c r="M92" i="21"/>
  <c r="N92" i="21" s="1"/>
  <c r="M97" i="21"/>
  <c r="N97" i="21" s="1"/>
  <c r="M99" i="21"/>
  <c r="N99" i="21" s="1"/>
  <c r="L98" i="21"/>
  <c r="L100" i="21" l="1"/>
  <c r="L80" i="21"/>
  <c r="P80" i="21"/>
  <c r="CF83" i="19" s="1"/>
  <c r="O85" i="21"/>
  <c r="L68" i="21"/>
  <c r="O80" i="21"/>
  <c r="P93" i="21"/>
  <c r="CF96" i="19" s="1"/>
  <c r="O68" i="21"/>
  <c r="P63" i="21"/>
  <c r="CF66" i="19" s="1"/>
  <c r="L52" i="21"/>
  <c r="L39" i="21"/>
  <c r="P85" i="21"/>
  <c r="CF88" i="19" s="1"/>
  <c r="L85" i="21"/>
  <c r="O52" i="21"/>
  <c r="L94" i="21"/>
  <c r="P39" i="21"/>
  <c r="CF42" i="19" s="1"/>
  <c r="O94" i="21"/>
  <c r="O46" i="21"/>
  <c r="O54" i="21"/>
  <c r="P51" i="21"/>
  <c r="CF54" i="19" s="1"/>
  <c r="O95" i="21"/>
  <c r="L65" i="21"/>
  <c r="L54" i="21"/>
  <c r="O64" i="21"/>
  <c r="O100" i="21"/>
  <c r="P100" i="21"/>
  <c r="CF103" i="19" s="1"/>
  <c r="L93" i="21"/>
  <c r="O55" i="21"/>
  <c r="L103" i="21"/>
  <c r="P95" i="21"/>
  <c r="CF98" i="19" s="1"/>
  <c r="O63" i="21"/>
  <c r="P103" i="21"/>
  <c r="CF106" i="19" s="1"/>
  <c r="L95" i="21"/>
  <c r="L51" i="21"/>
  <c r="O103" i="21"/>
  <c r="L63" i="21"/>
  <c r="L46" i="21"/>
  <c r="P69" i="21"/>
  <c r="O69" i="21"/>
  <c r="O53" i="21"/>
  <c r="L69" i="21"/>
  <c r="L42" i="21"/>
  <c r="O39" i="21"/>
  <c r="L53" i="21"/>
  <c r="P54" i="21"/>
  <c r="CF57" i="19" s="1"/>
  <c r="P52" i="21"/>
  <c r="CF55" i="19" s="1"/>
  <c r="O99" i="21"/>
  <c r="L74" i="21"/>
  <c r="O42" i="21"/>
  <c r="P74" i="21"/>
  <c r="CF77" i="19" s="1"/>
  <c r="O93" i="21"/>
  <c r="P53" i="21"/>
  <c r="CF56" i="19" s="1"/>
  <c r="P64" i="21"/>
  <c r="CF67" i="19" s="1"/>
  <c r="P65" i="21"/>
  <c r="CF68" i="19" s="1"/>
  <c r="P46" i="21"/>
  <c r="CF49" i="19" s="1"/>
  <c r="L64" i="21"/>
  <c r="P99" i="21"/>
  <c r="CF102" i="19" s="1"/>
  <c r="O65" i="21"/>
  <c r="P68" i="21"/>
  <c r="CF71" i="19" s="1"/>
  <c r="P55" i="21"/>
  <c r="CF58" i="19" s="1"/>
  <c r="P42" i="21"/>
  <c r="CF45" i="19" s="1"/>
  <c r="O74" i="21"/>
  <c r="O51" i="21"/>
  <c r="P94" i="21"/>
  <c r="CF97" i="19" s="1"/>
  <c r="L99" i="21"/>
  <c r="O43" i="21"/>
  <c r="L55" i="21"/>
  <c r="R50" i="21"/>
  <c r="S50" i="21" s="1"/>
  <c r="R98" i="21"/>
  <c r="S98" i="21" s="1"/>
  <c r="R104" i="21"/>
  <c r="S104" i="21" s="1"/>
  <c r="R96" i="21"/>
  <c r="S96" i="21" s="1"/>
  <c r="R73" i="21"/>
  <c r="S73" i="21" s="1"/>
  <c r="R40" i="21"/>
  <c r="S40" i="21" s="1"/>
  <c r="R67" i="21"/>
  <c r="S67" i="21" s="1"/>
  <c r="R66" i="21"/>
  <c r="S66" i="21" s="1"/>
  <c r="P43" i="21"/>
  <c r="CF46" i="19" s="1"/>
  <c r="L43" i="21"/>
  <c r="R93" i="21" l="1"/>
  <c r="S93" i="21" s="1"/>
  <c r="R85" i="21"/>
  <c r="S85" i="21" s="1"/>
  <c r="R80" i="21"/>
  <c r="S80" i="21" s="1"/>
  <c r="R63" i="21"/>
  <c r="S63" i="21" s="1"/>
  <c r="R100" i="21"/>
  <c r="S100" i="21" s="1"/>
  <c r="R39" i="21"/>
  <c r="S39" i="21" s="1"/>
  <c r="R54" i="21"/>
  <c r="S54" i="21" s="1"/>
  <c r="R53" i="21"/>
  <c r="S53" i="21" s="1"/>
  <c r="R51" i="21"/>
  <c r="S51" i="21" s="1"/>
  <c r="R103" i="21"/>
  <c r="S103" i="21" s="1"/>
  <c r="R95" i="21"/>
  <c r="S95" i="21" s="1"/>
  <c r="R69" i="21"/>
  <c r="S69" i="21" s="1"/>
  <c r="R52" i="21"/>
  <c r="S52" i="21" s="1"/>
  <c r="R64" i="21"/>
  <c r="S64" i="21" s="1"/>
  <c r="R74" i="21"/>
  <c r="S74" i="21" s="1"/>
  <c r="R46" i="21"/>
  <c r="S46" i="21" s="1"/>
  <c r="R94" i="21"/>
  <c r="S94" i="21" s="1"/>
  <c r="R65" i="21"/>
  <c r="S65" i="21" s="1"/>
  <c r="R68" i="21"/>
  <c r="S68" i="21" s="1"/>
  <c r="R42" i="21"/>
  <c r="S42" i="21" s="1"/>
  <c r="R99" i="21"/>
  <c r="S99" i="21" s="1"/>
  <c r="R55" i="21"/>
  <c r="S55" i="21" s="1"/>
  <c r="R43" i="21"/>
  <c r="S43" i="21" s="1"/>
  <c r="G108" i="21" l="1"/>
  <c r="F2501" i="23" l="1"/>
  <c r="F2397" i="23"/>
  <c r="F2293" i="23"/>
  <c r="F2189" i="23"/>
  <c r="F2085" i="23"/>
  <c r="F1981" i="23"/>
  <c r="F1877" i="23"/>
  <c r="F1773" i="23"/>
  <c r="CC102" i="19" l="1"/>
  <c r="F2597" i="23"/>
  <c r="H2597" i="23" s="1"/>
  <c r="CC94" i="19"/>
  <c r="F2589" i="23"/>
  <c r="H2589" i="23" s="1"/>
  <c r="CC86" i="19"/>
  <c r="F2581" i="23"/>
  <c r="H2581" i="23" s="1"/>
  <c r="CC78" i="19"/>
  <c r="F2573" i="23"/>
  <c r="H2573" i="23" s="1"/>
  <c r="CC70" i="19"/>
  <c r="F2565" i="23"/>
  <c r="H2565" i="23" s="1"/>
  <c r="CC62" i="19"/>
  <c r="F2557" i="23"/>
  <c r="H2557" i="23" s="1"/>
  <c r="CC54" i="19"/>
  <c r="F2549" i="23"/>
  <c r="H2549" i="23" s="1"/>
  <c r="CC46" i="19"/>
  <c r="F2541" i="23"/>
  <c r="H2541" i="23" s="1"/>
  <c r="CC38" i="19"/>
  <c r="F2533" i="23"/>
  <c r="H2533" i="23" s="1"/>
  <c r="CC30" i="19"/>
  <c r="F2525" i="23"/>
  <c r="H2525" i="23" s="1"/>
  <c r="CC22" i="19"/>
  <c r="F2517" i="23"/>
  <c r="H2517" i="23" s="1"/>
  <c r="CC14" i="19"/>
  <c r="F2509" i="23"/>
  <c r="H2509" i="23" s="1"/>
  <c r="CC109" i="19"/>
  <c r="F2604" i="23"/>
  <c r="H2604" i="23" s="1"/>
  <c r="CC101" i="19"/>
  <c r="F2596" i="23"/>
  <c r="H2596" i="23" s="1"/>
  <c r="CC93" i="19"/>
  <c r="F2588" i="23"/>
  <c r="H2588" i="23" s="1"/>
  <c r="CC85" i="19"/>
  <c r="F2580" i="23"/>
  <c r="H2580" i="23" s="1"/>
  <c r="CC77" i="19"/>
  <c r="F2572" i="23"/>
  <c r="H2572" i="23" s="1"/>
  <c r="CC69" i="19"/>
  <c r="F2564" i="23"/>
  <c r="H2564" i="23" s="1"/>
  <c r="CC61" i="19"/>
  <c r="F2556" i="23"/>
  <c r="H2556" i="23" s="1"/>
  <c r="CC53" i="19"/>
  <c r="F2548" i="23"/>
  <c r="H2548" i="23" s="1"/>
  <c r="CC45" i="19"/>
  <c r="F2540" i="23"/>
  <c r="H2540" i="23" s="1"/>
  <c r="CC37" i="19"/>
  <c r="F2532" i="23"/>
  <c r="H2532" i="23" s="1"/>
  <c r="CC29" i="19"/>
  <c r="F2524" i="23"/>
  <c r="H2524" i="23" s="1"/>
  <c r="CC21" i="19"/>
  <c r="F2516" i="23"/>
  <c r="H2516" i="23" s="1"/>
  <c r="CC13" i="19"/>
  <c r="F2508" i="23"/>
  <c r="H2508" i="23" s="1"/>
  <c r="CC108" i="19"/>
  <c r="F2603" i="23"/>
  <c r="H2603" i="23" s="1"/>
  <c r="I2603" i="23" s="1"/>
  <c r="J2603" i="23" s="1"/>
  <c r="K2603" i="23" s="1"/>
  <c r="CC100" i="19"/>
  <c r="F2595" i="23"/>
  <c r="H2595" i="23" s="1"/>
  <c r="I2595" i="23" s="1"/>
  <c r="J2595" i="23" s="1"/>
  <c r="K2595" i="23" s="1"/>
  <c r="CC92" i="19"/>
  <c r="F2587" i="23"/>
  <c r="H2587" i="23" s="1"/>
  <c r="I2587" i="23" s="1"/>
  <c r="J2587" i="23" s="1"/>
  <c r="K2587" i="23" s="1"/>
  <c r="CC84" i="19"/>
  <c r="F2579" i="23"/>
  <c r="H2579" i="23" s="1"/>
  <c r="I2579" i="23" s="1"/>
  <c r="J2579" i="23" s="1"/>
  <c r="K2579" i="23" s="1"/>
  <c r="CC76" i="19"/>
  <c r="F2571" i="23"/>
  <c r="H2571" i="23" s="1"/>
  <c r="I2571" i="23" s="1"/>
  <c r="J2571" i="23" s="1"/>
  <c r="K2571" i="23" s="1"/>
  <c r="CC68" i="19"/>
  <c r="F2563" i="23"/>
  <c r="H2563" i="23" s="1"/>
  <c r="I2563" i="23" s="1"/>
  <c r="J2563" i="23" s="1"/>
  <c r="K2563" i="23" s="1"/>
  <c r="CC60" i="19"/>
  <c r="F2555" i="23"/>
  <c r="H2555" i="23" s="1"/>
  <c r="I2555" i="23" s="1"/>
  <c r="J2555" i="23" s="1"/>
  <c r="K2555" i="23" s="1"/>
  <c r="CC52" i="19"/>
  <c r="F2547" i="23"/>
  <c r="H2547" i="23" s="1"/>
  <c r="I2547" i="23" s="1"/>
  <c r="J2547" i="23" s="1"/>
  <c r="K2547" i="23" s="1"/>
  <c r="CC44" i="19"/>
  <c r="F2539" i="23"/>
  <c r="H2539" i="23" s="1"/>
  <c r="I2539" i="23" s="1"/>
  <c r="J2539" i="23" s="1"/>
  <c r="K2539" i="23" s="1"/>
  <c r="CC36" i="19"/>
  <c r="F2531" i="23"/>
  <c r="H2531" i="23" s="1"/>
  <c r="I2531" i="23" s="1"/>
  <c r="J2531" i="23" s="1"/>
  <c r="K2531" i="23" s="1"/>
  <c r="CC28" i="19"/>
  <c r="F2523" i="23"/>
  <c r="H2523" i="23" s="1"/>
  <c r="I2523" i="23" s="1"/>
  <c r="J2523" i="23" s="1"/>
  <c r="K2523" i="23" s="1"/>
  <c r="CC20" i="19"/>
  <c r="F2515" i="23"/>
  <c r="H2515" i="23" s="1"/>
  <c r="I2515" i="23" s="1"/>
  <c r="J2515" i="23" s="1"/>
  <c r="K2515" i="23" s="1"/>
  <c r="CC12" i="19"/>
  <c r="F2507" i="23"/>
  <c r="H2507" i="23" s="1"/>
  <c r="I2507" i="23" s="1"/>
  <c r="J2507" i="23" s="1"/>
  <c r="K2507" i="23" s="1"/>
  <c r="CC107" i="19"/>
  <c r="F2602" i="23"/>
  <c r="H2602" i="23" s="1"/>
  <c r="I2602" i="23" s="1"/>
  <c r="J2602" i="23" s="1"/>
  <c r="K2602" i="23" s="1"/>
  <c r="CC99" i="19"/>
  <c r="F2594" i="23"/>
  <c r="H2594" i="23" s="1"/>
  <c r="I2594" i="23" s="1"/>
  <c r="J2594" i="23" s="1"/>
  <c r="K2594" i="23" s="1"/>
  <c r="CC91" i="19"/>
  <c r="F2586" i="23"/>
  <c r="H2586" i="23" s="1"/>
  <c r="CC83" i="19"/>
  <c r="F2578" i="23"/>
  <c r="H2578" i="23" s="1"/>
  <c r="CC75" i="19"/>
  <c r="F2570" i="23"/>
  <c r="H2570" i="23" s="1"/>
  <c r="I2570" i="23" s="1"/>
  <c r="J2570" i="23" s="1"/>
  <c r="K2570" i="23" s="1"/>
  <c r="CC67" i="19"/>
  <c r="F2562" i="23"/>
  <c r="H2562" i="23" s="1"/>
  <c r="CC59" i="19"/>
  <c r="F2554" i="23"/>
  <c r="H2554" i="23" s="1"/>
  <c r="I2554" i="23" s="1"/>
  <c r="J2554" i="23" s="1"/>
  <c r="K2554" i="23" s="1"/>
  <c r="CC51" i="19"/>
  <c r="F2546" i="23"/>
  <c r="H2546" i="23" s="1"/>
  <c r="I2546" i="23" s="1"/>
  <c r="J2546" i="23" s="1"/>
  <c r="K2546" i="23" s="1"/>
  <c r="CC43" i="19"/>
  <c r="F2538" i="23"/>
  <c r="H2538" i="23" s="1"/>
  <c r="I2538" i="23" s="1"/>
  <c r="J2538" i="23" s="1"/>
  <c r="K2538" i="23" s="1"/>
  <c r="CC35" i="19"/>
  <c r="F2530" i="23"/>
  <c r="H2530" i="23" s="1"/>
  <c r="CC27" i="19"/>
  <c r="F2522" i="23"/>
  <c r="H2522" i="23" s="1"/>
  <c r="CC19" i="19"/>
  <c r="F2514" i="23"/>
  <c r="H2514" i="23" s="1"/>
  <c r="CC11" i="19"/>
  <c r="F2506" i="23"/>
  <c r="H2506" i="23" s="1"/>
  <c r="I2506" i="23" s="1"/>
  <c r="J2506" i="23" s="1"/>
  <c r="K2506" i="23" s="1"/>
  <c r="CC106" i="19"/>
  <c r="F2601" i="23"/>
  <c r="H2601" i="23" s="1"/>
  <c r="CC98" i="19"/>
  <c r="F2593" i="23"/>
  <c r="H2593" i="23" s="1"/>
  <c r="CC90" i="19"/>
  <c r="F2585" i="23"/>
  <c r="H2585" i="23" s="1"/>
  <c r="CC82" i="19"/>
  <c r="F2577" i="23"/>
  <c r="H2577" i="23" s="1"/>
  <c r="CC74" i="19"/>
  <c r="F2569" i="23"/>
  <c r="H2569" i="23" s="1"/>
  <c r="CC66" i="19"/>
  <c r="F2561" i="23"/>
  <c r="H2561" i="23" s="1"/>
  <c r="CC58" i="19"/>
  <c r="F2553" i="23"/>
  <c r="H2553" i="23" s="1"/>
  <c r="CC50" i="19"/>
  <c r="F2545" i="23"/>
  <c r="H2545" i="23" s="1"/>
  <c r="CC42" i="19"/>
  <c r="F2537" i="23"/>
  <c r="H2537" i="23" s="1"/>
  <c r="CC34" i="19"/>
  <c r="F2529" i="23"/>
  <c r="H2529" i="23" s="1"/>
  <c r="CC26" i="19"/>
  <c r="F2521" i="23"/>
  <c r="H2521" i="23" s="1"/>
  <c r="CC18" i="19"/>
  <c r="F2513" i="23"/>
  <c r="H2513" i="23" s="1"/>
  <c r="CC10" i="19"/>
  <c r="F2505" i="23"/>
  <c r="H2505" i="23" s="1"/>
  <c r="CC105" i="19"/>
  <c r="F2600" i="23"/>
  <c r="H2600" i="23" s="1"/>
  <c r="I2600" i="23" s="1"/>
  <c r="J2600" i="23" s="1"/>
  <c r="K2600" i="23" s="1"/>
  <c r="CC97" i="19"/>
  <c r="F2592" i="23"/>
  <c r="H2592" i="23" s="1"/>
  <c r="I2592" i="23" s="1"/>
  <c r="J2592" i="23" s="1"/>
  <c r="K2592" i="23" s="1"/>
  <c r="CC89" i="19"/>
  <c r="F2584" i="23"/>
  <c r="H2584" i="23" s="1"/>
  <c r="I2584" i="23" s="1"/>
  <c r="J2584" i="23" s="1"/>
  <c r="K2584" i="23" s="1"/>
  <c r="CC81" i="19"/>
  <c r="F2576" i="23"/>
  <c r="H2576" i="23" s="1"/>
  <c r="I2576" i="23" s="1"/>
  <c r="J2576" i="23" s="1"/>
  <c r="K2576" i="23" s="1"/>
  <c r="CC73" i="19"/>
  <c r="F2568" i="23"/>
  <c r="H2568" i="23" s="1"/>
  <c r="I2568" i="23" s="1"/>
  <c r="J2568" i="23" s="1"/>
  <c r="K2568" i="23" s="1"/>
  <c r="CC65" i="19"/>
  <c r="F2560" i="23"/>
  <c r="H2560" i="23" s="1"/>
  <c r="I2560" i="23" s="1"/>
  <c r="J2560" i="23" s="1"/>
  <c r="K2560" i="23" s="1"/>
  <c r="CC57" i="19"/>
  <c r="F2552" i="23"/>
  <c r="H2552" i="23" s="1"/>
  <c r="I2552" i="23" s="1"/>
  <c r="J2552" i="23" s="1"/>
  <c r="K2552" i="23" s="1"/>
  <c r="CC49" i="19"/>
  <c r="F2544" i="23"/>
  <c r="H2544" i="23" s="1"/>
  <c r="CC41" i="19"/>
  <c r="F2536" i="23"/>
  <c r="H2536" i="23" s="1"/>
  <c r="I2536" i="23" s="1"/>
  <c r="J2536" i="23" s="1"/>
  <c r="K2536" i="23" s="1"/>
  <c r="CC33" i="19"/>
  <c r="F2528" i="23"/>
  <c r="H2528" i="23" s="1"/>
  <c r="CC25" i="19"/>
  <c r="F2520" i="23"/>
  <c r="H2520" i="23" s="1"/>
  <c r="I2520" i="23" s="1"/>
  <c r="J2520" i="23" s="1"/>
  <c r="K2520" i="23" s="1"/>
  <c r="CC17" i="19"/>
  <c r="F2512" i="23"/>
  <c r="H2512" i="23" s="1"/>
  <c r="I2512" i="23" s="1"/>
  <c r="J2512" i="23" s="1"/>
  <c r="K2512" i="23" s="1"/>
  <c r="CC9" i="19"/>
  <c r="F2504" i="23"/>
  <c r="H2504" i="23" s="1"/>
  <c r="I2504" i="23" s="1"/>
  <c r="J2504" i="23" s="1"/>
  <c r="K2504" i="23" s="1"/>
  <c r="CC104" i="19"/>
  <c r="F2599" i="23"/>
  <c r="H2599" i="23" s="1"/>
  <c r="I2599" i="23" s="1"/>
  <c r="CC96" i="19"/>
  <c r="F2591" i="23"/>
  <c r="H2591" i="23" s="1"/>
  <c r="I2591" i="23" s="1"/>
  <c r="CC88" i="19"/>
  <c r="F2583" i="23"/>
  <c r="H2583" i="23" s="1"/>
  <c r="I2583" i="23" s="1"/>
  <c r="CC80" i="19"/>
  <c r="F2575" i="23"/>
  <c r="H2575" i="23" s="1"/>
  <c r="I2575" i="23" s="1"/>
  <c r="CC72" i="19"/>
  <c r="F2567" i="23"/>
  <c r="H2567" i="23" s="1"/>
  <c r="I2567" i="23" s="1"/>
  <c r="CC64" i="19"/>
  <c r="F2559" i="23"/>
  <c r="H2559" i="23" s="1"/>
  <c r="I2559" i="23" s="1"/>
  <c r="CC56" i="19"/>
  <c r="F2551" i="23"/>
  <c r="H2551" i="23" s="1"/>
  <c r="I2551" i="23" s="1"/>
  <c r="CC48" i="19"/>
  <c r="F2543" i="23"/>
  <c r="H2543" i="23" s="1"/>
  <c r="I2543" i="23" s="1"/>
  <c r="CC40" i="19"/>
  <c r="F2535" i="23"/>
  <c r="H2535" i="23" s="1"/>
  <c r="I2535" i="23" s="1"/>
  <c r="CC32" i="19"/>
  <c r="F2527" i="23"/>
  <c r="H2527" i="23" s="1"/>
  <c r="I2527" i="23" s="1"/>
  <c r="CC24" i="19"/>
  <c r="F2519" i="23"/>
  <c r="H2519" i="23" s="1"/>
  <c r="I2519" i="23" s="1"/>
  <c r="CC16" i="19"/>
  <c r="F2511" i="23"/>
  <c r="H2511" i="23" s="1"/>
  <c r="I2511" i="23" s="1"/>
  <c r="CC8" i="19"/>
  <c r="F2503" i="23"/>
  <c r="H2503" i="23" s="1"/>
  <c r="I2503" i="23" s="1"/>
  <c r="CC103" i="19"/>
  <c r="F2598" i="23"/>
  <c r="H2598" i="23" s="1"/>
  <c r="CC95" i="19"/>
  <c r="F2590" i="23"/>
  <c r="H2590" i="23" s="1"/>
  <c r="CC87" i="19"/>
  <c r="F2582" i="23"/>
  <c r="H2582" i="23" s="1"/>
  <c r="CC79" i="19"/>
  <c r="F2574" i="23"/>
  <c r="H2574" i="23" s="1"/>
  <c r="CC71" i="19"/>
  <c r="F2566" i="23"/>
  <c r="H2566" i="23" s="1"/>
  <c r="CC63" i="19"/>
  <c r="F2558" i="23"/>
  <c r="H2558" i="23" s="1"/>
  <c r="CC55" i="19"/>
  <c r="F2550" i="23"/>
  <c r="H2550" i="23" s="1"/>
  <c r="CC47" i="19"/>
  <c r="F2542" i="23"/>
  <c r="H2542" i="23" s="1"/>
  <c r="CC39" i="19"/>
  <c r="F2534" i="23"/>
  <c r="H2534" i="23" s="1"/>
  <c r="CC31" i="19"/>
  <c r="F2526" i="23"/>
  <c r="H2526" i="23" s="1"/>
  <c r="CC23" i="19"/>
  <c r="F2518" i="23"/>
  <c r="H2518" i="23" s="1"/>
  <c r="CC15" i="19"/>
  <c r="F2510" i="23"/>
  <c r="H2510" i="23" s="1"/>
  <c r="CC7" i="19"/>
  <c r="F2502" i="23"/>
  <c r="H2502" i="23" s="1"/>
  <c r="BZ102" i="19"/>
  <c r="F2493" i="23"/>
  <c r="H2493" i="23" s="1"/>
  <c r="BZ94" i="19"/>
  <c r="F2485" i="23"/>
  <c r="H2485" i="23" s="1"/>
  <c r="BZ86" i="19"/>
  <c r="F2477" i="23"/>
  <c r="H2477" i="23" s="1"/>
  <c r="BZ78" i="19"/>
  <c r="F2469" i="23"/>
  <c r="H2469" i="23" s="1"/>
  <c r="BZ70" i="19"/>
  <c r="F2461" i="23"/>
  <c r="H2461" i="23" s="1"/>
  <c r="BZ62" i="19"/>
  <c r="F2453" i="23"/>
  <c r="H2453" i="23" s="1"/>
  <c r="BZ54" i="19"/>
  <c r="F2445" i="23"/>
  <c r="H2445" i="23" s="1"/>
  <c r="BZ46" i="19"/>
  <c r="F2437" i="23"/>
  <c r="H2437" i="23" s="1"/>
  <c r="BZ38" i="19"/>
  <c r="F2429" i="23"/>
  <c r="H2429" i="23" s="1"/>
  <c r="BZ30" i="19"/>
  <c r="F2421" i="23"/>
  <c r="H2421" i="23" s="1"/>
  <c r="BZ22" i="19"/>
  <c r="F2413" i="23"/>
  <c r="H2413" i="23" s="1"/>
  <c r="BZ14" i="19"/>
  <c r="F2405" i="23"/>
  <c r="H2405" i="23" s="1"/>
  <c r="BZ109" i="19"/>
  <c r="F2500" i="23"/>
  <c r="H2500" i="23" s="1"/>
  <c r="BZ101" i="19"/>
  <c r="F2492" i="23"/>
  <c r="H2492" i="23" s="1"/>
  <c r="BZ93" i="19"/>
  <c r="F2484" i="23"/>
  <c r="H2484" i="23" s="1"/>
  <c r="BZ85" i="19"/>
  <c r="F2476" i="23"/>
  <c r="H2476" i="23" s="1"/>
  <c r="BZ77" i="19"/>
  <c r="F2468" i="23"/>
  <c r="H2468" i="23" s="1"/>
  <c r="BZ69" i="19"/>
  <c r="F2460" i="23"/>
  <c r="H2460" i="23" s="1"/>
  <c r="BZ61" i="19"/>
  <c r="F2452" i="23"/>
  <c r="H2452" i="23" s="1"/>
  <c r="BZ53" i="19"/>
  <c r="F2444" i="23"/>
  <c r="H2444" i="23" s="1"/>
  <c r="BZ45" i="19"/>
  <c r="F2436" i="23"/>
  <c r="H2436" i="23" s="1"/>
  <c r="BZ37" i="19"/>
  <c r="F2428" i="23"/>
  <c r="H2428" i="23" s="1"/>
  <c r="BZ29" i="19"/>
  <c r="F2420" i="23"/>
  <c r="H2420" i="23" s="1"/>
  <c r="BZ21" i="19"/>
  <c r="F2412" i="23"/>
  <c r="H2412" i="23" s="1"/>
  <c r="BZ13" i="19"/>
  <c r="F2404" i="23"/>
  <c r="H2404" i="23" s="1"/>
  <c r="BZ108" i="19"/>
  <c r="F2499" i="23"/>
  <c r="H2499" i="23" s="1"/>
  <c r="I2499" i="23" s="1"/>
  <c r="J2499" i="23" s="1"/>
  <c r="K2499" i="23" s="1"/>
  <c r="BZ100" i="19"/>
  <c r="F2491" i="23"/>
  <c r="H2491" i="23" s="1"/>
  <c r="I2491" i="23" s="1"/>
  <c r="J2491" i="23" s="1"/>
  <c r="K2491" i="23" s="1"/>
  <c r="BZ92" i="19"/>
  <c r="F2483" i="23"/>
  <c r="H2483" i="23" s="1"/>
  <c r="I2483" i="23" s="1"/>
  <c r="J2483" i="23" s="1"/>
  <c r="K2483" i="23" s="1"/>
  <c r="BZ84" i="19"/>
  <c r="F2475" i="23"/>
  <c r="H2475" i="23" s="1"/>
  <c r="I2475" i="23" s="1"/>
  <c r="J2475" i="23" s="1"/>
  <c r="K2475" i="23" s="1"/>
  <c r="BZ76" i="19"/>
  <c r="F2467" i="23"/>
  <c r="H2467" i="23" s="1"/>
  <c r="I2467" i="23" s="1"/>
  <c r="J2467" i="23" s="1"/>
  <c r="K2467" i="23" s="1"/>
  <c r="BZ68" i="19"/>
  <c r="F2459" i="23"/>
  <c r="H2459" i="23" s="1"/>
  <c r="I2459" i="23" s="1"/>
  <c r="J2459" i="23" s="1"/>
  <c r="K2459" i="23" s="1"/>
  <c r="BZ60" i="19"/>
  <c r="F2451" i="23"/>
  <c r="H2451" i="23" s="1"/>
  <c r="I2451" i="23" s="1"/>
  <c r="J2451" i="23" s="1"/>
  <c r="K2451" i="23" s="1"/>
  <c r="BZ52" i="19"/>
  <c r="F2443" i="23"/>
  <c r="H2443" i="23" s="1"/>
  <c r="I2443" i="23" s="1"/>
  <c r="J2443" i="23" s="1"/>
  <c r="K2443" i="23" s="1"/>
  <c r="BZ44" i="19"/>
  <c r="F2435" i="23"/>
  <c r="H2435" i="23" s="1"/>
  <c r="I2435" i="23" s="1"/>
  <c r="J2435" i="23" s="1"/>
  <c r="K2435" i="23" s="1"/>
  <c r="BZ36" i="19"/>
  <c r="F2427" i="23"/>
  <c r="H2427" i="23" s="1"/>
  <c r="I2427" i="23" s="1"/>
  <c r="J2427" i="23" s="1"/>
  <c r="K2427" i="23" s="1"/>
  <c r="BZ28" i="19"/>
  <c r="F2419" i="23"/>
  <c r="H2419" i="23" s="1"/>
  <c r="I2419" i="23" s="1"/>
  <c r="J2419" i="23" s="1"/>
  <c r="K2419" i="23" s="1"/>
  <c r="BZ20" i="19"/>
  <c r="F2411" i="23"/>
  <c r="H2411" i="23" s="1"/>
  <c r="I2411" i="23" s="1"/>
  <c r="J2411" i="23" s="1"/>
  <c r="K2411" i="23" s="1"/>
  <c r="BZ12" i="19"/>
  <c r="F2403" i="23"/>
  <c r="H2403" i="23" s="1"/>
  <c r="I2403" i="23" s="1"/>
  <c r="J2403" i="23" s="1"/>
  <c r="K2403" i="23" s="1"/>
  <c r="BZ107" i="19"/>
  <c r="F2498" i="23"/>
  <c r="H2498" i="23" s="1"/>
  <c r="I2498" i="23" s="1"/>
  <c r="J2498" i="23" s="1"/>
  <c r="K2498" i="23" s="1"/>
  <c r="BZ99" i="19"/>
  <c r="F2490" i="23"/>
  <c r="H2490" i="23" s="1"/>
  <c r="I2490" i="23" s="1"/>
  <c r="J2490" i="23" s="1"/>
  <c r="K2490" i="23" s="1"/>
  <c r="BZ91" i="19"/>
  <c r="F2482" i="23"/>
  <c r="H2482" i="23" s="1"/>
  <c r="BZ83" i="19"/>
  <c r="F2474" i="23"/>
  <c r="H2474" i="23" s="1"/>
  <c r="I2474" i="23" s="1"/>
  <c r="J2474" i="23" s="1"/>
  <c r="K2474" i="23" s="1"/>
  <c r="BZ75" i="19"/>
  <c r="F2466" i="23"/>
  <c r="H2466" i="23" s="1"/>
  <c r="BZ67" i="19"/>
  <c r="F2458" i="23"/>
  <c r="H2458" i="23" s="1"/>
  <c r="BZ59" i="19"/>
  <c r="F2450" i="23"/>
  <c r="H2450" i="23" s="1"/>
  <c r="BZ51" i="19"/>
  <c r="F2442" i="23"/>
  <c r="H2442" i="23" s="1"/>
  <c r="I2442" i="23" s="1"/>
  <c r="J2442" i="23" s="1"/>
  <c r="K2442" i="23" s="1"/>
  <c r="BZ43" i="19"/>
  <c r="F2434" i="23"/>
  <c r="H2434" i="23" s="1"/>
  <c r="BZ35" i="19"/>
  <c r="F2426" i="23"/>
  <c r="H2426" i="23" s="1"/>
  <c r="BZ27" i="19"/>
  <c r="F2418" i="23"/>
  <c r="H2418" i="23" s="1"/>
  <c r="I2418" i="23" s="1"/>
  <c r="J2418" i="23" s="1"/>
  <c r="K2418" i="23" s="1"/>
  <c r="BZ19" i="19"/>
  <c r="F2410" i="23"/>
  <c r="H2410" i="23" s="1"/>
  <c r="I2410" i="23" s="1"/>
  <c r="J2410" i="23" s="1"/>
  <c r="K2410" i="23" s="1"/>
  <c r="BZ11" i="19"/>
  <c r="F2402" i="23"/>
  <c r="H2402" i="23" s="1"/>
  <c r="I2402" i="23" s="1"/>
  <c r="J2402" i="23" s="1"/>
  <c r="K2402" i="23" s="1"/>
  <c r="BZ106" i="19"/>
  <c r="F2497" i="23"/>
  <c r="H2497" i="23" s="1"/>
  <c r="BZ98" i="19"/>
  <c r="F2489" i="23"/>
  <c r="H2489" i="23" s="1"/>
  <c r="BZ90" i="19"/>
  <c r="F2481" i="23"/>
  <c r="H2481" i="23" s="1"/>
  <c r="BZ82" i="19"/>
  <c r="F2473" i="23"/>
  <c r="H2473" i="23" s="1"/>
  <c r="BZ74" i="19"/>
  <c r="F2465" i="23"/>
  <c r="H2465" i="23" s="1"/>
  <c r="BZ66" i="19"/>
  <c r="F2457" i="23"/>
  <c r="H2457" i="23" s="1"/>
  <c r="BZ58" i="19"/>
  <c r="F2449" i="23"/>
  <c r="H2449" i="23" s="1"/>
  <c r="BZ50" i="19"/>
  <c r="F2441" i="23"/>
  <c r="H2441" i="23" s="1"/>
  <c r="BZ42" i="19"/>
  <c r="F2433" i="23"/>
  <c r="H2433" i="23" s="1"/>
  <c r="BZ34" i="19"/>
  <c r="F2425" i="23"/>
  <c r="H2425" i="23" s="1"/>
  <c r="BZ26" i="19"/>
  <c r="F2417" i="23"/>
  <c r="H2417" i="23" s="1"/>
  <c r="BZ18" i="19"/>
  <c r="F2409" i="23"/>
  <c r="H2409" i="23" s="1"/>
  <c r="BZ10" i="19"/>
  <c r="F2401" i="23"/>
  <c r="H2401" i="23" s="1"/>
  <c r="BZ105" i="19"/>
  <c r="F2496" i="23"/>
  <c r="H2496" i="23" s="1"/>
  <c r="I2496" i="23" s="1"/>
  <c r="J2496" i="23" s="1"/>
  <c r="K2496" i="23" s="1"/>
  <c r="BZ97" i="19"/>
  <c r="F2488" i="23"/>
  <c r="H2488" i="23" s="1"/>
  <c r="I2488" i="23" s="1"/>
  <c r="J2488" i="23" s="1"/>
  <c r="K2488" i="23" s="1"/>
  <c r="BZ89" i="19"/>
  <c r="F2480" i="23"/>
  <c r="H2480" i="23" s="1"/>
  <c r="I2480" i="23" s="1"/>
  <c r="J2480" i="23" s="1"/>
  <c r="K2480" i="23" s="1"/>
  <c r="BZ81" i="19"/>
  <c r="F2472" i="23"/>
  <c r="H2472" i="23" s="1"/>
  <c r="I2472" i="23" s="1"/>
  <c r="J2472" i="23" s="1"/>
  <c r="K2472" i="23" s="1"/>
  <c r="BZ73" i="19"/>
  <c r="F2464" i="23"/>
  <c r="H2464" i="23" s="1"/>
  <c r="I2464" i="23" s="1"/>
  <c r="J2464" i="23" s="1"/>
  <c r="K2464" i="23" s="1"/>
  <c r="BZ65" i="19"/>
  <c r="F2456" i="23"/>
  <c r="H2456" i="23" s="1"/>
  <c r="I2456" i="23" s="1"/>
  <c r="J2456" i="23" s="1"/>
  <c r="K2456" i="23" s="1"/>
  <c r="BZ57" i="19"/>
  <c r="F2448" i="23"/>
  <c r="H2448" i="23" s="1"/>
  <c r="I2448" i="23" s="1"/>
  <c r="J2448" i="23" s="1"/>
  <c r="K2448" i="23" s="1"/>
  <c r="BZ49" i="19"/>
  <c r="F2440" i="23"/>
  <c r="H2440" i="23" s="1"/>
  <c r="I2440" i="23" s="1"/>
  <c r="J2440" i="23" s="1"/>
  <c r="K2440" i="23" s="1"/>
  <c r="BZ41" i="19"/>
  <c r="F2432" i="23"/>
  <c r="H2432" i="23" s="1"/>
  <c r="I2432" i="23" s="1"/>
  <c r="J2432" i="23" s="1"/>
  <c r="K2432" i="23" s="1"/>
  <c r="BZ33" i="19"/>
  <c r="F2424" i="23"/>
  <c r="H2424" i="23" s="1"/>
  <c r="BZ25" i="19"/>
  <c r="F2416" i="23"/>
  <c r="H2416" i="23" s="1"/>
  <c r="BZ17" i="19"/>
  <c r="F2408" i="23"/>
  <c r="H2408" i="23" s="1"/>
  <c r="BZ9" i="19"/>
  <c r="F2400" i="23"/>
  <c r="H2400" i="23" s="1"/>
  <c r="BZ104" i="19"/>
  <c r="F2495" i="23"/>
  <c r="H2495" i="23" s="1"/>
  <c r="I2495" i="23" s="1"/>
  <c r="BZ96" i="19"/>
  <c r="F2487" i="23"/>
  <c r="H2487" i="23" s="1"/>
  <c r="I2487" i="23" s="1"/>
  <c r="BZ88" i="19"/>
  <c r="F2479" i="23"/>
  <c r="H2479" i="23" s="1"/>
  <c r="I2479" i="23" s="1"/>
  <c r="BZ80" i="19"/>
  <c r="F2471" i="23"/>
  <c r="H2471" i="23" s="1"/>
  <c r="I2471" i="23" s="1"/>
  <c r="BZ72" i="19"/>
  <c r="F2463" i="23"/>
  <c r="H2463" i="23" s="1"/>
  <c r="I2463" i="23" s="1"/>
  <c r="BZ64" i="19"/>
  <c r="F2455" i="23"/>
  <c r="H2455" i="23" s="1"/>
  <c r="I2455" i="23" s="1"/>
  <c r="BZ56" i="19"/>
  <c r="F2447" i="23"/>
  <c r="H2447" i="23" s="1"/>
  <c r="I2447" i="23" s="1"/>
  <c r="BZ48" i="19"/>
  <c r="F2439" i="23"/>
  <c r="H2439" i="23" s="1"/>
  <c r="I2439" i="23" s="1"/>
  <c r="BZ40" i="19"/>
  <c r="F2431" i="23"/>
  <c r="H2431" i="23" s="1"/>
  <c r="I2431" i="23" s="1"/>
  <c r="BZ32" i="19"/>
  <c r="F2423" i="23"/>
  <c r="H2423" i="23" s="1"/>
  <c r="I2423" i="23" s="1"/>
  <c r="BZ24" i="19"/>
  <c r="F2415" i="23"/>
  <c r="H2415" i="23" s="1"/>
  <c r="I2415" i="23" s="1"/>
  <c r="BZ16" i="19"/>
  <c r="F2407" i="23"/>
  <c r="H2407" i="23" s="1"/>
  <c r="I2407" i="23" s="1"/>
  <c r="BZ8" i="19"/>
  <c r="F2399" i="23"/>
  <c r="H2399" i="23" s="1"/>
  <c r="I2399" i="23" s="1"/>
  <c r="BZ103" i="19"/>
  <c r="F2494" i="23"/>
  <c r="H2494" i="23" s="1"/>
  <c r="BZ95" i="19"/>
  <c r="F2486" i="23"/>
  <c r="H2486" i="23" s="1"/>
  <c r="BZ87" i="19"/>
  <c r="F2478" i="23"/>
  <c r="H2478" i="23" s="1"/>
  <c r="BZ79" i="19"/>
  <c r="F2470" i="23"/>
  <c r="H2470" i="23" s="1"/>
  <c r="BZ71" i="19"/>
  <c r="F2462" i="23"/>
  <c r="H2462" i="23" s="1"/>
  <c r="BZ63" i="19"/>
  <c r="F2454" i="23"/>
  <c r="H2454" i="23" s="1"/>
  <c r="BZ55" i="19"/>
  <c r="F2446" i="23"/>
  <c r="H2446" i="23" s="1"/>
  <c r="BZ47" i="19"/>
  <c r="F2438" i="23"/>
  <c r="H2438" i="23" s="1"/>
  <c r="BZ39" i="19"/>
  <c r="F2430" i="23"/>
  <c r="H2430" i="23" s="1"/>
  <c r="BZ31" i="19"/>
  <c r="F2422" i="23"/>
  <c r="H2422" i="23" s="1"/>
  <c r="BZ23" i="19"/>
  <c r="F2414" i="23"/>
  <c r="H2414" i="23" s="1"/>
  <c r="BZ15" i="19"/>
  <c r="F2406" i="23"/>
  <c r="H2406" i="23" s="1"/>
  <c r="BZ7" i="19"/>
  <c r="F2398" i="23"/>
  <c r="H2398" i="23" s="1"/>
  <c r="BW102" i="19"/>
  <c r="F2389" i="23"/>
  <c r="H2389" i="23" s="1"/>
  <c r="BW94" i="19"/>
  <c r="F2381" i="23"/>
  <c r="H2381" i="23" s="1"/>
  <c r="BW86" i="19"/>
  <c r="F2373" i="23"/>
  <c r="H2373" i="23" s="1"/>
  <c r="BW78" i="19"/>
  <c r="F2365" i="23"/>
  <c r="H2365" i="23" s="1"/>
  <c r="BW70" i="19"/>
  <c r="F2357" i="23"/>
  <c r="H2357" i="23" s="1"/>
  <c r="BW62" i="19"/>
  <c r="F2349" i="23"/>
  <c r="H2349" i="23" s="1"/>
  <c r="BW54" i="19"/>
  <c r="F2341" i="23"/>
  <c r="H2341" i="23" s="1"/>
  <c r="I2341" i="23" s="1"/>
  <c r="J2341" i="23" s="1"/>
  <c r="K2341" i="23" s="1"/>
  <c r="BW46" i="19"/>
  <c r="F2333" i="23"/>
  <c r="H2333" i="23" s="1"/>
  <c r="BW38" i="19"/>
  <c r="F2325" i="23"/>
  <c r="H2325" i="23" s="1"/>
  <c r="I2325" i="23" s="1"/>
  <c r="J2325" i="23" s="1"/>
  <c r="K2325" i="23" s="1"/>
  <c r="BW30" i="19"/>
  <c r="F2317" i="23"/>
  <c r="H2317" i="23" s="1"/>
  <c r="BW22" i="19"/>
  <c r="F2309" i="23"/>
  <c r="H2309" i="23" s="1"/>
  <c r="I2309" i="23" s="1"/>
  <c r="J2309" i="23" s="1"/>
  <c r="K2309" i="23" s="1"/>
  <c r="BW14" i="19"/>
  <c r="F2301" i="23"/>
  <c r="H2301" i="23" s="1"/>
  <c r="BW109" i="19"/>
  <c r="F2396" i="23"/>
  <c r="H2396" i="23" s="1"/>
  <c r="BW101" i="19"/>
  <c r="F2388" i="23"/>
  <c r="H2388" i="23" s="1"/>
  <c r="BW93" i="19"/>
  <c r="F2380" i="23"/>
  <c r="H2380" i="23" s="1"/>
  <c r="BW85" i="19"/>
  <c r="F2372" i="23"/>
  <c r="H2372" i="23" s="1"/>
  <c r="BW77" i="19"/>
  <c r="F2364" i="23"/>
  <c r="H2364" i="23" s="1"/>
  <c r="I2364" i="23" s="1"/>
  <c r="BW69" i="19"/>
  <c r="F2356" i="23"/>
  <c r="H2356" i="23" s="1"/>
  <c r="I2356" i="23" s="1"/>
  <c r="J2356" i="23" s="1"/>
  <c r="K2356" i="23" s="1"/>
  <c r="BW61" i="19"/>
  <c r="F2348" i="23"/>
  <c r="H2348" i="23" s="1"/>
  <c r="I2348" i="23" s="1"/>
  <c r="BW53" i="19"/>
  <c r="F2340" i="23"/>
  <c r="H2340" i="23" s="1"/>
  <c r="BW45" i="19"/>
  <c r="F2332" i="23"/>
  <c r="H2332" i="23" s="1"/>
  <c r="I2332" i="23" s="1"/>
  <c r="J2332" i="23" s="1"/>
  <c r="K2332" i="23" s="1"/>
  <c r="BW37" i="19"/>
  <c r="F2324" i="23"/>
  <c r="H2324" i="23" s="1"/>
  <c r="BW29" i="19"/>
  <c r="F2316" i="23"/>
  <c r="H2316" i="23" s="1"/>
  <c r="I2316" i="23" s="1"/>
  <c r="BW21" i="19"/>
  <c r="F2308" i="23"/>
  <c r="H2308" i="23" s="1"/>
  <c r="BW13" i="19"/>
  <c r="F2300" i="23"/>
  <c r="H2300" i="23" s="1"/>
  <c r="I2300" i="23" s="1"/>
  <c r="J2300" i="23" s="1"/>
  <c r="K2300" i="23" s="1"/>
  <c r="BW108" i="19"/>
  <c r="F2395" i="23"/>
  <c r="H2395" i="23" s="1"/>
  <c r="I2395" i="23" s="1"/>
  <c r="J2395" i="23" s="1"/>
  <c r="K2395" i="23" s="1"/>
  <c r="BW100" i="19"/>
  <c r="F2387" i="23"/>
  <c r="H2387" i="23" s="1"/>
  <c r="I2387" i="23" s="1"/>
  <c r="J2387" i="23" s="1"/>
  <c r="K2387" i="23" s="1"/>
  <c r="BW92" i="19"/>
  <c r="F2379" i="23"/>
  <c r="H2379" i="23" s="1"/>
  <c r="I2379" i="23" s="1"/>
  <c r="J2379" i="23" s="1"/>
  <c r="K2379" i="23" s="1"/>
  <c r="BW84" i="19"/>
  <c r="F2371" i="23"/>
  <c r="H2371" i="23" s="1"/>
  <c r="I2371" i="23" s="1"/>
  <c r="J2371" i="23" s="1"/>
  <c r="K2371" i="23" s="1"/>
  <c r="BW76" i="19"/>
  <c r="F2363" i="23"/>
  <c r="H2363" i="23" s="1"/>
  <c r="BW68" i="19"/>
  <c r="F2355" i="23"/>
  <c r="H2355" i="23" s="1"/>
  <c r="I2355" i="23" s="1"/>
  <c r="J2355" i="23" s="1"/>
  <c r="K2355" i="23" s="1"/>
  <c r="BW60" i="19"/>
  <c r="F2347" i="23"/>
  <c r="H2347" i="23" s="1"/>
  <c r="BW52" i="19"/>
  <c r="F2339" i="23"/>
  <c r="H2339" i="23" s="1"/>
  <c r="BW44" i="19"/>
  <c r="F2331" i="23"/>
  <c r="H2331" i="23" s="1"/>
  <c r="BW36" i="19"/>
  <c r="F2323" i="23"/>
  <c r="H2323" i="23" s="1"/>
  <c r="BW28" i="19"/>
  <c r="F2315" i="23"/>
  <c r="H2315" i="23" s="1"/>
  <c r="BW20" i="19"/>
  <c r="F2307" i="23"/>
  <c r="H2307" i="23" s="1"/>
  <c r="BW12" i="19"/>
  <c r="F2299" i="23"/>
  <c r="H2299" i="23" s="1"/>
  <c r="BW107" i="19"/>
  <c r="F2394" i="23"/>
  <c r="H2394" i="23" s="1"/>
  <c r="BW99" i="19"/>
  <c r="F2386" i="23"/>
  <c r="H2386" i="23" s="1"/>
  <c r="BW91" i="19"/>
  <c r="F2378" i="23"/>
  <c r="H2378" i="23" s="1"/>
  <c r="I2378" i="23" s="1"/>
  <c r="J2378" i="23" s="1"/>
  <c r="K2378" i="23" s="1"/>
  <c r="BW83" i="19"/>
  <c r="F2370" i="23"/>
  <c r="H2370" i="23" s="1"/>
  <c r="BW75" i="19"/>
  <c r="F2362" i="23"/>
  <c r="H2362" i="23" s="1"/>
  <c r="BW67" i="19"/>
  <c r="F2354" i="23"/>
  <c r="H2354" i="23" s="1"/>
  <c r="BW59" i="19"/>
  <c r="F2346" i="23"/>
  <c r="H2346" i="23" s="1"/>
  <c r="BW51" i="19"/>
  <c r="F2338" i="23"/>
  <c r="H2338" i="23" s="1"/>
  <c r="I2338" i="23" s="1"/>
  <c r="J2338" i="23" s="1"/>
  <c r="K2338" i="23" s="1"/>
  <c r="BW43" i="19"/>
  <c r="F2330" i="23"/>
  <c r="H2330" i="23" s="1"/>
  <c r="I2330" i="23" s="1"/>
  <c r="J2330" i="23" s="1"/>
  <c r="K2330" i="23" s="1"/>
  <c r="BW35" i="19"/>
  <c r="F2322" i="23"/>
  <c r="H2322" i="23" s="1"/>
  <c r="BW27" i="19"/>
  <c r="F2314" i="23"/>
  <c r="H2314" i="23" s="1"/>
  <c r="I2314" i="23" s="1"/>
  <c r="J2314" i="23" s="1"/>
  <c r="K2314" i="23" s="1"/>
  <c r="BW19" i="19"/>
  <c r="F2306" i="23"/>
  <c r="H2306" i="23" s="1"/>
  <c r="BW11" i="19"/>
  <c r="F2298" i="23"/>
  <c r="H2298" i="23" s="1"/>
  <c r="BW106" i="19"/>
  <c r="F2393" i="23"/>
  <c r="H2393" i="23" s="1"/>
  <c r="BW98" i="19"/>
  <c r="F2385" i="23"/>
  <c r="H2385" i="23" s="1"/>
  <c r="BW90" i="19"/>
  <c r="F2377" i="23"/>
  <c r="H2377" i="23" s="1"/>
  <c r="BW82" i="19"/>
  <c r="F2369" i="23"/>
  <c r="H2369" i="23" s="1"/>
  <c r="BW74" i="19"/>
  <c r="F2361" i="23"/>
  <c r="H2361" i="23" s="1"/>
  <c r="BW66" i="19"/>
  <c r="F2353" i="23"/>
  <c r="H2353" i="23" s="1"/>
  <c r="BW58" i="19"/>
  <c r="F2345" i="23"/>
  <c r="H2345" i="23" s="1"/>
  <c r="BW50" i="19"/>
  <c r="F2337" i="23"/>
  <c r="H2337" i="23" s="1"/>
  <c r="I2337" i="23" s="1"/>
  <c r="BW42" i="19"/>
  <c r="F2329" i="23"/>
  <c r="H2329" i="23" s="1"/>
  <c r="BW34" i="19"/>
  <c r="F2321" i="23"/>
  <c r="H2321" i="23" s="1"/>
  <c r="I2321" i="23" s="1"/>
  <c r="J2321" i="23" s="1"/>
  <c r="K2321" i="23" s="1"/>
  <c r="BW26" i="19"/>
  <c r="F2313" i="23"/>
  <c r="H2313" i="23" s="1"/>
  <c r="BW18" i="19"/>
  <c r="F2305" i="23"/>
  <c r="H2305" i="23" s="1"/>
  <c r="I2305" i="23" s="1"/>
  <c r="BW10" i="19"/>
  <c r="F2297" i="23"/>
  <c r="H2297" i="23" s="1"/>
  <c r="BW105" i="19"/>
  <c r="F2392" i="23"/>
  <c r="H2392" i="23" s="1"/>
  <c r="BW97" i="19"/>
  <c r="F2384" i="23"/>
  <c r="H2384" i="23" s="1"/>
  <c r="BW89" i="19"/>
  <c r="F2376" i="23"/>
  <c r="H2376" i="23" s="1"/>
  <c r="BW81" i="19"/>
  <c r="F2368" i="23"/>
  <c r="H2368" i="23" s="1"/>
  <c r="BW73" i="19"/>
  <c r="F2360" i="23"/>
  <c r="H2360" i="23" s="1"/>
  <c r="BW65" i="19"/>
  <c r="F2352" i="23"/>
  <c r="H2352" i="23" s="1"/>
  <c r="BW57" i="19"/>
  <c r="F2344" i="23"/>
  <c r="H2344" i="23" s="1"/>
  <c r="I2344" i="23" s="1"/>
  <c r="J2344" i="23" s="1"/>
  <c r="K2344" i="23" s="1"/>
  <c r="BW49" i="19"/>
  <c r="F2336" i="23"/>
  <c r="H2336" i="23" s="1"/>
  <c r="I2336" i="23" s="1"/>
  <c r="J2336" i="23" s="1"/>
  <c r="K2336" i="23" s="1"/>
  <c r="BW41" i="19"/>
  <c r="F2328" i="23"/>
  <c r="H2328" i="23" s="1"/>
  <c r="I2328" i="23" s="1"/>
  <c r="J2328" i="23" s="1"/>
  <c r="K2328" i="23" s="1"/>
  <c r="BW33" i="19"/>
  <c r="F2320" i="23"/>
  <c r="H2320" i="23" s="1"/>
  <c r="I2320" i="23" s="1"/>
  <c r="J2320" i="23" s="1"/>
  <c r="K2320" i="23" s="1"/>
  <c r="BW25" i="19"/>
  <c r="F2312" i="23"/>
  <c r="H2312" i="23" s="1"/>
  <c r="I2312" i="23" s="1"/>
  <c r="J2312" i="23" s="1"/>
  <c r="K2312" i="23" s="1"/>
  <c r="BW17" i="19"/>
  <c r="F2304" i="23"/>
  <c r="H2304" i="23" s="1"/>
  <c r="I2304" i="23" s="1"/>
  <c r="J2304" i="23" s="1"/>
  <c r="K2304" i="23" s="1"/>
  <c r="BW9" i="19"/>
  <c r="F2296" i="23"/>
  <c r="H2296" i="23" s="1"/>
  <c r="I2296" i="23" s="1"/>
  <c r="J2296" i="23" s="1"/>
  <c r="K2296" i="23" s="1"/>
  <c r="BW104" i="19"/>
  <c r="F2391" i="23"/>
  <c r="H2391" i="23" s="1"/>
  <c r="I2391" i="23" s="1"/>
  <c r="BW96" i="19"/>
  <c r="F2383" i="23"/>
  <c r="H2383" i="23" s="1"/>
  <c r="I2383" i="23" s="1"/>
  <c r="BW88" i="19"/>
  <c r="F2375" i="23"/>
  <c r="H2375" i="23" s="1"/>
  <c r="I2375" i="23" s="1"/>
  <c r="BW80" i="19"/>
  <c r="F2367" i="23"/>
  <c r="H2367" i="23" s="1"/>
  <c r="I2367" i="23" s="1"/>
  <c r="BW72" i="19"/>
  <c r="F2359" i="23"/>
  <c r="H2359" i="23" s="1"/>
  <c r="BW64" i="19"/>
  <c r="F2351" i="23"/>
  <c r="H2351" i="23" s="1"/>
  <c r="BW56" i="19"/>
  <c r="F2343" i="23"/>
  <c r="H2343" i="23" s="1"/>
  <c r="BW48" i="19"/>
  <c r="F2335" i="23"/>
  <c r="H2335" i="23" s="1"/>
  <c r="BW40" i="19"/>
  <c r="F2327" i="23"/>
  <c r="H2327" i="23" s="1"/>
  <c r="I2327" i="23" s="1"/>
  <c r="J2327" i="23" s="1"/>
  <c r="K2327" i="23" s="1"/>
  <c r="BW32" i="19"/>
  <c r="F2319" i="23"/>
  <c r="H2319" i="23" s="1"/>
  <c r="BW24" i="19"/>
  <c r="F2311" i="23"/>
  <c r="H2311" i="23" s="1"/>
  <c r="BW16" i="19"/>
  <c r="F2303" i="23"/>
  <c r="H2303" i="23" s="1"/>
  <c r="BW8" i="19"/>
  <c r="F2295" i="23"/>
  <c r="H2295" i="23" s="1"/>
  <c r="I2295" i="23" s="1"/>
  <c r="J2295" i="23" s="1"/>
  <c r="K2295" i="23" s="1"/>
  <c r="BW103" i="19"/>
  <c r="F2390" i="23"/>
  <c r="H2390" i="23" s="1"/>
  <c r="BW95" i="19"/>
  <c r="F2382" i="23"/>
  <c r="H2382" i="23" s="1"/>
  <c r="BW87" i="19"/>
  <c r="F2374" i="23"/>
  <c r="H2374" i="23" s="1"/>
  <c r="BW79" i="19"/>
  <c r="F2366" i="23"/>
  <c r="H2366" i="23" s="1"/>
  <c r="BW71" i="19"/>
  <c r="F2358" i="23"/>
  <c r="H2358" i="23" s="1"/>
  <c r="I2358" i="23" s="1"/>
  <c r="J2358" i="23" s="1"/>
  <c r="K2358" i="23" s="1"/>
  <c r="BW63" i="19"/>
  <c r="F2350" i="23"/>
  <c r="H2350" i="23" s="1"/>
  <c r="BW55" i="19"/>
  <c r="F2342" i="23"/>
  <c r="H2342" i="23" s="1"/>
  <c r="BW47" i="19"/>
  <c r="F2334" i="23"/>
  <c r="H2334" i="23" s="1"/>
  <c r="I2334" i="23" s="1"/>
  <c r="J2334" i="23" s="1"/>
  <c r="K2334" i="23" s="1"/>
  <c r="BW39" i="19"/>
  <c r="F2326" i="23"/>
  <c r="H2326" i="23" s="1"/>
  <c r="BW31" i="19"/>
  <c r="F2318" i="23"/>
  <c r="H2318" i="23" s="1"/>
  <c r="BW23" i="19"/>
  <c r="F2310" i="23"/>
  <c r="H2310" i="23" s="1"/>
  <c r="BW15" i="19"/>
  <c r="F2302" i="23"/>
  <c r="H2302" i="23" s="1"/>
  <c r="I2302" i="23" s="1"/>
  <c r="J2302" i="23" s="1"/>
  <c r="K2302" i="23" s="1"/>
  <c r="BW7" i="19"/>
  <c r="F2294" i="23"/>
  <c r="H2294" i="23" s="1"/>
  <c r="BT62" i="19"/>
  <c r="F2245" i="23"/>
  <c r="H2245" i="23" s="1"/>
  <c r="I2245" i="23" s="1"/>
  <c r="J2245" i="23" s="1"/>
  <c r="K2245" i="23" s="1"/>
  <c r="BT78" i="19"/>
  <c r="F2261" i="23"/>
  <c r="H2261" i="23" s="1"/>
  <c r="BT14" i="19"/>
  <c r="F2197" i="23"/>
  <c r="H2197" i="23" s="1"/>
  <c r="BT101" i="19"/>
  <c r="F2284" i="23"/>
  <c r="H2284" i="23" s="1"/>
  <c r="I2284" i="23" s="1"/>
  <c r="BT77" i="19"/>
  <c r="F2260" i="23"/>
  <c r="H2260" i="23" s="1"/>
  <c r="I2260" i="23" s="1"/>
  <c r="J2260" i="23" s="1"/>
  <c r="K2260" i="23" s="1"/>
  <c r="BT61" i="19"/>
  <c r="F2244" i="23"/>
  <c r="H2244" i="23" s="1"/>
  <c r="BT29" i="19"/>
  <c r="F2212" i="23"/>
  <c r="H2212" i="23" s="1"/>
  <c r="BT94" i="19"/>
  <c r="F2277" i="23"/>
  <c r="H2277" i="23" s="1"/>
  <c r="I2277" i="23" s="1"/>
  <c r="J2277" i="23" s="1"/>
  <c r="K2277" i="23" s="1"/>
  <c r="BT38" i="19"/>
  <c r="F2221" i="23"/>
  <c r="H2221" i="23" s="1"/>
  <c r="I2221" i="23" s="1"/>
  <c r="J2221" i="23" s="1"/>
  <c r="K2221" i="23" s="1"/>
  <c r="BT93" i="19"/>
  <c r="F2276" i="23"/>
  <c r="H2276" i="23" s="1"/>
  <c r="BT85" i="19"/>
  <c r="F2268" i="23"/>
  <c r="H2268" i="23" s="1"/>
  <c r="BT69" i="19"/>
  <c r="F2252" i="23"/>
  <c r="H2252" i="23" s="1"/>
  <c r="BT37" i="19"/>
  <c r="F2220" i="23"/>
  <c r="H2220" i="23" s="1"/>
  <c r="BT21" i="19"/>
  <c r="F2204" i="23"/>
  <c r="H2204" i="23" s="1"/>
  <c r="BT13" i="19"/>
  <c r="F2196" i="23"/>
  <c r="H2196" i="23" s="1"/>
  <c r="I2196" i="23" s="1"/>
  <c r="J2196" i="23" s="1"/>
  <c r="K2196" i="23" s="1"/>
  <c r="BT108" i="19"/>
  <c r="F2291" i="23"/>
  <c r="H2291" i="23" s="1"/>
  <c r="BT100" i="19"/>
  <c r="F2283" i="23"/>
  <c r="H2283" i="23" s="1"/>
  <c r="BT92" i="19"/>
  <c r="F2275" i="23"/>
  <c r="H2275" i="23" s="1"/>
  <c r="BT84" i="19"/>
  <c r="F2267" i="23"/>
  <c r="H2267" i="23" s="1"/>
  <c r="BT76" i="19"/>
  <c r="F2259" i="23"/>
  <c r="H2259" i="23" s="1"/>
  <c r="BT68" i="19"/>
  <c r="F2251" i="23"/>
  <c r="H2251" i="23" s="1"/>
  <c r="BT60" i="19"/>
  <c r="F2243" i="23"/>
  <c r="H2243" i="23" s="1"/>
  <c r="BT52" i="19"/>
  <c r="F2235" i="23"/>
  <c r="H2235" i="23" s="1"/>
  <c r="I2235" i="23" s="1"/>
  <c r="J2235" i="23" s="1"/>
  <c r="K2235" i="23" s="1"/>
  <c r="BT44" i="19"/>
  <c r="F2227" i="23"/>
  <c r="H2227" i="23" s="1"/>
  <c r="BT36" i="19"/>
  <c r="F2219" i="23"/>
  <c r="H2219" i="23" s="1"/>
  <c r="I2219" i="23" s="1"/>
  <c r="J2219" i="23" s="1"/>
  <c r="K2219" i="23" s="1"/>
  <c r="BT28" i="19"/>
  <c r="F2211" i="23"/>
  <c r="H2211" i="23" s="1"/>
  <c r="I2211" i="23" s="1"/>
  <c r="J2211" i="23" s="1"/>
  <c r="K2211" i="23" s="1"/>
  <c r="BT20" i="19"/>
  <c r="F2203" i="23"/>
  <c r="H2203" i="23" s="1"/>
  <c r="I2203" i="23" s="1"/>
  <c r="J2203" i="23" s="1"/>
  <c r="K2203" i="23" s="1"/>
  <c r="BT12" i="19"/>
  <c r="F2195" i="23"/>
  <c r="H2195" i="23" s="1"/>
  <c r="I2195" i="23" s="1"/>
  <c r="J2195" i="23" s="1"/>
  <c r="K2195" i="23" s="1"/>
  <c r="BT70" i="19"/>
  <c r="F2253" i="23"/>
  <c r="H2253" i="23" s="1"/>
  <c r="BT107" i="19"/>
  <c r="F2290" i="23"/>
  <c r="H2290" i="23" s="1"/>
  <c r="I2290" i="23" s="1"/>
  <c r="J2290" i="23" s="1"/>
  <c r="K2290" i="23" s="1"/>
  <c r="BT99" i="19"/>
  <c r="F2282" i="23"/>
  <c r="H2282" i="23" s="1"/>
  <c r="BT91" i="19"/>
  <c r="F2274" i="23"/>
  <c r="H2274" i="23" s="1"/>
  <c r="I2274" i="23" s="1"/>
  <c r="J2274" i="23" s="1"/>
  <c r="K2274" i="23" s="1"/>
  <c r="BT83" i="19"/>
  <c r="F2266" i="23"/>
  <c r="H2266" i="23" s="1"/>
  <c r="I2266" i="23" s="1"/>
  <c r="J2266" i="23" s="1"/>
  <c r="K2266" i="23" s="1"/>
  <c r="BT75" i="19"/>
  <c r="F2258" i="23"/>
  <c r="H2258" i="23" s="1"/>
  <c r="BT67" i="19"/>
  <c r="F2250" i="23"/>
  <c r="H2250" i="23" s="1"/>
  <c r="BT59" i="19"/>
  <c r="F2242" i="23"/>
  <c r="H2242" i="23" s="1"/>
  <c r="BT51" i="19"/>
  <c r="F2234" i="23"/>
  <c r="H2234" i="23" s="1"/>
  <c r="BT43" i="19"/>
  <c r="F2226" i="23"/>
  <c r="H2226" i="23" s="1"/>
  <c r="BT35" i="19"/>
  <c r="F2218" i="23"/>
  <c r="H2218" i="23" s="1"/>
  <c r="BT27" i="19"/>
  <c r="F2210" i="23"/>
  <c r="H2210" i="23" s="1"/>
  <c r="BT19" i="19"/>
  <c r="F2202" i="23"/>
  <c r="H2202" i="23" s="1"/>
  <c r="BT11" i="19"/>
  <c r="F2194" i="23"/>
  <c r="H2194" i="23" s="1"/>
  <c r="I2194" i="23" s="1"/>
  <c r="J2194" i="23" s="1"/>
  <c r="K2194" i="23" s="1"/>
  <c r="BT46" i="19"/>
  <c r="F2229" i="23"/>
  <c r="H2229" i="23" s="1"/>
  <c r="BT109" i="19"/>
  <c r="F2292" i="23"/>
  <c r="H2292" i="23" s="1"/>
  <c r="BT45" i="19"/>
  <c r="F2228" i="23"/>
  <c r="H2228" i="23" s="1"/>
  <c r="I2228" i="23" s="1"/>
  <c r="BT106" i="19"/>
  <c r="F2289" i="23"/>
  <c r="H2289" i="23" s="1"/>
  <c r="I2289" i="23" s="1"/>
  <c r="J2289" i="23" s="1"/>
  <c r="K2289" i="23" s="1"/>
  <c r="BT98" i="19"/>
  <c r="F2281" i="23"/>
  <c r="H2281" i="23" s="1"/>
  <c r="BT90" i="19"/>
  <c r="F2273" i="23"/>
  <c r="H2273" i="23" s="1"/>
  <c r="I2273" i="23" s="1"/>
  <c r="J2273" i="23" s="1"/>
  <c r="K2273" i="23" s="1"/>
  <c r="BT82" i="19"/>
  <c r="F2265" i="23"/>
  <c r="H2265" i="23" s="1"/>
  <c r="I2265" i="23" s="1"/>
  <c r="J2265" i="23" s="1"/>
  <c r="K2265" i="23" s="1"/>
  <c r="BT74" i="19"/>
  <c r="F2257" i="23"/>
  <c r="H2257" i="23" s="1"/>
  <c r="BT66" i="19"/>
  <c r="F2249" i="23"/>
  <c r="H2249" i="23" s="1"/>
  <c r="BT58" i="19"/>
  <c r="F2241" i="23"/>
  <c r="H2241" i="23" s="1"/>
  <c r="BT50" i="19"/>
  <c r="F2233" i="23"/>
  <c r="H2233" i="23" s="1"/>
  <c r="I2233" i="23" s="1"/>
  <c r="J2233" i="23" s="1"/>
  <c r="K2233" i="23" s="1"/>
  <c r="BT42" i="19"/>
  <c r="F2225" i="23"/>
  <c r="H2225" i="23" s="1"/>
  <c r="BT34" i="19"/>
  <c r="F2217" i="23"/>
  <c r="H2217" i="23" s="1"/>
  <c r="BT26" i="19"/>
  <c r="F2209" i="23"/>
  <c r="H2209" i="23" s="1"/>
  <c r="I2209" i="23" s="1"/>
  <c r="J2209" i="23" s="1"/>
  <c r="K2209" i="23" s="1"/>
  <c r="BT18" i="19"/>
  <c r="F2201" i="23"/>
  <c r="H2201" i="23" s="1"/>
  <c r="I2201" i="23" s="1"/>
  <c r="J2201" i="23" s="1"/>
  <c r="K2201" i="23" s="1"/>
  <c r="BT10" i="19"/>
  <c r="F2193" i="23"/>
  <c r="H2193" i="23" s="1"/>
  <c r="BT86" i="19"/>
  <c r="F2269" i="23"/>
  <c r="H2269" i="23" s="1"/>
  <c r="BT30" i="19"/>
  <c r="F2213" i="23"/>
  <c r="H2213" i="23" s="1"/>
  <c r="I2213" i="23" s="1"/>
  <c r="J2213" i="23" s="1"/>
  <c r="K2213" i="23" s="1"/>
  <c r="BT53" i="19"/>
  <c r="F2236" i="23"/>
  <c r="H2236" i="23" s="1"/>
  <c r="I2236" i="23" s="1"/>
  <c r="J2236" i="23" s="1"/>
  <c r="K2236" i="23" s="1"/>
  <c r="BT105" i="19"/>
  <c r="F2288" i="23"/>
  <c r="H2288" i="23" s="1"/>
  <c r="I2288" i="23" s="1"/>
  <c r="J2288" i="23" s="1"/>
  <c r="K2288" i="23" s="1"/>
  <c r="BT97" i="19"/>
  <c r="F2280" i="23"/>
  <c r="H2280" i="23" s="1"/>
  <c r="I2280" i="23" s="1"/>
  <c r="J2280" i="23" s="1"/>
  <c r="K2280" i="23" s="1"/>
  <c r="BT89" i="19"/>
  <c r="F2272" i="23"/>
  <c r="H2272" i="23" s="1"/>
  <c r="I2272" i="23" s="1"/>
  <c r="J2272" i="23" s="1"/>
  <c r="K2272" i="23" s="1"/>
  <c r="BT81" i="19"/>
  <c r="F2264" i="23"/>
  <c r="H2264" i="23" s="1"/>
  <c r="I2264" i="23" s="1"/>
  <c r="J2264" i="23" s="1"/>
  <c r="K2264" i="23" s="1"/>
  <c r="BT73" i="19"/>
  <c r="F2256" i="23"/>
  <c r="H2256" i="23" s="1"/>
  <c r="I2256" i="23" s="1"/>
  <c r="J2256" i="23" s="1"/>
  <c r="K2256" i="23" s="1"/>
  <c r="BT65" i="19"/>
  <c r="F2248" i="23"/>
  <c r="H2248" i="23" s="1"/>
  <c r="I2248" i="23" s="1"/>
  <c r="J2248" i="23" s="1"/>
  <c r="K2248" i="23" s="1"/>
  <c r="BT57" i="19"/>
  <c r="F2240" i="23"/>
  <c r="H2240" i="23" s="1"/>
  <c r="I2240" i="23" s="1"/>
  <c r="J2240" i="23" s="1"/>
  <c r="K2240" i="23" s="1"/>
  <c r="BT49" i="19"/>
  <c r="F2232" i="23"/>
  <c r="H2232" i="23" s="1"/>
  <c r="I2232" i="23" s="1"/>
  <c r="J2232" i="23" s="1"/>
  <c r="K2232" i="23" s="1"/>
  <c r="BT41" i="19"/>
  <c r="F2224" i="23"/>
  <c r="H2224" i="23" s="1"/>
  <c r="I2224" i="23" s="1"/>
  <c r="J2224" i="23" s="1"/>
  <c r="K2224" i="23" s="1"/>
  <c r="BT33" i="19"/>
  <c r="F2216" i="23"/>
  <c r="H2216" i="23" s="1"/>
  <c r="I2216" i="23" s="1"/>
  <c r="J2216" i="23" s="1"/>
  <c r="K2216" i="23" s="1"/>
  <c r="BT25" i="19"/>
  <c r="F2208" i="23"/>
  <c r="H2208" i="23" s="1"/>
  <c r="I2208" i="23" s="1"/>
  <c r="J2208" i="23" s="1"/>
  <c r="K2208" i="23" s="1"/>
  <c r="BT17" i="19"/>
  <c r="F2200" i="23"/>
  <c r="H2200" i="23" s="1"/>
  <c r="I2200" i="23" s="1"/>
  <c r="J2200" i="23" s="1"/>
  <c r="K2200" i="23" s="1"/>
  <c r="BT9" i="19"/>
  <c r="F2192" i="23"/>
  <c r="H2192" i="23" s="1"/>
  <c r="I2192" i="23" s="1"/>
  <c r="J2192" i="23" s="1"/>
  <c r="K2192" i="23" s="1"/>
  <c r="BT102" i="19"/>
  <c r="F2285" i="23"/>
  <c r="H2285" i="23" s="1"/>
  <c r="BT104" i="19"/>
  <c r="F2287" i="23"/>
  <c r="H2287" i="23" s="1"/>
  <c r="BT96" i="19"/>
  <c r="F2279" i="23"/>
  <c r="H2279" i="23" s="1"/>
  <c r="BT88" i="19"/>
  <c r="F2271" i="23"/>
  <c r="H2271" i="23" s="1"/>
  <c r="BT80" i="19"/>
  <c r="F2263" i="23"/>
  <c r="H2263" i="23" s="1"/>
  <c r="BT72" i="19"/>
  <c r="F2255" i="23"/>
  <c r="H2255" i="23" s="1"/>
  <c r="BT64" i="19"/>
  <c r="F2247" i="23"/>
  <c r="H2247" i="23" s="1"/>
  <c r="BT56" i="19"/>
  <c r="F2239" i="23"/>
  <c r="H2239" i="23" s="1"/>
  <c r="BT48" i="19"/>
  <c r="F2231" i="23"/>
  <c r="H2231" i="23" s="1"/>
  <c r="BT40" i="19"/>
  <c r="F2223" i="23"/>
  <c r="H2223" i="23" s="1"/>
  <c r="BT32" i="19"/>
  <c r="F2215" i="23"/>
  <c r="H2215" i="23" s="1"/>
  <c r="BT24" i="19"/>
  <c r="F2207" i="23"/>
  <c r="H2207" i="23" s="1"/>
  <c r="BT16" i="19"/>
  <c r="F2199" i="23"/>
  <c r="H2199" i="23" s="1"/>
  <c r="BT8" i="19"/>
  <c r="F2191" i="23"/>
  <c r="H2191" i="23" s="1"/>
  <c r="BT54" i="19"/>
  <c r="F2237" i="23"/>
  <c r="H2237" i="23" s="1"/>
  <c r="BT22" i="19"/>
  <c r="F2205" i="23"/>
  <c r="H2205" i="23" s="1"/>
  <c r="BT103" i="19"/>
  <c r="F2286" i="23"/>
  <c r="H2286" i="23" s="1"/>
  <c r="BT95" i="19"/>
  <c r="F2278" i="23"/>
  <c r="H2278" i="23" s="1"/>
  <c r="BT87" i="19"/>
  <c r="F2270" i="23"/>
  <c r="H2270" i="23" s="1"/>
  <c r="BT79" i="19"/>
  <c r="F2262" i="23"/>
  <c r="H2262" i="23" s="1"/>
  <c r="BT71" i="19"/>
  <c r="F2254" i="23"/>
  <c r="H2254" i="23" s="1"/>
  <c r="BT63" i="19"/>
  <c r="F2246" i="23"/>
  <c r="H2246" i="23" s="1"/>
  <c r="BT55" i="19"/>
  <c r="F2238" i="23"/>
  <c r="H2238" i="23" s="1"/>
  <c r="BT47" i="19"/>
  <c r="F2230" i="23"/>
  <c r="H2230" i="23" s="1"/>
  <c r="BT39" i="19"/>
  <c r="F2222" i="23"/>
  <c r="H2222" i="23" s="1"/>
  <c r="BT31" i="19"/>
  <c r="F2214" i="23"/>
  <c r="H2214" i="23" s="1"/>
  <c r="BT23" i="19"/>
  <c r="F2206" i="23"/>
  <c r="H2206" i="23" s="1"/>
  <c r="BT15" i="19"/>
  <c r="F2198" i="23"/>
  <c r="H2198" i="23" s="1"/>
  <c r="BT7" i="19"/>
  <c r="F2190" i="23"/>
  <c r="H2190" i="23" s="1"/>
  <c r="BQ102" i="19"/>
  <c r="F2181" i="23"/>
  <c r="H2181" i="23" s="1"/>
  <c r="BQ94" i="19"/>
  <c r="F2173" i="23"/>
  <c r="H2173" i="23" s="1"/>
  <c r="BQ86" i="19"/>
  <c r="F2165" i="23"/>
  <c r="H2165" i="23" s="1"/>
  <c r="I2165" i="23" s="1"/>
  <c r="J2165" i="23" s="1"/>
  <c r="K2165" i="23" s="1"/>
  <c r="BQ78" i="19"/>
  <c r="F2157" i="23"/>
  <c r="H2157" i="23" s="1"/>
  <c r="I2157" i="23" s="1"/>
  <c r="J2157" i="23" s="1"/>
  <c r="K2157" i="23" s="1"/>
  <c r="BQ70" i="19"/>
  <c r="F2149" i="23"/>
  <c r="H2149" i="23" s="1"/>
  <c r="BQ62" i="19"/>
  <c r="F2141" i="23"/>
  <c r="H2141" i="23" s="1"/>
  <c r="BQ54" i="19"/>
  <c r="F2133" i="23"/>
  <c r="H2133" i="23" s="1"/>
  <c r="BQ46" i="19"/>
  <c r="F2125" i="23"/>
  <c r="H2125" i="23" s="1"/>
  <c r="I2125" i="23" s="1"/>
  <c r="J2125" i="23" s="1"/>
  <c r="K2125" i="23" s="1"/>
  <c r="BQ38" i="19"/>
  <c r="F2117" i="23"/>
  <c r="H2117" i="23" s="1"/>
  <c r="BQ30" i="19"/>
  <c r="F2109" i="23"/>
  <c r="H2109" i="23" s="1"/>
  <c r="BQ22" i="19"/>
  <c r="F2101" i="23"/>
  <c r="H2101" i="23" s="1"/>
  <c r="BQ14" i="19"/>
  <c r="F2093" i="23"/>
  <c r="H2093" i="23" s="1"/>
  <c r="BQ109" i="19"/>
  <c r="F2188" i="23"/>
  <c r="H2188" i="23" s="1"/>
  <c r="BQ101" i="19"/>
  <c r="F2180" i="23"/>
  <c r="H2180" i="23" s="1"/>
  <c r="BQ93" i="19"/>
  <c r="F2172" i="23"/>
  <c r="H2172" i="23" s="1"/>
  <c r="I2172" i="23" s="1"/>
  <c r="BQ85" i="19"/>
  <c r="F2164" i="23"/>
  <c r="H2164" i="23" s="1"/>
  <c r="BQ77" i="19"/>
  <c r="F2156" i="23"/>
  <c r="H2156" i="23" s="1"/>
  <c r="BQ69" i="19"/>
  <c r="F2148" i="23"/>
  <c r="H2148" i="23" s="1"/>
  <c r="BQ61" i="19"/>
  <c r="F2140" i="23"/>
  <c r="H2140" i="23" s="1"/>
  <c r="I2140" i="23" s="1"/>
  <c r="J2140" i="23" s="1"/>
  <c r="K2140" i="23" s="1"/>
  <c r="BQ53" i="19"/>
  <c r="F2132" i="23"/>
  <c r="H2132" i="23" s="1"/>
  <c r="BQ45" i="19"/>
  <c r="F2124" i="23"/>
  <c r="H2124" i="23" s="1"/>
  <c r="BQ37" i="19"/>
  <c r="F2116" i="23"/>
  <c r="H2116" i="23" s="1"/>
  <c r="BQ29" i="19"/>
  <c r="F2108" i="23"/>
  <c r="H2108" i="23" s="1"/>
  <c r="BQ21" i="19"/>
  <c r="F2100" i="23"/>
  <c r="H2100" i="23" s="1"/>
  <c r="BQ13" i="19"/>
  <c r="F2092" i="23"/>
  <c r="H2092" i="23" s="1"/>
  <c r="BQ108" i="19"/>
  <c r="F2187" i="23"/>
  <c r="H2187" i="23" s="1"/>
  <c r="BQ100" i="19"/>
  <c r="F2179" i="23"/>
  <c r="H2179" i="23" s="1"/>
  <c r="BQ92" i="19"/>
  <c r="F2171" i="23"/>
  <c r="H2171" i="23" s="1"/>
  <c r="BQ84" i="19"/>
  <c r="F2163" i="23"/>
  <c r="H2163" i="23" s="1"/>
  <c r="BQ76" i="19"/>
  <c r="F2155" i="23"/>
  <c r="H2155" i="23" s="1"/>
  <c r="I2155" i="23" s="1"/>
  <c r="J2155" i="23" s="1"/>
  <c r="K2155" i="23" s="1"/>
  <c r="BQ68" i="19"/>
  <c r="F2147" i="23"/>
  <c r="H2147" i="23" s="1"/>
  <c r="BQ60" i="19"/>
  <c r="F2139" i="23"/>
  <c r="H2139" i="23" s="1"/>
  <c r="BQ52" i="19"/>
  <c r="F2131" i="23"/>
  <c r="H2131" i="23" s="1"/>
  <c r="BQ44" i="19"/>
  <c r="F2123" i="23"/>
  <c r="H2123" i="23" s="1"/>
  <c r="I2123" i="23" s="1"/>
  <c r="J2123" i="23" s="1"/>
  <c r="K2123" i="23" s="1"/>
  <c r="BQ36" i="19"/>
  <c r="F2115" i="23"/>
  <c r="H2115" i="23" s="1"/>
  <c r="BQ28" i="19"/>
  <c r="F2107" i="23"/>
  <c r="H2107" i="23" s="1"/>
  <c r="I2107" i="23" s="1"/>
  <c r="J2107" i="23" s="1"/>
  <c r="K2107" i="23" s="1"/>
  <c r="BQ20" i="19"/>
  <c r="F2099" i="23"/>
  <c r="H2099" i="23" s="1"/>
  <c r="BQ12" i="19"/>
  <c r="F2091" i="23"/>
  <c r="H2091" i="23" s="1"/>
  <c r="I2091" i="23" s="1"/>
  <c r="J2091" i="23" s="1"/>
  <c r="K2091" i="23" s="1"/>
  <c r="BQ107" i="19"/>
  <c r="F2186" i="23"/>
  <c r="H2186" i="23" s="1"/>
  <c r="BQ99" i="19"/>
  <c r="F2178" i="23"/>
  <c r="H2178" i="23" s="1"/>
  <c r="I2178" i="23" s="1"/>
  <c r="J2178" i="23" s="1"/>
  <c r="K2178" i="23" s="1"/>
  <c r="BQ91" i="19"/>
  <c r="F2170" i="23"/>
  <c r="H2170" i="23" s="1"/>
  <c r="BQ83" i="19"/>
  <c r="F2162" i="23"/>
  <c r="H2162" i="23" s="1"/>
  <c r="BQ75" i="19"/>
  <c r="F2154" i="23"/>
  <c r="H2154" i="23" s="1"/>
  <c r="I2154" i="23" s="1"/>
  <c r="J2154" i="23" s="1"/>
  <c r="K2154" i="23" s="1"/>
  <c r="BQ67" i="19"/>
  <c r="F2146" i="23"/>
  <c r="H2146" i="23" s="1"/>
  <c r="I2146" i="23" s="1"/>
  <c r="J2146" i="23" s="1"/>
  <c r="K2146" i="23" s="1"/>
  <c r="BQ59" i="19"/>
  <c r="F2138" i="23"/>
  <c r="H2138" i="23" s="1"/>
  <c r="I2138" i="23" s="1"/>
  <c r="J2138" i="23" s="1"/>
  <c r="K2138" i="23" s="1"/>
  <c r="BQ51" i="19"/>
  <c r="F2130" i="23"/>
  <c r="H2130" i="23" s="1"/>
  <c r="BQ43" i="19"/>
  <c r="F2122" i="23"/>
  <c r="H2122" i="23" s="1"/>
  <c r="BQ35" i="19"/>
  <c r="F2114" i="23"/>
  <c r="H2114" i="23" s="1"/>
  <c r="BQ27" i="19"/>
  <c r="F2106" i="23"/>
  <c r="H2106" i="23" s="1"/>
  <c r="BQ19" i="19"/>
  <c r="F2098" i="23"/>
  <c r="H2098" i="23" s="1"/>
  <c r="BQ11" i="19"/>
  <c r="F2090" i="23"/>
  <c r="H2090" i="23" s="1"/>
  <c r="BQ106" i="19"/>
  <c r="F2185" i="23"/>
  <c r="H2185" i="23" s="1"/>
  <c r="BQ98" i="19"/>
  <c r="F2177" i="23"/>
  <c r="H2177" i="23" s="1"/>
  <c r="I2177" i="23" s="1"/>
  <c r="J2177" i="23" s="1"/>
  <c r="K2177" i="23" s="1"/>
  <c r="BQ90" i="19"/>
  <c r="F2169" i="23"/>
  <c r="H2169" i="23" s="1"/>
  <c r="BQ82" i="19"/>
  <c r="F2161" i="23"/>
  <c r="H2161" i="23" s="1"/>
  <c r="BQ74" i="19"/>
  <c r="F2153" i="23"/>
  <c r="H2153" i="23" s="1"/>
  <c r="I2153" i="23" s="1"/>
  <c r="J2153" i="23" s="1"/>
  <c r="K2153" i="23" s="1"/>
  <c r="BQ66" i="19"/>
  <c r="F2145" i="23"/>
  <c r="H2145" i="23" s="1"/>
  <c r="I2145" i="23" s="1"/>
  <c r="J2145" i="23" s="1"/>
  <c r="K2145" i="23" s="1"/>
  <c r="BQ58" i="19"/>
  <c r="F2137" i="23"/>
  <c r="H2137" i="23" s="1"/>
  <c r="BQ50" i="19"/>
  <c r="F2129" i="23"/>
  <c r="H2129" i="23" s="1"/>
  <c r="BQ42" i="19"/>
  <c r="F2121" i="23"/>
  <c r="H2121" i="23" s="1"/>
  <c r="BQ34" i="19"/>
  <c r="F2113" i="23"/>
  <c r="H2113" i="23" s="1"/>
  <c r="BQ26" i="19"/>
  <c r="F2105" i="23"/>
  <c r="H2105" i="23" s="1"/>
  <c r="I2105" i="23" s="1"/>
  <c r="J2105" i="23" s="1"/>
  <c r="K2105" i="23" s="1"/>
  <c r="BQ18" i="19"/>
  <c r="F2097" i="23"/>
  <c r="H2097" i="23" s="1"/>
  <c r="I2097" i="23" s="1"/>
  <c r="J2097" i="23" s="1"/>
  <c r="K2097" i="23" s="1"/>
  <c r="BQ10" i="19"/>
  <c r="F2089" i="23"/>
  <c r="H2089" i="23" s="1"/>
  <c r="I2089" i="23" s="1"/>
  <c r="J2089" i="23" s="1"/>
  <c r="K2089" i="23" s="1"/>
  <c r="BQ105" i="19"/>
  <c r="F2184" i="23"/>
  <c r="H2184" i="23" s="1"/>
  <c r="I2184" i="23" s="1"/>
  <c r="J2184" i="23" s="1"/>
  <c r="K2184" i="23" s="1"/>
  <c r="BQ97" i="19"/>
  <c r="F2176" i="23"/>
  <c r="H2176" i="23" s="1"/>
  <c r="I2176" i="23" s="1"/>
  <c r="J2176" i="23" s="1"/>
  <c r="K2176" i="23" s="1"/>
  <c r="BQ89" i="19"/>
  <c r="F2168" i="23"/>
  <c r="H2168" i="23" s="1"/>
  <c r="I2168" i="23" s="1"/>
  <c r="J2168" i="23" s="1"/>
  <c r="K2168" i="23" s="1"/>
  <c r="BQ81" i="19"/>
  <c r="F2160" i="23"/>
  <c r="H2160" i="23" s="1"/>
  <c r="I2160" i="23" s="1"/>
  <c r="J2160" i="23" s="1"/>
  <c r="K2160" i="23" s="1"/>
  <c r="BQ73" i="19"/>
  <c r="F2152" i="23"/>
  <c r="H2152" i="23" s="1"/>
  <c r="I2152" i="23" s="1"/>
  <c r="J2152" i="23" s="1"/>
  <c r="K2152" i="23" s="1"/>
  <c r="BQ65" i="19"/>
  <c r="F2144" i="23"/>
  <c r="H2144" i="23" s="1"/>
  <c r="I2144" i="23" s="1"/>
  <c r="J2144" i="23" s="1"/>
  <c r="K2144" i="23" s="1"/>
  <c r="BQ57" i="19"/>
  <c r="F2136" i="23"/>
  <c r="H2136" i="23" s="1"/>
  <c r="I2136" i="23" s="1"/>
  <c r="J2136" i="23" s="1"/>
  <c r="K2136" i="23" s="1"/>
  <c r="BQ49" i="19"/>
  <c r="F2128" i="23"/>
  <c r="H2128" i="23" s="1"/>
  <c r="I2128" i="23" s="1"/>
  <c r="J2128" i="23" s="1"/>
  <c r="K2128" i="23" s="1"/>
  <c r="BQ41" i="19"/>
  <c r="F2120" i="23"/>
  <c r="H2120" i="23" s="1"/>
  <c r="I2120" i="23" s="1"/>
  <c r="J2120" i="23" s="1"/>
  <c r="K2120" i="23" s="1"/>
  <c r="BQ33" i="19"/>
  <c r="F2112" i="23"/>
  <c r="H2112" i="23" s="1"/>
  <c r="I2112" i="23" s="1"/>
  <c r="J2112" i="23" s="1"/>
  <c r="K2112" i="23" s="1"/>
  <c r="BQ25" i="19"/>
  <c r="F2104" i="23"/>
  <c r="H2104" i="23" s="1"/>
  <c r="I2104" i="23" s="1"/>
  <c r="J2104" i="23" s="1"/>
  <c r="K2104" i="23" s="1"/>
  <c r="BQ17" i="19"/>
  <c r="F2096" i="23"/>
  <c r="H2096" i="23" s="1"/>
  <c r="I2096" i="23" s="1"/>
  <c r="J2096" i="23" s="1"/>
  <c r="K2096" i="23" s="1"/>
  <c r="BQ9" i="19"/>
  <c r="F2088" i="23"/>
  <c r="H2088" i="23" s="1"/>
  <c r="I2088" i="23" s="1"/>
  <c r="J2088" i="23" s="1"/>
  <c r="K2088" i="23" s="1"/>
  <c r="BQ104" i="19"/>
  <c r="F2183" i="23"/>
  <c r="H2183" i="23" s="1"/>
  <c r="BQ96" i="19"/>
  <c r="F2175" i="23"/>
  <c r="H2175" i="23" s="1"/>
  <c r="BQ88" i="19"/>
  <c r="F2167" i="23"/>
  <c r="H2167" i="23" s="1"/>
  <c r="BQ80" i="19"/>
  <c r="F2159" i="23"/>
  <c r="H2159" i="23" s="1"/>
  <c r="BQ72" i="19"/>
  <c r="F2151" i="23"/>
  <c r="H2151" i="23" s="1"/>
  <c r="I2151" i="23" s="1"/>
  <c r="J2151" i="23" s="1"/>
  <c r="K2151" i="23" s="1"/>
  <c r="BQ64" i="19"/>
  <c r="F2143" i="23"/>
  <c r="H2143" i="23" s="1"/>
  <c r="BQ56" i="19"/>
  <c r="F2135" i="23"/>
  <c r="H2135" i="23" s="1"/>
  <c r="BQ48" i="19"/>
  <c r="F2127" i="23"/>
  <c r="H2127" i="23" s="1"/>
  <c r="BQ40" i="19"/>
  <c r="F2119" i="23"/>
  <c r="H2119" i="23" s="1"/>
  <c r="I2119" i="23" s="1"/>
  <c r="J2119" i="23" s="1"/>
  <c r="K2119" i="23" s="1"/>
  <c r="BQ32" i="19"/>
  <c r="F2111" i="23"/>
  <c r="H2111" i="23" s="1"/>
  <c r="I2111" i="23" s="1"/>
  <c r="J2111" i="23" s="1"/>
  <c r="K2111" i="23" s="1"/>
  <c r="BQ24" i="19"/>
  <c r="F2103" i="23"/>
  <c r="H2103" i="23" s="1"/>
  <c r="BQ16" i="19"/>
  <c r="F2095" i="23"/>
  <c r="H2095" i="23" s="1"/>
  <c r="BQ8" i="19"/>
  <c r="F2087" i="23"/>
  <c r="H2087" i="23" s="1"/>
  <c r="I2087" i="23" s="1"/>
  <c r="J2087" i="23" s="1"/>
  <c r="K2087" i="23" s="1"/>
  <c r="BQ103" i="19"/>
  <c r="F2182" i="23"/>
  <c r="H2182" i="23" s="1"/>
  <c r="BQ95" i="19"/>
  <c r="F2174" i="23"/>
  <c r="H2174" i="23" s="1"/>
  <c r="BQ87" i="19"/>
  <c r="F2166" i="23"/>
  <c r="H2166" i="23" s="1"/>
  <c r="BQ79" i="19"/>
  <c r="F2158" i="23"/>
  <c r="H2158" i="23" s="1"/>
  <c r="BQ71" i="19"/>
  <c r="F2150" i="23"/>
  <c r="H2150" i="23" s="1"/>
  <c r="BQ63" i="19"/>
  <c r="F2142" i="23"/>
  <c r="H2142" i="23" s="1"/>
  <c r="BQ55" i="19"/>
  <c r="F2134" i="23"/>
  <c r="H2134" i="23" s="1"/>
  <c r="BQ47" i="19"/>
  <c r="F2126" i="23"/>
  <c r="H2126" i="23" s="1"/>
  <c r="BQ39" i="19"/>
  <c r="F2118" i="23"/>
  <c r="H2118" i="23" s="1"/>
  <c r="BQ31" i="19"/>
  <c r="F2110" i="23"/>
  <c r="H2110" i="23" s="1"/>
  <c r="BQ23" i="19"/>
  <c r="F2102" i="23"/>
  <c r="H2102" i="23" s="1"/>
  <c r="BQ15" i="19"/>
  <c r="F2094" i="23"/>
  <c r="H2094" i="23" s="1"/>
  <c r="BQ7" i="19"/>
  <c r="F2086" i="23"/>
  <c r="H2086" i="23" s="1"/>
  <c r="BN102" i="19"/>
  <c r="F2077" i="23"/>
  <c r="H2077" i="23" s="1"/>
  <c r="BN94" i="19"/>
  <c r="F2069" i="23"/>
  <c r="H2069" i="23" s="1"/>
  <c r="BN86" i="19"/>
  <c r="F2061" i="23"/>
  <c r="H2061" i="23" s="1"/>
  <c r="BN78" i="19"/>
  <c r="F2053" i="23"/>
  <c r="H2053" i="23" s="1"/>
  <c r="BN70" i="19"/>
  <c r="F2045" i="23"/>
  <c r="H2045" i="23" s="1"/>
  <c r="BN62" i="19"/>
  <c r="F2037" i="23"/>
  <c r="H2037" i="23" s="1"/>
  <c r="BN54" i="19"/>
  <c r="F2029" i="23"/>
  <c r="H2029" i="23" s="1"/>
  <c r="BN46" i="19"/>
  <c r="F2021" i="23"/>
  <c r="H2021" i="23" s="1"/>
  <c r="BN38" i="19"/>
  <c r="F2013" i="23"/>
  <c r="H2013" i="23" s="1"/>
  <c r="BN30" i="19"/>
  <c r="F2005" i="23"/>
  <c r="H2005" i="23" s="1"/>
  <c r="BN22" i="19"/>
  <c r="F1997" i="23"/>
  <c r="H1997" i="23" s="1"/>
  <c r="BN14" i="19"/>
  <c r="F1989" i="23"/>
  <c r="H1989" i="23" s="1"/>
  <c r="BN109" i="19"/>
  <c r="F2084" i="23"/>
  <c r="H2084" i="23" s="1"/>
  <c r="BN85" i="19"/>
  <c r="F2060" i="23"/>
  <c r="H2060" i="23" s="1"/>
  <c r="BN53" i="19"/>
  <c r="F2028" i="23"/>
  <c r="H2028" i="23" s="1"/>
  <c r="BN29" i="19"/>
  <c r="F2004" i="23"/>
  <c r="H2004" i="23" s="1"/>
  <c r="BN101" i="19"/>
  <c r="F2076" i="23"/>
  <c r="H2076" i="23" s="1"/>
  <c r="I2076" i="23" s="1"/>
  <c r="J2076" i="23" s="1"/>
  <c r="K2076" i="23" s="1"/>
  <c r="BN77" i="19"/>
  <c r="F2052" i="23"/>
  <c r="H2052" i="23" s="1"/>
  <c r="BN45" i="19"/>
  <c r="F2020" i="23"/>
  <c r="H2020" i="23" s="1"/>
  <c r="BN21" i="19"/>
  <c r="F1996" i="23"/>
  <c r="H1996" i="23" s="1"/>
  <c r="BN13" i="19"/>
  <c r="F1988" i="23"/>
  <c r="H1988" i="23" s="1"/>
  <c r="BN108" i="19"/>
  <c r="F2083" i="23"/>
  <c r="H2083" i="23" s="1"/>
  <c r="BN100" i="19"/>
  <c r="F2075" i="23"/>
  <c r="H2075" i="23" s="1"/>
  <c r="I2075" i="23" s="1"/>
  <c r="J2075" i="23" s="1"/>
  <c r="K2075" i="23" s="1"/>
  <c r="BN92" i="19"/>
  <c r="F2067" i="23"/>
  <c r="H2067" i="23" s="1"/>
  <c r="BN84" i="19"/>
  <c r="F2059" i="23"/>
  <c r="H2059" i="23" s="1"/>
  <c r="I2059" i="23" s="1"/>
  <c r="J2059" i="23" s="1"/>
  <c r="K2059" i="23" s="1"/>
  <c r="BN76" i="19"/>
  <c r="F2051" i="23"/>
  <c r="H2051" i="23" s="1"/>
  <c r="BN68" i="19"/>
  <c r="F2043" i="23"/>
  <c r="H2043" i="23" s="1"/>
  <c r="I2043" i="23" s="1"/>
  <c r="J2043" i="23" s="1"/>
  <c r="K2043" i="23" s="1"/>
  <c r="BN60" i="19"/>
  <c r="F2035" i="23"/>
  <c r="H2035" i="23" s="1"/>
  <c r="BN52" i="19"/>
  <c r="F2027" i="23"/>
  <c r="H2027" i="23" s="1"/>
  <c r="I2027" i="23" s="1"/>
  <c r="J2027" i="23" s="1"/>
  <c r="K2027" i="23" s="1"/>
  <c r="BN44" i="19"/>
  <c r="F2019" i="23"/>
  <c r="H2019" i="23" s="1"/>
  <c r="BN36" i="19"/>
  <c r="F2011" i="23"/>
  <c r="H2011" i="23" s="1"/>
  <c r="I2011" i="23" s="1"/>
  <c r="J2011" i="23" s="1"/>
  <c r="K2011" i="23" s="1"/>
  <c r="BN28" i="19"/>
  <c r="F2003" i="23"/>
  <c r="H2003" i="23" s="1"/>
  <c r="BN20" i="19"/>
  <c r="F1995" i="23"/>
  <c r="H1995" i="23" s="1"/>
  <c r="I1995" i="23" s="1"/>
  <c r="J1995" i="23" s="1"/>
  <c r="K1995" i="23" s="1"/>
  <c r="BN12" i="19"/>
  <c r="F1987" i="23"/>
  <c r="H1987" i="23" s="1"/>
  <c r="BN69" i="19"/>
  <c r="F2044" i="23"/>
  <c r="H2044" i="23" s="1"/>
  <c r="BN107" i="19"/>
  <c r="F2082" i="23"/>
  <c r="H2082" i="23" s="1"/>
  <c r="BN99" i="19"/>
  <c r="F2074" i="23"/>
  <c r="H2074" i="23" s="1"/>
  <c r="BN91" i="19"/>
  <c r="F2066" i="23"/>
  <c r="H2066" i="23" s="1"/>
  <c r="BN83" i="19"/>
  <c r="F2058" i="23"/>
  <c r="H2058" i="23" s="1"/>
  <c r="BN75" i="19"/>
  <c r="F2050" i="23"/>
  <c r="H2050" i="23" s="1"/>
  <c r="BN67" i="19"/>
  <c r="F2042" i="23"/>
  <c r="H2042" i="23" s="1"/>
  <c r="BN59" i="19"/>
  <c r="F2034" i="23"/>
  <c r="H2034" i="23" s="1"/>
  <c r="BN51" i="19"/>
  <c r="F2026" i="23"/>
  <c r="H2026" i="23" s="1"/>
  <c r="BN43" i="19"/>
  <c r="F2018" i="23"/>
  <c r="H2018" i="23" s="1"/>
  <c r="BN35" i="19"/>
  <c r="F2010" i="23"/>
  <c r="H2010" i="23" s="1"/>
  <c r="BN27" i="19"/>
  <c r="F2002" i="23"/>
  <c r="H2002" i="23" s="1"/>
  <c r="BN19" i="19"/>
  <c r="F1994" i="23"/>
  <c r="H1994" i="23" s="1"/>
  <c r="BN11" i="19"/>
  <c r="F1986" i="23"/>
  <c r="H1986" i="23" s="1"/>
  <c r="BN93" i="19"/>
  <c r="F2068" i="23"/>
  <c r="H2068" i="23" s="1"/>
  <c r="BN37" i="19"/>
  <c r="F2012" i="23"/>
  <c r="H2012" i="23" s="1"/>
  <c r="BN106" i="19"/>
  <c r="F2081" i="23"/>
  <c r="H2081" i="23" s="1"/>
  <c r="I2081" i="23" s="1"/>
  <c r="J2081" i="23" s="1"/>
  <c r="K2081" i="23" s="1"/>
  <c r="BN98" i="19"/>
  <c r="F2073" i="23"/>
  <c r="H2073" i="23" s="1"/>
  <c r="I2073" i="23" s="1"/>
  <c r="J2073" i="23" s="1"/>
  <c r="K2073" i="23" s="1"/>
  <c r="BN90" i="19"/>
  <c r="F2065" i="23"/>
  <c r="H2065" i="23" s="1"/>
  <c r="I2065" i="23" s="1"/>
  <c r="J2065" i="23" s="1"/>
  <c r="K2065" i="23" s="1"/>
  <c r="BN82" i="19"/>
  <c r="F2057" i="23"/>
  <c r="H2057" i="23" s="1"/>
  <c r="I2057" i="23" s="1"/>
  <c r="J2057" i="23" s="1"/>
  <c r="K2057" i="23" s="1"/>
  <c r="BN74" i="19"/>
  <c r="F2049" i="23"/>
  <c r="H2049" i="23" s="1"/>
  <c r="I2049" i="23" s="1"/>
  <c r="J2049" i="23" s="1"/>
  <c r="K2049" i="23" s="1"/>
  <c r="BN66" i="19"/>
  <c r="F2041" i="23"/>
  <c r="H2041" i="23" s="1"/>
  <c r="I2041" i="23" s="1"/>
  <c r="J2041" i="23" s="1"/>
  <c r="K2041" i="23" s="1"/>
  <c r="BN58" i="19"/>
  <c r="F2033" i="23"/>
  <c r="H2033" i="23" s="1"/>
  <c r="I2033" i="23" s="1"/>
  <c r="J2033" i="23" s="1"/>
  <c r="K2033" i="23" s="1"/>
  <c r="BN50" i="19"/>
  <c r="F2025" i="23"/>
  <c r="H2025" i="23" s="1"/>
  <c r="I2025" i="23" s="1"/>
  <c r="J2025" i="23" s="1"/>
  <c r="K2025" i="23" s="1"/>
  <c r="BN42" i="19"/>
  <c r="F2017" i="23"/>
  <c r="H2017" i="23" s="1"/>
  <c r="I2017" i="23" s="1"/>
  <c r="J2017" i="23" s="1"/>
  <c r="K2017" i="23" s="1"/>
  <c r="BN34" i="19"/>
  <c r="F2009" i="23"/>
  <c r="H2009" i="23" s="1"/>
  <c r="I2009" i="23" s="1"/>
  <c r="J2009" i="23" s="1"/>
  <c r="K2009" i="23" s="1"/>
  <c r="BN26" i="19"/>
  <c r="F2001" i="23"/>
  <c r="H2001" i="23" s="1"/>
  <c r="I2001" i="23" s="1"/>
  <c r="J2001" i="23" s="1"/>
  <c r="K2001" i="23" s="1"/>
  <c r="BN18" i="19"/>
  <c r="F1993" i="23"/>
  <c r="H1993" i="23" s="1"/>
  <c r="I1993" i="23" s="1"/>
  <c r="J1993" i="23" s="1"/>
  <c r="K1993" i="23" s="1"/>
  <c r="BN10" i="19"/>
  <c r="F1985" i="23"/>
  <c r="H1985" i="23" s="1"/>
  <c r="I1985" i="23" s="1"/>
  <c r="J1985" i="23" s="1"/>
  <c r="K1985" i="23" s="1"/>
  <c r="BN61" i="19"/>
  <c r="F2036" i="23"/>
  <c r="H2036" i="23" s="1"/>
  <c r="BN105" i="19"/>
  <c r="F2080" i="23"/>
  <c r="H2080" i="23" s="1"/>
  <c r="I2080" i="23" s="1"/>
  <c r="J2080" i="23" s="1"/>
  <c r="K2080" i="23" s="1"/>
  <c r="BN97" i="19"/>
  <c r="F2072" i="23"/>
  <c r="H2072" i="23" s="1"/>
  <c r="I2072" i="23" s="1"/>
  <c r="J2072" i="23" s="1"/>
  <c r="K2072" i="23" s="1"/>
  <c r="BN89" i="19"/>
  <c r="F2064" i="23"/>
  <c r="H2064" i="23" s="1"/>
  <c r="I2064" i="23" s="1"/>
  <c r="J2064" i="23" s="1"/>
  <c r="K2064" i="23" s="1"/>
  <c r="BN81" i="19"/>
  <c r="F2056" i="23"/>
  <c r="H2056" i="23" s="1"/>
  <c r="I2056" i="23" s="1"/>
  <c r="J2056" i="23" s="1"/>
  <c r="K2056" i="23" s="1"/>
  <c r="BN73" i="19"/>
  <c r="F2048" i="23"/>
  <c r="H2048" i="23" s="1"/>
  <c r="I2048" i="23" s="1"/>
  <c r="J2048" i="23" s="1"/>
  <c r="K2048" i="23" s="1"/>
  <c r="BN65" i="19"/>
  <c r="F2040" i="23"/>
  <c r="H2040" i="23" s="1"/>
  <c r="I2040" i="23" s="1"/>
  <c r="J2040" i="23" s="1"/>
  <c r="K2040" i="23" s="1"/>
  <c r="BN57" i="19"/>
  <c r="F2032" i="23"/>
  <c r="H2032" i="23" s="1"/>
  <c r="I2032" i="23" s="1"/>
  <c r="J2032" i="23" s="1"/>
  <c r="K2032" i="23" s="1"/>
  <c r="BN49" i="19"/>
  <c r="F2024" i="23"/>
  <c r="H2024" i="23" s="1"/>
  <c r="I2024" i="23" s="1"/>
  <c r="J2024" i="23" s="1"/>
  <c r="K2024" i="23" s="1"/>
  <c r="BN41" i="19"/>
  <c r="F2016" i="23"/>
  <c r="H2016" i="23" s="1"/>
  <c r="I2016" i="23" s="1"/>
  <c r="J2016" i="23" s="1"/>
  <c r="K2016" i="23" s="1"/>
  <c r="BN33" i="19"/>
  <c r="F2008" i="23"/>
  <c r="H2008" i="23" s="1"/>
  <c r="I2008" i="23" s="1"/>
  <c r="J2008" i="23" s="1"/>
  <c r="K2008" i="23" s="1"/>
  <c r="BN25" i="19"/>
  <c r="F2000" i="23"/>
  <c r="H2000" i="23" s="1"/>
  <c r="I2000" i="23" s="1"/>
  <c r="J2000" i="23" s="1"/>
  <c r="K2000" i="23" s="1"/>
  <c r="BN17" i="19"/>
  <c r="F1992" i="23"/>
  <c r="H1992" i="23" s="1"/>
  <c r="I1992" i="23" s="1"/>
  <c r="J1992" i="23" s="1"/>
  <c r="K1992" i="23" s="1"/>
  <c r="BN9" i="19"/>
  <c r="F1984" i="23"/>
  <c r="H1984" i="23" s="1"/>
  <c r="I1984" i="23" s="1"/>
  <c r="J1984" i="23" s="1"/>
  <c r="K1984" i="23" s="1"/>
  <c r="BN104" i="19"/>
  <c r="F2079" i="23"/>
  <c r="H2079" i="23" s="1"/>
  <c r="I2079" i="23" s="1"/>
  <c r="J2079" i="23" s="1"/>
  <c r="K2079" i="23" s="1"/>
  <c r="BN96" i="19"/>
  <c r="F2071" i="23"/>
  <c r="H2071" i="23" s="1"/>
  <c r="I2071" i="23" s="1"/>
  <c r="J2071" i="23" s="1"/>
  <c r="K2071" i="23" s="1"/>
  <c r="BN88" i="19"/>
  <c r="F2063" i="23"/>
  <c r="H2063" i="23" s="1"/>
  <c r="BN80" i="19"/>
  <c r="F2055" i="23"/>
  <c r="H2055" i="23" s="1"/>
  <c r="I2055" i="23" s="1"/>
  <c r="J2055" i="23" s="1"/>
  <c r="K2055" i="23" s="1"/>
  <c r="BN72" i="19"/>
  <c r="F2047" i="23"/>
  <c r="H2047" i="23" s="1"/>
  <c r="BN64" i="19"/>
  <c r="F2039" i="23"/>
  <c r="H2039" i="23" s="1"/>
  <c r="I2039" i="23" s="1"/>
  <c r="J2039" i="23" s="1"/>
  <c r="K2039" i="23" s="1"/>
  <c r="BN56" i="19"/>
  <c r="F2031" i="23"/>
  <c r="H2031" i="23" s="1"/>
  <c r="I2031" i="23" s="1"/>
  <c r="J2031" i="23" s="1"/>
  <c r="K2031" i="23" s="1"/>
  <c r="BN48" i="19"/>
  <c r="F2023" i="23"/>
  <c r="H2023" i="23" s="1"/>
  <c r="BN40" i="19"/>
  <c r="F2015" i="23"/>
  <c r="H2015" i="23" s="1"/>
  <c r="I2015" i="23" s="1"/>
  <c r="J2015" i="23" s="1"/>
  <c r="K2015" i="23" s="1"/>
  <c r="BN32" i="19"/>
  <c r="F2007" i="23"/>
  <c r="H2007" i="23" s="1"/>
  <c r="BN24" i="19"/>
  <c r="F1999" i="23"/>
  <c r="H1999" i="23" s="1"/>
  <c r="I1999" i="23" s="1"/>
  <c r="J1999" i="23" s="1"/>
  <c r="K1999" i="23" s="1"/>
  <c r="BN16" i="19"/>
  <c r="F1991" i="23"/>
  <c r="H1991" i="23" s="1"/>
  <c r="BN8" i="19"/>
  <c r="F1983" i="23"/>
  <c r="H1983" i="23" s="1"/>
  <c r="I1983" i="23" s="1"/>
  <c r="J1983" i="23" s="1"/>
  <c r="K1983" i="23" s="1"/>
  <c r="BN103" i="19"/>
  <c r="F2078" i="23"/>
  <c r="H2078" i="23" s="1"/>
  <c r="BN95" i="19"/>
  <c r="F2070" i="23"/>
  <c r="H2070" i="23" s="1"/>
  <c r="BN87" i="19"/>
  <c r="F2062" i="23"/>
  <c r="H2062" i="23" s="1"/>
  <c r="BN79" i="19"/>
  <c r="F2054" i="23"/>
  <c r="H2054" i="23" s="1"/>
  <c r="BN71" i="19"/>
  <c r="F2046" i="23"/>
  <c r="H2046" i="23" s="1"/>
  <c r="BN63" i="19"/>
  <c r="F2038" i="23"/>
  <c r="H2038" i="23" s="1"/>
  <c r="BN55" i="19"/>
  <c r="F2030" i="23"/>
  <c r="H2030" i="23" s="1"/>
  <c r="BN47" i="19"/>
  <c r="F2022" i="23"/>
  <c r="H2022" i="23" s="1"/>
  <c r="BN39" i="19"/>
  <c r="F2014" i="23"/>
  <c r="H2014" i="23" s="1"/>
  <c r="BN31" i="19"/>
  <c r="F2006" i="23"/>
  <c r="H2006" i="23" s="1"/>
  <c r="BN23" i="19"/>
  <c r="F1998" i="23"/>
  <c r="H1998" i="23" s="1"/>
  <c r="BN15" i="19"/>
  <c r="F1990" i="23"/>
  <c r="H1990" i="23" s="1"/>
  <c r="BN7" i="19"/>
  <c r="F1982" i="23"/>
  <c r="H1982" i="23" s="1"/>
  <c r="BK102" i="19"/>
  <c r="F1973" i="23"/>
  <c r="H1973" i="23" s="1"/>
  <c r="BK94" i="19"/>
  <c r="F1965" i="23"/>
  <c r="H1965" i="23" s="1"/>
  <c r="BK86" i="19"/>
  <c r="F1957" i="23"/>
  <c r="H1957" i="23" s="1"/>
  <c r="I1957" i="23" s="1"/>
  <c r="J1957" i="23" s="1"/>
  <c r="K1957" i="23" s="1"/>
  <c r="BK78" i="19"/>
  <c r="F1949" i="23"/>
  <c r="H1949" i="23" s="1"/>
  <c r="BK70" i="19"/>
  <c r="F1941" i="23"/>
  <c r="H1941" i="23" s="1"/>
  <c r="I1941" i="23" s="1"/>
  <c r="J1941" i="23" s="1"/>
  <c r="K1941" i="23" s="1"/>
  <c r="BK62" i="19"/>
  <c r="F1933" i="23"/>
  <c r="H1933" i="23" s="1"/>
  <c r="BK54" i="19"/>
  <c r="F1925" i="23"/>
  <c r="H1925" i="23" s="1"/>
  <c r="BK46" i="19"/>
  <c r="F1917" i="23"/>
  <c r="H1917" i="23" s="1"/>
  <c r="I1917" i="23" s="1"/>
  <c r="J1917" i="23" s="1"/>
  <c r="K1917" i="23" s="1"/>
  <c r="BK38" i="19"/>
  <c r="F1909" i="23"/>
  <c r="H1909" i="23" s="1"/>
  <c r="I1909" i="23" s="1"/>
  <c r="J1909" i="23" s="1"/>
  <c r="K1909" i="23" s="1"/>
  <c r="BK30" i="19"/>
  <c r="F1901" i="23"/>
  <c r="H1901" i="23" s="1"/>
  <c r="BK22" i="19"/>
  <c r="F1893" i="23"/>
  <c r="H1893" i="23" s="1"/>
  <c r="BK14" i="19"/>
  <c r="F1885" i="23"/>
  <c r="H1885" i="23" s="1"/>
  <c r="BK109" i="19"/>
  <c r="F1980" i="23"/>
  <c r="H1980" i="23" s="1"/>
  <c r="BK101" i="19"/>
  <c r="F1972" i="23"/>
  <c r="H1972" i="23" s="1"/>
  <c r="BK93" i="19"/>
  <c r="F1964" i="23"/>
  <c r="H1964" i="23" s="1"/>
  <c r="I1964" i="23" s="1"/>
  <c r="J1964" i="23" s="1"/>
  <c r="K1964" i="23" s="1"/>
  <c r="BK85" i="19"/>
  <c r="F1956" i="23"/>
  <c r="H1956" i="23" s="1"/>
  <c r="I1956" i="23" s="1"/>
  <c r="J1956" i="23" s="1"/>
  <c r="K1956" i="23" s="1"/>
  <c r="BK77" i="19"/>
  <c r="F1948" i="23"/>
  <c r="H1948" i="23" s="1"/>
  <c r="I1948" i="23" s="1"/>
  <c r="J1948" i="23" s="1"/>
  <c r="K1948" i="23" s="1"/>
  <c r="BK69" i="19"/>
  <c r="F1940" i="23"/>
  <c r="H1940" i="23" s="1"/>
  <c r="BK61" i="19"/>
  <c r="F1932" i="23"/>
  <c r="H1932" i="23" s="1"/>
  <c r="I1932" i="23" s="1"/>
  <c r="J1932" i="23" s="1"/>
  <c r="K1932" i="23" s="1"/>
  <c r="BK53" i="19"/>
  <c r="F1924" i="23"/>
  <c r="H1924" i="23" s="1"/>
  <c r="BK45" i="19"/>
  <c r="F1916" i="23"/>
  <c r="H1916" i="23" s="1"/>
  <c r="BK37" i="19"/>
  <c r="F1908" i="23"/>
  <c r="H1908" i="23" s="1"/>
  <c r="BK29" i="19"/>
  <c r="F1900" i="23"/>
  <c r="H1900" i="23" s="1"/>
  <c r="BK21" i="19"/>
  <c r="F1892" i="23"/>
  <c r="H1892" i="23" s="1"/>
  <c r="BK13" i="19"/>
  <c r="F1884" i="23"/>
  <c r="H1884" i="23" s="1"/>
  <c r="BK108" i="19"/>
  <c r="F1979" i="23"/>
  <c r="H1979" i="23" s="1"/>
  <c r="I1979" i="23" s="1"/>
  <c r="J1979" i="23" s="1"/>
  <c r="K1979" i="23" s="1"/>
  <c r="BK100" i="19"/>
  <c r="F1971" i="23"/>
  <c r="H1971" i="23" s="1"/>
  <c r="BK92" i="19"/>
  <c r="F1963" i="23"/>
  <c r="H1963" i="23" s="1"/>
  <c r="BK84" i="19"/>
  <c r="F1955" i="23"/>
  <c r="H1955" i="23" s="1"/>
  <c r="BK76" i="19"/>
  <c r="F1947" i="23"/>
  <c r="H1947" i="23" s="1"/>
  <c r="BK68" i="19"/>
  <c r="F1939" i="23"/>
  <c r="H1939" i="23" s="1"/>
  <c r="BK60" i="19"/>
  <c r="F1931" i="23"/>
  <c r="H1931" i="23" s="1"/>
  <c r="BK52" i="19"/>
  <c r="F1923" i="23"/>
  <c r="H1923" i="23" s="1"/>
  <c r="I1923" i="23" s="1"/>
  <c r="J1923" i="23" s="1"/>
  <c r="K1923" i="23" s="1"/>
  <c r="BK44" i="19"/>
  <c r="F1915" i="23"/>
  <c r="H1915" i="23" s="1"/>
  <c r="I1915" i="23" s="1"/>
  <c r="J1915" i="23" s="1"/>
  <c r="K1915" i="23" s="1"/>
  <c r="BK36" i="19"/>
  <c r="F1907" i="23"/>
  <c r="H1907" i="23" s="1"/>
  <c r="I1907" i="23" s="1"/>
  <c r="J1907" i="23" s="1"/>
  <c r="K1907" i="23" s="1"/>
  <c r="BK28" i="19"/>
  <c r="F1899" i="23"/>
  <c r="H1899" i="23" s="1"/>
  <c r="BK20" i="19"/>
  <c r="F1891" i="23"/>
  <c r="H1891" i="23" s="1"/>
  <c r="I1891" i="23" s="1"/>
  <c r="J1891" i="23" s="1"/>
  <c r="K1891" i="23" s="1"/>
  <c r="BK12" i="19"/>
  <c r="F1883" i="23"/>
  <c r="H1883" i="23" s="1"/>
  <c r="BK107" i="19"/>
  <c r="F1978" i="23"/>
  <c r="H1978" i="23" s="1"/>
  <c r="BK99" i="19"/>
  <c r="F1970" i="23"/>
  <c r="H1970" i="23" s="1"/>
  <c r="BK91" i="19"/>
  <c r="F1962" i="23"/>
  <c r="H1962" i="23" s="1"/>
  <c r="BK83" i="19"/>
  <c r="F1954" i="23"/>
  <c r="H1954" i="23" s="1"/>
  <c r="BK75" i="19"/>
  <c r="F1946" i="23"/>
  <c r="H1946" i="23" s="1"/>
  <c r="BK67" i="19"/>
  <c r="F1938" i="23"/>
  <c r="H1938" i="23" s="1"/>
  <c r="BK59" i="19"/>
  <c r="F1930" i="23"/>
  <c r="H1930" i="23" s="1"/>
  <c r="BK51" i="19"/>
  <c r="F1922" i="23"/>
  <c r="H1922" i="23" s="1"/>
  <c r="BK43" i="19"/>
  <c r="F1914" i="23"/>
  <c r="H1914" i="23" s="1"/>
  <c r="BK35" i="19"/>
  <c r="F1906" i="23"/>
  <c r="H1906" i="23" s="1"/>
  <c r="BK27" i="19"/>
  <c r="F1898" i="23"/>
  <c r="H1898" i="23" s="1"/>
  <c r="BK19" i="19"/>
  <c r="F1890" i="23"/>
  <c r="H1890" i="23" s="1"/>
  <c r="BK11" i="19"/>
  <c r="F1882" i="23"/>
  <c r="H1882" i="23" s="1"/>
  <c r="BK106" i="19"/>
  <c r="F1977" i="23"/>
  <c r="H1977" i="23" s="1"/>
  <c r="I1977" i="23" s="1"/>
  <c r="J1977" i="23" s="1"/>
  <c r="K1977" i="23" s="1"/>
  <c r="BK98" i="19"/>
  <c r="F1969" i="23"/>
  <c r="H1969" i="23" s="1"/>
  <c r="I1969" i="23" s="1"/>
  <c r="J1969" i="23" s="1"/>
  <c r="K1969" i="23" s="1"/>
  <c r="BK90" i="19"/>
  <c r="F1961" i="23"/>
  <c r="H1961" i="23" s="1"/>
  <c r="BK82" i="19"/>
  <c r="F1953" i="23"/>
  <c r="H1953" i="23" s="1"/>
  <c r="BK74" i="19"/>
  <c r="F1945" i="23"/>
  <c r="H1945" i="23" s="1"/>
  <c r="I1945" i="23" s="1"/>
  <c r="J1945" i="23" s="1"/>
  <c r="K1945" i="23" s="1"/>
  <c r="BK66" i="19"/>
  <c r="F1937" i="23"/>
  <c r="H1937" i="23" s="1"/>
  <c r="I1937" i="23" s="1"/>
  <c r="J1937" i="23" s="1"/>
  <c r="K1937" i="23" s="1"/>
  <c r="BK58" i="19"/>
  <c r="F1929" i="23"/>
  <c r="H1929" i="23" s="1"/>
  <c r="BK50" i="19"/>
  <c r="F1921" i="23"/>
  <c r="H1921" i="23" s="1"/>
  <c r="BK42" i="19"/>
  <c r="F1913" i="23"/>
  <c r="H1913" i="23" s="1"/>
  <c r="BK34" i="19"/>
  <c r="F1905" i="23"/>
  <c r="H1905" i="23" s="1"/>
  <c r="I1905" i="23" s="1"/>
  <c r="J1905" i="23" s="1"/>
  <c r="K1905" i="23" s="1"/>
  <c r="BK26" i="19"/>
  <c r="F1897" i="23"/>
  <c r="H1897" i="23" s="1"/>
  <c r="I1897" i="23" s="1"/>
  <c r="J1897" i="23" s="1"/>
  <c r="K1897" i="23" s="1"/>
  <c r="BK18" i="19"/>
  <c r="F1889" i="23"/>
  <c r="H1889" i="23" s="1"/>
  <c r="BK10" i="19"/>
  <c r="F1881" i="23"/>
  <c r="H1881" i="23" s="1"/>
  <c r="BK105" i="19"/>
  <c r="F1976" i="23"/>
  <c r="H1976" i="23" s="1"/>
  <c r="I1976" i="23" s="1"/>
  <c r="J1976" i="23" s="1"/>
  <c r="K1976" i="23" s="1"/>
  <c r="BK97" i="19"/>
  <c r="F1968" i="23"/>
  <c r="H1968" i="23" s="1"/>
  <c r="I1968" i="23" s="1"/>
  <c r="J1968" i="23" s="1"/>
  <c r="K1968" i="23" s="1"/>
  <c r="BK89" i="19"/>
  <c r="F1960" i="23"/>
  <c r="H1960" i="23" s="1"/>
  <c r="BK81" i="19"/>
  <c r="F1952" i="23"/>
  <c r="H1952" i="23" s="1"/>
  <c r="BK73" i="19"/>
  <c r="F1944" i="23"/>
  <c r="H1944" i="23" s="1"/>
  <c r="BK65" i="19"/>
  <c r="F1936" i="23"/>
  <c r="H1936" i="23" s="1"/>
  <c r="BK57" i="19"/>
  <c r="F1928" i="23"/>
  <c r="H1928" i="23" s="1"/>
  <c r="I1928" i="23" s="1"/>
  <c r="J1928" i="23" s="1"/>
  <c r="K1928" i="23" s="1"/>
  <c r="BK49" i="19"/>
  <c r="F1920" i="23"/>
  <c r="H1920" i="23" s="1"/>
  <c r="BK41" i="19"/>
  <c r="F1912" i="23"/>
  <c r="H1912" i="23" s="1"/>
  <c r="BK33" i="19"/>
  <c r="F1904" i="23"/>
  <c r="H1904" i="23" s="1"/>
  <c r="BK25" i="19"/>
  <c r="F1896" i="23"/>
  <c r="H1896" i="23" s="1"/>
  <c r="BK17" i="19"/>
  <c r="F1888" i="23"/>
  <c r="H1888" i="23" s="1"/>
  <c r="I1888" i="23" s="1"/>
  <c r="J1888" i="23" s="1"/>
  <c r="K1888" i="23" s="1"/>
  <c r="BK9" i="19"/>
  <c r="F1880" i="23"/>
  <c r="H1880" i="23" s="1"/>
  <c r="BK104" i="19"/>
  <c r="F1975" i="23"/>
  <c r="H1975" i="23" s="1"/>
  <c r="I1975" i="23" s="1"/>
  <c r="J1975" i="23" s="1"/>
  <c r="K1975" i="23" s="1"/>
  <c r="BK96" i="19"/>
  <c r="F1967" i="23"/>
  <c r="H1967" i="23" s="1"/>
  <c r="I1967" i="23" s="1"/>
  <c r="J1967" i="23" s="1"/>
  <c r="K1967" i="23" s="1"/>
  <c r="BK88" i="19"/>
  <c r="F1959" i="23"/>
  <c r="H1959" i="23" s="1"/>
  <c r="I1959" i="23" s="1"/>
  <c r="J1959" i="23" s="1"/>
  <c r="K1959" i="23" s="1"/>
  <c r="BK80" i="19"/>
  <c r="F1951" i="23"/>
  <c r="H1951" i="23" s="1"/>
  <c r="BK72" i="19"/>
  <c r="F1943" i="23"/>
  <c r="H1943" i="23" s="1"/>
  <c r="BK64" i="19"/>
  <c r="F1935" i="23"/>
  <c r="H1935" i="23" s="1"/>
  <c r="BK56" i="19"/>
  <c r="F1927" i="23"/>
  <c r="H1927" i="23" s="1"/>
  <c r="BK48" i="19"/>
  <c r="F1919" i="23"/>
  <c r="H1919" i="23" s="1"/>
  <c r="BK40" i="19"/>
  <c r="F1911" i="23"/>
  <c r="H1911" i="23" s="1"/>
  <c r="BK32" i="19"/>
  <c r="F1903" i="23"/>
  <c r="H1903" i="23" s="1"/>
  <c r="BK24" i="19"/>
  <c r="F1895" i="23"/>
  <c r="H1895" i="23" s="1"/>
  <c r="BK16" i="19"/>
  <c r="F1887" i="23"/>
  <c r="H1887" i="23" s="1"/>
  <c r="I1887" i="23" s="1"/>
  <c r="J1887" i="23" s="1"/>
  <c r="K1887" i="23" s="1"/>
  <c r="BK8" i="19"/>
  <c r="F1879" i="23"/>
  <c r="H1879" i="23" s="1"/>
  <c r="I1879" i="23" s="1"/>
  <c r="J1879" i="23" s="1"/>
  <c r="K1879" i="23" s="1"/>
  <c r="BK103" i="19"/>
  <c r="F1974" i="23"/>
  <c r="H1974" i="23" s="1"/>
  <c r="BK95" i="19"/>
  <c r="F1966" i="23"/>
  <c r="H1966" i="23" s="1"/>
  <c r="BK87" i="19"/>
  <c r="F1958" i="23"/>
  <c r="H1958" i="23" s="1"/>
  <c r="BK79" i="19"/>
  <c r="F1950" i="23"/>
  <c r="H1950" i="23" s="1"/>
  <c r="BK71" i="19"/>
  <c r="F1942" i="23"/>
  <c r="H1942" i="23" s="1"/>
  <c r="BK63" i="19"/>
  <c r="F1934" i="23"/>
  <c r="H1934" i="23" s="1"/>
  <c r="BK55" i="19"/>
  <c r="F1926" i="23"/>
  <c r="H1926" i="23" s="1"/>
  <c r="I1926" i="23" s="1"/>
  <c r="J1926" i="23" s="1"/>
  <c r="K1926" i="23" s="1"/>
  <c r="BK47" i="19"/>
  <c r="F1918" i="23"/>
  <c r="H1918" i="23" s="1"/>
  <c r="I1918" i="23" s="1"/>
  <c r="J1918" i="23" s="1"/>
  <c r="K1918" i="23" s="1"/>
  <c r="BK39" i="19"/>
  <c r="F1910" i="23"/>
  <c r="H1910" i="23" s="1"/>
  <c r="BK31" i="19"/>
  <c r="F1902" i="23"/>
  <c r="H1902" i="23" s="1"/>
  <c r="BK23" i="19"/>
  <c r="F1894" i="23"/>
  <c r="H1894" i="23" s="1"/>
  <c r="BK15" i="19"/>
  <c r="F1886" i="23"/>
  <c r="H1886" i="23" s="1"/>
  <c r="I1886" i="23" s="1"/>
  <c r="J1886" i="23" s="1"/>
  <c r="K1886" i="23" s="1"/>
  <c r="BK7" i="19"/>
  <c r="F1878" i="23"/>
  <c r="H1878" i="23" s="1"/>
  <c r="BH78" i="19"/>
  <c r="F1845" i="23"/>
  <c r="H1845" i="23" s="1"/>
  <c r="I1845" i="23" s="1"/>
  <c r="J1845" i="23" s="1"/>
  <c r="K1845" i="23" s="1"/>
  <c r="BH109" i="19"/>
  <c r="F1876" i="23"/>
  <c r="H1876" i="23" s="1"/>
  <c r="BH101" i="19"/>
  <c r="F1868" i="23"/>
  <c r="H1868" i="23" s="1"/>
  <c r="BH93" i="19"/>
  <c r="F1860" i="23"/>
  <c r="H1860" i="23" s="1"/>
  <c r="BH85" i="19"/>
  <c r="F1852" i="23"/>
  <c r="H1852" i="23" s="1"/>
  <c r="BH77" i="19"/>
  <c r="F1844" i="23"/>
  <c r="H1844" i="23" s="1"/>
  <c r="I1844" i="23" s="1"/>
  <c r="J1844" i="23" s="1"/>
  <c r="K1844" i="23" s="1"/>
  <c r="BH69" i="19"/>
  <c r="F1836" i="23"/>
  <c r="H1836" i="23" s="1"/>
  <c r="I1836" i="23" s="1"/>
  <c r="J1836" i="23" s="1"/>
  <c r="K1836" i="23" s="1"/>
  <c r="BH61" i="19"/>
  <c r="F1828" i="23"/>
  <c r="H1828" i="23" s="1"/>
  <c r="BH53" i="19"/>
  <c r="F1820" i="23"/>
  <c r="H1820" i="23" s="1"/>
  <c r="BH45" i="19"/>
  <c r="F1812" i="23"/>
  <c r="H1812" i="23" s="1"/>
  <c r="I1812" i="23" s="1"/>
  <c r="J1812" i="23" s="1"/>
  <c r="K1812" i="23" s="1"/>
  <c r="BH37" i="19"/>
  <c r="F1804" i="23"/>
  <c r="H1804" i="23" s="1"/>
  <c r="BH29" i="19"/>
  <c r="F1796" i="23"/>
  <c r="H1796" i="23" s="1"/>
  <c r="BH21" i="19"/>
  <c r="F1788" i="23"/>
  <c r="H1788" i="23" s="1"/>
  <c r="BH13" i="19"/>
  <c r="F1780" i="23"/>
  <c r="H1780" i="23" s="1"/>
  <c r="BH54" i="19"/>
  <c r="F1821" i="23"/>
  <c r="H1821" i="23" s="1"/>
  <c r="I1821" i="23" s="1"/>
  <c r="J1821" i="23" s="1"/>
  <c r="K1821" i="23" s="1"/>
  <c r="BH22" i="19"/>
  <c r="F1789" i="23"/>
  <c r="H1789" i="23" s="1"/>
  <c r="I1789" i="23" s="1"/>
  <c r="J1789" i="23" s="1"/>
  <c r="K1789" i="23" s="1"/>
  <c r="BH108" i="19"/>
  <c r="F1875" i="23"/>
  <c r="H1875" i="23" s="1"/>
  <c r="I1875" i="23" s="1"/>
  <c r="J1875" i="23" s="1"/>
  <c r="K1875" i="23" s="1"/>
  <c r="BH92" i="19"/>
  <c r="F1859" i="23"/>
  <c r="H1859" i="23" s="1"/>
  <c r="I1859" i="23" s="1"/>
  <c r="J1859" i="23" s="1"/>
  <c r="K1859" i="23" s="1"/>
  <c r="BH76" i="19"/>
  <c r="F1843" i="23"/>
  <c r="H1843" i="23" s="1"/>
  <c r="BH68" i="19"/>
  <c r="F1835" i="23"/>
  <c r="H1835" i="23" s="1"/>
  <c r="BH60" i="19"/>
  <c r="F1827" i="23"/>
  <c r="H1827" i="23" s="1"/>
  <c r="BH52" i="19"/>
  <c r="F1819" i="23"/>
  <c r="H1819" i="23" s="1"/>
  <c r="I1819" i="23" s="1"/>
  <c r="J1819" i="23" s="1"/>
  <c r="K1819" i="23" s="1"/>
  <c r="BH44" i="19"/>
  <c r="F1811" i="23"/>
  <c r="H1811" i="23" s="1"/>
  <c r="I1811" i="23" s="1"/>
  <c r="J1811" i="23" s="1"/>
  <c r="K1811" i="23" s="1"/>
  <c r="BH36" i="19"/>
  <c r="F1803" i="23"/>
  <c r="H1803" i="23" s="1"/>
  <c r="BH28" i="19"/>
  <c r="F1795" i="23"/>
  <c r="H1795" i="23" s="1"/>
  <c r="BH20" i="19"/>
  <c r="F1787" i="23"/>
  <c r="H1787" i="23" s="1"/>
  <c r="I1787" i="23" s="1"/>
  <c r="J1787" i="23" s="1"/>
  <c r="K1787" i="23" s="1"/>
  <c r="BH12" i="19"/>
  <c r="F1779" i="23"/>
  <c r="H1779" i="23" s="1"/>
  <c r="BH102" i="19"/>
  <c r="F1869" i="23"/>
  <c r="H1869" i="23" s="1"/>
  <c r="BH62" i="19"/>
  <c r="F1829" i="23"/>
  <c r="H1829" i="23" s="1"/>
  <c r="I1829" i="23" s="1"/>
  <c r="J1829" i="23" s="1"/>
  <c r="K1829" i="23" s="1"/>
  <c r="BH100" i="19"/>
  <c r="F1867" i="23"/>
  <c r="H1867" i="23" s="1"/>
  <c r="BH84" i="19"/>
  <c r="F1851" i="23"/>
  <c r="H1851" i="23" s="1"/>
  <c r="I1851" i="23" s="1"/>
  <c r="J1851" i="23" s="1"/>
  <c r="K1851" i="23" s="1"/>
  <c r="BH107" i="19"/>
  <c r="F1874" i="23"/>
  <c r="H1874" i="23" s="1"/>
  <c r="I1874" i="23" s="1"/>
  <c r="J1874" i="23" s="1"/>
  <c r="K1874" i="23" s="1"/>
  <c r="BH99" i="19"/>
  <c r="F1866" i="23"/>
  <c r="H1866" i="23" s="1"/>
  <c r="BH91" i="19"/>
  <c r="F1858" i="23"/>
  <c r="H1858" i="23" s="1"/>
  <c r="I1858" i="23" s="1"/>
  <c r="J1858" i="23" s="1"/>
  <c r="K1858" i="23" s="1"/>
  <c r="BH83" i="19"/>
  <c r="F1850" i="23"/>
  <c r="H1850" i="23" s="1"/>
  <c r="BH75" i="19"/>
  <c r="F1842" i="23"/>
  <c r="H1842" i="23" s="1"/>
  <c r="I1842" i="23" s="1"/>
  <c r="J1842" i="23" s="1"/>
  <c r="K1842" i="23" s="1"/>
  <c r="BH67" i="19"/>
  <c r="F1834" i="23"/>
  <c r="H1834" i="23" s="1"/>
  <c r="BH59" i="19"/>
  <c r="F1826" i="23"/>
  <c r="H1826" i="23" s="1"/>
  <c r="I1826" i="23" s="1"/>
  <c r="J1826" i="23" s="1"/>
  <c r="K1826" i="23" s="1"/>
  <c r="BH51" i="19"/>
  <c r="F1818" i="23"/>
  <c r="H1818" i="23" s="1"/>
  <c r="BH43" i="19"/>
  <c r="F1810" i="23"/>
  <c r="H1810" i="23" s="1"/>
  <c r="I1810" i="23" s="1"/>
  <c r="J1810" i="23" s="1"/>
  <c r="K1810" i="23" s="1"/>
  <c r="BH35" i="19"/>
  <c r="F1802" i="23"/>
  <c r="H1802" i="23" s="1"/>
  <c r="BH27" i="19"/>
  <c r="F1794" i="23"/>
  <c r="H1794" i="23" s="1"/>
  <c r="I1794" i="23" s="1"/>
  <c r="J1794" i="23" s="1"/>
  <c r="K1794" i="23" s="1"/>
  <c r="BH19" i="19"/>
  <c r="F1786" i="23"/>
  <c r="H1786" i="23" s="1"/>
  <c r="BH11" i="19"/>
  <c r="F1778" i="23"/>
  <c r="H1778" i="23" s="1"/>
  <c r="I1778" i="23" s="1"/>
  <c r="J1778" i="23" s="1"/>
  <c r="K1778" i="23" s="1"/>
  <c r="BH106" i="19"/>
  <c r="F1873" i="23"/>
  <c r="H1873" i="23" s="1"/>
  <c r="BH42" i="19"/>
  <c r="F1809" i="23"/>
  <c r="H1809" i="23" s="1"/>
  <c r="BH94" i="19"/>
  <c r="F1861" i="23"/>
  <c r="H1861" i="23" s="1"/>
  <c r="I1861" i="23" s="1"/>
  <c r="J1861" i="23" s="1"/>
  <c r="K1861" i="23" s="1"/>
  <c r="BH46" i="19"/>
  <c r="F1813" i="23"/>
  <c r="H1813" i="23" s="1"/>
  <c r="I1813" i="23" s="1"/>
  <c r="J1813" i="23" s="1"/>
  <c r="K1813" i="23" s="1"/>
  <c r="BH14" i="19"/>
  <c r="F1781" i="23"/>
  <c r="H1781" i="23" s="1"/>
  <c r="I1781" i="23" s="1"/>
  <c r="J1781" i="23" s="1"/>
  <c r="K1781" i="23" s="1"/>
  <c r="BH98" i="19"/>
  <c r="F1865" i="23"/>
  <c r="H1865" i="23" s="1"/>
  <c r="BH66" i="19"/>
  <c r="F1833" i="23"/>
  <c r="H1833" i="23" s="1"/>
  <c r="BH34" i="19"/>
  <c r="F1801" i="23"/>
  <c r="H1801" i="23" s="1"/>
  <c r="BH10" i="19"/>
  <c r="F1777" i="23"/>
  <c r="H1777" i="23" s="1"/>
  <c r="BH105" i="19"/>
  <c r="F1872" i="23"/>
  <c r="H1872" i="23" s="1"/>
  <c r="I1872" i="23" s="1"/>
  <c r="J1872" i="23" s="1"/>
  <c r="K1872" i="23" s="1"/>
  <c r="BH97" i="19"/>
  <c r="F1864" i="23"/>
  <c r="H1864" i="23" s="1"/>
  <c r="BH89" i="19"/>
  <c r="F1856" i="23"/>
  <c r="H1856" i="23" s="1"/>
  <c r="I1856" i="23" s="1"/>
  <c r="J1856" i="23" s="1"/>
  <c r="K1856" i="23" s="1"/>
  <c r="BH81" i="19"/>
  <c r="F1848" i="23"/>
  <c r="H1848" i="23" s="1"/>
  <c r="BH73" i="19"/>
  <c r="F1840" i="23"/>
  <c r="H1840" i="23" s="1"/>
  <c r="BH65" i="19"/>
  <c r="F1832" i="23"/>
  <c r="H1832" i="23" s="1"/>
  <c r="BH57" i="19"/>
  <c r="F1824" i="23"/>
  <c r="H1824" i="23" s="1"/>
  <c r="BH49" i="19"/>
  <c r="F1816" i="23"/>
  <c r="H1816" i="23" s="1"/>
  <c r="BH41" i="19"/>
  <c r="F1808" i="23"/>
  <c r="H1808" i="23" s="1"/>
  <c r="BH33" i="19"/>
  <c r="F1800" i="23"/>
  <c r="H1800" i="23" s="1"/>
  <c r="BH25" i="19"/>
  <c r="F1792" i="23"/>
  <c r="H1792" i="23" s="1"/>
  <c r="BH17" i="19"/>
  <c r="F1784" i="23"/>
  <c r="H1784" i="23" s="1"/>
  <c r="BH9" i="19"/>
  <c r="F1776" i="23"/>
  <c r="H1776" i="23" s="1"/>
  <c r="BH70" i="19"/>
  <c r="F1837" i="23"/>
  <c r="H1837" i="23" s="1"/>
  <c r="I1837" i="23" s="1"/>
  <c r="J1837" i="23" s="1"/>
  <c r="K1837" i="23" s="1"/>
  <c r="BH30" i="19"/>
  <c r="F1797" i="23"/>
  <c r="H1797" i="23" s="1"/>
  <c r="I1797" i="23" s="1"/>
  <c r="J1797" i="23" s="1"/>
  <c r="K1797" i="23" s="1"/>
  <c r="BH82" i="19"/>
  <c r="F1849" i="23"/>
  <c r="H1849" i="23" s="1"/>
  <c r="I1849" i="23" s="1"/>
  <c r="J1849" i="23" s="1"/>
  <c r="K1849" i="23" s="1"/>
  <c r="BH58" i="19"/>
  <c r="F1825" i="23"/>
  <c r="H1825" i="23" s="1"/>
  <c r="BH26" i="19"/>
  <c r="F1793" i="23"/>
  <c r="H1793" i="23" s="1"/>
  <c r="BH104" i="19"/>
  <c r="F1871" i="23"/>
  <c r="H1871" i="23" s="1"/>
  <c r="BH88" i="19"/>
  <c r="F1855" i="23"/>
  <c r="H1855" i="23" s="1"/>
  <c r="I1855" i="23" s="1"/>
  <c r="J1855" i="23" s="1"/>
  <c r="K1855" i="23" s="1"/>
  <c r="BH80" i="19"/>
  <c r="F1847" i="23"/>
  <c r="H1847" i="23" s="1"/>
  <c r="I1847" i="23" s="1"/>
  <c r="J1847" i="23" s="1"/>
  <c r="K1847" i="23" s="1"/>
  <c r="BH64" i="19"/>
  <c r="F1831" i="23"/>
  <c r="H1831" i="23" s="1"/>
  <c r="BH48" i="19"/>
  <c r="F1815" i="23"/>
  <c r="H1815" i="23" s="1"/>
  <c r="BH32" i="19"/>
  <c r="F1799" i="23"/>
  <c r="H1799" i="23" s="1"/>
  <c r="BH16" i="19"/>
  <c r="F1783" i="23"/>
  <c r="H1783" i="23" s="1"/>
  <c r="BH86" i="19"/>
  <c r="F1853" i="23"/>
  <c r="H1853" i="23" s="1"/>
  <c r="I1853" i="23" s="1"/>
  <c r="J1853" i="23" s="1"/>
  <c r="K1853" i="23" s="1"/>
  <c r="BH38" i="19"/>
  <c r="F1805" i="23"/>
  <c r="H1805" i="23" s="1"/>
  <c r="I1805" i="23" s="1"/>
  <c r="J1805" i="23" s="1"/>
  <c r="K1805" i="23" s="1"/>
  <c r="BH90" i="19"/>
  <c r="F1857" i="23"/>
  <c r="H1857" i="23" s="1"/>
  <c r="BH74" i="19"/>
  <c r="F1841" i="23"/>
  <c r="H1841" i="23" s="1"/>
  <c r="BH50" i="19"/>
  <c r="F1817" i="23"/>
  <c r="H1817" i="23" s="1"/>
  <c r="I1817" i="23" s="1"/>
  <c r="J1817" i="23" s="1"/>
  <c r="K1817" i="23" s="1"/>
  <c r="BH18" i="19"/>
  <c r="F1785" i="23"/>
  <c r="H1785" i="23" s="1"/>
  <c r="I1785" i="23" s="1"/>
  <c r="J1785" i="23" s="1"/>
  <c r="K1785" i="23" s="1"/>
  <c r="BH96" i="19"/>
  <c r="F1863" i="23"/>
  <c r="H1863" i="23" s="1"/>
  <c r="BH72" i="19"/>
  <c r="F1839" i="23"/>
  <c r="H1839" i="23" s="1"/>
  <c r="BH56" i="19"/>
  <c r="F1823" i="23"/>
  <c r="H1823" i="23" s="1"/>
  <c r="BH40" i="19"/>
  <c r="F1807" i="23"/>
  <c r="H1807" i="23" s="1"/>
  <c r="I1807" i="23" s="1"/>
  <c r="J1807" i="23" s="1"/>
  <c r="K1807" i="23" s="1"/>
  <c r="BH24" i="19"/>
  <c r="F1791" i="23"/>
  <c r="H1791" i="23" s="1"/>
  <c r="I1791" i="23" s="1"/>
  <c r="J1791" i="23" s="1"/>
  <c r="K1791" i="23" s="1"/>
  <c r="BH8" i="19"/>
  <c r="F1775" i="23"/>
  <c r="H1775" i="23" s="1"/>
  <c r="I1775" i="23" s="1"/>
  <c r="J1775" i="23" s="1"/>
  <c r="K1775" i="23" s="1"/>
  <c r="BH103" i="19"/>
  <c r="F1870" i="23"/>
  <c r="H1870" i="23" s="1"/>
  <c r="I1870" i="23" s="1"/>
  <c r="J1870" i="23" s="1"/>
  <c r="K1870" i="23" s="1"/>
  <c r="BH95" i="19"/>
  <c r="F1862" i="23"/>
  <c r="H1862" i="23" s="1"/>
  <c r="I1862" i="23" s="1"/>
  <c r="J1862" i="23" s="1"/>
  <c r="K1862" i="23" s="1"/>
  <c r="BH87" i="19"/>
  <c r="F1854" i="23"/>
  <c r="H1854" i="23" s="1"/>
  <c r="BH79" i="19"/>
  <c r="F1846" i="23"/>
  <c r="H1846" i="23" s="1"/>
  <c r="BH71" i="19"/>
  <c r="F1838" i="23"/>
  <c r="H1838" i="23" s="1"/>
  <c r="I1838" i="23" s="1"/>
  <c r="J1838" i="23" s="1"/>
  <c r="K1838" i="23" s="1"/>
  <c r="BH63" i="19"/>
  <c r="F1830" i="23"/>
  <c r="H1830" i="23" s="1"/>
  <c r="BH55" i="19"/>
  <c r="F1822" i="23"/>
  <c r="H1822" i="23" s="1"/>
  <c r="BH47" i="19"/>
  <c r="F1814" i="23"/>
  <c r="H1814" i="23" s="1"/>
  <c r="BH39" i="19"/>
  <c r="F1806" i="23"/>
  <c r="H1806" i="23" s="1"/>
  <c r="I1806" i="23" s="1"/>
  <c r="J1806" i="23" s="1"/>
  <c r="K1806" i="23" s="1"/>
  <c r="BH31" i="19"/>
  <c r="F1798" i="23"/>
  <c r="H1798" i="23" s="1"/>
  <c r="BH23" i="19"/>
  <c r="F1790" i="23"/>
  <c r="H1790" i="23" s="1"/>
  <c r="BH15" i="19"/>
  <c r="F1782" i="23"/>
  <c r="H1782" i="23" s="1"/>
  <c r="BH7" i="19"/>
  <c r="F1774" i="23"/>
  <c r="H1774" i="23" s="1"/>
  <c r="F1669" i="23"/>
  <c r="F1565" i="23"/>
  <c r="F1461" i="23"/>
  <c r="F1357" i="23"/>
  <c r="F1253" i="23"/>
  <c r="F1149" i="23"/>
  <c r="F1045" i="23"/>
  <c r="F941" i="23"/>
  <c r="F940" i="23"/>
  <c r="H940" i="23" s="1"/>
  <c r="F837" i="23"/>
  <c r="F836" i="23"/>
  <c r="H836" i="23" s="1"/>
  <c r="I836" i="23" s="1"/>
  <c r="J836" i="23" s="1"/>
  <c r="K836" i="23" s="1"/>
  <c r="F733" i="23"/>
  <c r="F629" i="23"/>
  <c r="F525" i="23"/>
  <c r="F469" i="23"/>
  <c r="H469" i="23" s="1"/>
  <c r="I469" i="23" s="1"/>
  <c r="J469" i="23" s="1"/>
  <c r="K469" i="23" s="1"/>
  <c r="F492" i="23"/>
  <c r="H492" i="23" s="1"/>
  <c r="F421" i="23"/>
  <c r="H421" i="23" s="1"/>
  <c r="F317" i="23"/>
  <c r="F217" i="23"/>
  <c r="H217" i="23" s="1"/>
  <c r="F226" i="23"/>
  <c r="H226" i="23" s="1"/>
  <c r="F228" i="23"/>
  <c r="H228" i="23" s="1"/>
  <c r="I228" i="23" s="1"/>
  <c r="F213" i="23"/>
  <c r="F110" i="23"/>
  <c r="F111" i="23"/>
  <c r="F112" i="23"/>
  <c r="F113" i="23"/>
  <c r="F114" i="23"/>
  <c r="F115" i="23"/>
  <c r="F116" i="23"/>
  <c r="F117" i="23"/>
  <c r="F118" i="23"/>
  <c r="F119" i="23"/>
  <c r="F120" i="23"/>
  <c r="H120" i="23" s="1"/>
  <c r="I120" i="23" s="1"/>
  <c r="J120" i="23" s="1"/>
  <c r="K120" i="23" s="1"/>
  <c r="F121" i="23"/>
  <c r="H121" i="23" s="1"/>
  <c r="I121" i="23" s="1"/>
  <c r="J121" i="23" s="1"/>
  <c r="K121" i="23" s="1"/>
  <c r="F122" i="23"/>
  <c r="F123" i="23"/>
  <c r="H123" i="23" s="1"/>
  <c r="I123" i="23" s="1"/>
  <c r="J123" i="23" s="1"/>
  <c r="K123" i="23" s="1"/>
  <c r="F124" i="23"/>
  <c r="F125" i="23"/>
  <c r="H125" i="23" s="1"/>
  <c r="F126" i="23"/>
  <c r="F127" i="23"/>
  <c r="F128" i="23"/>
  <c r="F129" i="23"/>
  <c r="F130" i="23"/>
  <c r="F131" i="23"/>
  <c r="F132" i="23"/>
  <c r="H132" i="23" s="1"/>
  <c r="I132" i="23" s="1"/>
  <c r="F133" i="23"/>
  <c r="F134" i="23"/>
  <c r="F135" i="23"/>
  <c r="H135" i="23" s="1"/>
  <c r="F136" i="23"/>
  <c r="H136" i="23" s="1"/>
  <c r="F137" i="23"/>
  <c r="H137" i="23" s="1"/>
  <c r="I137" i="23" s="1"/>
  <c r="J137" i="23" s="1"/>
  <c r="K137" i="23" s="1"/>
  <c r="F138" i="23"/>
  <c r="F139" i="23"/>
  <c r="H139" i="23" s="1"/>
  <c r="I139" i="23" s="1"/>
  <c r="J139" i="23" s="1"/>
  <c r="K139" i="23" s="1"/>
  <c r="F140" i="23"/>
  <c r="F141" i="23"/>
  <c r="F142" i="23"/>
  <c r="F143" i="23"/>
  <c r="F144" i="23"/>
  <c r="F145" i="23"/>
  <c r="F147" i="23"/>
  <c r="F148" i="23"/>
  <c r="F149" i="23"/>
  <c r="F150" i="23"/>
  <c r="F151" i="23"/>
  <c r="F152" i="23"/>
  <c r="F153" i="23"/>
  <c r="H153" i="23" s="1"/>
  <c r="I153" i="23" s="1"/>
  <c r="J153" i="23" s="1"/>
  <c r="K153" i="23" s="1"/>
  <c r="F154" i="23"/>
  <c r="F155" i="23"/>
  <c r="F156" i="23"/>
  <c r="F157" i="23"/>
  <c r="F158" i="23"/>
  <c r="F159" i="23"/>
  <c r="F160" i="23"/>
  <c r="F161" i="23"/>
  <c r="F162" i="23"/>
  <c r="F163" i="23"/>
  <c r="F164" i="23"/>
  <c r="F165" i="23"/>
  <c r="F166" i="23"/>
  <c r="F167" i="23"/>
  <c r="F168" i="23"/>
  <c r="F169" i="23"/>
  <c r="F170" i="23"/>
  <c r="F171" i="23"/>
  <c r="F172" i="23"/>
  <c r="F173" i="23"/>
  <c r="F174" i="23"/>
  <c r="F175" i="23"/>
  <c r="F177" i="23"/>
  <c r="F178" i="23"/>
  <c r="H178" i="23" s="1"/>
  <c r="F181" i="23"/>
  <c r="F182" i="23"/>
  <c r="F183" i="23"/>
  <c r="F184" i="23"/>
  <c r="F185" i="23"/>
  <c r="F186" i="23"/>
  <c r="F187" i="23"/>
  <c r="F188" i="23"/>
  <c r="F189" i="23"/>
  <c r="F190" i="23"/>
  <c r="H190" i="23" s="1"/>
  <c r="F191" i="23"/>
  <c r="F192" i="23"/>
  <c r="F194" i="23"/>
  <c r="F195" i="23"/>
  <c r="F196" i="23"/>
  <c r="H196" i="23" s="1"/>
  <c r="I196" i="23" s="1"/>
  <c r="F197" i="23"/>
  <c r="F198" i="23"/>
  <c r="F199" i="23"/>
  <c r="F200" i="23"/>
  <c r="F201" i="23"/>
  <c r="F202" i="23"/>
  <c r="F203" i="23"/>
  <c r="F204" i="23"/>
  <c r="F205" i="23"/>
  <c r="F206" i="23"/>
  <c r="F207" i="23"/>
  <c r="H207" i="23" s="1"/>
  <c r="I207" i="23" s="1"/>
  <c r="J207" i="23" s="1"/>
  <c r="K207" i="23" s="1"/>
  <c r="F208" i="23"/>
  <c r="F209" i="23"/>
  <c r="F210" i="23"/>
  <c r="F211" i="23"/>
  <c r="F212" i="23"/>
  <c r="F7" i="23"/>
  <c r="F8" i="23"/>
  <c r="F9" i="23"/>
  <c r="F10" i="23"/>
  <c r="F11" i="23"/>
  <c r="F12" i="23"/>
  <c r="F13" i="23"/>
  <c r="F14" i="23"/>
  <c r="H14" i="23" s="1"/>
  <c r="F15" i="23"/>
  <c r="H15" i="23" s="1"/>
  <c r="I15" i="23" s="1"/>
  <c r="J15" i="23" s="1"/>
  <c r="K15" i="23" s="1"/>
  <c r="F16" i="23"/>
  <c r="H16" i="23" s="1"/>
  <c r="F17" i="23"/>
  <c r="H17" i="23" s="1"/>
  <c r="I17" i="23" s="1"/>
  <c r="J17" i="23" s="1"/>
  <c r="K17" i="23" s="1"/>
  <c r="F18" i="23"/>
  <c r="F19" i="23"/>
  <c r="F20" i="23"/>
  <c r="F21" i="23"/>
  <c r="H21" i="23" s="1"/>
  <c r="I21" i="23" s="1"/>
  <c r="J21" i="23" s="1"/>
  <c r="K21" i="23" s="1"/>
  <c r="F22" i="23"/>
  <c r="F23" i="23"/>
  <c r="F24" i="23"/>
  <c r="F25" i="23"/>
  <c r="F26" i="23"/>
  <c r="F27" i="23"/>
  <c r="H27" i="23" s="1"/>
  <c r="I27" i="23" s="1"/>
  <c r="J27" i="23" s="1"/>
  <c r="K27" i="23" s="1"/>
  <c r="F28" i="23"/>
  <c r="H28" i="23" s="1"/>
  <c r="I28" i="23" s="1"/>
  <c r="J28" i="23" s="1"/>
  <c r="K28" i="23" s="1"/>
  <c r="F29" i="23"/>
  <c r="F30" i="23"/>
  <c r="F31" i="23"/>
  <c r="F32" i="23"/>
  <c r="H32" i="23" s="1"/>
  <c r="I32" i="23" s="1"/>
  <c r="J32" i="23" s="1"/>
  <c r="K32" i="23" s="1"/>
  <c r="F33" i="23"/>
  <c r="H33" i="23" s="1"/>
  <c r="I33" i="23" s="1"/>
  <c r="J33" i="23" s="1"/>
  <c r="K33" i="23" s="1"/>
  <c r="F34" i="23"/>
  <c r="F35" i="23"/>
  <c r="F36" i="23"/>
  <c r="F37" i="23"/>
  <c r="F38" i="23"/>
  <c r="F39" i="23"/>
  <c r="F40" i="23"/>
  <c r="F41" i="23"/>
  <c r="F43" i="23"/>
  <c r="F44" i="23"/>
  <c r="F45" i="23"/>
  <c r="F46" i="23"/>
  <c r="F47" i="23"/>
  <c r="F48" i="23"/>
  <c r="F49" i="23"/>
  <c r="H49" i="23" s="1"/>
  <c r="I49" i="23" s="1"/>
  <c r="J49" i="23" s="1"/>
  <c r="K49" i="23" s="1"/>
  <c r="F50" i="23"/>
  <c r="F51" i="23"/>
  <c r="F52" i="23"/>
  <c r="F53" i="23"/>
  <c r="F54" i="23"/>
  <c r="F55" i="23"/>
  <c r="F56" i="23"/>
  <c r="F57" i="23"/>
  <c r="F58" i="23"/>
  <c r="F59" i="23"/>
  <c r="H59" i="23" s="1"/>
  <c r="I59" i="23" s="1"/>
  <c r="J59" i="23" s="1"/>
  <c r="K59" i="23" s="1"/>
  <c r="F60" i="23"/>
  <c r="F61" i="23"/>
  <c r="F62" i="23"/>
  <c r="F63" i="23"/>
  <c r="F64" i="23"/>
  <c r="F65" i="23"/>
  <c r="F66" i="23"/>
  <c r="F67" i="23"/>
  <c r="F68" i="23"/>
  <c r="F69" i="23"/>
  <c r="F70" i="23"/>
  <c r="F71" i="23"/>
  <c r="F72" i="23"/>
  <c r="H72" i="23" s="1"/>
  <c r="F73" i="23"/>
  <c r="F74" i="23"/>
  <c r="H74" i="23" s="1"/>
  <c r="I74" i="23" s="1"/>
  <c r="J74" i="23" s="1"/>
  <c r="K74" i="23" s="1"/>
  <c r="F76" i="23"/>
  <c r="F77" i="23"/>
  <c r="F78" i="23"/>
  <c r="F79" i="23"/>
  <c r="F80" i="23"/>
  <c r="F81" i="23"/>
  <c r="F82" i="23"/>
  <c r="F83" i="23"/>
  <c r="F84" i="23"/>
  <c r="F85" i="23"/>
  <c r="H85" i="23" s="1"/>
  <c r="F86" i="23"/>
  <c r="H86" i="23" s="1"/>
  <c r="F87" i="23"/>
  <c r="F88" i="23"/>
  <c r="F89" i="23"/>
  <c r="F90" i="23"/>
  <c r="F91" i="23"/>
  <c r="H91" i="23" s="1"/>
  <c r="I91" i="23" s="1"/>
  <c r="J91" i="23" s="1"/>
  <c r="K91" i="23" s="1"/>
  <c r="F92" i="23"/>
  <c r="H92" i="23" s="1"/>
  <c r="I92" i="23" s="1"/>
  <c r="F93" i="23"/>
  <c r="F94" i="23"/>
  <c r="F95" i="23"/>
  <c r="F96" i="23"/>
  <c r="F97" i="23"/>
  <c r="F98" i="23"/>
  <c r="F99" i="23"/>
  <c r="F100" i="23"/>
  <c r="F101" i="23"/>
  <c r="F102" i="23"/>
  <c r="F103" i="23"/>
  <c r="H103" i="23" s="1"/>
  <c r="F104" i="23"/>
  <c r="F105" i="23"/>
  <c r="F106" i="23"/>
  <c r="F107" i="23"/>
  <c r="F108" i="23"/>
  <c r="E10" i="19"/>
  <c r="E23" i="19"/>
  <c r="E42" i="19"/>
  <c r="E43" i="19"/>
  <c r="E45" i="19"/>
  <c r="E46" i="19"/>
  <c r="E49" i="19"/>
  <c r="E53" i="19"/>
  <c r="E54" i="19"/>
  <c r="E55" i="19"/>
  <c r="E56" i="19"/>
  <c r="E57" i="19"/>
  <c r="E58" i="19"/>
  <c r="E66" i="19"/>
  <c r="E67" i="19"/>
  <c r="E68" i="19"/>
  <c r="E69" i="19"/>
  <c r="E70" i="19"/>
  <c r="E71" i="19"/>
  <c r="E72" i="19"/>
  <c r="E76" i="19"/>
  <c r="E77" i="19"/>
  <c r="E83" i="19"/>
  <c r="E88" i="19"/>
  <c r="E96" i="19"/>
  <c r="E97" i="19"/>
  <c r="E98" i="19"/>
  <c r="E99" i="19"/>
  <c r="E101" i="19"/>
  <c r="E102" i="19"/>
  <c r="E103" i="19"/>
  <c r="E106" i="19"/>
  <c r="E107" i="19"/>
  <c r="F6" i="1"/>
  <c r="CJ109" i="19"/>
  <c r="CG109" i="19"/>
  <c r="K109" i="19"/>
  <c r="G212" i="23" s="1"/>
  <c r="H109" i="19"/>
  <c r="G108" i="23" s="1"/>
  <c r="D109" i="19"/>
  <c r="CJ108" i="19"/>
  <c r="CG108" i="19"/>
  <c r="K108" i="19"/>
  <c r="G211" i="23" s="1"/>
  <c r="H108" i="19"/>
  <c r="G107" i="23" s="1"/>
  <c r="D108" i="19"/>
  <c r="CJ107" i="19"/>
  <c r="CG107" i="19"/>
  <c r="K107" i="19"/>
  <c r="G210" i="23" s="1"/>
  <c r="H107" i="19"/>
  <c r="G106" i="23" s="1"/>
  <c r="D107" i="19"/>
  <c r="CJ106" i="19"/>
  <c r="CG106" i="19"/>
  <c r="K106" i="19"/>
  <c r="G209" i="23" s="1"/>
  <c r="H106" i="19"/>
  <c r="G105" i="23" s="1"/>
  <c r="D106" i="19"/>
  <c r="CJ105" i="19"/>
  <c r="CG105" i="19"/>
  <c r="K105" i="19"/>
  <c r="G208" i="23" s="1"/>
  <c r="H105" i="19"/>
  <c r="G104" i="23" s="1"/>
  <c r="D105" i="19"/>
  <c r="CJ104" i="19"/>
  <c r="CG104" i="19"/>
  <c r="D104" i="19"/>
  <c r="CJ103" i="19"/>
  <c r="CG103" i="19"/>
  <c r="K103" i="19"/>
  <c r="G206" i="23" s="1"/>
  <c r="H103" i="19"/>
  <c r="G102" i="23" s="1"/>
  <c r="D103" i="19"/>
  <c r="CJ102" i="19"/>
  <c r="CG102" i="19"/>
  <c r="K102" i="19"/>
  <c r="G205" i="23" s="1"/>
  <c r="H102" i="19"/>
  <c r="G101" i="23" s="1"/>
  <c r="D102" i="19"/>
  <c r="CJ101" i="19"/>
  <c r="CG101" i="19"/>
  <c r="K101" i="19"/>
  <c r="G204" i="23" s="1"/>
  <c r="H101" i="19"/>
  <c r="G100" i="23" s="1"/>
  <c r="D101" i="19"/>
  <c r="CJ100" i="19"/>
  <c r="CG100" i="19"/>
  <c r="K100" i="19"/>
  <c r="G203" i="23" s="1"/>
  <c r="H100" i="19"/>
  <c r="G99" i="23" s="1"/>
  <c r="D100" i="19"/>
  <c r="CJ99" i="19"/>
  <c r="CG99" i="19"/>
  <c r="K99" i="19"/>
  <c r="G202" i="23" s="1"/>
  <c r="H99" i="19"/>
  <c r="G98" i="23" s="1"/>
  <c r="D99" i="19"/>
  <c r="CJ98" i="19"/>
  <c r="CG98" i="19"/>
  <c r="K98" i="19"/>
  <c r="G201" i="23" s="1"/>
  <c r="H98" i="19"/>
  <c r="G97" i="23" s="1"/>
  <c r="D98" i="19"/>
  <c r="CJ97" i="19"/>
  <c r="CG97" i="19"/>
  <c r="K97" i="19"/>
  <c r="G200" i="23" s="1"/>
  <c r="H97" i="19"/>
  <c r="G96" i="23" s="1"/>
  <c r="D97" i="19"/>
  <c r="CJ96" i="19"/>
  <c r="CG96" i="19"/>
  <c r="K96" i="19"/>
  <c r="G199" i="23" s="1"/>
  <c r="H96" i="19"/>
  <c r="G95" i="23" s="1"/>
  <c r="D96" i="19"/>
  <c r="CJ95" i="19"/>
  <c r="CG95" i="19"/>
  <c r="K95" i="19"/>
  <c r="G198" i="23" s="1"/>
  <c r="H95" i="19"/>
  <c r="G94" i="23" s="1"/>
  <c r="D95" i="19"/>
  <c r="CJ94" i="19"/>
  <c r="CG94" i="19"/>
  <c r="K94" i="19"/>
  <c r="G197" i="23" s="1"/>
  <c r="H94" i="19"/>
  <c r="G93" i="23" s="1"/>
  <c r="D94" i="19"/>
  <c r="CJ93" i="19"/>
  <c r="CG93" i="19"/>
  <c r="D93" i="19"/>
  <c r="CJ92" i="19"/>
  <c r="CG92" i="19"/>
  <c r="K92" i="19"/>
  <c r="G195" i="23" s="1"/>
  <c r="D92" i="19"/>
  <c r="CJ91" i="19"/>
  <c r="CG91" i="19"/>
  <c r="K91" i="19"/>
  <c r="G194" i="23" s="1"/>
  <c r="H91" i="19"/>
  <c r="G90" i="23" s="1"/>
  <c r="D91" i="19"/>
  <c r="CJ90" i="19"/>
  <c r="CG90" i="19"/>
  <c r="G89" i="23"/>
  <c r="D90" i="19"/>
  <c r="CJ89" i="19"/>
  <c r="CG89" i="19"/>
  <c r="K89" i="19"/>
  <c r="G192" i="23" s="1"/>
  <c r="H89" i="19"/>
  <c r="G88" i="23" s="1"/>
  <c r="D89" i="19"/>
  <c r="CJ88" i="19"/>
  <c r="CG88" i="19"/>
  <c r="K88" i="19"/>
  <c r="G191" i="23" s="1"/>
  <c r="H88" i="19"/>
  <c r="G87" i="23" s="1"/>
  <c r="D88" i="19"/>
  <c r="CJ87" i="19"/>
  <c r="CG87" i="19"/>
  <c r="D87" i="19"/>
  <c r="CJ86" i="19"/>
  <c r="CG86" i="19"/>
  <c r="G189" i="23"/>
  <c r="D86" i="19"/>
  <c r="CJ85" i="19"/>
  <c r="CG85" i="19"/>
  <c r="K85" i="19"/>
  <c r="G188" i="23" s="1"/>
  <c r="H85" i="19"/>
  <c r="G84" i="23" s="1"/>
  <c r="D85" i="19"/>
  <c r="CJ84" i="19"/>
  <c r="CG84" i="19"/>
  <c r="K84" i="19"/>
  <c r="G187" i="23" s="1"/>
  <c r="H84" i="19"/>
  <c r="G83" i="23" s="1"/>
  <c r="D84" i="19"/>
  <c r="CJ83" i="19"/>
  <c r="CG83" i="19"/>
  <c r="K83" i="19"/>
  <c r="G186" i="23" s="1"/>
  <c r="H83" i="19"/>
  <c r="G82" i="23" s="1"/>
  <c r="D83" i="19"/>
  <c r="CJ82" i="19"/>
  <c r="CG82" i="19"/>
  <c r="K82" i="19"/>
  <c r="G185" i="23" s="1"/>
  <c r="H82" i="19"/>
  <c r="G81" i="23" s="1"/>
  <c r="D82" i="19"/>
  <c r="CJ81" i="19"/>
  <c r="K81" i="19"/>
  <c r="G184" i="23" s="1"/>
  <c r="H81" i="19"/>
  <c r="G80" i="23" s="1"/>
  <c r="D81" i="19"/>
  <c r="CJ80" i="19"/>
  <c r="CG80" i="19"/>
  <c r="K80" i="19"/>
  <c r="G183" i="23" s="1"/>
  <c r="G79" i="23"/>
  <c r="D80" i="19"/>
  <c r="CJ79" i="19"/>
  <c r="CG79" i="19"/>
  <c r="K79" i="19"/>
  <c r="G182" i="23" s="1"/>
  <c r="H79" i="19"/>
  <c r="G78" i="23" s="1"/>
  <c r="D79" i="19"/>
  <c r="CJ78" i="19"/>
  <c r="CG78" i="19"/>
  <c r="K78" i="19"/>
  <c r="G181" i="23" s="1"/>
  <c r="H78" i="19"/>
  <c r="G77" i="23" s="1"/>
  <c r="D78" i="19"/>
  <c r="CJ77" i="19"/>
  <c r="CG77" i="19"/>
  <c r="H77" i="19"/>
  <c r="G76" i="23" s="1"/>
  <c r="D77" i="19"/>
  <c r="CJ76" i="19"/>
  <c r="CG76" i="19"/>
  <c r="D76" i="19"/>
  <c r="CJ75" i="19"/>
  <c r="D75" i="19"/>
  <c r="CJ74" i="19"/>
  <c r="CG74" i="19"/>
  <c r="K74" i="19"/>
  <c r="G177" i="23" s="1"/>
  <c r="H74" i="19"/>
  <c r="G73" i="23" s="1"/>
  <c r="D74" i="19"/>
  <c r="CJ73" i="19"/>
  <c r="CG73" i="19"/>
  <c r="D73" i="19"/>
  <c r="CJ72" i="19"/>
  <c r="CG72" i="19"/>
  <c r="K72" i="19"/>
  <c r="G175" i="23" s="1"/>
  <c r="H72" i="19"/>
  <c r="G71" i="23" s="1"/>
  <c r="D72" i="19"/>
  <c r="CJ71" i="19"/>
  <c r="CG71" i="19"/>
  <c r="K71" i="19"/>
  <c r="G174" i="23" s="1"/>
  <c r="H71" i="19"/>
  <c r="G70" i="23" s="1"/>
  <c r="D71" i="19"/>
  <c r="CJ70" i="19"/>
  <c r="CG70" i="19"/>
  <c r="K70" i="19"/>
  <c r="G173" i="23" s="1"/>
  <c r="H70" i="19"/>
  <c r="G69" i="23" s="1"/>
  <c r="D70" i="19"/>
  <c r="CJ69" i="19"/>
  <c r="CG69" i="19"/>
  <c r="K69" i="19"/>
  <c r="G172" i="23" s="1"/>
  <c r="H69" i="19"/>
  <c r="G68" i="23" s="1"/>
  <c r="D69" i="19"/>
  <c r="CJ68" i="19"/>
  <c r="CG68" i="19"/>
  <c r="K68" i="19"/>
  <c r="G171" i="23" s="1"/>
  <c r="H68" i="19"/>
  <c r="G67" i="23" s="1"/>
  <c r="D68" i="19"/>
  <c r="CJ67" i="19"/>
  <c r="CG67" i="19"/>
  <c r="K67" i="19"/>
  <c r="G170" i="23" s="1"/>
  <c r="H67" i="19"/>
  <c r="G66" i="23" s="1"/>
  <c r="D67" i="19"/>
  <c r="CJ66" i="19"/>
  <c r="CG66" i="19"/>
  <c r="K66" i="19"/>
  <c r="G169" i="23" s="1"/>
  <c r="H66" i="19"/>
  <c r="G65" i="23" s="1"/>
  <c r="D66" i="19"/>
  <c r="CJ65" i="19"/>
  <c r="CG65" i="19"/>
  <c r="K65" i="19"/>
  <c r="G168" i="23" s="1"/>
  <c r="H65" i="19"/>
  <c r="G64" i="23" s="1"/>
  <c r="D65" i="19"/>
  <c r="CJ64" i="19"/>
  <c r="CG64" i="19"/>
  <c r="K64" i="19"/>
  <c r="G167" i="23" s="1"/>
  <c r="H64" i="19"/>
  <c r="G63" i="23" s="1"/>
  <c r="D64" i="19"/>
  <c r="CJ63" i="19"/>
  <c r="CG63" i="19"/>
  <c r="K63" i="19"/>
  <c r="G166" i="23" s="1"/>
  <c r="H63" i="19"/>
  <c r="G62" i="23" s="1"/>
  <c r="D63" i="19"/>
  <c r="CJ62" i="19"/>
  <c r="CG62" i="19"/>
  <c r="K62" i="19"/>
  <c r="G165" i="23" s="1"/>
  <c r="H62" i="19"/>
  <c r="G61" i="23" s="1"/>
  <c r="D62" i="19"/>
  <c r="CJ61" i="19"/>
  <c r="CG61" i="19"/>
  <c r="K61" i="19"/>
  <c r="G164" i="23" s="1"/>
  <c r="H61" i="19"/>
  <c r="G60" i="23" s="1"/>
  <c r="D61" i="19"/>
  <c r="CJ60" i="19"/>
  <c r="CG60" i="19"/>
  <c r="K60" i="19"/>
  <c r="G163" i="23" s="1"/>
  <c r="D60" i="19"/>
  <c r="CJ59" i="19"/>
  <c r="CG59" i="19"/>
  <c r="K59" i="19"/>
  <c r="G162" i="23" s="1"/>
  <c r="G58" i="23"/>
  <c r="D59" i="19"/>
  <c r="CJ58" i="19"/>
  <c r="CG58" i="19"/>
  <c r="K58" i="19"/>
  <c r="G161" i="23" s="1"/>
  <c r="H58" i="19"/>
  <c r="G57" i="23" s="1"/>
  <c r="D58" i="19"/>
  <c r="CJ57" i="19"/>
  <c r="CG57" i="19"/>
  <c r="K57" i="19"/>
  <c r="G160" i="23" s="1"/>
  <c r="H57" i="19"/>
  <c r="G56" i="23" s="1"/>
  <c r="D57" i="19"/>
  <c r="CJ56" i="19"/>
  <c r="CG56" i="19"/>
  <c r="K56" i="19"/>
  <c r="G159" i="23" s="1"/>
  <c r="H56" i="19"/>
  <c r="G55" i="23" s="1"/>
  <c r="D56" i="19"/>
  <c r="CJ55" i="19"/>
  <c r="CG55" i="19"/>
  <c r="K55" i="19"/>
  <c r="G158" i="23" s="1"/>
  <c r="H55" i="19"/>
  <c r="G54" i="23" s="1"/>
  <c r="D55" i="19"/>
  <c r="CJ54" i="19"/>
  <c r="CG54" i="19"/>
  <c r="K54" i="19"/>
  <c r="G157" i="23" s="1"/>
  <c r="H54" i="19"/>
  <c r="G53" i="23" s="1"/>
  <c r="D54" i="19"/>
  <c r="CJ53" i="19"/>
  <c r="CG53" i="19"/>
  <c r="K53" i="19"/>
  <c r="G156" i="23" s="1"/>
  <c r="H53" i="19"/>
  <c r="G52" i="23" s="1"/>
  <c r="D53" i="19"/>
  <c r="CJ52" i="19"/>
  <c r="CG52" i="19"/>
  <c r="K52" i="19"/>
  <c r="G155" i="23" s="1"/>
  <c r="H52" i="19"/>
  <c r="G51" i="23" s="1"/>
  <c r="D52" i="19"/>
  <c r="CJ51" i="19"/>
  <c r="CG51" i="19"/>
  <c r="K51" i="19"/>
  <c r="G154" i="23" s="1"/>
  <c r="H51" i="19"/>
  <c r="G50" i="23" s="1"/>
  <c r="D51" i="19"/>
  <c r="CJ50" i="19"/>
  <c r="CG50" i="19"/>
  <c r="D50" i="19"/>
  <c r="CJ49" i="19"/>
  <c r="CG49" i="19"/>
  <c r="K49" i="19"/>
  <c r="G152" i="23" s="1"/>
  <c r="H49" i="19"/>
  <c r="G48" i="23" s="1"/>
  <c r="D49" i="19"/>
  <c r="CJ48" i="19"/>
  <c r="CG48" i="19"/>
  <c r="K48" i="19"/>
  <c r="G151" i="23" s="1"/>
  <c r="H48" i="19"/>
  <c r="G47" i="23" s="1"/>
  <c r="D48" i="19"/>
  <c r="CJ47" i="19"/>
  <c r="CG47" i="19"/>
  <c r="K47" i="19"/>
  <c r="G150" i="23" s="1"/>
  <c r="H47" i="19"/>
  <c r="G46" i="23" s="1"/>
  <c r="D47" i="19"/>
  <c r="CJ46" i="19"/>
  <c r="CG46" i="19"/>
  <c r="K46" i="19"/>
  <c r="G149" i="23" s="1"/>
  <c r="H46" i="19"/>
  <c r="G45" i="23" s="1"/>
  <c r="D46" i="19"/>
  <c r="CJ45" i="19"/>
  <c r="CG45" i="19"/>
  <c r="K45" i="19"/>
  <c r="G148" i="23" s="1"/>
  <c r="H45" i="19"/>
  <c r="G44" i="23" s="1"/>
  <c r="D45" i="19"/>
  <c r="CJ44" i="19"/>
  <c r="CG44" i="19"/>
  <c r="K44" i="19"/>
  <c r="G147" i="23" s="1"/>
  <c r="H44" i="19"/>
  <c r="G43" i="23" s="1"/>
  <c r="D44" i="19"/>
  <c r="CJ43" i="19"/>
  <c r="CG43" i="19"/>
  <c r="D43" i="19"/>
  <c r="CJ42" i="19"/>
  <c r="CG42" i="19"/>
  <c r="K42" i="19"/>
  <c r="G145" i="23" s="1"/>
  <c r="H42" i="19"/>
  <c r="G41" i="23" s="1"/>
  <c r="D42" i="19"/>
  <c r="CJ41" i="19"/>
  <c r="CG41" i="19"/>
  <c r="K41" i="19"/>
  <c r="G144" i="23" s="1"/>
  <c r="H41" i="19"/>
  <c r="G40" i="23" s="1"/>
  <c r="D41" i="19"/>
  <c r="CJ40" i="19"/>
  <c r="CG40" i="19"/>
  <c r="K40" i="19"/>
  <c r="G143" i="23" s="1"/>
  <c r="H40" i="19"/>
  <c r="G39" i="23" s="1"/>
  <c r="D40" i="19"/>
  <c r="CJ39" i="19"/>
  <c r="CG39" i="19"/>
  <c r="K39" i="19"/>
  <c r="G142" i="23" s="1"/>
  <c r="H39" i="19"/>
  <c r="G38" i="23" s="1"/>
  <c r="D39" i="19"/>
  <c r="CJ38" i="19"/>
  <c r="CG38" i="19"/>
  <c r="K38" i="19"/>
  <c r="G141" i="23" s="1"/>
  <c r="H38" i="19"/>
  <c r="G37" i="23" s="1"/>
  <c r="D38" i="19"/>
  <c r="CJ37" i="19"/>
  <c r="CG37" i="19"/>
  <c r="G140" i="23"/>
  <c r="G36" i="23"/>
  <c r="D37" i="19"/>
  <c r="CJ36" i="19"/>
  <c r="CG36" i="19"/>
  <c r="H36" i="19"/>
  <c r="G35" i="23" s="1"/>
  <c r="D36" i="19"/>
  <c r="CJ35" i="19"/>
  <c r="CG35" i="19"/>
  <c r="G138" i="23"/>
  <c r="G34" i="23"/>
  <c r="D35" i="19"/>
  <c r="CJ34" i="19"/>
  <c r="CG34" i="19"/>
  <c r="D34" i="19"/>
  <c r="CJ33" i="19"/>
  <c r="CG33" i="19"/>
  <c r="D33" i="19"/>
  <c r="CJ32" i="19"/>
  <c r="CG32" i="19"/>
  <c r="H32" i="19"/>
  <c r="G31" i="23" s="1"/>
  <c r="D32" i="19"/>
  <c r="CJ31" i="19"/>
  <c r="CG31" i="19"/>
  <c r="K31" i="19"/>
  <c r="G134" i="23" s="1"/>
  <c r="H31" i="19"/>
  <c r="G30" i="23" s="1"/>
  <c r="D31" i="19"/>
  <c r="CJ30" i="19"/>
  <c r="CG30" i="19"/>
  <c r="K30" i="19"/>
  <c r="G133" i="23" s="1"/>
  <c r="H30" i="19"/>
  <c r="G29" i="23" s="1"/>
  <c r="D30" i="19"/>
  <c r="CJ29" i="19"/>
  <c r="CG29" i="19"/>
  <c r="D29" i="19"/>
  <c r="CJ28" i="19"/>
  <c r="CG28" i="19"/>
  <c r="K28" i="19"/>
  <c r="G131" i="23" s="1"/>
  <c r="D28" i="19"/>
  <c r="CJ27" i="19"/>
  <c r="CG27" i="19"/>
  <c r="G130" i="23"/>
  <c r="G26" i="23"/>
  <c r="D27" i="19"/>
  <c r="CJ26" i="19"/>
  <c r="CG26" i="19"/>
  <c r="K26" i="19"/>
  <c r="G129" i="23" s="1"/>
  <c r="H26" i="19"/>
  <c r="G25" i="23" s="1"/>
  <c r="D26" i="19"/>
  <c r="CJ25" i="19"/>
  <c r="CG25" i="19"/>
  <c r="K25" i="19"/>
  <c r="G128" i="23" s="1"/>
  <c r="H25" i="19"/>
  <c r="G24" i="23" s="1"/>
  <c r="D25" i="19"/>
  <c r="CJ24" i="19"/>
  <c r="CG24" i="19"/>
  <c r="K24" i="19"/>
  <c r="G127" i="23" s="1"/>
  <c r="G23" i="23"/>
  <c r="D24" i="19"/>
  <c r="CJ23" i="19"/>
  <c r="CG23" i="19"/>
  <c r="K23" i="19"/>
  <c r="G126" i="23" s="1"/>
  <c r="H23" i="19"/>
  <c r="G22" i="23" s="1"/>
  <c r="D23" i="19"/>
  <c r="CJ22" i="19"/>
  <c r="CG22" i="19"/>
  <c r="D22" i="19"/>
  <c r="CJ21" i="19"/>
  <c r="CG21" i="19"/>
  <c r="K21" i="19"/>
  <c r="G124" i="23" s="1"/>
  <c r="H21" i="19"/>
  <c r="G20" i="23" s="1"/>
  <c r="D21" i="19"/>
  <c r="CJ20" i="19"/>
  <c r="CG20" i="19"/>
  <c r="H20" i="19"/>
  <c r="G19" i="23" s="1"/>
  <c r="D20" i="19"/>
  <c r="CJ19" i="19"/>
  <c r="CG19" i="19"/>
  <c r="K19" i="19"/>
  <c r="G122" i="23" s="1"/>
  <c r="H19" i="19"/>
  <c r="G18" i="23" s="1"/>
  <c r="D19" i="19"/>
  <c r="CJ18" i="19"/>
  <c r="CG18" i="19"/>
  <c r="D18" i="19"/>
  <c r="CJ17" i="19"/>
  <c r="CG17" i="19"/>
  <c r="D17" i="19"/>
  <c r="CJ16" i="19"/>
  <c r="CG16" i="19"/>
  <c r="K16" i="19"/>
  <c r="G119" i="23" s="1"/>
  <c r="D16" i="19"/>
  <c r="CJ15" i="19"/>
  <c r="CG15" i="19"/>
  <c r="K15" i="19"/>
  <c r="G118" i="23" s="1"/>
  <c r="D15" i="19"/>
  <c r="CJ14" i="19"/>
  <c r="CG14" i="19"/>
  <c r="K14" i="19"/>
  <c r="G117" i="23" s="1"/>
  <c r="H14" i="19"/>
  <c r="G13" i="23" s="1"/>
  <c r="D14" i="19"/>
  <c r="CJ13" i="19"/>
  <c r="K13" i="19"/>
  <c r="G116" i="23" s="1"/>
  <c r="H13" i="19"/>
  <c r="G12" i="23" s="1"/>
  <c r="D13" i="19"/>
  <c r="CJ12" i="19"/>
  <c r="CG12" i="19"/>
  <c r="K12" i="19"/>
  <c r="G115" i="23" s="1"/>
  <c r="H12" i="19"/>
  <c r="G11" i="23" s="1"/>
  <c r="D12" i="19"/>
  <c r="CJ11" i="19"/>
  <c r="CG11" i="19"/>
  <c r="K11" i="19"/>
  <c r="G114" i="23" s="1"/>
  <c r="H11" i="19"/>
  <c r="G10" i="23" s="1"/>
  <c r="D11" i="19"/>
  <c r="CJ10" i="19"/>
  <c r="CG10" i="19"/>
  <c r="K10" i="19"/>
  <c r="G113" i="23" s="1"/>
  <c r="H10" i="19"/>
  <c r="G9" i="23" s="1"/>
  <c r="D10" i="19"/>
  <c r="CJ9" i="19"/>
  <c r="CG9" i="19"/>
  <c r="K9" i="19"/>
  <c r="G112" i="23" s="1"/>
  <c r="H9" i="19"/>
  <c r="G8" i="23" s="1"/>
  <c r="D9" i="19"/>
  <c r="CJ8" i="19"/>
  <c r="CG8" i="19"/>
  <c r="K8" i="19"/>
  <c r="G111" i="23" s="1"/>
  <c r="H8" i="19"/>
  <c r="G7" i="23" s="1"/>
  <c r="D8" i="19"/>
  <c r="CJ7" i="19"/>
  <c r="CG7" i="19"/>
  <c r="K7" i="19"/>
  <c r="G110" i="23" s="1"/>
  <c r="H7" i="19"/>
  <c r="G6" i="23" s="1"/>
  <c r="D7" i="19"/>
  <c r="CJ6" i="19"/>
  <c r="CG6" i="19"/>
  <c r="CB6" i="19"/>
  <c r="BY6" i="19"/>
  <c r="G2397" i="23" s="1"/>
  <c r="H2397" i="23" s="1"/>
  <c r="BV6" i="19"/>
  <c r="G2293" i="23" s="1"/>
  <c r="H2293" i="23" s="1"/>
  <c r="BS6" i="19"/>
  <c r="G2189" i="23" s="1"/>
  <c r="H2189" i="23" s="1"/>
  <c r="BP6" i="19"/>
  <c r="G2085" i="23" s="1"/>
  <c r="H2085" i="23" s="1"/>
  <c r="BM6" i="19"/>
  <c r="G1981" i="23" s="1"/>
  <c r="H1981" i="23" s="1"/>
  <c r="BJ6" i="19"/>
  <c r="G1877" i="23" s="1"/>
  <c r="H1877" i="23" s="1"/>
  <c r="BG6" i="19"/>
  <c r="BD6" i="19"/>
  <c r="G1669" i="23" s="1"/>
  <c r="BA6" i="19"/>
  <c r="G1565" i="23" s="1"/>
  <c r="AX6" i="19"/>
  <c r="G1461" i="23" s="1"/>
  <c r="AU6" i="19"/>
  <c r="G1357" i="23" s="1"/>
  <c r="AR6" i="19"/>
  <c r="G1253" i="23" s="1"/>
  <c r="AO6" i="19"/>
  <c r="G1149" i="23" s="1"/>
  <c r="AL6" i="19"/>
  <c r="G1045" i="23" s="1"/>
  <c r="AI6" i="19"/>
  <c r="G941" i="23" s="1"/>
  <c r="AF6" i="19"/>
  <c r="G837" i="23" s="1"/>
  <c r="AC6" i="19"/>
  <c r="G733" i="23" s="1"/>
  <c r="Z6" i="19"/>
  <c r="G629" i="23" s="1"/>
  <c r="W6" i="19"/>
  <c r="G525" i="23" s="1"/>
  <c r="Q6" i="19"/>
  <c r="G317" i="23" s="1"/>
  <c r="N6" i="19"/>
  <c r="G213" i="23" s="1"/>
  <c r="K6" i="19"/>
  <c r="G109" i="23" s="1"/>
  <c r="H6" i="19"/>
  <c r="G5" i="23" s="1"/>
  <c r="D6" i="19"/>
  <c r="F109" i="23" l="1"/>
  <c r="H109" i="23" s="1"/>
  <c r="CD6" i="19"/>
  <c r="H107" i="23"/>
  <c r="I107" i="23" s="1"/>
  <c r="J107" i="23" s="1"/>
  <c r="K107" i="23" s="1"/>
  <c r="H97" i="23"/>
  <c r="I97" i="23" s="1"/>
  <c r="J97" i="23" s="1"/>
  <c r="K97" i="23" s="1"/>
  <c r="F6" i="23"/>
  <c r="H6" i="23" s="1"/>
  <c r="I6" i="23" s="1"/>
  <c r="J6" i="23" s="1"/>
  <c r="H99" i="23"/>
  <c r="I99" i="23" s="1"/>
  <c r="J99" i="23" s="1"/>
  <c r="K99" i="23" s="1"/>
  <c r="H187" i="23"/>
  <c r="I187" i="23" s="1"/>
  <c r="J187" i="23" s="1"/>
  <c r="K187" i="23" s="1"/>
  <c r="H163" i="23"/>
  <c r="I163" i="23" s="1"/>
  <c r="J163" i="23" s="1"/>
  <c r="K163" i="23" s="1"/>
  <c r="H115" i="23"/>
  <c r="I115" i="23" s="1"/>
  <c r="J115" i="23" s="1"/>
  <c r="K115" i="23" s="1"/>
  <c r="H51" i="23"/>
  <c r="I51" i="23" s="1"/>
  <c r="J51" i="23" s="1"/>
  <c r="K51" i="23" s="1"/>
  <c r="H19" i="23"/>
  <c r="I19" i="23" s="1"/>
  <c r="J19" i="23" s="1"/>
  <c r="K19" i="23" s="1"/>
  <c r="H171" i="23"/>
  <c r="I171" i="23" s="1"/>
  <c r="J171" i="23" s="1"/>
  <c r="K171" i="23" s="1"/>
  <c r="H87" i="23"/>
  <c r="I87" i="23" s="1"/>
  <c r="J87" i="23" s="1"/>
  <c r="H39" i="23"/>
  <c r="H41" i="23"/>
  <c r="I41" i="23" s="1"/>
  <c r="J41" i="23" s="1"/>
  <c r="K41" i="23" s="1"/>
  <c r="H93" i="23"/>
  <c r="I93" i="23" s="1"/>
  <c r="J93" i="23" s="1"/>
  <c r="H77" i="23"/>
  <c r="I77" i="23" s="1"/>
  <c r="J77" i="23" s="1"/>
  <c r="H173" i="23"/>
  <c r="I173" i="23" s="1"/>
  <c r="J173" i="23" s="1"/>
  <c r="H101" i="23"/>
  <c r="I101" i="23" s="1"/>
  <c r="J101" i="23" s="1"/>
  <c r="H53" i="23"/>
  <c r="I53" i="23" s="1"/>
  <c r="J53" i="23" s="1"/>
  <c r="K53" i="23" s="1"/>
  <c r="H13" i="23"/>
  <c r="I13" i="23" s="1"/>
  <c r="J13" i="23" s="1"/>
  <c r="H165" i="23"/>
  <c r="H43" i="23"/>
  <c r="I43" i="23" s="1"/>
  <c r="J43" i="23" s="1"/>
  <c r="K43" i="23" s="1"/>
  <c r="H941" i="23"/>
  <c r="H89" i="23"/>
  <c r="I89" i="23" s="1"/>
  <c r="J89" i="23" s="1"/>
  <c r="K89" i="23" s="1"/>
  <c r="H127" i="23"/>
  <c r="I127" i="23" s="1"/>
  <c r="J127" i="23" s="1"/>
  <c r="H185" i="23"/>
  <c r="I185" i="23" s="1"/>
  <c r="J185" i="23" s="1"/>
  <c r="H47" i="23"/>
  <c r="I47" i="23" s="1"/>
  <c r="J47" i="23" s="1"/>
  <c r="K47" i="23" s="1"/>
  <c r="H37" i="23"/>
  <c r="I37" i="23" s="1"/>
  <c r="J37" i="23" s="1"/>
  <c r="K37" i="23" s="1"/>
  <c r="H57" i="23"/>
  <c r="I57" i="23" s="1"/>
  <c r="J57" i="23" s="1"/>
  <c r="K57" i="23" s="1"/>
  <c r="H169" i="23"/>
  <c r="I169" i="23" s="1"/>
  <c r="J169" i="23" s="1"/>
  <c r="H31" i="23"/>
  <c r="I31" i="23" s="1"/>
  <c r="J31" i="23" s="1"/>
  <c r="H113" i="23"/>
  <c r="I113" i="23" s="1"/>
  <c r="J113" i="23" s="1"/>
  <c r="K113" i="23" s="1"/>
  <c r="I1877" i="23"/>
  <c r="J1877" i="23" s="1"/>
  <c r="K1877" i="23" s="1"/>
  <c r="I2085" i="23"/>
  <c r="J2085" i="23" s="1"/>
  <c r="K2085" i="23" s="1"/>
  <c r="I2293" i="23"/>
  <c r="J2293" i="23" s="1"/>
  <c r="K2293" i="23" s="1"/>
  <c r="I2397" i="23"/>
  <c r="J2397" i="23" s="1"/>
  <c r="K2397" i="23" s="1"/>
  <c r="H45" i="23"/>
  <c r="H29" i="23"/>
  <c r="I29" i="23" s="1"/>
  <c r="J29" i="23" s="1"/>
  <c r="H195" i="23"/>
  <c r="I195" i="23" s="1"/>
  <c r="J195" i="23" s="1"/>
  <c r="K195" i="23" s="1"/>
  <c r="H147" i="23"/>
  <c r="I147" i="23" s="1"/>
  <c r="J147" i="23" s="1"/>
  <c r="K147" i="23" s="1"/>
  <c r="H1149" i="23"/>
  <c r="H525" i="23"/>
  <c r="H1357" i="23"/>
  <c r="H105" i="23"/>
  <c r="I105" i="23" s="1"/>
  <c r="J105" i="23" s="1"/>
  <c r="K105" i="23" s="1"/>
  <c r="H177" i="23"/>
  <c r="I177" i="23" s="1"/>
  <c r="J177" i="23" s="1"/>
  <c r="H129" i="23"/>
  <c r="I129" i="23" s="1"/>
  <c r="J129" i="23" s="1"/>
  <c r="K129" i="23" s="1"/>
  <c r="H1565" i="23"/>
  <c r="H95" i="23"/>
  <c r="I95" i="23" s="1"/>
  <c r="J95" i="23" s="1"/>
  <c r="H79" i="23"/>
  <c r="I79" i="23" s="1"/>
  <c r="J79" i="23" s="1"/>
  <c r="K79" i="23" s="1"/>
  <c r="H55" i="23"/>
  <c r="I55" i="23" s="1"/>
  <c r="J55" i="23" s="1"/>
  <c r="H175" i="23"/>
  <c r="I175" i="23" s="1"/>
  <c r="J175" i="23" s="1"/>
  <c r="K175" i="23" s="1"/>
  <c r="H167" i="23"/>
  <c r="I167" i="23" s="1"/>
  <c r="J167" i="23" s="1"/>
  <c r="H111" i="23"/>
  <c r="I111" i="23" s="1"/>
  <c r="J111" i="23" s="1"/>
  <c r="K111" i="23" s="1"/>
  <c r="H733" i="23"/>
  <c r="H9" i="23"/>
  <c r="I9" i="23" s="1"/>
  <c r="J9" i="23" s="1"/>
  <c r="K9" i="23" s="1"/>
  <c r="H35" i="23"/>
  <c r="I35" i="23" s="1"/>
  <c r="J35" i="23" s="1"/>
  <c r="K35" i="23" s="1"/>
  <c r="H131" i="23"/>
  <c r="I131" i="23" s="1"/>
  <c r="J131" i="23" s="1"/>
  <c r="K131" i="23" s="1"/>
  <c r="H81" i="23"/>
  <c r="I81" i="23" s="1"/>
  <c r="J81" i="23" s="1"/>
  <c r="K81" i="23" s="1"/>
  <c r="H65" i="23"/>
  <c r="I65" i="23" s="1"/>
  <c r="J65" i="23" s="1"/>
  <c r="K65" i="23" s="1"/>
  <c r="H209" i="23"/>
  <c r="I209" i="23" s="1"/>
  <c r="J209" i="23" s="1"/>
  <c r="I421" i="23"/>
  <c r="J421" i="23" s="1"/>
  <c r="H629" i="23"/>
  <c r="H1461" i="23"/>
  <c r="H837" i="23"/>
  <c r="H1669" i="23"/>
  <c r="H1045" i="23"/>
  <c r="H213" i="23"/>
  <c r="H317" i="23"/>
  <c r="H1253" i="23"/>
  <c r="H83" i="23"/>
  <c r="I83" i="23" s="1"/>
  <c r="J83" i="23" s="1"/>
  <c r="K83" i="23" s="1"/>
  <c r="H67" i="23"/>
  <c r="I67" i="23" s="1"/>
  <c r="J67" i="23" s="1"/>
  <c r="K67" i="23" s="1"/>
  <c r="H11" i="23"/>
  <c r="I11" i="23" s="1"/>
  <c r="J11" i="23" s="1"/>
  <c r="K11" i="23" s="1"/>
  <c r="H211" i="23"/>
  <c r="I211" i="23" s="1"/>
  <c r="J211" i="23" s="1"/>
  <c r="K211" i="23" s="1"/>
  <c r="H201" i="23"/>
  <c r="I201" i="23" s="1"/>
  <c r="J201" i="23" s="1"/>
  <c r="H161" i="23"/>
  <c r="I161" i="23" s="1"/>
  <c r="J161" i="23" s="1"/>
  <c r="K161" i="23" s="1"/>
  <c r="H151" i="23"/>
  <c r="I151" i="23" s="1"/>
  <c r="J151" i="23" s="1"/>
  <c r="K151" i="23" s="1"/>
  <c r="H69" i="23"/>
  <c r="I69" i="23" s="1"/>
  <c r="J69" i="23" s="1"/>
  <c r="K69" i="23" s="1"/>
  <c r="H61" i="23"/>
  <c r="I61" i="23" s="1"/>
  <c r="J61" i="23" s="1"/>
  <c r="H205" i="23"/>
  <c r="I205" i="23" s="1"/>
  <c r="J205" i="23" s="1"/>
  <c r="H197" i="23"/>
  <c r="I197" i="23" s="1"/>
  <c r="J197" i="23" s="1"/>
  <c r="K197" i="23" s="1"/>
  <c r="H189" i="23"/>
  <c r="I189" i="23" s="1"/>
  <c r="J189" i="23" s="1"/>
  <c r="H181" i="23"/>
  <c r="I181" i="23" s="1"/>
  <c r="J181" i="23" s="1"/>
  <c r="K181" i="23" s="1"/>
  <c r="H149" i="23"/>
  <c r="I149" i="23" s="1"/>
  <c r="J149" i="23" s="1"/>
  <c r="K149" i="23" s="1"/>
  <c r="H141" i="23"/>
  <c r="I141" i="23" s="1"/>
  <c r="J141" i="23" s="1"/>
  <c r="H133" i="23"/>
  <c r="I133" i="23" s="1"/>
  <c r="J133" i="23" s="1"/>
  <c r="H117" i="23"/>
  <c r="I117" i="23" s="1"/>
  <c r="J117" i="23" s="1"/>
  <c r="H73" i="23"/>
  <c r="I73" i="23" s="1"/>
  <c r="J73" i="23" s="1"/>
  <c r="K73" i="23" s="1"/>
  <c r="H25" i="23"/>
  <c r="I25" i="23" s="1"/>
  <c r="J25" i="23" s="1"/>
  <c r="K25" i="23" s="1"/>
  <c r="I1981" i="23"/>
  <c r="J1981" i="23" s="1"/>
  <c r="H71" i="23"/>
  <c r="I71" i="23" s="1"/>
  <c r="J71" i="23" s="1"/>
  <c r="H23" i="23"/>
  <c r="I23" i="23" s="1"/>
  <c r="J23" i="23" s="1"/>
  <c r="K23" i="23" s="1"/>
  <c r="H191" i="23"/>
  <c r="I191" i="23" s="1"/>
  <c r="J191" i="23" s="1"/>
  <c r="H159" i="23"/>
  <c r="I159" i="23" s="1"/>
  <c r="J159" i="23" s="1"/>
  <c r="H143" i="23"/>
  <c r="I143" i="23" s="1"/>
  <c r="J143" i="23" s="1"/>
  <c r="K143" i="23" s="1"/>
  <c r="I2189" i="23"/>
  <c r="J2189" i="23" s="1"/>
  <c r="H157" i="23"/>
  <c r="I157" i="23" s="1"/>
  <c r="J157" i="23" s="1"/>
  <c r="H108" i="23"/>
  <c r="I108" i="23" s="1"/>
  <c r="J108" i="23" s="1"/>
  <c r="K108" i="23" s="1"/>
  <c r="H100" i="23"/>
  <c r="I100" i="23" s="1"/>
  <c r="J100" i="23" s="1"/>
  <c r="K100" i="23" s="1"/>
  <c r="H84" i="23"/>
  <c r="I84" i="23" s="1"/>
  <c r="J84" i="23" s="1"/>
  <c r="K84" i="23" s="1"/>
  <c r="H76" i="23"/>
  <c r="I76" i="23" s="1"/>
  <c r="J76" i="23" s="1"/>
  <c r="K76" i="23" s="1"/>
  <c r="H68" i="23"/>
  <c r="I68" i="23" s="1"/>
  <c r="J68" i="23" s="1"/>
  <c r="K68" i="23" s="1"/>
  <c r="H60" i="23"/>
  <c r="I60" i="23" s="1"/>
  <c r="J60" i="23" s="1"/>
  <c r="K60" i="23" s="1"/>
  <c r="H52" i="23"/>
  <c r="I52" i="23" s="1"/>
  <c r="J52" i="23" s="1"/>
  <c r="K52" i="23" s="1"/>
  <c r="H44" i="23"/>
  <c r="I44" i="23" s="1"/>
  <c r="J44" i="23" s="1"/>
  <c r="K44" i="23" s="1"/>
  <c r="H36" i="23"/>
  <c r="I36" i="23" s="1"/>
  <c r="J36" i="23" s="1"/>
  <c r="K36" i="23" s="1"/>
  <c r="H20" i="23"/>
  <c r="I20" i="23" s="1"/>
  <c r="H12" i="23"/>
  <c r="I12" i="23" s="1"/>
  <c r="J12" i="23" s="1"/>
  <c r="K12" i="23" s="1"/>
  <c r="H212" i="23"/>
  <c r="I212" i="23" s="1"/>
  <c r="J212" i="23" s="1"/>
  <c r="K212" i="23" s="1"/>
  <c r="H204" i="23"/>
  <c r="I204" i="23" s="1"/>
  <c r="J204" i="23" s="1"/>
  <c r="K204" i="23" s="1"/>
  <c r="H188" i="23"/>
  <c r="I188" i="23" s="1"/>
  <c r="J188" i="23" s="1"/>
  <c r="K188" i="23" s="1"/>
  <c r="H172" i="23"/>
  <c r="I172" i="23" s="1"/>
  <c r="J172" i="23" s="1"/>
  <c r="K172" i="23" s="1"/>
  <c r="H164" i="23"/>
  <c r="I164" i="23" s="1"/>
  <c r="J164" i="23" s="1"/>
  <c r="K164" i="23" s="1"/>
  <c r="H156" i="23"/>
  <c r="I156" i="23" s="1"/>
  <c r="J156" i="23" s="1"/>
  <c r="K156" i="23" s="1"/>
  <c r="H148" i="23"/>
  <c r="I148" i="23" s="1"/>
  <c r="J148" i="23" s="1"/>
  <c r="K148" i="23" s="1"/>
  <c r="H140" i="23"/>
  <c r="I140" i="23" s="1"/>
  <c r="J140" i="23" s="1"/>
  <c r="K140" i="23" s="1"/>
  <c r="H124" i="23"/>
  <c r="I124" i="23" s="1"/>
  <c r="J124" i="23" s="1"/>
  <c r="K124" i="23" s="1"/>
  <c r="H116" i="23"/>
  <c r="I116" i="23" s="1"/>
  <c r="J116" i="23" s="1"/>
  <c r="K116" i="23" s="1"/>
  <c r="CC6" i="19"/>
  <c r="G2501" i="23"/>
  <c r="H2501" i="23" s="1"/>
  <c r="H106" i="23"/>
  <c r="I106" i="23" s="1"/>
  <c r="J106" i="23" s="1"/>
  <c r="K106" i="23" s="1"/>
  <c r="H98" i="23"/>
  <c r="I98" i="23" s="1"/>
  <c r="J98" i="23" s="1"/>
  <c r="H90" i="23"/>
  <c r="I90" i="23" s="1"/>
  <c r="J90" i="23" s="1"/>
  <c r="K90" i="23" s="1"/>
  <c r="H82" i="23"/>
  <c r="I82" i="23" s="1"/>
  <c r="J82" i="23" s="1"/>
  <c r="H66" i="23"/>
  <c r="I66" i="23" s="1"/>
  <c r="J66" i="23" s="1"/>
  <c r="H58" i="23"/>
  <c r="I58" i="23" s="1"/>
  <c r="J58" i="23" s="1"/>
  <c r="K58" i="23" s="1"/>
  <c r="H50" i="23"/>
  <c r="I50" i="23" s="1"/>
  <c r="J50" i="23" s="1"/>
  <c r="H34" i="23"/>
  <c r="I34" i="23" s="1"/>
  <c r="J34" i="23" s="1"/>
  <c r="H26" i="23"/>
  <c r="I26" i="23" s="1"/>
  <c r="J26" i="23" s="1"/>
  <c r="K26" i="23" s="1"/>
  <c r="H18" i="23"/>
  <c r="I18" i="23" s="1"/>
  <c r="J18" i="23" s="1"/>
  <c r="H10" i="23"/>
  <c r="I10" i="23" s="1"/>
  <c r="J10" i="23" s="1"/>
  <c r="K10" i="23" s="1"/>
  <c r="H210" i="23"/>
  <c r="I210" i="23" s="1"/>
  <c r="J210" i="23" s="1"/>
  <c r="H202" i="23"/>
  <c r="I202" i="23" s="1"/>
  <c r="J202" i="23" s="1"/>
  <c r="K202" i="23" s="1"/>
  <c r="H194" i="23"/>
  <c r="I194" i="23" s="1"/>
  <c r="J194" i="23" s="1"/>
  <c r="H186" i="23"/>
  <c r="I186" i="23" s="1"/>
  <c r="J186" i="23" s="1"/>
  <c r="K186" i="23" s="1"/>
  <c r="H170" i="23"/>
  <c r="I170" i="23" s="1"/>
  <c r="J170" i="23" s="1"/>
  <c r="K170" i="23" s="1"/>
  <c r="H162" i="23"/>
  <c r="I162" i="23" s="1"/>
  <c r="J162" i="23" s="1"/>
  <c r="H154" i="23"/>
  <c r="I154" i="23" s="1"/>
  <c r="J154" i="23" s="1"/>
  <c r="K154" i="23" s="1"/>
  <c r="H138" i="23"/>
  <c r="I138" i="23" s="1"/>
  <c r="J138" i="23" s="1"/>
  <c r="K138" i="23" s="1"/>
  <c r="H130" i="23"/>
  <c r="I130" i="23" s="1"/>
  <c r="J130" i="23" s="1"/>
  <c r="H122" i="23"/>
  <c r="I122" i="23" s="1"/>
  <c r="J122" i="23" s="1"/>
  <c r="K122" i="23" s="1"/>
  <c r="H114" i="23"/>
  <c r="I114" i="23" s="1"/>
  <c r="J114" i="23" s="1"/>
  <c r="H203" i="23"/>
  <c r="I203" i="23" s="1"/>
  <c r="J203" i="23" s="1"/>
  <c r="K203" i="23" s="1"/>
  <c r="H155" i="23"/>
  <c r="I155" i="23" s="1"/>
  <c r="J155" i="23" s="1"/>
  <c r="K155" i="23" s="1"/>
  <c r="H104" i="23"/>
  <c r="I104" i="23" s="1"/>
  <c r="J104" i="23" s="1"/>
  <c r="K104" i="23" s="1"/>
  <c r="H96" i="23"/>
  <c r="I96" i="23" s="1"/>
  <c r="J96" i="23" s="1"/>
  <c r="K96" i="23" s="1"/>
  <c r="H88" i="23"/>
  <c r="I88" i="23" s="1"/>
  <c r="J88" i="23" s="1"/>
  <c r="H80" i="23"/>
  <c r="I80" i="23" s="1"/>
  <c r="J80" i="23" s="1"/>
  <c r="K80" i="23" s="1"/>
  <c r="H64" i="23"/>
  <c r="I64" i="23" s="1"/>
  <c r="J64" i="23" s="1"/>
  <c r="H56" i="23"/>
  <c r="I56" i="23" s="1"/>
  <c r="J56" i="23" s="1"/>
  <c r="K56" i="23" s="1"/>
  <c r="H48" i="23"/>
  <c r="I48" i="23" s="1"/>
  <c r="J48" i="23" s="1"/>
  <c r="K48" i="23" s="1"/>
  <c r="H40" i="23"/>
  <c r="I40" i="23" s="1"/>
  <c r="J40" i="23" s="1"/>
  <c r="K40" i="23" s="1"/>
  <c r="H24" i="23"/>
  <c r="I24" i="23" s="1"/>
  <c r="J24" i="23" s="1"/>
  <c r="H8" i="23"/>
  <c r="I8" i="23" s="1"/>
  <c r="J8" i="23" s="1"/>
  <c r="H208" i="23"/>
  <c r="I208" i="23" s="1"/>
  <c r="J208" i="23" s="1"/>
  <c r="K208" i="23" s="1"/>
  <c r="H200" i="23"/>
  <c r="I200" i="23" s="1"/>
  <c r="J200" i="23" s="1"/>
  <c r="H192" i="23"/>
  <c r="I192" i="23" s="1"/>
  <c r="J192" i="23" s="1"/>
  <c r="K192" i="23" s="1"/>
  <c r="H184" i="23"/>
  <c r="I184" i="23" s="1"/>
  <c r="J184" i="23" s="1"/>
  <c r="K184" i="23" s="1"/>
  <c r="H168" i="23"/>
  <c r="I168" i="23" s="1"/>
  <c r="J168" i="23" s="1"/>
  <c r="K168" i="23" s="1"/>
  <c r="H160" i="23"/>
  <c r="I160" i="23" s="1"/>
  <c r="J160" i="23" s="1"/>
  <c r="K160" i="23" s="1"/>
  <c r="H152" i="23"/>
  <c r="I152" i="23" s="1"/>
  <c r="J152" i="23" s="1"/>
  <c r="H144" i="23"/>
  <c r="I144" i="23" s="1"/>
  <c r="J144" i="23" s="1"/>
  <c r="H128" i="23"/>
  <c r="I128" i="23" s="1"/>
  <c r="J128" i="23" s="1"/>
  <c r="K128" i="23" s="1"/>
  <c r="H112" i="23"/>
  <c r="I112" i="23" s="1"/>
  <c r="J112" i="23" s="1"/>
  <c r="K112" i="23" s="1"/>
  <c r="BH6" i="19"/>
  <c r="G1773" i="23"/>
  <c r="H1773" i="23" s="1"/>
  <c r="H145" i="23"/>
  <c r="I145" i="23" s="1"/>
  <c r="J145" i="23" s="1"/>
  <c r="K145" i="23" s="1"/>
  <c r="H63" i="23"/>
  <c r="I63" i="23" s="1"/>
  <c r="J63" i="23" s="1"/>
  <c r="H7" i="23"/>
  <c r="I7" i="23" s="1"/>
  <c r="J7" i="23" s="1"/>
  <c r="H199" i="23"/>
  <c r="I199" i="23" s="1"/>
  <c r="J199" i="23" s="1"/>
  <c r="H183" i="23"/>
  <c r="I183" i="23" s="1"/>
  <c r="J183" i="23" s="1"/>
  <c r="H119" i="23"/>
  <c r="I119" i="23" s="1"/>
  <c r="J119" i="23" s="1"/>
  <c r="H102" i="23"/>
  <c r="I102" i="23" s="1"/>
  <c r="J102" i="23" s="1"/>
  <c r="H94" i="23"/>
  <c r="I94" i="23" s="1"/>
  <c r="J94" i="23" s="1"/>
  <c r="H78" i="23"/>
  <c r="I78" i="23" s="1"/>
  <c r="J78" i="23" s="1"/>
  <c r="H70" i="23"/>
  <c r="I70" i="23" s="1"/>
  <c r="J70" i="23" s="1"/>
  <c r="H62" i="23"/>
  <c r="I62" i="23" s="1"/>
  <c r="J62" i="23" s="1"/>
  <c r="H54" i="23"/>
  <c r="I54" i="23" s="1"/>
  <c r="J54" i="23" s="1"/>
  <c r="H46" i="23"/>
  <c r="I46" i="23" s="1"/>
  <c r="J46" i="23" s="1"/>
  <c r="H38" i="23"/>
  <c r="I38" i="23" s="1"/>
  <c r="J38" i="23" s="1"/>
  <c r="H30" i="23"/>
  <c r="I30" i="23" s="1"/>
  <c r="J30" i="23" s="1"/>
  <c r="H22" i="23"/>
  <c r="I22" i="23" s="1"/>
  <c r="J22" i="23" s="1"/>
  <c r="H206" i="23"/>
  <c r="I206" i="23" s="1"/>
  <c r="J206" i="23" s="1"/>
  <c r="H198" i="23"/>
  <c r="I198" i="23" s="1"/>
  <c r="J198" i="23" s="1"/>
  <c r="H182" i="23"/>
  <c r="I182" i="23" s="1"/>
  <c r="J182" i="23" s="1"/>
  <c r="H174" i="23"/>
  <c r="I174" i="23" s="1"/>
  <c r="J174" i="23" s="1"/>
  <c r="H166" i="23"/>
  <c r="I166" i="23" s="1"/>
  <c r="J166" i="23" s="1"/>
  <c r="H158" i="23"/>
  <c r="I158" i="23" s="1"/>
  <c r="J158" i="23" s="1"/>
  <c r="H150" i="23"/>
  <c r="I150" i="23" s="1"/>
  <c r="J150" i="23" s="1"/>
  <c r="H142" i="23"/>
  <c r="I142" i="23" s="1"/>
  <c r="J142" i="23" s="1"/>
  <c r="H134" i="23"/>
  <c r="I134" i="23" s="1"/>
  <c r="J134" i="23" s="1"/>
  <c r="H126" i="23"/>
  <c r="I126" i="23" s="1"/>
  <c r="J126" i="23" s="1"/>
  <c r="H118" i="23"/>
  <c r="I118" i="23" s="1"/>
  <c r="J118" i="23" s="1"/>
  <c r="H110" i="23"/>
  <c r="I110" i="23" s="1"/>
  <c r="J110" i="23" s="1"/>
  <c r="I2573" i="23"/>
  <c r="J2573" i="23" s="1"/>
  <c r="K2573" i="23" s="1"/>
  <c r="I1814" i="23"/>
  <c r="J1814" i="23" s="1"/>
  <c r="I1841" i="23"/>
  <c r="J1841" i="23" s="1"/>
  <c r="I1783" i="23"/>
  <c r="J1783" i="23" s="1"/>
  <c r="I1776" i="23"/>
  <c r="J1776" i="23" s="1"/>
  <c r="I1840" i="23"/>
  <c r="J1840" i="23" s="1"/>
  <c r="I1865" i="23"/>
  <c r="J1865" i="23" s="1"/>
  <c r="I1867" i="23"/>
  <c r="J1867" i="23" s="1"/>
  <c r="I1780" i="23"/>
  <c r="J1780" i="23" s="1"/>
  <c r="I1894" i="23"/>
  <c r="J1894" i="23" s="1"/>
  <c r="I1958" i="23"/>
  <c r="J1958" i="23" s="1"/>
  <c r="I1919" i="23"/>
  <c r="J1919" i="23" s="1"/>
  <c r="I1880" i="23"/>
  <c r="J1880" i="23" s="1"/>
  <c r="K1880" i="23" s="1"/>
  <c r="I1962" i="23"/>
  <c r="J1962" i="23" s="1"/>
  <c r="I2038" i="23"/>
  <c r="J2038" i="23" s="1"/>
  <c r="I2036" i="23"/>
  <c r="J2036" i="23" s="1"/>
  <c r="I1986" i="23"/>
  <c r="J1986" i="23" s="1"/>
  <c r="I2050" i="23"/>
  <c r="J2050" i="23" s="1"/>
  <c r="I2035" i="23"/>
  <c r="J2035" i="23" s="1"/>
  <c r="I2004" i="23"/>
  <c r="J2004" i="23" s="1"/>
  <c r="I2129" i="23"/>
  <c r="J2129" i="23" s="1"/>
  <c r="I2161" i="23"/>
  <c r="J2161" i="23" s="1"/>
  <c r="I2090" i="23"/>
  <c r="J2090" i="23" s="1"/>
  <c r="I2122" i="23"/>
  <c r="J2122" i="23" s="1"/>
  <c r="I2186" i="23"/>
  <c r="J2186" i="23" s="1"/>
  <c r="I2115" i="23"/>
  <c r="J2115" i="23" s="1"/>
  <c r="I2147" i="23"/>
  <c r="J2147" i="23" s="1"/>
  <c r="I2179" i="23"/>
  <c r="J2179" i="23" s="1"/>
  <c r="I2108" i="23"/>
  <c r="J2108" i="23" s="1"/>
  <c r="J2172" i="23"/>
  <c r="K2172" i="23" s="1"/>
  <c r="I2101" i="23"/>
  <c r="J2101" i="23" s="1"/>
  <c r="K2101" i="23" s="1"/>
  <c r="I2133" i="23"/>
  <c r="J2133" i="23" s="1"/>
  <c r="I2198" i="23"/>
  <c r="J2198" i="23" s="1"/>
  <c r="I2230" i="23"/>
  <c r="J2230" i="23" s="1"/>
  <c r="I2262" i="23"/>
  <c r="J2262" i="23" s="1"/>
  <c r="K2262" i="23" s="1"/>
  <c r="I2205" i="23"/>
  <c r="J2205" i="23" s="1"/>
  <c r="I2207" i="23"/>
  <c r="J2207" i="23" s="1"/>
  <c r="I2239" i="23"/>
  <c r="J2239" i="23" s="1"/>
  <c r="I2271" i="23"/>
  <c r="J2271" i="23" s="1"/>
  <c r="I2193" i="23"/>
  <c r="J2193" i="23" s="1"/>
  <c r="K2193" i="23" s="1"/>
  <c r="I2225" i="23"/>
  <c r="J2225" i="23" s="1"/>
  <c r="I2257" i="23"/>
  <c r="J2257" i="23" s="1"/>
  <c r="I2226" i="23"/>
  <c r="J2226" i="23" s="1"/>
  <c r="I2258" i="23"/>
  <c r="J2258" i="23" s="1"/>
  <c r="K2258" i="23" s="1"/>
  <c r="I2243" i="23"/>
  <c r="J2243" i="23" s="1"/>
  <c r="I2275" i="23"/>
  <c r="J2275" i="23" s="1"/>
  <c r="I2204" i="23"/>
  <c r="J2204" i="23" s="1"/>
  <c r="I2276" i="23"/>
  <c r="J2276" i="23" s="1"/>
  <c r="K2276" i="23" s="1"/>
  <c r="I2244" i="23"/>
  <c r="J2244" i="23" s="1"/>
  <c r="I2261" i="23"/>
  <c r="J2261" i="23" s="1"/>
  <c r="I2310" i="23"/>
  <c r="J2310" i="23" s="1"/>
  <c r="I2342" i="23"/>
  <c r="J2342" i="23" s="1"/>
  <c r="I2374" i="23"/>
  <c r="J2374" i="23" s="1"/>
  <c r="I2303" i="23"/>
  <c r="J2303" i="23" s="1"/>
  <c r="I2335" i="23"/>
  <c r="J2335" i="23" s="1"/>
  <c r="J2367" i="23"/>
  <c r="K2367" i="23" s="1"/>
  <c r="I2360" i="23"/>
  <c r="J2360" i="23" s="1"/>
  <c r="I2392" i="23"/>
  <c r="J2392" i="23" s="1"/>
  <c r="I2353" i="23"/>
  <c r="J2353" i="23" s="1"/>
  <c r="I2385" i="23"/>
  <c r="J2385" i="23" s="1"/>
  <c r="I2346" i="23"/>
  <c r="J2346" i="23" s="1"/>
  <c r="I2307" i="23"/>
  <c r="J2307" i="23" s="1"/>
  <c r="I2339" i="23"/>
  <c r="J2339" i="23" s="1"/>
  <c r="J2364" i="23"/>
  <c r="K2364" i="23" s="1"/>
  <c r="I2396" i="23"/>
  <c r="J2396" i="23" s="1"/>
  <c r="I2357" i="23"/>
  <c r="J2357" i="23" s="1"/>
  <c r="I2389" i="23"/>
  <c r="J2389" i="23" s="1"/>
  <c r="I2422" i="23"/>
  <c r="J2422" i="23" s="1"/>
  <c r="I2454" i="23"/>
  <c r="J2454" i="23" s="1"/>
  <c r="I2486" i="23"/>
  <c r="J2486" i="23" s="1"/>
  <c r="J2415" i="23"/>
  <c r="K2415" i="23" s="1"/>
  <c r="J2447" i="23"/>
  <c r="K2447" i="23" s="1"/>
  <c r="J2479" i="23"/>
  <c r="K2479" i="23" s="1"/>
  <c r="I2408" i="23"/>
  <c r="J2408" i="23" s="1"/>
  <c r="I2401" i="23"/>
  <c r="J2401" i="23" s="1"/>
  <c r="I2433" i="23"/>
  <c r="J2433" i="23" s="1"/>
  <c r="I2465" i="23"/>
  <c r="J2465" i="23" s="1"/>
  <c r="I2497" i="23"/>
  <c r="J2497" i="23" s="1"/>
  <c r="I2426" i="23"/>
  <c r="J2426" i="23" s="1"/>
  <c r="I2458" i="23"/>
  <c r="J2458" i="23" s="1"/>
  <c r="I2412" i="23"/>
  <c r="J2412" i="23" s="1"/>
  <c r="I2444" i="23"/>
  <c r="J2444" i="23" s="1"/>
  <c r="I2476" i="23"/>
  <c r="J2476" i="23" s="1"/>
  <c r="I2405" i="23"/>
  <c r="J2405" i="23" s="1"/>
  <c r="I2437" i="23"/>
  <c r="J2437" i="23" s="1"/>
  <c r="I2469" i="23"/>
  <c r="J2469" i="23" s="1"/>
  <c r="I2502" i="23"/>
  <c r="J2502" i="23" s="1"/>
  <c r="I2534" i="23"/>
  <c r="J2534" i="23" s="1"/>
  <c r="I2566" i="23"/>
  <c r="J2566" i="23" s="1"/>
  <c r="I2598" i="23"/>
  <c r="J2598" i="23" s="1"/>
  <c r="J2527" i="23"/>
  <c r="K2527" i="23" s="1"/>
  <c r="J2559" i="23"/>
  <c r="K2559" i="23" s="1"/>
  <c r="J2591" i="23"/>
  <c r="K2591" i="23" s="1"/>
  <c r="I2513" i="23"/>
  <c r="J2513" i="23" s="1"/>
  <c r="I2545" i="23"/>
  <c r="J2545" i="23" s="1"/>
  <c r="K2545" i="23" s="1"/>
  <c r="I2577" i="23"/>
  <c r="J2577" i="23" s="1"/>
  <c r="I2524" i="23"/>
  <c r="J2524" i="23" s="1"/>
  <c r="I2556" i="23"/>
  <c r="J2556" i="23" s="1"/>
  <c r="I2588" i="23"/>
  <c r="J2588" i="23" s="1"/>
  <c r="I2517" i="23"/>
  <c r="J2517" i="23" s="1"/>
  <c r="I2549" i="23"/>
  <c r="J2549" i="23" s="1"/>
  <c r="I2581" i="23"/>
  <c r="J2581" i="23" s="1"/>
  <c r="I85" i="23"/>
  <c r="J85" i="23" s="1"/>
  <c r="I1843" i="23"/>
  <c r="J1843" i="23" s="1"/>
  <c r="I1911" i="23"/>
  <c r="J1911" i="23" s="1"/>
  <c r="I1936" i="23"/>
  <c r="J1936" i="23" s="1"/>
  <c r="I1922" i="23"/>
  <c r="J1922" i="23" s="1"/>
  <c r="I1940" i="23"/>
  <c r="J1940" i="23" s="1"/>
  <c r="I2030" i="23"/>
  <c r="J2030" i="23" s="1"/>
  <c r="I2074" i="23"/>
  <c r="J2074" i="23" s="1"/>
  <c r="I2084" i="23"/>
  <c r="J2084" i="23" s="1"/>
  <c r="I2110" i="23"/>
  <c r="J2110" i="23" s="1"/>
  <c r="I2103" i="23"/>
  <c r="J2103" i="23" s="1"/>
  <c r="I2190" i="23"/>
  <c r="J2190" i="23" s="1"/>
  <c r="I2263" i="23"/>
  <c r="J2263" i="23" s="1"/>
  <c r="I2281" i="23"/>
  <c r="J2281" i="23" s="1"/>
  <c r="K2281" i="23" s="1"/>
  <c r="I2359" i="23"/>
  <c r="J2359" i="23" s="1"/>
  <c r="I2345" i="23"/>
  <c r="J2345" i="23" s="1"/>
  <c r="I2363" i="23"/>
  <c r="J2363" i="23" s="1"/>
  <c r="I2414" i="23"/>
  <c r="J2414" i="23" s="1"/>
  <c r="I2450" i="23"/>
  <c r="J2450" i="23" s="1"/>
  <c r="I2468" i="23"/>
  <c r="J2468" i="23" s="1"/>
  <c r="J2551" i="23"/>
  <c r="K2551" i="23" s="1"/>
  <c r="I2580" i="23"/>
  <c r="J2580" i="23" s="1"/>
  <c r="I1782" i="23"/>
  <c r="J1782" i="23" s="1"/>
  <c r="I1846" i="23"/>
  <c r="J1846" i="23" s="1"/>
  <c r="I1839" i="23"/>
  <c r="J1839" i="23" s="1"/>
  <c r="I1825" i="23"/>
  <c r="J1825" i="23" s="1"/>
  <c r="I1808" i="23"/>
  <c r="J1808" i="23" s="1"/>
  <c r="I1809" i="23"/>
  <c r="J1809" i="23" s="1"/>
  <c r="I1876" i="23"/>
  <c r="J1876" i="23" s="1"/>
  <c r="I1951" i="23"/>
  <c r="J1951" i="23" s="1"/>
  <c r="I1912" i="23"/>
  <c r="J1912" i="23" s="1"/>
  <c r="I1944" i="23"/>
  <c r="J1944" i="23" s="1"/>
  <c r="K1944" i="23" s="1"/>
  <c r="I1898" i="23"/>
  <c r="J1898" i="23" s="1"/>
  <c r="I1930" i="23"/>
  <c r="J1930" i="23" s="1"/>
  <c r="I1955" i="23"/>
  <c r="J1955" i="23" s="1"/>
  <c r="I1884" i="23"/>
  <c r="J1884" i="23" s="1"/>
  <c r="I1916" i="23"/>
  <c r="J1916" i="23" s="1"/>
  <c r="I1980" i="23"/>
  <c r="J1980" i="23" s="1"/>
  <c r="I1973" i="23"/>
  <c r="J1973" i="23" s="1"/>
  <c r="I2006" i="23"/>
  <c r="J2006" i="23" s="1"/>
  <c r="I2070" i="23"/>
  <c r="J2070" i="23" s="1"/>
  <c r="I2063" i="23"/>
  <c r="J2063" i="23" s="1"/>
  <c r="K2063" i="23" s="1"/>
  <c r="I2018" i="23"/>
  <c r="J2018" i="23" s="1"/>
  <c r="I2082" i="23"/>
  <c r="J2082" i="23" s="1"/>
  <c r="I2003" i="23"/>
  <c r="J2003" i="23" s="1"/>
  <c r="I2067" i="23"/>
  <c r="J2067" i="23" s="1"/>
  <c r="I1996" i="23"/>
  <c r="J1996" i="23" s="1"/>
  <c r="I1989" i="23"/>
  <c r="J1989" i="23" s="1"/>
  <c r="I2021" i="23"/>
  <c r="J2021" i="23" s="1"/>
  <c r="I2053" i="23"/>
  <c r="J2053" i="23" s="1"/>
  <c r="I2086" i="23"/>
  <c r="J2086" i="23" s="1"/>
  <c r="I2118" i="23"/>
  <c r="J2118" i="23" s="1"/>
  <c r="I2150" i="23"/>
  <c r="J2150" i="23" s="1"/>
  <c r="I2182" i="23"/>
  <c r="J2182" i="23" s="1"/>
  <c r="I2143" i="23"/>
  <c r="J2143" i="23" s="1"/>
  <c r="I2175" i="23"/>
  <c r="J2175" i="23" s="1"/>
  <c r="I178" i="23"/>
  <c r="J178" i="23" s="1"/>
  <c r="I226" i="23"/>
  <c r="J226" i="23" s="1"/>
  <c r="I165" i="23"/>
  <c r="J165" i="23" s="1"/>
  <c r="I1864" i="23"/>
  <c r="J1864" i="23" s="1"/>
  <c r="I1818" i="23"/>
  <c r="J1818" i="23" s="1"/>
  <c r="I1779" i="23"/>
  <c r="J1779" i="23" s="1"/>
  <c r="I1868" i="23"/>
  <c r="J1868" i="23" s="1"/>
  <c r="I1904" i="23"/>
  <c r="J1904" i="23" s="1"/>
  <c r="I1961" i="23"/>
  <c r="J1961" i="23" s="1"/>
  <c r="I1965" i="23"/>
  <c r="J1965" i="23" s="1"/>
  <c r="I2023" i="23"/>
  <c r="J2023" i="23" s="1"/>
  <c r="I2068" i="23"/>
  <c r="J2068" i="23" s="1"/>
  <c r="I2045" i="23"/>
  <c r="J2045" i="23" s="1"/>
  <c r="I2135" i="23"/>
  <c r="J2135" i="23" s="1"/>
  <c r="I2171" i="23"/>
  <c r="J2171" i="23" s="1"/>
  <c r="I2164" i="23"/>
  <c r="J2164" i="23" s="1"/>
  <c r="I2286" i="23"/>
  <c r="J2286" i="23" s="1"/>
  <c r="I2229" i="23"/>
  <c r="J2229" i="23" s="1"/>
  <c r="I2212" i="23"/>
  <c r="J2212" i="23" s="1"/>
  <c r="I2352" i="23"/>
  <c r="J2352" i="23" s="1"/>
  <c r="I2370" i="23"/>
  <c r="J2370" i="23" s="1"/>
  <c r="I2349" i="23"/>
  <c r="J2349" i="23" s="1"/>
  <c r="J2407" i="23"/>
  <c r="K2407" i="23" s="1"/>
  <c r="I2461" i="23"/>
  <c r="J2461" i="23" s="1"/>
  <c r="I2558" i="23"/>
  <c r="J2558" i="23" s="1"/>
  <c r="I2569" i="23"/>
  <c r="J2569" i="23" s="1"/>
  <c r="I2530" i="23"/>
  <c r="J2530" i="23" s="1"/>
  <c r="I2541" i="23"/>
  <c r="J2541" i="23" s="1"/>
  <c r="J92" i="23"/>
  <c r="K92" i="23" s="1"/>
  <c r="I1854" i="23"/>
  <c r="J1854" i="23" s="1"/>
  <c r="I1863" i="23"/>
  <c r="J1863" i="23" s="1"/>
  <c r="I1784" i="23"/>
  <c r="J1784" i="23" s="1"/>
  <c r="I1848" i="23"/>
  <c r="J1848" i="23" s="1"/>
  <c r="I1873" i="23"/>
  <c r="J1873" i="23" s="1"/>
  <c r="I1834" i="23"/>
  <c r="J1834" i="23" s="1"/>
  <c r="I1795" i="23"/>
  <c r="J1795" i="23" s="1"/>
  <c r="I1827" i="23"/>
  <c r="J1827" i="23" s="1"/>
  <c r="I1788" i="23"/>
  <c r="J1788" i="23" s="1"/>
  <c r="I1852" i="23"/>
  <c r="J1852" i="23" s="1"/>
  <c r="I1902" i="23"/>
  <c r="J1902" i="23" s="1"/>
  <c r="I1966" i="23"/>
  <c r="J1966" i="23" s="1"/>
  <c r="I1927" i="23"/>
  <c r="J1927" i="23" s="1"/>
  <c r="I1952" i="23"/>
  <c r="J1952" i="23" s="1"/>
  <c r="I1881" i="23"/>
  <c r="J1881" i="23" s="1"/>
  <c r="I1938" i="23"/>
  <c r="J1938" i="23" s="1"/>
  <c r="I1931" i="23"/>
  <c r="J1931" i="23" s="1"/>
  <c r="I2014" i="23"/>
  <c r="J2014" i="23" s="1"/>
  <c r="I1994" i="23"/>
  <c r="J1994" i="23" s="1"/>
  <c r="I2044" i="23"/>
  <c r="J2044" i="23" s="1"/>
  <c r="I2020" i="23"/>
  <c r="J2020" i="23" s="1"/>
  <c r="I2029" i="23"/>
  <c r="J2029" i="23" s="1"/>
  <c r="I2094" i="23"/>
  <c r="J2094" i="23" s="1"/>
  <c r="I2158" i="23"/>
  <c r="J2158" i="23" s="1"/>
  <c r="I2183" i="23"/>
  <c r="J2183" i="23" s="1"/>
  <c r="I2137" i="23"/>
  <c r="J2137" i="23" s="1"/>
  <c r="I2098" i="23"/>
  <c r="J2098" i="23" s="1"/>
  <c r="I2162" i="23"/>
  <c r="J2162" i="23" s="1"/>
  <c r="I2187" i="23"/>
  <c r="J2187" i="23" s="1"/>
  <c r="I2116" i="23"/>
  <c r="J2116" i="23" s="1"/>
  <c r="I2148" i="23"/>
  <c r="J2148" i="23" s="1"/>
  <c r="I2180" i="23"/>
  <c r="J2180" i="23" s="1"/>
  <c r="I2109" i="23"/>
  <c r="J2109" i="23" s="1"/>
  <c r="I2141" i="23"/>
  <c r="J2141" i="23" s="1"/>
  <c r="I2173" i="23"/>
  <c r="J2173" i="23" s="1"/>
  <c r="I2206" i="23"/>
  <c r="J2206" i="23" s="1"/>
  <c r="I2238" i="23"/>
  <c r="J2238" i="23" s="1"/>
  <c r="I2270" i="23"/>
  <c r="J2270" i="23" s="1"/>
  <c r="I2237" i="23"/>
  <c r="J2237" i="23" s="1"/>
  <c r="I2215" i="23"/>
  <c r="J2215" i="23" s="1"/>
  <c r="I2247" i="23"/>
  <c r="J2247" i="23" s="1"/>
  <c r="I2279" i="23"/>
  <c r="J2279" i="23" s="1"/>
  <c r="J2228" i="23"/>
  <c r="K2228" i="23" s="1"/>
  <c r="I2202" i="23"/>
  <c r="J2202" i="23" s="1"/>
  <c r="I2234" i="23"/>
  <c r="J2234" i="23" s="1"/>
  <c r="I2253" i="23"/>
  <c r="J2253" i="23" s="1"/>
  <c r="I2251" i="23"/>
  <c r="J2251" i="23" s="1"/>
  <c r="I2283" i="23"/>
  <c r="J2283" i="23" s="1"/>
  <c r="I2220" i="23"/>
  <c r="J2220" i="23" s="1"/>
  <c r="I2318" i="23"/>
  <c r="J2318" i="23" s="1"/>
  <c r="I2350" i="23"/>
  <c r="J2350" i="23" s="1"/>
  <c r="I2382" i="23"/>
  <c r="J2382" i="23" s="1"/>
  <c r="I2311" i="23"/>
  <c r="J2311" i="23" s="1"/>
  <c r="I2343" i="23"/>
  <c r="J2343" i="23" s="1"/>
  <c r="J2375" i="23"/>
  <c r="K2375" i="23" s="1"/>
  <c r="I2368" i="23"/>
  <c r="J2368" i="23" s="1"/>
  <c r="I2297" i="23"/>
  <c r="J2297" i="23" s="1"/>
  <c r="I2329" i="23"/>
  <c r="J2329" i="23" s="1"/>
  <c r="I2361" i="23"/>
  <c r="J2361" i="23" s="1"/>
  <c r="I2393" i="23"/>
  <c r="J2393" i="23" s="1"/>
  <c r="I2322" i="23"/>
  <c r="J2322" i="23" s="1"/>
  <c r="I2354" i="23"/>
  <c r="J2354" i="23" s="1"/>
  <c r="I2386" i="23"/>
  <c r="J2386" i="23" s="1"/>
  <c r="I2315" i="23"/>
  <c r="J2315" i="23" s="1"/>
  <c r="I2347" i="23"/>
  <c r="J2347" i="23" s="1"/>
  <c r="I2308" i="23"/>
  <c r="J2308" i="23" s="1"/>
  <c r="I2340" i="23"/>
  <c r="J2340" i="23" s="1"/>
  <c r="I2372" i="23"/>
  <c r="J2372" i="23" s="1"/>
  <c r="I2301" i="23"/>
  <c r="J2301" i="23" s="1"/>
  <c r="I2333" i="23"/>
  <c r="J2333" i="23" s="1"/>
  <c r="I2365" i="23"/>
  <c r="J2365" i="23" s="1"/>
  <c r="I2398" i="23"/>
  <c r="J2398" i="23" s="1"/>
  <c r="I2430" i="23"/>
  <c r="J2430" i="23" s="1"/>
  <c r="I2462" i="23"/>
  <c r="J2462" i="23" s="1"/>
  <c r="I2494" i="23"/>
  <c r="J2494" i="23" s="1"/>
  <c r="J2423" i="23"/>
  <c r="K2423" i="23" s="1"/>
  <c r="J2455" i="23"/>
  <c r="K2455" i="23" s="1"/>
  <c r="J2487" i="23"/>
  <c r="K2487" i="23" s="1"/>
  <c r="I2416" i="23"/>
  <c r="J2416" i="23" s="1"/>
  <c r="I2409" i="23"/>
  <c r="J2409" i="23" s="1"/>
  <c r="I2441" i="23"/>
  <c r="J2441" i="23" s="1"/>
  <c r="I2473" i="23"/>
  <c r="J2473" i="23" s="1"/>
  <c r="K2473" i="23" s="1"/>
  <c r="I2434" i="23"/>
  <c r="J2434" i="23" s="1"/>
  <c r="I2466" i="23"/>
  <c r="J2466" i="23" s="1"/>
  <c r="I2420" i="23"/>
  <c r="J2420" i="23" s="1"/>
  <c r="I2452" i="23"/>
  <c r="J2452" i="23" s="1"/>
  <c r="I2484" i="23"/>
  <c r="J2484" i="23" s="1"/>
  <c r="I2413" i="23"/>
  <c r="J2413" i="23" s="1"/>
  <c r="I2445" i="23"/>
  <c r="J2445" i="23" s="1"/>
  <c r="I2477" i="23"/>
  <c r="J2477" i="23" s="1"/>
  <c r="I2510" i="23"/>
  <c r="J2510" i="23" s="1"/>
  <c r="I2542" i="23"/>
  <c r="J2542" i="23" s="1"/>
  <c r="I2574" i="23"/>
  <c r="J2574" i="23" s="1"/>
  <c r="J2503" i="23"/>
  <c r="K2503" i="23" s="1"/>
  <c r="J2535" i="23"/>
  <c r="K2535" i="23" s="1"/>
  <c r="J2567" i="23"/>
  <c r="K2567" i="23" s="1"/>
  <c r="J2599" i="23"/>
  <c r="K2599" i="23" s="1"/>
  <c r="I2528" i="23"/>
  <c r="J2528" i="23" s="1"/>
  <c r="I2521" i="23"/>
  <c r="J2521" i="23" s="1"/>
  <c r="I2553" i="23"/>
  <c r="J2553" i="23" s="1"/>
  <c r="I2585" i="23"/>
  <c r="J2585" i="23" s="1"/>
  <c r="I2514" i="23"/>
  <c r="J2514" i="23" s="1"/>
  <c r="K2514" i="23" s="1"/>
  <c r="I2578" i="23"/>
  <c r="J2578" i="23" s="1"/>
  <c r="I2532" i="23"/>
  <c r="J2532" i="23" s="1"/>
  <c r="I2564" i="23"/>
  <c r="J2564" i="23" s="1"/>
  <c r="I2596" i="23"/>
  <c r="J2596" i="23" s="1"/>
  <c r="I2525" i="23"/>
  <c r="J2525" i="23" s="1"/>
  <c r="I2557" i="23"/>
  <c r="J2557" i="23" s="1"/>
  <c r="I2589" i="23"/>
  <c r="J2589" i="23" s="1"/>
  <c r="I125" i="23"/>
  <c r="J125" i="23" s="1"/>
  <c r="I1800" i="23"/>
  <c r="J1800" i="23" s="1"/>
  <c r="I1850" i="23"/>
  <c r="J1850" i="23" s="1"/>
  <c r="I1943" i="23"/>
  <c r="J1943" i="23" s="1"/>
  <c r="I1929" i="23"/>
  <c r="J1929" i="23" s="1"/>
  <c r="I1972" i="23"/>
  <c r="J1972" i="23" s="1"/>
  <c r="I1998" i="23"/>
  <c r="J1998" i="23" s="1"/>
  <c r="I1991" i="23"/>
  <c r="J1991" i="23" s="1"/>
  <c r="I1988" i="23"/>
  <c r="J1988" i="23" s="1"/>
  <c r="I2077" i="23"/>
  <c r="J2077" i="23" s="1"/>
  <c r="I2167" i="23"/>
  <c r="J2167" i="23" s="1"/>
  <c r="I2121" i="23"/>
  <c r="J2121" i="23" s="1"/>
  <c r="I2231" i="23"/>
  <c r="J2231" i="23" s="1"/>
  <c r="I2217" i="23"/>
  <c r="J2217" i="23" s="1"/>
  <c r="I2250" i="23"/>
  <c r="J2250" i="23" s="1"/>
  <c r="I2197" i="23"/>
  <c r="J2197" i="23" s="1"/>
  <c r="I2384" i="23"/>
  <c r="J2384" i="23" s="1"/>
  <c r="I2299" i="23"/>
  <c r="J2299" i="23" s="1"/>
  <c r="I2388" i="23"/>
  <c r="J2388" i="23" s="1"/>
  <c r="I2478" i="23"/>
  <c r="J2478" i="23" s="1"/>
  <c r="I2457" i="23"/>
  <c r="J2457" i="23" s="1"/>
  <c r="I2500" i="23"/>
  <c r="J2500" i="23" s="1"/>
  <c r="I2526" i="23"/>
  <c r="J2526" i="23" s="1"/>
  <c r="J2583" i="23"/>
  <c r="K2583" i="23" s="1"/>
  <c r="I2505" i="23"/>
  <c r="J2505" i="23" s="1"/>
  <c r="I2548" i="23"/>
  <c r="J2548" i="23" s="1"/>
  <c r="J228" i="23"/>
  <c r="K228" i="23" s="1"/>
  <c r="I217" i="23"/>
  <c r="J217" i="23" s="1"/>
  <c r="I1790" i="23"/>
  <c r="J1790" i="23" s="1"/>
  <c r="I1822" i="23"/>
  <c r="J1822" i="23" s="1"/>
  <c r="I1857" i="23"/>
  <c r="J1857" i="23" s="1"/>
  <c r="I1799" i="23"/>
  <c r="J1799" i="23" s="1"/>
  <c r="I1816" i="23"/>
  <c r="J1816" i="23" s="1"/>
  <c r="K1816" i="23" s="1"/>
  <c r="I1777" i="23"/>
  <c r="J1777" i="23" s="1"/>
  <c r="I1802" i="23"/>
  <c r="J1802" i="23" s="1"/>
  <c r="I1866" i="23"/>
  <c r="J1866" i="23" s="1"/>
  <c r="I1820" i="23"/>
  <c r="J1820" i="23" s="1"/>
  <c r="I1934" i="23"/>
  <c r="J1934" i="23" s="1"/>
  <c r="I1895" i="23"/>
  <c r="J1895" i="23" s="1"/>
  <c r="I1920" i="23"/>
  <c r="J1920" i="23" s="1"/>
  <c r="I1913" i="23"/>
  <c r="J1913" i="23" s="1"/>
  <c r="I1906" i="23"/>
  <c r="J1906" i="23" s="1"/>
  <c r="I1970" i="23"/>
  <c r="J1970" i="23" s="1"/>
  <c r="I1899" i="23"/>
  <c r="J1899" i="23" s="1"/>
  <c r="I1963" i="23"/>
  <c r="J1963" i="23" s="1"/>
  <c r="I1892" i="23"/>
  <c r="J1892" i="23" s="1"/>
  <c r="I1924" i="23"/>
  <c r="J1924" i="23" s="1"/>
  <c r="I1885" i="23"/>
  <c r="J1885" i="23" s="1"/>
  <c r="I1949" i="23"/>
  <c r="J1949" i="23" s="1"/>
  <c r="I1982" i="23"/>
  <c r="J1982" i="23" s="1"/>
  <c r="I2046" i="23"/>
  <c r="J2046" i="23" s="1"/>
  <c r="I2078" i="23"/>
  <c r="J2078" i="23" s="1"/>
  <c r="I2007" i="23"/>
  <c r="J2007" i="23" s="1"/>
  <c r="I2026" i="23"/>
  <c r="J2026" i="23" s="1"/>
  <c r="I2058" i="23"/>
  <c r="J2058" i="23" s="1"/>
  <c r="I2028" i="23"/>
  <c r="J2028" i="23" s="1"/>
  <c r="I1997" i="23"/>
  <c r="J1997" i="23" s="1"/>
  <c r="I2061" i="23"/>
  <c r="J2061" i="23" s="1"/>
  <c r="I2126" i="23"/>
  <c r="J2126" i="23" s="1"/>
  <c r="I2169" i="23"/>
  <c r="J2169" i="23" s="1"/>
  <c r="I2130" i="23"/>
  <c r="J2130" i="23" s="1"/>
  <c r="I72" i="23"/>
  <c r="J72" i="23" s="1"/>
  <c r="I16" i="23"/>
  <c r="J16" i="23" s="1"/>
  <c r="I136" i="23"/>
  <c r="J136" i="23" s="1"/>
  <c r="I45" i="23"/>
  <c r="J45" i="23" s="1"/>
  <c r="I1831" i="23"/>
  <c r="J1831" i="23" s="1"/>
  <c r="I1832" i="23"/>
  <c r="J1832" i="23" s="1"/>
  <c r="I1786" i="23"/>
  <c r="J1786" i="23" s="1"/>
  <c r="I1804" i="23"/>
  <c r="J1804" i="23" s="1"/>
  <c r="I1950" i="23"/>
  <c r="J1950" i="23" s="1"/>
  <c r="I1954" i="23"/>
  <c r="J1954" i="23" s="1"/>
  <c r="I1947" i="23"/>
  <c r="J1947" i="23" s="1"/>
  <c r="K1947" i="23" s="1"/>
  <c r="I1901" i="23"/>
  <c r="J1901" i="23" s="1"/>
  <c r="I2062" i="23"/>
  <c r="J2062" i="23" s="1"/>
  <c r="I2042" i="23"/>
  <c r="J2042" i="23" s="1"/>
  <c r="I2142" i="23"/>
  <c r="J2142" i="23" s="1"/>
  <c r="I2185" i="23"/>
  <c r="J2185" i="23" s="1"/>
  <c r="I2139" i="23"/>
  <c r="J2139" i="23" s="1"/>
  <c r="I2132" i="23"/>
  <c r="J2132" i="23" s="1"/>
  <c r="I2254" i="23"/>
  <c r="J2254" i="23" s="1"/>
  <c r="I2199" i="23"/>
  <c r="J2199" i="23" s="1"/>
  <c r="I2249" i="23"/>
  <c r="J2249" i="23" s="1"/>
  <c r="I2218" i="23"/>
  <c r="J2218" i="23" s="1"/>
  <c r="I2267" i="23"/>
  <c r="J2267" i="23" s="1"/>
  <c r="J2391" i="23"/>
  <c r="K2391" i="23" s="1"/>
  <c r="I2313" i="23"/>
  <c r="J2313" i="23" s="1"/>
  <c r="I2306" i="23"/>
  <c r="J2306" i="23" s="1"/>
  <c r="I2331" i="23"/>
  <c r="J2331" i="23" s="1"/>
  <c r="I2324" i="23"/>
  <c r="J2324" i="23" s="1"/>
  <c r="I2381" i="23"/>
  <c r="J2381" i="23" s="1"/>
  <c r="J2439" i="23"/>
  <c r="K2439" i="23" s="1"/>
  <c r="I2400" i="23"/>
  <c r="J2400" i="23" s="1"/>
  <c r="I2489" i="23"/>
  <c r="J2489" i="23" s="1"/>
  <c r="I2404" i="23"/>
  <c r="J2404" i="23" s="1"/>
  <c r="I2429" i="23"/>
  <c r="J2429" i="23" s="1"/>
  <c r="I2590" i="23"/>
  <c r="J2590" i="23" s="1"/>
  <c r="I2544" i="23"/>
  <c r="J2544" i="23" s="1"/>
  <c r="I2601" i="23"/>
  <c r="J2601" i="23" s="1"/>
  <c r="I2516" i="23"/>
  <c r="J2516" i="23" s="1"/>
  <c r="I492" i="23"/>
  <c r="J492" i="23" s="1"/>
  <c r="I103" i="23"/>
  <c r="J103" i="23" s="1"/>
  <c r="I1830" i="23"/>
  <c r="J1830" i="23" s="1"/>
  <c r="I1815" i="23"/>
  <c r="J1815" i="23" s="1"/>
  <c r="I1801" i="23"/>
  <c r="J1801" i="23" s="1"/>
  <c r="I1869" i="23"/>
  <c r="J1869" i="23" s="1"/>
  <c r="I1803" i="23"/>
  <c r="J1803" i="23" s="1"/>
  <c r="I1828" i="23"/>
  <c r="J1828" i="23" s="1"/>
  <c r="I1878" i="23"/>
  <c r="J1878" i="23" s="1"/>
  <c r="K1878" i="23" s="1"/>
  <c r="I1910" i="23"/>
  <c r="J1910" i="23" s="1"/>
  <c r="I1974" i="23"/>
  <c r="J1974" i="23" s="1"/>
  <c r="I1935" i="23"/>
  <c r="J1935" i="23" s="1"/>
  <c r="I1896" i="23"/>
  <c r="J1896" i="23" s="1"/>
  <c r="I1960" i="23"/>
  <c r="J1960" i="23" s="1"/>
  <c r="I1889" i="23"/>
  <c r="J1889" i="23" s="1"/>
  <c r="I1921" i="23"/>
  <c r="J1921" i="23" s="1"/>
  <c r="I1953" i="23"/>
  <c r="J1953" i="23" s="1"/>
  <c r="I1882" i="23"/>
  <c r="J1882" i="23" s="1"/>
  <c r="I1946" i="23"/>
  <c r="J1946" i="23" s="1"/>
  <c r="I1978" i="23"/>
  <c r="J1978" i="23" s="1"/>
  <c r="I1939" i="23"/>
  <c r="J1939" i="23" s="1"/>
  <c r="I1971" i="23"/>
  <c r="J1971" i="23" s="1"/>
  <c r="I1900" i="23"/>
  <c r="J1900" i="23" s="1"/>
  <c r="I1893" i="23"/>
  <c r="J1893" i="23" s="1"/>
  <c r="I1925" i="23"/>
  <c r="J1925" i="23" s="1"/>
  <c r="I1990" i="23"/>
  <c r="J1990" i="23" s="1"/>
  <c r="I2022" i="23"/>
  <c r="J2022" i="23" s="1"/>
  <c r="I2054" i="23"/>
  <c r="J2054" i="23" s="1"/>
  <c r="I2047" i="23"/>
  <c r="J2047" i="23" s="1"/>
  <c r="I2012" i="23"/>
  <c r="J2012" i="23" s="1"/>
  <c r="I2002" i="23"/>
  <c r="J2002" i="23" s="1"/>
  <c r="I2034" i="23"/>
  <c r="J2034" i="23" s="1"/>
  <c r="I2066" i="23"/>
  <c r="J2066" i="23" s="1"/>
  <c r="I1987" i="23"/>
  <c r="J1987" i="23" s="1"/>
  <c r="I2019" i="23"/>
  <c r="J2019" i="23" s="1"/>
  <c r="I2051" i="23"/>
  <c r="J2051" i="23" s="1"/>
  <c r="I2083" i="23"/>
  <c r="J2083" i="23" s="1"/>
  <c r="I2052" i="23"/>
  <c r="J2052" i="23" s="1"/>
  <c r="I2060" i="23"/>
  <c r="J2060" i="23" s="1"/>
  <c r="I2005" i="23"/>
  <c r="J2005" i="23" s="1"/>
  <c r="I2037" i="23"/>
  <c r="J2037" i="23" s="1"/>
  <c r="I2069" i="23"/>
  <c r="J2069" i="23" s="1"/>
  <c r="I2102" i="23"/>
  <c r="J2102" i="23" s="1"/>
  <c r="I2134" i="23"/>
  <c r="J2134" i="23" s="1"/>
  <c r="I2166" i="23"/>
  <c r="J2166" i="23" s="1"/>
  <c r="I2095" i="23"/>
  <c r="J2095" i="23" s="1"/>
  <c r="I2127" i="23"/>
  <c r="J2127" i="23" s="1"/>
  <c r="I2159" i="23"/>
  <c r="J2159" i="23" s="1"/>
  <c r="I2113" i="23"/>
  <c r="J2113" i="23" s="1"/>
  <c r="I2106" i="23"/>
  <c r="J2106" i="23" s="1"/>
  <c r="I2170" i="23"/>
  <c r="J2170" i="23" s="1"/>
  <c r="I2099" i="23"/>
  <c r="J2099" i="23" s="1"/>
  <c r="I2131" i="23"/>
  <c r="J2131" i="23" s="1"/>
  <c r="I2163" i="23"/>
  <c r="J2163" i="23" s="1"/>
  <c r="I2092" i="23"/>
  <c r="J2092" i="23" s="1"/>
  <c r="I2124" i="23"/>
  <c r="J2124" i="23" s="1"/>
  <c r="I2156" i="23"/>
  <c r="J2156" i="23" s="1"/>
  <c r="I2188" i="23"/>
  <c r="J2188" i="23" s="1"/>
  <c r="I2117" i="23"/>
  <c r="J2117" i="23" s="1"/>
  <c r="I2149" i="23"/>
  <c r="J2149" i="23" s="1"/>
  <c r="I2181" i="23"/>
  <c r="J2181" i="23" s="1"/>
  <c r="I2214" i="23"/>
  <c r="J2214" i="23" s="1"/>
  <c r="I2246" i="23"/>
  <c r="J2246" i="23" s="1"/>
  <c r="I2278" i="23"/>
  <c r="J2278" i="23" s="1"/>
  <c r="I2191" i="23"/>
  <c r="J2191" i="23" s="1"/>
  <c r="I2223" i="23"/>
  <c r="J2223" i="23" s="1"/>
  <c r="I2255" i="23"/>
  <c r="J2255" i="23" s="1"/>
  <c r="I2287" i="23"/>
  <c r="J2287" i="23" s="1"/>
  <c r="I2241" i="23"/>
  <c r="J2241" i="23" s="1"/>
  <c r="I2292" i="23"/>
  <c r="J2292" i="23" s="1"/>
  <c r="I2210" i="23"/>
  <c r="J2210" i="23" s="1"/>
  <c r="I2242" i="23"/>
  <c r="J2242" i="23" s="1"/>
  <c r="I2227" i="23"/>
  <c r="J2227" i="23" s="1"/>
  <c r="I2259" i="23"/>
  <c r="J2259" i="23" s="1"/>
  <c r="I2291" i="23"/>
  <c r="J2291" i="23" s="1"/>
  <c r="I2252" i="23"/>
  <c r="J2252" i="23" s="1"/>
  <c r="J2284" i="23"/>
  <c r="K2284" i="23" s="1"/>
  <c r="I2294" i="23"/>
  <c r="J2294" i="23" s="1"/>
  <c r="I2326" i="23"/>
  <c r="J2326" i="23" s="1"/>
  <c r="I2390" i="23"/>
  <c r="J2390" i="23" s="1"/>
  <c r="I2319" i="23"/>
  <c r="J2319" i="23" s="1"/>
  <c r="I2351" i="23"/>
  <c r="J2351" i="23" s="1"/>
  <c r="J2383" i="23"/>
  <c r="K2383" i="23" s="1"/>
  <c r="I2376" i="23"/>
  <c r="J2376" i="23" s="1"/>
  <c r="J2305" i="23"/>
  <c r="K2305" i="23" s="1"/>
  <c r="J2337" i="23"/>
  <c r="K2337" i="23" s="1"/>
  <c r="I2369" i="23"/>
  <c r="J2369" i="23" s="1"/>
  <c r="I2298" i="23"/>
  <c r="J2298" i="23" s="1"/>
  <c r="I2362" i="23"/>
  <c r="J2362" i="23" s="1"/>
  <c r="I2394" i="23"/>
  <c r="J2394" i="23" s="1"/>
  <c r="I2323" i="23"/>
  <c r="J2323" i="23" s="1"/>
  <c r="J2316" i="23"/>
  <c r="K2316" i="23" s="1"/>
  <c r="J2348" i="23"/>
  <c r="K2348" i="23" s="1"/>
  <c r="I2380" i="23"/>
  <c r="J2380" i="23" s="1"/>
  <c r="I2373" i="23"/>
  <c r="J2373" i="23" s="1"/>
  <c r="I2406" i="23"/>
  <c r="J2406" i="23" s="1"/>
  <c r="I2438" i="23"/>
  <c r="J2438" i="23" s="1"/>
  <c r="I2470" i="23"/>
  <c r="J2470" i="23" s="1"/>
  <c r="J2399" i="23"/>
  <c r="K2399" i="23" s="1"/>
  <c r="J2431" i="23"/>
  <c r="K2431" i="23" s="1"/>
  <c r="J2463" i="23"/>
  <c r="K2463" i="23" s="1"/>
  <c r="J2495" i="23"/>
  <c r="K2495" i="23" s="1"/>
  <c r="I2424" i="23"/>
  <c r="J2424" i="23" s="1"/>
  <c r="I2417" i="23"/>
  <c r="J2417" i="23" s="1"/>
  <c r="I2449" i="23"/>
  <c r="J2449" i="23" s="1"/>
  <c r="I2481" i="23"/>
  <c r="J2481" i="23" s="1"/>
  <c r="I2428" i="23"/>
  <c r="J2428" i="23" s="1"/>
  <c r="I2460" i="23"/>
  <c r="J2460" i="23" s="1"/>
  <c r="I2492" i="23"/>
  <c r="J2492" i="23" s="1"/>
  <c r="I2421" i="23"/>
  <c r="J2421" i="23" s="1"/>
  <c r="I2453" i="23"/>
  <c r="J2453" i="23" s="1"/>
  <c r="I2485" i="23"/>
  <c r="J2485" i="23" s="1"/>
  <c r="I2518" i="23"/>
  <c r="J2518" i="23" s="1"/>
  <c r="I2550" i="23"/>
  <c r="J2550" i="23" s="1"/>
  <c r="I2582" i="23"/>
  <c r="J2582" i="23" s="1"/>
  <c r="J2511" i="23"/>
  <c r="K2511" i="23" s="1"/>
  <c r="J2543" i="23"/>
  <c r="K2543" i="23" s="1"/>
  <c r="J2575" i="23"/>
  <c r="K2575" i="23" s="1"/>
  <c r="I2529" i="23"/>
  <c r="J2529" i="23" s="1"/>
  <c r="I2561" i="23"/>
  <c r="J2561" i="23" s="1"/>
  <c r="I2593" i="23"/>
  <c r="J2593" i="23" s="1"/>
  <c r="I2522" i="23"/>
  <c r="J2522" i="23" s="1"/>
  <c r="I2586" i="23"/>
  <c r="J2586" i="23" s="1"/>
  <c r="I2508" i="23"/>
  <c r="J2508" i="23" s="1"/>
  <c r="I2540" i="23"/>
  <c r="J2540" i="23" s="1"/>
  <c r="I2572" i="23"/>
  <c r="J2572" i="23" s="1"/>
  <c r="I2604" i="23"/>
  <c r="J2604" i="23" s="1"/>
  <c r="I2533" i="23"/>
  <c r="J2533" i="23" s="1"/>
  <c r="I2565" i="23"/>
  <c r="J2565" i="23" s="1"/>
  <c r="I2597" i="23"/>
  <c r="J2597" i="23" s="1"/>
  <c r="I1774" i="23"/>
  <c r="J1774" i="23" s="1"/>
  <c r="I1823" i="23"/>
  <c r="J1823" i="23" s="1"/>
  <c r="I1793" i="23"/>
  <c r="J1793" i="23" s="1"/>
  <c r="I1833" i="23"/>
  <c r="J1833" i="23" s="1"/>
  <c r="I1890" i="23"/>
  <c r="J1890" i="23" s="1"/>
  <c r="I1883" i="23"/>
  <c r="J1883" i="23" s="1"/>
  <c r="I1908" i="23"/>
  <c r="J1908" i="23" s="1"/>
  <c r="I1933" i="23"/>
  <c r="J1933" i="23" s="1"/>
  <c r="I2010" i="23"/>
  <c r="J2010" i="23" s="1"/>
  <c r="I2013" i="23"/>
  <c r="J2013" i="23" s="1"/>
  <c r="I2174" i="23"/>
  <c r="J2174" i="23" s="1"/>
  <c r="I2114" i="23"/>
  <c r="J2114" i="23" s="1"/>
  <c r="I2100" i="23"/>
  <c r="J2100" i="23" s="1"/>
  <c r="I2093" i="23"/>
  <c r="J2093" i="23" s="1"/>
  <c r="I2222" i="23"/>
  <c r="J2222" i="23" s="1"/>
  <c r="I2285" i="23"/>
  <c r="J2285" i="23" s="1"/>
  <c r="I2269" i="23"/>
  <c r="J2269" i="23" s="1"/>
  <c r="I2282" i="23"/>
  <c r="J2282" i="23" s="1"/>
  <c r="I2268" i="23"/>
  <c r="J2268" i="23" s="1"/>
  <c r="I2366" i="23"/>
  <c r="J2366" i="23" s="1"/>
  <c r="I2377" i="23"/>
  <c r="J2377" i="23" s="1"/>
  <c r="I2317" i="23"/>
  <c r="J2317" i="23" s="1"/>
  <c r="I2446" i="23"/>
  <c r="J2446" i="23" s="1"/>
  <c r="J2471" i="23"/>
  <c r="K2471" i="23" s="1"/>
  <c r="I2425" i="23"/>
  <c r="J2425" i="23" s="1"/>
  <c r="I2482" i="23"/>
  <c r="J2482" i="23" s="1"/>
  <c r="I2436" i="23"/>
  <c r="J2436" i="23" s="1"/>
  <c r="I2493" i="23"/>
  <c r="J2493" i="23" s="1"/>
  <c r="J2519" i="23"/>
  <c r="K2519" i="23" s="1"/>
  <c r="I2537" i="23"/>
  <c r="J2537" i="23" s="1"/>
  <c r="I2562" i="23"/>
  <c r="J2562" i="23" s="1"/>
  <c r="I2509" i="23"/>
  <c r="J2509" i="23" s="1"/>
  <c r="J20" i="23"/>
  <c r="K20" i="23" s="1"/>
  <c r="J196" i="23"/>
  <c r="K196" i="23" s="1"/>
  <c r="J132" i="23"/>
  <c r="K132" i="23" s="1"/>
  <c r="I940" i="23"/>
  <c r="J940" i="23" s="1"/>
  <c r="I39" i="23"/>
  <c r="J39" i="23" s="1"/>
  <c r="I135" i="23"/>
  <c r="J135" i="23" s="1"/>
  <c r="I1798" i="23"/>
  <c r="J1798" i="23" s="1"/>
  <c r="I1871" i="23"/>
  <c r="J1871" i="23" s="1"/>
  <c r="I1792" i="23"/>
  <c r="J1792" i="23" s="1"/>
  <c r="I1824" i="23"/>
  <c r="J1824" i="23" s="1"/>
  <c r="I1835" i="23"/>
  <c r="J1835" i="23" s="1"/>
  <c r="I1796" i="23"/>
  <c r="J1796" i="23" s="1"/>
  <c r="I1860" i="23"/>
  <c r="J1860" i="23" s="1"/>
  <c r="I1942" i="23"/>
  <c r="J1942" i="23" s="1"/>
  <c r="I1903" i="23"/>
  <c r="J1903" i="23" s="1"/>
  <c r="I1914" i="23"/>
  <c r="J1914" i="23" s="1"/>
  <c r="I86" i="23"/>
  <c r="J86" i="23" s="1"/>
  <c r="I14" i="23"/>
  <c r="J14" i="23" s="1"/>
  <c r="I190" i="23"/>
  <c r="J190" i="23" s="1"/>
  <c r="CH46" i="19"/>
  <c r="CH56" i="19"/>
  <c r="CH69" i="19"/>
  <c r="CK99" i="19"/>
  <c r="CH106" i="19"/>
  <c r="CH43" i="19"/>
  <c r="CH53" i="19"/>
  <c r="CH66" i="19"/>
  <c r="CH77" i="19"/>
  <c r="CH101" i="19"/>
  <c r="CH96" i="19"/>
  <c r="CH58" i="19"/>
  <c r="CK43" i="19"/>
  <c r="CH71" i="19"/>
  <c r="CH98" i="19"/>
  <c r="CH45" i="19"/>
  <c r="CH55" i="19"/>
  <c r="CH68" i="19"/>
  <c r="CH103" i="19"/>
  <c r="CH88" i="19"/>
  <c r="CH57" i="19"/>
  <c r="CH70" i="19"/>
  <c r="CH76" i="19"/>
  <c r="CH97" i="19"/>
  <c r="CH107" i="19"/>
  <c r="CH42" i="19"/>
  <c r="CH83" i="19"/>
  <c r="CH102" i="19"/>
  <c r="CH54" i="19"/>
  <c r="CH67" i="19"/>
  <c r="CK70" i="19"/>
  <c r="CK42" i="19"/>
  <c r="CH49" i="19"/>
  <c r="CK54" i="19"/>
  <c r="CH72" i="19"/>
  <c r="CK83" i="19"/>
  <c r="CH99" i="19"/>
  <c r="F5" i="23"/>
  <c r="H5" i="23" s="1"/>
  <c r="BE102" i="19"/>
  <c r="F1765" i="23"/>
  <c r="H1765" i="23" s="1"/>
  <c r="I1765" i="23" s="1"/>
  <c r="J1765" i="23" s="1"/>
  <c r="K1765" i="23" s="1"/>
  <c r="BE70" i="19"/>
  <c r="F1733" i="23"/>
  <c r="H1733" i="23" s="1"/>
  <c r="I1733" i="23" s="1"/>
  <c r="J1733" i="23" s="1"/>
  <c r="K1733" i="23" s="1"/>
  <c r="BE62" i="19"/>
  <c r="F1725" i="23"/>
  <c r="H1725" i="23" s="1"/>
  <c r="I1725" i="23" s="1"/>
  <c r="J1725" i="23" s="1"/>
  <c r="K1725" i="23" s="1"/>
  <c r="BE46" i="19"/>
  <c r="F1709" i="23"/>
  <c r="H1709" i="23" s="1"/>
  <c r="I1709" i="23" s="1"/>
  <c r="J1709" i="23" s="1"/>
  <c r="K1709" i="23" s="1"/>
  <c r="BE38" i="19"/>
  <c r="F1701" i="23"/>
  <c r="H1701" i="23" s="1"/>
  <c r="I1701" i="23" s="1"/>
  <c r="J1701" i="23" s="1"/>
  <c r="K1701" i="23" s="1"/>
  <c r="BE14" i="19"/>
  <c r="F1677" i="23"/>
  <c r="H1677" i="23" s="1"/>
  <c r="I1677" i="23" s="1"/>
  <c r="J1677" i="23" s="1"/>
  <c r="K1677" i="23" s="1"/>
  <c r="BE109" i="19"/>
  <c r="F1772" i="23"/>
  <c r="H1772" i="23" s="1"/>
  <c r="BE101" i="19"/>
  <c r="F1764" i="23"/>
  <c r="H1764" i="23" s="1"/>
  <c r="BE93" i="19"/>
  <c r="F1756" i="23"/>
  <c r="H1756" i="23" s="1"/>
  <c r="BE85" i="19"/>
  <c r="F1748" i="23"/>
  <c r="H1748" i="23" s="1"/>
  <c r="BE77" i="19"/>
  <c r="F1740" i="23"/>
  <c r="H1740" i="23" s="1"/>
  <c r="I1740" i="23" s="1"/>
  <c r="J1740" i="23" s="1"/>
  <c r="K1740" i="23" s="1"/>
  <c r="BE69" i="19"/>
  <c r="F1732" i="23"/>
  <c r="H1732" i="23" s="1"/>
  <c r="BE61" i="19"/>
  <c r="F1724" i="23"/>
  <c r="H1724" i="23" s="1"/>
  <c r="I1724" i="23" s="1"/>
  <c r="J1724" i="23" s="1"/>
  <c r="K1724" i="23" s="1"/>
  <c r="BE53" i="19"/>
  <c r="F1716" i="23"/>
  <c r="H1716" i="23" s="1"/>
  <c r="I1716" i="23" s="1"/>
  <c r="J1716" i="23" s="1"/>
  <c r="K1716" i="23" s="1"/>
  <c r="BE45" i="19"/>
  <c r="F1708" i="23"/>
  <c r="H1708" i="23" s="1"/>
  <c r="BE37" i="19"/>
  <c r="F1700" i="23"/>
  <c r="H1700" i="23" s="1"/>
  <c r="BE29" i="19"/>
  <c r="F1692" i="23"/>
  <c r="H1692" i="23" s="1"/>
  <c r="I1692" i="23" s="1"/>
  <c r="J1692" i="23" s="1"/>
  <c r="K1692" i="23" s="1"/>
  <c r="BE21" i="19"/>
  <c r="F1684" i="23"/>
  <c r="H1684" i="23" s="1"/>
  <c r="I1684" i="23" s="1"/>
  <c r="J1684" i="23" s="1"/>
  <c r="K1684" i="23" s="1"/>
  <c r="BE13" i="19"/>
  <c r="F1676" i="23"/>
  <c r="H1676" i="23" s="1"/>
  <c r="I1676" i="23" s="1"/>
  <c r="J1676" i="23" s="1"/>
  <c r="K1676" i="23" s="1"/>
  <c r="BE86" i="19"/>
  <c r="F1749" i="23"/>
  <c r="H1749" i="23" s="1"/>
  <c r="I1749" i="23" s="1"/>
  <c r="J1749" i="23" s="1"/>
  <c r="K1749" i="23" s="1"/>
  <c r="BE30" i="19"/>
  <c r="F1693" i="23"/>
  <c r="H1693" i="23" s="1"/>
  <c r="I1693" i="23" s="1"/>
  <c r="J1693" i="23" s="1"/>
  <c r="K1693" i="23" s="1"/>
  <c r="BE108" i="19"/>
  <c r="F1771" i="23"/>
  <c r="H1771" i="23" s="1"/>
  <c r="BE100" i="19"/>
  <c r="F1763" i="23"/>
  <c r="H1763" i="23" s="1"/>
  <c r="BE92" i="19"/>
  <c r="F1755" i="23"/>
  <c r="H1755" i="23" s="1"/>
  <c r="BE84" i="19"/>
  <c r="F1747" i="23"/>
  <c r="H1747" i="23" s="1"/>
  <c r="BE76" i="19"/>
  <c r="F1739" i="23"/>
  <c r="H1739" i="23" s="1"/>
  <c r="BE68" i="19"/>
  <c r="F1731" i="23"/>
  <c r="H1731" i="23" s="1"/>
  <c r="BE60" i="19"/>
  <c r="F1723" i="23"/>
  <c r="H1723" i="23" s="1"/>
  <c r="BE52" i="19"/>
  <c r="F1715" i="23"/>
  <c r="H1715" i="23" s="1"/>
  <c r="BE44" i="19"/>
  <c r="F1707" i="23"/>
  <c r="H1707" i="23" s="1"/>
  <c r="BE36" i="19"/>
  <c r="F1699" i="23"/>
  <c r="H1699" i="23" s="1"/>
  <c r="BE28" i="19"/>
  <c r="F1691" i="23"/>
  <c r="H1691" i="23" s="1"/>
  <c r="BE20" i="19"/>
  <c r="F1683" i="23"/>
  <c r="H1683" i="23" s="1"/>
  <c r="BE12" i="19"/>
  <c r="F1675" i="23"/>
  <c r="H1675" i="23" s="1"/>
  <c r="BE94" i="19"/>
  <c r="F1757" i="23"/>
  <c r="H1757" i="23" s="1"/>
  <c r="I1757" i="23" s="1"/>
  <c r="J1757" i="23" s="1"/>
  <c r="K1757" i="23" s="1"/>
  <c r="BE78" i="19"/>
  <c r="F1741" i="23"/>
  <c r="H1741" i="23" s="1"/>
  <c r="I1741" i="23" s="1"/>
  <c r="J1741" i="23" s="1"/>
  <c r="K1741" i="23" s="1"/>
  <c r="BE54" i="19"/>
  <c r="F1717" i="23"/>
  <c r="H1717" i="23" s="1"/>
  <c r="I1717" i="23" s="1"/>
  <c r="J1717" i="23" s="1"/>
  <c r="K1717" i="23" s="1"/>
  <c r="BE22" i="19"/>
  <c r="F1685" i="23"/>
  <c r="H1685" i="23" s="1"/>
  <c r="I1685" i="23" s="1"/>
  <c r="J1685" i="23" s="1"/>
  <c r="K1685" i="23" s="1"/>
  <c r="BE107" i="19"/>
  <c r="F1770" i="23"/>
  <c r="H1770" i="23" s="1"/>
  <c r="BE99" i="19"/>
  <c r="F1762" i="23"/>
  <c r="H1762" i="23" s="1"/>
  <c r="BE91" i="19"/>
  <c r="F1754" i="23"/>
  <c r="H1754" i="23" s="1"/>
  <c r="I1754" i="23" s="1"/>
  <c r="J1754" i="23" s="1"/>
  <c r="K1754" i="23" s="1"/>
  <c r="BE83" i="19"/>
  <c r="F1746" i="23"/>
  <c r="H1746" i="23" s="1"/>
  <c r="I1746" i="23" s="1"/>
  <c r="J1746" i="23" s="1"/>
  <c r="K1746" i="23" s="1"/>
  <c r="BE75" i="19"/>
  <c r="F1738" i="23"/>
  <c r="H1738" i="23" s="1"/>
  <c r="BE67" i="19"/>
  <c r="F1730" i="23"/>
  <c r="H1730" i="23" s="1"/>
  <c r="BE59" i="19"/>
  <c r="F1722" i="23"/>
  <c r="H1722" i="23" s="1"/>
  <c r="BE51" i="19"/>
  <c r="F1714" i="23"/>
  <c r="H1714" i="23" s="1"/>
  <c r="I1714" i="23" s="1"/>
  <c r="J1714" i="23" s="1"/>
  <c r="K1714" i="23" s="1"/>
  <c r="BE43" i="19"/>
  <c r="F1706" i="23"/>
  <c r="H1706" i="23" s="1"/>
  <c r="I1706" i="23" s="1"/>
  <c r="J1706" i="23" s="1"/>
  <c r="K1706" i="23" s="1"/>
  <c r="BE35" i="19"/>
  <c r="F1698" i="23"/>
  <c r="H1698" i="23" s="1"/>
  <c r="I1698" i="23" s="1"/>
  <c r="J1698" i="23" s="1"/>
  <c r="K1698" i="23" s="1"/>
  <c r="BE27" i="19"/>
  <c r="F1690" i="23"/>
  <c r="H1690" i="23" s="1"/>
  <c r="BE19" i="19"/>
  <c r="F1682" i="23"/>
  <c r="H1682" i="23" s="1"/>
  <c r="BE11" i="19"/>
  <c r="F1674" i="23"/>
  <c r="H1674" i="23" s="1"/>
  <c r="I1674" i="23" s="1"/>
  <c r="J1674" i="23" s="1"/>
  <c r="K1674" i="23" s="1"/>
  <c r="BE106" i="19"/>
  <c r="F1769" i="23"/>
  <c r="H1769" i="23" s="1"/>
  <c r="I1769" i="23" s="1"/>
  <c r="J1769" i="23" s="1"/>
  <c r="K1769" i="23" s="1"/>
  <c r="BE98" i="19"/>
  <c r="F1761" i="23"/>
  <c r="H1761" i="23" s="1"/>
  <c r="BE90" i="19"/>
  <c r="F1753" i="23"/>
  <c r="H1753" i="23" s="1"/>
  <c r="I1753" i="23" s="1"/>
  <c r="J1753" i="23" s="1"/>
  <c r="K1753" i="23" s="1"/>
  <c r="BE82" i="19"/>
  <c r="F1745" i="23"/>
  <c r="H1745" i="23" s="1"/>
  <c r="BE74" i="19"/>
  <c r="F1737" i="23"/>
  <c r="H1737" i="23" s="1"/>
  <c r="BE66" i="19"/>
  <c r="F1729" i="23"/>
  <c r="H1729" i="23" s="1"/>
  <c r="I1729" i="23" s="1"/>
  <c r="J1729" i="23" s="1"/>
  <c r="K1729" i="23" s="1"/>
  <c r="BE58" i="19"/>
  <c r="F1721" i="23"/>
  <c r="H1721" i="23" s="1"/>
  <c r="I1721" i="23" s="1"/>
  <c r="J1721" i="23" s="1"/>
  <c r="K1721" i="23" s="1"/>
  <c r="BE50" i="19"/>
  <c r="F1713" i="23"/>
  <c r="H1713" i="23" s="1"/>
  <c r="BE42" i="19"/>
  <c r="F1705" i="23"/>
  <c r="H1705" i="23" s="1"/>
  <c r="BE34" i="19"/>
  <c r="F1697" i="23"/>
  <c r="H1697" i="23" s="1"/>
  <c r="BE26" i="19"/>
  <c r="F1689" i="23"/>
  <c r="H1689" i="23" s="1"/>
  <c r="I1689" i="23" s="1"/>
  <c r="J1689" i="23" s="1"/>
  <c r="K1689" i="23" s="1"/>
  <c r="BE18" i="19"/>
  <c r="F1681" i="23"/>
  <c r="H1681" i="23" s="1"/>
  <c r="BE10" i="19"/>
  <c r="F1673" i="23"/>
  <c r="H1673" i="23" s="1"/>
  <c r="BE105" i="19"/>
  <c r="F1768" i="23"/>
  <c r="H1768" i="23" s="1"/>
  <c r="BE97" i="19"/>
  <c r="F1760" i="23"/>
  <c r="H1760" i="23" s="1"/>
  <c r="I1760" i="23" s="1"/>
  <c r="J1760" i="23" s="1"/>
  <c r="K1760" i="23" s="1"/>
  <c r="BE89" i="19"/>
  <c r="F1752" i="23"/>
  <c r="H1752" i="23" s="1"/>
  <c r="BE81" i="19"/>
  <c r="F1744" i="23"/>
  <c r="H1744" i="23" s="1"/>
  <c r="I1744" i="23" s="1"/>
  <c r="J1744" i="23" s="1"/>
  <c r="K1744" i="23" s="1"/>
  <c r="BE73" i="19"/>
  <c r="F1736" i="23"/>
  <c r="H1736" i="23" s="1"/>
  <c r="I1736" i="23" s="1"/>
  <c r="J1736" i="23" s="1"/>
  <c r="K1736" i="23" s="1"/>
  <c r="BE65" i="19"/>
  <c r="F1728" i="23"/>
  <c r="H1728" i="23" s="1"/>
  <c r="I1728" i="23" s="1"/>
  <c r="J1728" i="23" s="1"/>
  <c r="K1728" i="23" s="1"/>
  <c r="BE57" i="19"/>
  <c r="F1720" i="23"/>
  <c r="H1720" i="23" s="1"/>
  <c r="BE49" i="19"/>
  <c r="F1712" i="23"/>
  <c r="H1712" i="23" s="1"/>
  <c r="I1712" i="23" s="1"/>
  <c r="J1712" i="23" s="1"/>
  <c r="K1712" i="23" s="1"/>
  <c r="BE41" i="19"/>
  <c r="F1704" i="23"/>
  <c r="H1704" i="23" s="1"/>
  <c r="BE33" i="19"/>
  <c r="F1696" i="23"/>
  <c r="H1696" i="23" s="1"/>
  <c r="I1696" i="23" s="1"/>
  <c r="J1696" i="23" s="1"/>
  <c r="K1696" i="23" s="1"/>
  <c r="BE25" i="19"/>
  <c r="F1688" i="23"/>
  <c r="H1688" i="23" s="1"/>
  <c r="I1688" i="23" s="1"/>
  <c r="J1688" i="23" s="1"/>
  <c r="K1688" i="23" s="1"/>
  <c r="BE17" i="19"/>
  <c r="F1680" i="23"/>
  <c r="H1680" i="23" s="1"/>
  <c r="BE9" i="19"/>
  <c r="F1672" i="23"/>
  <c r="H1672" i="23" s="1"/>
  <c r="I1672" i="23" s="1"/>
  <c r="J1672" i="23" s="1"/>
  <c r="K1672" i="23" s="1"/>
  <c r="BE104" i="19"/>
  <c r="F1767" i="23"/>
  <c r="H1767" i="23" s="1"/>
  <c r="I1767" i="23" s="1"/>
  <c r="J1767" i="23" s="1"/>
  <c r="K1767" i="23" s="1"/>
  <c r="BE96" i="19"/>
  <c r="F1759" i="23"/>
  <c r="H1759" i="23" s="1"/>
  <c r="BE88" i="19"/>
  <c r="F1751" i="23"/>
  <c r="H1751" i="23" s="1"/>
  <c r="BE80" i="19"/>
  <c r="F1743" i="23"/>
  <c r="H1743" i="23" s="1"/>
  <c r="I1743" i="23" s="1"/>
  <c r="J1743" i="23" s="1"/>
  <c r="K1743" i="23" s="1"/>
  <c r="BE72" i="19"/>
  <c r="F1735" i="23"/>
  <c r="H1735" i="23" s="1"/>
  <c r="BE64" i="19"/>
  <c r="F1727" i="23"/>
  <c r="H1727" i="23" s="1"/>
  <c r="BE56" i="19"/>
  <c r="F1719" i="23"/>
  <c r="H1719" i="23" s="1"/>
  <c r="BE48" i="19"/>
  <c r="F1711" i="23"/>
  <c r="H1711" i="23" s="1"/>
  <c r="BE40" i="19"/>
  <c r="F1703" i="23"/>
  <c r="H1703" i="23" s="1"/>
  <c r="BE32" i="19"/>
  <c r="F1695" i="23"/>
  <c r="H1695" i="23" s="1"/>
  <c r="BE24" i="19"/>
  <c r="F1687" i="23"/>
  <c r="H1687" i="23" s="1"/>
  <c r="BE16" i="19"/>
  <c r="F1679" i="23"/>
  <c r="H1679" i="23" s="1"/>
  <c r="BE8" i="19"/>
  <c r="F1671" i="23"/>
  <c r="H1671" i="23" s="1"/>
  <c r="BE103" i="19"/>
  <c r="F1766" i="23"/>
  <c r="H1766" i="23" s="1"/>
  <c r="I1766" i="23" s="1"/>
  <c r="J1766" i="23" s="1"/>
  <c r="K1766" i="23" s="1"/>
  <c r="BE95" i="19"/>
  <c r="F1758" i="23"/>
  <c r="H1758" i="23" s="1"/>
  <c r="BE87" i="19"/>
  <c r="F1750" i="23"/>
  <c r="H1750" i="23" s="1"/>
  <c r="BE79" i="19"/>
  <c r="F1742" i="23"/>
  <c r="H1742" i="23" s="1"/>
  <c r="I1742" i="23" s="1"/>
  <c r="J1742" i="23" s="1"/>
  <c r="K1742" i="23" s="1"/>
  <c r="BE71" i="19"/>
  <c r="F1734" i="23"/>
  <c r="H1734" i="23" s="1"/>
  <c r="I1734" i="23" s="1"/>
  <c r="J1734" i="23" s="1"/>
  <c r="K1734" i="23" s="1"/>
  <c r="BE63" i="19"/>
  <c r="F1726" i="23"/>
  <c r="H1726" i="23" s="1"/>
  <c r="BE55" i="19"/>
  <c r="F1718" i="23"/>
  <c r="H1718" i="23" s="1"/>
  <c r="I1718" i="23" s="1"/>
  <c r="J1718" i="23" s="1"/>
  <c r="K1718" i="23" s="1"/>
  <c r="BE47" i="19"/>
  <c r="F1710" i="23"/>
  <c r="H1710" i="23" s="1"/>
  <c r="I1710" i="23" s="1"/>
  <c r="J1710" i="23" s="1"/>
  <c r="K1710" i="23" s="1"/>
  <c r="BE39" i="19"/>
  <c r="F1702" i="23"/>
  <c r="H1702" i="23" s="1"/>
  <c r="BE31" i="19"/>
  <c r="F1694" i="23"/>
  <c r="H1694" i="23" s="1"/>
  <c r="BE23" i="19"/>
  <c r="F1686" i="23"/>
  <c r="H1686" i="23" s="1"/>
  <c r="I1686" i="23" s="1"/>
  <c r="J1686" i="23" s="1"/>
  <c r="K1686" i="23" s="1"/>
  <c r="BE15" i="19"/>
  <c r="F1678" i="23"/>
  <c r="H1678" i="23" s="1"/>
  <c r="BE7" i="19"/>
  <c r="F1670" i="23"/>
  <c r="H1670" i="23" s="1"/>
  <c r="BB102" i="19"/>
  <c r="F1661" i="23"/>
  <c r="H1661" i="23" s="1"/>
  <c r="I1661" i="23" s="1"/>
  <c r="J1661" i="23" s="1"/>
  <c r="K1661" i="23" s="1"/>
  <c r="BB94" i="19"/>
  <c r="F1653" i="23"/>
  <c r="H1653" i="23" s="1"/>
  <c r="I1653" i="23" s="1"/>
  <c r="J1653" i="23" s="1"/>
  <c r="K1653" i="23" s="1"/>
  <c r="BB86" i="19"/>
  <c r="F1645" i="23"/>
  <c r="H1645" i="23" s="1"/>
  <c r="I1645" i="23" s="1"/>
  <c r="J1645" i="23" s="1"/>
  <c r="K1645" i="23" s="1"/>
  <c r="BB78" i="19"/>
  <c r="F1637" i="23"/>
  <c r="H1637" i="23" s="1"/>
  <c r="I1637" i="23" s="1"/>
  <c r="J1637" i="23" s="1"/>
  <c r="K1637" i="23" s="1"/>
  <c r="BB70" i="19"/>
  <c r="F1629" i="23"/>
  <c r="H1629" i="23" s="1"/>
  <c r="I1629" i="23" s="1"/>
  <c r="J1629" i="23" s="1"/>
  <c r="K1629" i="23" s="1"/>
  <c r="BB62" i="19"/>
  <c r="F1621" i="23"/>
  <c r="H1621" i="23" s="1"/>
  <c r="I1621" i="23" s="1"/>
  <c r="J1621" i="23" s="1"/>
  <c r="K1621" i="23" s="1"/>
  <c r="BB54" i="19"/>
  <c r="F1613" i="23"/>
  <c r="H1613" i="23" s="1"/>
  <c r="I1613" i="23" s="1"/>
  <c r="J1613" i="23" s="1"/>
  <c r="K1613" i="23" s="1"/>
  <c r="BB46" i="19"/>
  <c r="F1605" i="23"/>
  <c r="H1605" i="23" s="1"/>
  <c r="I1605" i="23" s="1"/>
  <c r="J1605" i="23" s="1"/>
  <c r="K1605" i="23" s="1"/>
  <c r="BB38" i="19"/>
  <c r="F1597" i="23"/>
  <c r="H1597" i="23" s="1"/>
  <c r="I1597" i="23" s="1"/>
  <c r="J1597" i="23" s="1"/>
  <c r="K1597" i="23" s="1"/>
  <c r="BB30" i="19"/>
  <c r="F1589" i="23"/>
  <c r="H1589" i="23" s="1"/>
  <c r="I1589" i="23" s="1"/>
  <c r="J1589" i="23" s="1"/>
  <c r="K1589" i="23" s="1"/>
  <c r="BB22" i="19"/>
  <c r="F1581" i="23"/>
  <c r="H1581" i="23" s="1"/>
  <c r="I1581" i="23" s="1"/>
  <c r="J1581" i="23" s="1"/>
  <c r="K1581" i="23" s="1"/>
  <c r="BB14" i="19"/>
  <c r="F1573" i="23"/>
  <c r="H1573" i="23" s="1"/>
  <c r="I1573" i="23" s="1"/>
  <c r="J1573" i="23" s="1"/>
  <c r="K1573" i="23" s="1"/>
  <c r="BB109" i="19"/>
  <c r="F1668" i="23"/>
  <c r="H1668" i="23" s="1"/>
  <c r="BB101" i="19"/>
  <c r="F1660" i="23"/>
  <c r="H1660" i="23" s="1"/>
  <c r="I1660" i="23" s="1"/>
  <c r="J1660" i="23" s="1"/>
  <c r="K1660" i="23" s="1"/>
  <c r="BB93" i="19"/>
  <c r="F1652" i="23"/>
  <c r="H1652" i="23" s="1"/>
  <c r="BB85" i="19"/>
  <c r="F1644" i="23"/>
  <c r="H1644" i="23" s="1"/>
  <c r="I1644" i="23" s="1"/>
  <c r="J1644" i="23" s="1"/>
  <c r="K1644" i="23" s="1"/>
  <c r="BB77" i="19"/>
  <c r="F1636" i="23"/>
  <c r="H1636" i="23" s="1"/>
  <c r="I1636" i="23" s="1"/>
  <c r="J1636" i="23" s="1"/>
  <c r="K1636" i="23" s="1"/>
  <c r="BB69" i="19"/>
  <c r="F1628" i="23"/>
  <c r="H1628" i="23" s="1"/>
  <c r="BB61" i="19"/>
  <c r="F1620" i="23"/>
  <c r="H1620" i="23" s="1"/>
  <c r="BB53" i="19"/>
  <c r="F1612" i="23"/>
  <c r="H1612" i="23" s="1"/>
  <c r="I1612" i="23" s="1"/>
  <c r="J1612" i="23" s="1"/>
  <c r="K1612" i="23" s="1"/>
  <c r="BB45" i="19"/>
  <c r="F1604" i="23"/>
  <c r="H1604" i="23" s="1"/>
  <c r="I1604" i="23" s="1"/>
  <c r="J1604" i="23" s="1"/>
  <c r="K1604" i="23" s="1"/>
  <c r="BB37" i="19"/>
  <c r="F1596" i="23"/>
  <c r="H1596" i="23" s="1"/>
  <c r="I1596" i="23" s="1"/>
  <c r="J1596" i="23" s="1"/>
  <c r="K1596" i="23" s="1"/>
  <c r="BB29" i="19"/>
  <c r="F1588" i="23"/>
  <c r="H1588" i="23" s="1"/>
  <c r="I1588" i="23" s="1"/>
  <c r="J1588" i="23" s="1"/>
  <c r="K1588" i="23" s="1"/>
  <c r="BB21" i="19"/>
  <c r="F1580" i="23"/>
  <c r="H1580" i="23" s="1"/>
  <c r="I1580" i="23" s="1"/>
  <c r="J1580" i="23" s="1"/>
  <c r="K1580" i="23" s="1"/>
  <c r="BB13" i="19"/>
  <c r="F1572" i="23"/>
  <c r="H1572" i="23" s="1"/>
  <c r="I1572" i="23" s="1"/>
  <c r="J1572" i="23" s="1"/>
  <c r="K1572" i="23" s="1"/>
  <c r="BB108" i="19"/>
  <c r="F1667" i="23"/>
  <c r="H1667" i="23" s="1"/>
  <c r="BB100" i="19"/>
  <c r="F1659" i="23"/>
  <c r="H1659" i="23" s="1"/>
  <c r="BB92" i="19"/>
  <c r="F1651" i="23"/>
  <c r="H1651" i="23" s="1"/>
  <c r="BB84" i="19"/>
  <c r="F1643" i="23"/>
  <c r="H1643" i="23" s="1"/>
  <c r="BB76" i="19"/>
  <c r="F1635" i="23"/>
  <c r="H1635" i="23" s="1"/>
  <c r="BB68" i="19"/>
  <c r="F1627" i="23"/>
  <c r="H1627" i="23" s="1"/>
  <c r="BB60" i="19"/>
  <c r="F1619" i="23"/>
  <c r="H1619" i="23" s="1"/>
  <c r="BB52" i="19"/>
  <c r="F1611" i="23"/>
  <c r="H1611" i="23" s="1"/>
  <c r="BB44" i="19"/>
  <c r="F1603" i="23"/>
  <c r="H1603" i="23" s="1"/>
  <c r="BB36" i="19"/>
  <c r="F1595" i="23"/>
  <c r="H1595" i="23" s="1"/>
  <c r="BB28" i="19"/>
  <c r="F1587" i="23"/>
  <c r="H1587" i="23" s="1"/>
  <c r="BB20" i="19"/>
  <c r="F1579" i="23"/>
  <c r="H1579" i="23" s="1"/>
  <c r="BB12" i="19"/>
  <c r="F1571" i="23"/>
  <c r="H1571" i="23" s="1"/>
  <c r="BB107" i="19"/>
  <c r="F1666" i="23"/>
  <c r="H1666" i="23" s="1"/>
  <c r="BB99" i="19"/>
  <c r="F1658" i="23"/>
  <c r="H1658" i="23" s="1"/>
  <c r="BB91" i="19"/>
  <c r="F1650" i="23"/>
  <c r="H1650" i="23" s="1"/>
  <c r="I1650" i="23" s="1"/>
  <c r="J1650" i="23" s="1"/>
  <c r="K1650" i="23" s="1"/>
  <c r="BB83" i="19"/>
  <c r="F1642" i="23"/>
  <c r="H1642" i="23" s="1"/>
  <c r="I1642" i="23" s="1"/>
  <c r="J1642" i="23" s="1"/>
  <c r="K1642" i="23" s="1"/>
  <c r="BB75" i="19"/>
  <c r="F1634" i="23"/>
  <c r="H1634" i="23" s="1"/>
  <c r="I1634" i="23" s="1"/>
  <c r="J1634" i="23" s="1"/>
  <c r="K1634" i="23" s="1"/>
  <c r="BB67" i="19"/>
  <c r="F1626" i="23"/>
  <c r="H1626" i="23" s="1"/>
  <c r="BB59" i="19"/>
  <c r="F1618" i="23"/>
  <c r="H1618" i="23" s="1"/>
  <c r="BB51" i="19"/>
  <c r="F1610" i="23"/>
  <c r="H1610" i="23" s="1"/>
  <c r="I1610" i="23" s="1"/>
  <c r="J1610" i="23" s="1"/>
  <c r="K1610" i="23" s="1"/>
  <c r="BB43" i="19"/>
  <c r="F1602" i="23"/>
  <c r="H1602" i="23" s="1"/>
  <c r="BB35" i="19"/>
  <c r="F1594" i="23"/>
  <c r="H1594" i="23" s="1"/>
  <c r="BB27" i="19"/>
  <c r="F1586" i="23"/>
  <c r="H1586" i="23" s="1"/>
  <c r="BB19" i="19"/>
  <c r="F1578" i="23"/>
  <c r="H1578" i="23" s="1"/>
  <c r="I1578" i="23" s="1"/>
  <c r="J1578" i="23" s="1"/>
  <c r="K1578" i="23" s="1"/>
  <c r="BB11" i="19"/>
  <c r="F1570" i="23"/>
  <c r="H1570" i="23" s="1"/>
  <c r="I1570" i="23" s="1"/>
  <c r="J1570" i="23" s="1"/>
  <c r="K1570" i="23" s="1"/>
  <c r="BB106" i="19"/>
  <c r="F1665" i="23"/>
  <c r="H1665" i="23" s="1"/>
  <c r="BB98" i="19"/>
  <c r="F1657" i="23"/>
  <c r="H1657" i="23" s="1"/>
  <c r="BB90" i="19"/>
  <c r="F1649" i="23"/>
  <c r="H1649" i="23" s="1"/>
  <c r="BB82" i="19"/>
  <c r="F1641" i="23"/>
  <c r="H1641" i="23" s="1"/>
  <c r="BB74" i="19"/>
  <c r="F1633" i="23"/>
  <c r="H1633" i="23" s="1"/>
  <c r="BB66" i="19"/>
  <c r="F1625" i="23"/>
  <c r="H1625" i="23" s="1"/>
  <c r="I1625" i="23" s="1"/>
  <c r="J1625" i="23" s="1"/>
  <c r="K1625" i="23" s="1"/>
  <c r="BB58" i="19"/>
  <c r="F1617" i="23"/>
  <c r="H1617" i="23" s="1"/>
  <c r="I1617" i="23" s="1"/>
  <c r="J1617" i="23" s="1"/>
  <c r="K1617" i="23" s="1"/>
  <c r="BB50" i="19"/>
  <c r="F1609" i="23"/>
  <c r="H1609" i="23" s="1"/>
  <c r="BB42" i="19"/>
  <c r="F1601" i="23"/>
  <c r="H1601" i="23" s="1"/>
  <c r="BB34" i="19"/>
  <c r="F1593" i="23"/>
  <c r="H1593" i="23" s="1"/>
  <c r="I1593" i="23" s="1"/>
  <c r="J1593" i="23" s="1"/>
  <c r="K1593" i="23" s="1"/>
  <c r="BB26" i="19"/>
  <c r="F1585" i="23"/>
  <c r="H1585" i="23" s="1"/>
  <c r="BB18" i="19"/>
  <c r="F1577" i="23"/>
  <c r="H1577" i="23" s="1"/>
  <c r="BB10" i="19"/>
  <c r="F1569" i="23"/>
  <c r="H1569" i="23" s="1"/>
  <c r="BB105" i="19"/>
  <c r="F1664" i="23"/>
  <c r="H1664" i="23" s="1"/>
  <c r="BB97" i="19"/>
  <c r="F1656" i="23"/>
  <c r="H1656" i="23" s="1"/>
  <c r="I1656" i="23" s="1"/>
  <c r="J1656" i="23" s="1"/>
  <c r="K1656" i="23" s="1"/>
  <c r="BB89" i="19"/>
  <c r="F1648" i="23"/>
  <c r="H1648" i="23" s="1"/>
  <c r="I1648" i="23" s="1"/>
  <c r="J1648" i="23" s="1"/>
  <c r="K1648" i="23" s="1"/>
  <c r="BB81" i="19"/>
  <c r="F1640" i="23"/>
  <c r="H1640" i="23" s="1"/>
  <c r="I1640" i="23" s="1"/>
  <c r="J1640" i="23" s="1"/>
  <c r="K1640" i="23" s="1"/>
  <c r="BB73" i="19"/>
  <c r="F1632" i="23"/>
  <c r="H1632" i="23" s="1"/>
  <c r="BB65" i="19"/>
  <c r="F1624" i="23"/>
  <c r="H1624" i="23" s="1"/>
  <c r="BB57" i="19"/>
  <c r="F1616" i="23"/>
  <c r="H1616" i="23" s="1"/>
  <c r="BB49" i="19"/>
  <c r="F1608" i="23"/>
  <c r="H1608" i="23" s="1"/>
  <c r="BB41" i="19"/>
  <c r="F1600" i="23"/>
  <c r="H1600" i="23" s="1"/>
  <c r="I1600" i="23" s="1"/>
  <c r="J1600" i="23" s="1"/>
  <c r="K1600" i="23" s="1"/>
  <c r="BB33" i="19"/>
  <c r="F1592" i="23"/>
  <c r="H1592" i="23" s="1"/>
  <c r="I1592" i="23" s="1"/>
  <c r="J1592" i="23" s="1"/>
  <c r="K1592" i="23" s="1"/>
  <c r="BB25" i="19"/>
  <c r="F1584" i="23"/>
  <c r="H1584" i="23" s="1"/>
  <c r="I1584" i="23" s="1"/>
  <c r="J1584" i="23" s="1"/>
  <c r="K1584" i="23" s="1"/>
  <c r="BB17" i="19"/>
  <c r="F1576" i="23"/>
  <c r="H1576" i="23" s="1"/>
  <c r="BB9" i="19"/>
  <c r="F1568" i="23"/>
  <c r="H1568" i="23" s="1"/>
  <c r="I1568" i="23" s="1"/>
  <c r="J1568" i="23" s="1"/>
  <c r="K1568" i="23" s="1"/>
  <c r="BB104" i="19"/>
  <c r="F1663" i="23"/>
  <c r="H1663" i="23" s="1"/>
  <c r="BB96" i="19"/>
  <c r="F1655" i="23"/>
  <c r="H1655" i="23" s="1"/>
  <c r="BB88" i="19"/>
  <c r="F1647" i="23"/>
  <c r="H1647" i="23" s="1"/>
  <c r="BB80" i="19"/>
  <c r="F1639" i="23"/>
  <c r="H1639" i="23" s="1"/>
  <c r="BB72" i="19"/>
  <c r="F1631" i="23"/>
  <c r="H1631" i="23" s="1"/>
  <c r="BB64" i="19"/>
  <c r="F1623" i="23"/>
  <c r="H1623" i="23" s="1"/>
  <c r="BB56" i="19"/>
  <c r="F1615" i="23"/>
  <c r="H1615" i="23" s="1"/>
  <c r="BB48" i="19"/>
  <c r="F1607" i="23"/>
  <c r="H1607" i="23" s="1"/>
  <c r="BB40" i="19"/>
  <c r="F1599" i="23"/>
  <c r="H1599" i="23" s="1"/>
  <c r="BB32" i="19"/>
  <c r="F1591" i="23"/>
  <c r="H1591" i="23" s="1"/>
  <c r="BB24" i="19"/>
  <c r="F1583" i="23"/>
  <c r="H1583" i="23" s="1"/>
  <c r="BB16" i="19"/>
  <c r="F1575" i="23"/>
  <c r="H1575" i="23" s="1"/>
  <c r="BB8" i="19"/>
  <c r="F1567" i="23"/>
  <c r="H1567" i="23" s="1"/>
  <c r="BB103" i="19"/>
  <c r="F1662" i="23"/>
  <c r="H1662" i="23" s="1"/>
  <c r="I1662" i="23" s="1"/>
  <c r="J1662" i="23" s="1"/>
  <c r="K1662" i="23" s="1"/>
  <c r="BB95" i="19"/>
  <c r="F1654" i="23"/>
  <c r="H1654" i="23" s="1"/>
  <c r="I1654" i="23" s="1"/>
  <c r="J1654" i="23" s="1"/>
  <c r="K1654" i="23" s="1"/>
  <c r="BB87" i="19"/>
  <c r="F1646" i="23"/>
  <c r="H1646" i="23" s="1"/>
  <c r="I1646" i="23" s="1"/>
  <c r="J1646" i="23" s="1"/>
  <c r="K1646" i="23" s="1"/>
  <c r="BB79" i="19"/>
  <c r="F1638" i="23"/>
  <c r="H1638" i="23" s="1"/>
  <c r="BB71" i="19"/>
  <c r="F1630" i="23"/>
  <c r="H1630" i="23" s="1"/>
  <c r="BB63" i="19"/>
  <c r="F1622" i="23"/>
  <c r="H1622" i="23" s="1"/>
  <c r="I1622" i="23" s="1"/>
  <c r="J1622" i="23" s="1"/>
  <c r="K1622" i="23" s="1"/>
  <c r="BB55" i="19"/>
  <c r="F1614" i="23"/>
  <c r="H1614" i="23" s="1"/>
  <c r="BB47" i="19"/>
  <c r="F1606" i="23"/>
  <c r="H1606" i="23" s="1"/>
  <c r="BB39" i="19"/>
  <c r="F1598" i="23"/>
  <c r="H1598" i="23" s="1"/>
  <c r="I1598" i="23" s="1"/>
  <c r="J1598" i="23" s="1"/>
  <c r="K1598" i="23" s="1"/>
  <c r="BB31" i="19"/>
  <c r="F1590" i="23"/>
  <c r="H1590" i="23" s="1"/>
  <c r="I1590" i="23" s="1"/>
  <c r="J1590" i="23" s="1"/>
  <c r="K1590" i="23" s="1"/>
  <c r="BB23" i="19"/>
  <c r="F1582" i="23"/>
  <c r="H1582" i="23" s="1"/>
  <c r="I1582" i="23" s="1"/>
  <c r="J1582" i="23" s="1"/>
  <c r="K1582" i="23" s="1"/>
  <c r="BB15" i="19"/>
  <c r="F1574" i="23"/>
  <c r="H1574" i="23" s="1"/>
  <c r="BB7" i="19"/>
  <c r="F1566" i="23"/>
  <c r="H1566" i="23" s="1"/>
  <c r="AY102" i="19"/>
  <c r="F1557" i="23"/>
  <c r="H1557" i="23" s="1"/>
  <c r="I1557" i="23" s="1"/>
  <c r="J1557" i="23" s="1"/>
  <c r="K1557" i="23" s="1"/>
  <c r="AY94" i="19"/>
  <c r="F1549" i="23"/>
  <c r="H1549" i="23" s="1"/>
  <c r="I1549" i="23" s="1"/>
  <c r="J1549" i="23" s="1"/>
  <c r="K1549" i="23" s="1"/>
  <c r="AY86" i="19"/>
  <c r="F1541" i="23"/>
  <c r="H1541" i="23" s="1"/>
  <c r="I1541" i="23" s="1"/>
  <c r="J1541" i="23" s="1"/>
  <c r="K1541" i="23" s="1"/>
  <c r="AY78" i="19"/>
  <c r="F1533" i="23"/>
  <c r="H1533" i="23" s="1"/>
  <c r="I1533" i="23" s="1"/>
  <c r="J1533" i="23" s="1"/>
  <c r="K1533" i="23" s="1"/>
  <c r="AY70" i="19"/>
  <c r="F1525" i="23"/>
  <c r="H1525" i="23" s="1"/>
  <c r="AY62" i="19"/>
  <c r="F1517" i="23"/>
  <c r="H1517" i="23" s="1"/>
  <c r="AY54" i="19"/>
  <c r="F1509" i="23"/>
  <c r="H1509" i="23" s="1"/>
  <c r="AY46" i="19"/>
  <c r="F1501" i="23"/>
  <c r="H1501" i="23" s="1"/>
  <c r="AY38" i="19"/>
  <c r="F1493" i="23"/>
  <c r="H1493" i="23" s="1"/>
  <c r="AY30" i="19"/>
  <c r="F1485" i="23"/>
  <c r="H1485" i="23" s="1"/>
  <c r="AY22" i="19"/>
  <c r="F1477" i="23"/>
  <c r="H1477" i="23" s="1"/>
  <c r="AY14" i="19"/>
  <c r="F1469" i="23"/>
  <c r="H1469" i="23" s="1"/>
  <c r="AY109" i="19"/>
  <c r="F1564" i="23"/>
  <c r="H1564" i="23" s="1"/>
  <c r="I1564" i="23" s="1"/>
  <c r="J1564" i="23" s="1"/>
  <c r="K1564" i="23" s="1"/>
  <c r="AY101" i="19"/>
  <c r="F1556" i="23"/>
  <c r="H1556" i="23" s="1"/>
  <c r="AY93" i="19"/>
  <c r="F1548" i="23"/>
  <c r="H1548" i="23" s="1"/>
  <c r="AY85" i="19"/>
  <c r="F1540" i="23"/>
  <c r="H1540" i="23" s="1"/>
  <c r="I1540" i="23" s="1"/>
  <c r="J1540" i="23" s="1"/>
  <c r="K1540" i="23" s="1"/>
  <c r="AY77" i="19"/>
  <c r="F1532" i="23"/>
  <c r="H1532" i="23" s="1"/>
  <c r="I1532" i="23" s="1"/>
  <c r="J1532" i="23" s="1"/>
  <c r="K1532" i="23" s="1"/>
  <c r="AY69" i="19"/>
  <c r="F1524" i="23"/>
  <c r="H1524" i="23" s="1"/>
  <c r="I1524" i="23" s="1"/>
  <c r="J1524" i="23" s="1"/>
  <c r="K1524" i="23" s="1"/>
  <c r="AY61" i="19"/>
  <c r="F1516" i="23"/>
  <c r="H1516" i="23" s="1"/>
  <c r="AY53" i="19"/>
  <c r="F1508" i="23"/>
  <c r="H1508" i="23" s="1"/>
  <c r="AY45" i="19"/>
  <c r="F1500" i="23"/>
  <c r="H1500" i="23" s="1"/>
  <c r="AY37" i="19"/>
  <c r="F1492" i="23"/>
  <c r="H1492" i="23" s="1"/>
  <c r="I1492" i="23" s="1"/>
  <c r="J1492" i="23" s="1"/>
  <c r="K1492" i="23" s="1"/>
  <c r="AY29" i="19"/>
  <c r="F1484" i="23"/>
  <c r="H1484" i="23" s="1"/>
  <c r="I1484" i="23" s="1"/>
  <c r="J1484" i="23" s="1"/>
  <c r="K1484" i="23" s="1"/>
  <c r="AY21" i="19"/>
  <c r="F1476" i="23"/>
  <c r="H1476" i="23" s="1"/>
  <c r="AY13" i="19"/>
  <c r="F1468" i="23"/>
  <c r="H1468" i="23" s="1"/>
  <c r="I1468" i="23" s="1"/>
  <c r="J1468" i="23" s="1"/>
  <c r="K1468" i="23" s="1"/>
  <c r="AY108" i="19"/>
  <c r="F1563" i="23"/>
  <c r="H1563" i="23" s="1"/>
  <c r="AY100" i="19"/>
  <c r="F1555" i="23"/>
  <c r="H1555" i="23" s="1"/>
  <c r="AY92" i="19"/>
  <c r="F1547" i="23"/>
  <c r="H1547" i="23" s="1"/>
  <c r="I1547" i="23" s="1"/>
  <c r="J1547" i="23" s="1"/>
  <c r="K1547" i="23" s="1"/>
  <c r="AY84" i="19"/>
  <c r="F1539" i="23"/>
  <c r="H1539" i="23" s="1"/>
  <c r="I1539" i="23" s="1"/>
  <c r="J1539" i="23" s="1"/>
  <c r="K1539" i="23" s="1"/>
  <c r="AY76" i="19"/>
  <c r="F1531" i="23"/>
  <c r="H1531" i="23" s="1"/>
  <c r="I1531" i="23" s="1"/>
  <c r="J1531" i="23" s="1"/>
  <c r="K1531" i="23" s="1"/>
  <c r="AY68" i="19"/>
  <c r="F1523" i="23"/>
  <c r="H1523" i="23" s="1"/>
  <c r="AY60" i="19"/>
  <c r="F1515" i="23"/>
  <c r="H1515" i="23" s="1"/>
  <c r="AY52" i="19"/>
  <c r="F1507" i="23"/>
  <c r="H1507" i="23" s="1"/>
  <c r="AY44" i="19"/>
  <c r="F1499" i="23"/>
  <c r="H1499" i="23" s="1"/>
  <c r="AY36" i="19"/>
  <c r="F1491" i="23"/>
  <c r="H1491" i="23" s="1"/>
  <c r="AY28" i="19"/>
  <c r="F1483" i="23"/>
  <c r="H1483" i="23" s="1"/>
  <c r="AY20" i="19"/>
  <c r="F1475" i="23"/>
  <c r="H1475" i="23" s="1"/>
  <c r="AY12" i="19"/>
  <c r="F1467" i="23"/>
  <c r="H1467" i="23" s="1"/>
  <c r="AY107" i="19"/>
  <c r="F1562" i="23"/>
  <c r="H1562" i="23" s="1"/>
  <c r="AY99" i="19"/>
  <c r="F1554" i="23"/>
  <c r="H1554" i="23" s="1"/>
  <c r="AY91" i="19"/>
  <c r="F1546" i="23"/>
  <c r="H1546" i="23" s="1"/>
  <c r="I1546" i="23" s="1"/>
  <c r="J1546" i="23" s="1"/>
  <c r="K1546" i="23" s="1"/>
  <c r="AY83" i="19"/>
  <c r="F1538" i="23"/>
  <c r="H1538" i="23" s="1"/>
  <c r="I1538" i="23" s="1"/>
  <c r="J1538" i="23" s="1"/>
  <c r="K1538" i="23" s="1"/>
  <c r="AY75" i="19"/>
  <c r="F1530" i="23"/>
  <c r="H1530" i="23" s="1"/>
  <c r="I1530" i="23" s="1"/>
  <c r="J1530" i="23" s="1"/>
  <c r="K1530" i="23" s="1"/>
  <c r="AY67" i="19"/>
  <c r="F1522" i="23"/>
  <c r="H1522" i="23" s="1"/>
  <c r="I1522" i="23" s="1"/>
  <c r="J1522" i="23" s="1"/>
  <c r="K1522" i="23" s="1"/>
  <c r="AY59" i="19"/>
  <c r="F1514" i="23"/>
  <c r="H1514" i="23" s="1"/>
  <c r="AY51" i="19"/>
  <c r="F1506" i="23"/>
  <c r="H1506" i="23" s="1"/>
  <c r="AY43" i="19"/>
  <c r="F1498" i="23"/>
  <c r="H1498" i="23" s="1"/>
  <c r="AY35" i="19"/>
  <c r="F1490" i="23"/>
  <c r="H1490" i="23" s="1"/>
  <c r="AY27" i="19"/>
  <c r="F1482" i="23"/>
  <c r="H1482" i="23" s="1"/>
  <c r="AY19" i="19"/>
  <c r="F1474" i="23"/>
  <c r="H1474" i="23" s="1"/>
  <c r="AY11" i="19"/>
  <c r="F1466" i="23"/>
  <c r="H1466" i="23" s="1"/>
  <c r="AY106" i="19"/>
  <c r="F1561" i="23"/>
  <c r="H1561" i="23" s="1"/>
  <c r="I1561" i="23" s="1"/>
  <c r="J1561" i="23" s="1"/>
  <c r="K1561" i="23" s="1"/>
  <c r="AY98" i="19"/>
  <c r="F1553" i="23"/>
  <c r="H1553" i="23" s="1"/>
  <c r="AY90" i="19"/>
  <c r="F1545" i="23"/>
  <c r="H1545" i="23" s="1"/>
  <c r="I1545" i="23" s="1"/>
  <c r="J1545" i="23" s="1"/>
  <c r="K1545" i="23" s="1"/>
  <c r="AY82" i="19"/>
  <c r="F1537" i="23"/>
  <c r="H1537" i="23" s="1"/>
  <c r="AY74" i="19"/>
  <c r="F1529" i="23"/>
  <c r="H1529" i="23" s="1"/>
  <c r="I1529" i="23" s="1"/>
  <c r="J1529" i="23" s="1"/>
  <c r="K1529" i="23" s="1"/>
  <c r="AY66" i="19"/>
  <c r="F1521" i="23"/>
  <c r="H1521" i="23" s="1"/>
  <c r="AY58" i="19"/>
  <c r="F1513" i="23"/>
  <c r="H1513" i="23" s="1"/>
  <c r="I1513" i="23" s="1"/>
  <c r="J1513" i="23" s="1"/>
  <c r="K1513" i="23" s="1"/>
  <c r="AY50" i="19"/>
  <c r="F1505" i="23"/>
  <c r="H1505" i="23" s="1"/>
  <c r="I1505" i="23" s="1"/>
  <c r="J1505" i="23" s="1"/>
  <c r="K1505" i="23" s="1"/>
  <c r="AY42" i="19"/>
  <c r="F1497" i="23"/>
  <c r="H1497" i="23" s="1"/>
  <c r="I1497" i="23" s="1"/>
  <c r="J1497" i="23" s="1"/>
  <c r="K1497" i="23" s="1"/>
  <c r="AY34" i="19"/>
  <c r="F1489" i="23"/>
  <c r="H1489" i="23" s="1"/>
  <c r="I1489" i="23" s="1"/>
  <c r="J1489" i="23" s="1"/>
  <c r="K1489" i="23" s="1"/>
  <c r="AY26" i="19"/>
  <c r="F1481" i="23"/>
  <c r="H1481" i="23" s="1"/>
  <c r="I1481" i="23" s="1"/>
  <c r="J1481" i="23" s="1"/>
  <c r="K1481" i="23" s="1"/>
  <c r="AY18" i="19"/>
  <c r="F1473" i="23"/>
  <c r="H1473" i="23" s="1"/>
  <c r="AY10" i="19"/>
  <c r="F1465" i="23"/>
  <c r="H1465" i="23" s="1"/>
  <c r="I1465" i="23" s="1"/>
  <c r="J1465" i="23" s="1"/>
  <c r="K1465" i="23" s="1"/>
  <c r="AY105" i="19"/>
  <c r="F1560" i="23"/>
  <c r="H1560" i="23" s="1"/>
  <c r="AY97" i="19"/>
  <c r="F1552" i="23"/>
  <c r="H1552" i="23" s="1"/>
  <c r="I1552" i="23" s="1"/>
  <c r="J1552" i="23" s="1"/>
  <c r="K1552" i="23" s="1"/>
  <c r="AY89" i="19"/>
  <c r="F1544" i="23"/>
  <c r="H1544" i="23" s="1"/>
  <c r="I1544" i="23" s="1"/>
  <c r="J1544" i="23" s="1"/>
  <c r="K1544" i="23" s="1"/>
  <c r="AY81" i="19"/>
  <c r="F1536" i="23"/>
  <c r="H1536" i="23" s="1"/>
  <c r="AY73" i="19"/>
  <c r="F1528" i="23"/>
  <c r="H1528" i="23" s="1"/>
  <c r="AY65" i="19"/>
  <c r="F1520" i="23"/>
  <c r="H1520" i="23" s="1"/>
  <c r="I1520" i="23" s="1"/>
  <c r="J1520" i="23" s="1"/>
  <c r="K1520" i="23" s="1"/>
  <c r="AY57" i="19"/>
  <c r="F1512" i="23"/>
  <c r="H1512" i="23" s="1"/>
  <c r="AY49" i="19"/>
  <c r="F1504" i="23"/>
  <c r="H1504" i="23" s="1"/>
  <c r="AY41" i="19"/>
  <c r="F1496" i="23"/>
  <c r="H1496" i="23" s="1"/>
  <c r="AY33" i="19"/>
  <c r="F1488" i="23"/>
  <c r="H1488" i="23" s="1"/>
  <c r="AY25" i="19"/>
  <c r="F1480" i="23"/>
  <c r="H1480" i="23" s="1"/>
  <c r="AY17" i="19"/>
  <c r="F1472" i="23"/>
  <c r="H1472" i="23" s="1"/>
  <c r="AY9" i="19"/>
  <c r="F1464" i="23"/>
  <c r="H1464" i="23" s="1"/>
  <c r="AY104" i="19"/>
  <c r="F1559" i="23"/>
  <c r="H1559" i="23" s="1"/>
  <c r="AY96" i="19"/>
  <c r="F1551" i="23"/>
  <c r="H1551" i="23" s="1"/>
  <c r="AY88" i="19"/>
  <c r="F1543" i="23"/>
  <c r="H1543" i="23" s="1"/>
  <c r="I1543" i="23" s="1"/>
  <c r="J1543" i="23" s="1"/>
  <c r="K1543" i="23" s="1"/>
  <c r="AY80" i="19"/>
  <c r="F1535" i="23"/>
  <c r="H1535" i="23" s="1"/>
  <c r="I1535" i="23" s="1"/>
  <c r="J1535" i="23" s="1"/>
  <c r="K1535" i="23" s="1"/>
  <c r="AY72" i="19"/>
  <c r="F1527" i="23"/>
  <c r="H1527" i="23" s="1"/>
  <c r="I1527" i="23" s="1"/>
  <c r="J1527" i="23" s="1"/>
  <c r="K1527" i="23" s="1"/>
  <c r="AY64" i="19"/>
  <c r="F1519" i="23"/>
  <c r="H1519" i="23" s="1"/>
  <c r="AY56" i="19"/>
  <c r="F1511" i="23"/>
  <c r="H1511" i="23" s="1"/>
  <c r="AY48" i="19"/>
  <c r="F1503" i="23"/>
  <c r="H1503" i="23" s="1"/>
  <c r="AY40" i="19"/>
  <c r="F1495" i="23"/>
  <c r="H1495" i="23" s="1"/>
  <c r="AY32" i="19"/>
  <c r="F1487" i="23"/>
  <c r="H1487" i="23" s="1"/>
  <c r="I1487" i="23" s="1"/>
  <c r="J1487" i="23" s="1"/>
  <c r="K1487" i="23" s="1"/>
  <c r="AY24" i="19"/>
  <c r="F1479" i="23"/>
  <c r="H1479" i="23" s="1"/>
  <c r="AY16" i="19"/>
  <c r="F1471" i="23"/>
  <c r="H1471" i="23" s="1"/>
  <c r="AY8" i="19"/>
  <c r="F1463" i="23"/>
  <c r="H1463" i="23" s="1"/>
  <c r="AY103" i="19"/>
  <c r="F1558" i="23"/>
  <c r="H1558" i="23" s="1"/>
  <c r="I1558" i="23" s="1"/>
  <c r="J1558" i="23" s="1"/>
  <c r="K1558" i="23" s="1"/>
  <c r="AY95" i="19"/>
  <c r="F1550" i="23"/>
  <c r="H1550" i="23" s="1"/>
  <c r="AY87" i="19"/>
  <c r="F1542" i="23"/>
  <c r="H1542" i="23" s="1"/>
  <c r="AY79" i="19"/>
  <c r="F1534" i="23"/>
  <c r="H1534" i="23" s="1"/>
  <c r="AY71" i="19"/>
  <c r="F1526" i="23"/>
  <c r="H1526" i="23" s="1"/>
  <c r="AY63" i="19"/>
  <c r="F1518" i="23"/>
  <c r="H1518" i="23" s="1"/>
  <c r="AY55" i="19"/>
  <c r="F1510" i="23"/>
  <c r="H1510" i="23" s="1"/>
  <c r="AY47" i="19"/>
  <c r="F1502" i="23"/>
  <c r="H1502" i="23" s="1"/>
  <c r="AY39" i="19"/>
  <c r="F1494" i="23"/>
  <c r="H1494" i="23" s="1"/>
  <c r="AY31" i="19"/>
  <c r="F1486" i="23"/>
  <c r="H1486" i="23" s="1"/>
  <c r="AY23" i="19"/>
  <c r="F1478" i="23"/>
  <c r="H1478" i="23" s="1"/>
  <c r="AY15" i="19"/>
  <c r="F1470" i="23"/>
  <c r="H1470" i="23" s="1"/>
  <c r="AY7" i="19"/>
  <c r="F1462" i="23"/>
  <c r="H1462" i="23" s="1"/>
  <c r="AV101" i="19"/>
  <c r="F1452" i="23"/>
  <c r="H1452" i="23" s="1"/>
  <c r="I1452" i="23" s="1"/>
  <c r="J1452" i="23" s="1"/>
  <c r="K1452" i="23" s="1"/>
  <c r="AV93" i="19"/>
  <c r="F1444" i="23"/>
  <c r="H1444" i="23" s="1"/>
  <c r="AV85" i="19"/>
  <c r="F1436" i="23"/>
  <c r="H1436" i="23" s="1"/>
  <c r="AV77" i="19"/>
  <c r="F1428" i="23"/>
  <c r="H1428" i="23" s="1"/>
  <c r="I1428" i="23" s="1"/>
  <c r="J1428" i="23" s="1"/>
  <c r="K1428" i="23" s="1"/>
  <c r="AV69" i="19"/>
  <c r="F1420" i="23"/>
  <c r="H1420" i="23" s="1"/>
  <c r="I1420" i="23" s="1"/>
  <c r="J1420" i="23" s="1"/>
  <c r="K1420" i="23" s="1"/>
  <c r="AV61" i="19"/>
  <c r="F1412" i="23"/>
  <c r="H1412" i="23" s="1"/>
  <c r="AV53" i="19"/>
  <c r="F1404" i="23"/>
  <c r="H1404" i="23" s="1"/>
  <c r="AV45" i="19"/>
  <c r="F1396" i="23"/>
  <c r="H1396" i="23" s="1"/>
  <c r="I1396" i="23" s="1"/>
  <c r="J1396" i="23" s="1"/>
  <c r="K1396" i="23" s="1"/>
  <c r="AV37" i="19"/>
  <c r="F1388" i="23"/>
  <c r="H1388" i="23" s="1"/>
  <c r="I1388" i="23" s="1"/>
  <c r="J1388" i="23" s="1"/>
  <c r="K1388" i="23" s="1"/>
  <c r="AV29" i="19"/>
  <c r="F1380" i="23"/>
  <c r="H1380" i="23" s="1"/>
  <c r="AV21" i="19"/>
  <c r="F1372" i="23"/>
  <c r="H1372" i="23" s="1"/>
  <c r="AV13" i="19"/>
  <c r="F1364" i="23"/>
  <c r="H1364" i="23" s="1"/>
  <c r="AV108" i="19"/>
  <c r="F1459" i="23"/>
  <c r="H1459" i="23" s="1"/>
  <c r="AV100" i="19"/>
  <c r="F1451" i="23"/>
  <c r="H1451" i="23" s="1"/>
  <c r="AV92" i="19"/>
  <c r="F1443" i="23"/>
  <c r="H1443" i="23" s="1"/>
  <c r="AV84" i="19"/>
  <c r="F1435" i="23"/>
  <c r="H1435" i="23" s="1"/>
  <c r="AV76" i="19"/>
  <c r="F1427" i="23"/>
  <c r="H1427" i="23" s="1"/>
  <c r="AV68" i="19"/>
  <c r="F1419" i="23"/>
  <c r="H1419" i="23" s="1"/>
  <c r="AV60" i="19"/>
  <c r="F1411" i="23"/>
  <c r="H1411" i="23" s="1"/>
  <c r="AV52" i="19"/>
  <c r="F1403" i="23"/>
  <c r="H1403" i="23" s="1"/>
  <c r="I1403" i="23" s="1"/>
  <c r="J1403" i="23" s="1"/>
  <c r="K1403" i="23" s="1"/>
  <c r="AV44" i="19"/>
  <c r="F1395" i="23"/>
  <c r="H1395" i="23" s="1"/>
  <c r="AV36" i="19"/>
  <c r="F1387" i="23"/>
  <c r="H1387" i="23" s="1"/>
  <c r="I1387" i="23" s="1"/>
  <c r="J1387" i="23" s="1"/>
  <c r="K1387" i="23" s="1"/>
  <c r="AV28" i="19"/>
  <c r="F1379" i="23"/>
  <c r="H1379" i="23" s="1"/>
  <c r="I1379" i="23" s="1"/>
  <c r="J1379" i="23" s="1"/>
  <c r="K1379" i="23" s="1"/>
  <c r="AV20" i="19"/>
  <c r="F1371" i="23"/>
  <c r="H1371" i="23" s="1"/>
  <c r="I1371" i="23" s="1"/>
  <c r="J1371" i="23" s="1"/>
  <c r="K1371" i="23" s="1"/>
  <c r="AV12" i="19"/>
  <c r="F1363" i="23"/>
  <c r="H1363" i="23" s="1"/>
  <c r="I1363" i="23" s="1"/>
  <c r="J1363" i="23" s="1"/>
  <c r="K1363" i="23" s="1"/>
  <c r="AV107" i="19"/>
  <c r="F1458" i="23"/>
  <c r="H1458" i="23" s="1"/>
  <c r="AV99" i="19"/>
  <c r="F1450" i="23"/>
  <c r="H1450" i="23" s="1"/>
  <c r="AV91" i="19"/>
  <c r="F1442" i="23"/>
  <c r="H1442" i="23" s="1"/>
  <c r="AV83" i="19"/>
  <c r="F1434" i="23"/>
  <c r="H1434" i="23" s="1"/>
  <c r="AV75" i="19"/>
  <c r="F1426" i="23"/>
  <c r="H1426" i="23" s="1"/>
  <c r="AV67" i="19"/>
  <c r="F1418" i="23"/>
  <c r="H1418" i="23" s="1"/>
  <c r="AV59" i="19"/>
  <c r="F1410" i="23"/>
  <c r="H1410" i="23" s="1"/>
  <c r="AV51" i="19"/>
  <c r="F1402" i="23"/>
  <c r="H1402" i="23" s="1"/>
  <c r="I1402" i="23" s="1"/>
  <c r="J1402" i="23" s="1"/>
  <c r="K1402" i="23" s="1"/>
  <c r="AV43" i="19"/>
  <c r="F1394" i="23"/>
  <c r="H1394" i="23" s="1"/>
  <c r="AV35" i="19"/>
  <c r="F1386" i="23"/>
  <c r="H1386" i="23" s="1"/>
  <c r="I1386" i="23" s="1"/>
  <c r="J1386" i="23" s="1"/>
  <c r="K1386" i="23" s="1"/>
  <c r="AV27" i="19"/>
  <c r="F1378" i="23"/>
  <c r="H1378" i="23" s="1"/>
  <c r="I1378" i="23" s="1"/>
  <c r="J1378" i="23" s="1"/>
  <c r="K1378" i="23" s="1"/>
  <c r="AV19" i="19"/>
  <c r="F1370" i="23"/>
  <c r="H1370" i="23" s="1"/>
  <c r="I1370" i="23" s="1"/>
  <c r="J1370" i="23" s="1"/>
  <c r="K1370" i="23" s="1"/>
  <c r="AV11" i="19"/>
  <c r="F1362" i="23"/>
  <c r="H1362" i="23" s="1"/>
  <c r="I1362" i="23" s="1"/>
  <c r="J1362" i="23" s="1"/>
  <c r="K1362" i="23" s="1"/>
  <c r="AV106" i="19"/>
  <c r="F1457" i="23"/>
  <c r="H1457" i="23" s="1"/>
  <c r="AV98" i="19"/>
  <c r="F1449" i="23"/>
  <c r="H1449" i="23" s="1"/>
  <c r="I1449" i="23" s="1"/>
  <c r="J1449" i="23" s="1"/>
  <c r="K1449" i="23" s="1"/>
  <c r="AV90" i="19"/>
  <c r="F1441" i="23"/>
  <c r="H1441" i="23" s="1"/>
  <c r="AV82" i="19"/>
  <c r="F1433" i="23"/>
  <c r="H1433" i="23" s="1"/>
  <c r="I1433" i="23" s="1"/>
  <c r="J1433" i="23" s="1"/>
  <c r="K1433" i="23" s="1"/>
  <c r="AV74" i="19"/>
  <c r="F1425" i="23"/>
  <c r="H1425" i="23" s="1"/>
  <c r="AV66" i="19"/>
  <c r="F1417" i="23"/>
  <c r="H1417" i="23" s="1"/>
  <c r="I1417" i="23" s="1"/>
  <c r="J1417" i="23" s="1"/>
  <c r="K1417" i="23" s="1"/>
  <c r="AV58" i="19"/>
  <c r="F1409" i="23"/>
  <c r="H1409" i="23" s="1"/>
  <c r="I1409" i="23" s="1"/>
  <c r="J1409" i="23" s="1"/>
  <c r="K1409" i="23" s="1"/>
  <c r="AV50" i="19"/>
  <c r="F1401" i="23"/>
  <c r="H1401" i="23" s="1"/>
  <c r="AV42" i="19"/>
  <c r="F1393" i="23"/>
  <c r="H1393" i="23" s="1"/>
  <c r="AV34" i="19"/>
  <c r="F1385" i="23"/>
  <c r="H1385" i="23" s="1"/>
  <c r="AV26" i="19"/>
  <c r="F1377" i="23"/>
  <c r="H1377" i="23" s="1"/>
  <c r="I1377" i="23" s="1"/>
  <c r="J1377" i="23" s="1"/>
  <c r="K1377" i="23" s="1"/>
  <c r="AV18" i="19"/>
  <c r="F1369" i="23"/>
  <c r="H1369" i="23" s="1"/>
  <c r="AV10" i="19"/>
  <c r="F1361" i="23"/>
  <c r="H1361" i="23" s="1"/>
  <c r="AV105" i="19"/>
  <c r="F1456" i="23"/>
  <c r="H1456" i="23" s="1"/>
  <c r="AV97" i="19"/>
  <c r="F1448" i="23"/>
  <c r="H1448" i="23" s="1"/>
  <c r="AV89" i="19"/>
  <c r="F1440" i="23"/>
  <c r="H1440" i="23" s="1"/>
  <c r="AV81" i="19"/>
  <c r="F1432" i="23"/>
  <c r="H1432" i="23" s="1"/>
  <c r="AV73" i="19"/>
  <c r="F1424" i="23"/>
  <c r="H1424" i="23" s="1"/>
  <c r="AV65" i="19"/>
  <c r="F1416" i="23"/>
  <c r="H1416" i="23" s="1"/>
  <c r="AV57" i="19"/>
  <c r="F1408" i="23"/>
  <c r="H1408" i="23" s="1"/>
  <c r="AV49" i="19"/>
  <c r="F1400" i="23"/>
  <c r="H1400" i="23" s="1"/>
  <c r="AV41" i="19"/>
  <c r="F1392" i="23"/>
  <c r="H1392" i="23" s="1"/>
  <c r="AV33" i="19"/>
  <c r="F1384" i="23"/>
  <c r="H1384" i="23" s="1"/>
  <c r="AV25" i="19"/>
  <c r="F1376" i="23"/>
  <c r="H1376" i="23" s="1"/>
  <c r="I1376" i="23" s="1"/>
  <c r="J1376" i="23" s="1"/>
  <c r="K1376" i="23" s="1"/>
  <c r="AV17" i="19"/>
  <c r="F1368" i="23"/>
  <c r="H1368" i="23" s="1"/>
  <c r="I1368" i="23" s="1"/>
  <c r="J1368" i="23" s="1"/>
  <c r="K1368" i="23" s="1"/>
  <c r="AV9" i="19"/>
  <c r="F1360" i="23"/>
  <c r="H1360" i="23" s="1"/>
  <c r="AV104" i="19"/>
  <c r="F1455" i="23"/>
  <c r="H1455" i="23" s="1"/>
  <c r="I1455" i="23" s="1"/>
  <c r="J1455" i="23" s="1"/>
  <c r="K1455" i="23" s="1"/>
  <c r="AV96" i="19"/>
  <c r="F1447" i="23"/>
  <c r="H1447" i="23" s="1"/>
  <c r="AV88" i="19"/>
  <c r="F1439" i="23"/>
  <c r="H1439" i="23" s="1"/>
  <c r="AV80" i="19"/>
  <c r="F1431" i="23"/>
  <c r="H1431" i="23" s="1"/>
  <c r="AV72" i="19"/>
  <c r="F1423" i="23"/>
  <c r="H1423" i="23" s="1"/>
  <c r="I1423" i="23" s="1"/>
  <c r="J1423" i="23" s="1"/>
  <c r="K1423" i="23" s="1"/>
  <c r="AV64" i="19"/>
  <c r="F1415" i="23"/>
  <c r="H1415" i="23" s="1"/>
  <c r="AV56" i="19"/>
  <c r="F1407" i="23"/>
  <c r="H1407" i="23" s="1"/>
  <c r="AV48" i="19"/>
  <c r="F1399" i="23"/>
  <c r="H1399" i="23" s="1"/>
  <c r="AV40" i="19"/>
  <c r="F1391" i="23"/>
  <c r="H1391" i="23" s="1"/>
  <c r="AV32" i="19"/>
  <c r="F1383" i="23"/>
  <c r="H1383" i="23" s="1"/>
  <c r="AV24" i="19"/>
  <c r="F1375" i="23"/>
  <c r="H1375" i="23" s="1"/>
  <c r="I1375" i="23" s="1"/>
  <c r="J1375" i="23" s="1"/>
  <c r="K1375" i="23" s="1"/>
  <c r="AV16" i="19"/>
  <c r="F1367" i="23"/>
  <c r="H1367" i="23" s="1"/>
  <c r="AV8" i="19"/>
  <c r="F1359" i="23"/>
  <c r="H1359" i="23" s="1"/>
  <c r="AV103" i="19"/>
  <c r="F1454" i="23"/>
  <c r="H1454" i="23" s="1"/>
  <c r="AV95" i="19"/>
  <c r="F1446" i="23"/>
  <c r="H1446" i="23" s="1"/>
  <c r="AV87" i="19"/>
  <c r="F1438" i="23"/>
  <c r="H1438" i="23" s="1"/>
  <c r="AV79" i="19"/>
  <c r="F1430" i="23"/>
  <c r="H1430" i="23" s="1"/>
  <c r="AV71" i="19"/>
  <c r="F1422" i="23"/>
  <c r="H1422" i="23" s="1"/>
  <c r="I1422" i="23" s="1"/>
  <c r="J1422" i="23" s="1"/>
  <c r="K1422" i="23" s="1"/>
  <c r="AV63" i="19"/>
  <c r="F1414" i="23"/>
  <c r="H1414" i="23" s="1"/>
  <c r="AV55" i="19"/>
  <c r="F1406" i="23"/>
  <c r="H1406" i="23" s="1"/>
  <c r="I1406" i="23" s="1"/>
  <c r="J1406" i="23" s="1"/>
  <c r="K1406" i="23" s="1"/>
  <c r="AV47" i="19"/>
  <c r="F1398" i="23"/>
  <c r="H1398" i="23" s="1"/>
  <c r="AV39" i="19"/>
  <c r="F1390" i="23"/>
  <c r="H1390" i="23" s="1"/>
  <c r="AV31" i="19"/>
  <c r="F1382" i="23"/>
  <c r="H1382" i="23" s="1"/>
  <c r="I1382" i="23" s="1"/>
  <c r="J1382" i="23" s="1"/>
  <c r="K1382" i="23" s="1"/>
  <c r="AV23" i="19"/>
  <c r="F1374" i="23"/>
  <c r="H1374" i="23" s="1"/>
  <c r="I1374" i="23" s="1"/>
  <c r="J1374" i="23" s="1"/>
  <c r="K1374" i="23" s="1"/>
  <c r="AV15" i="19"/>
  <c r="F1366" i="23"/>
  <c r="H1366" i="23" s="1"/>
  <c r="AV7" i="19"/>
  <c r="F1358" i="23"/>
  <c r="H1358" i="23" s="1"/>
  <c r="AV102" i="19"/>
  <c r="F1453" i="23"/>
  <c r="H1453" i="23" s="1"/>
  <c r="AV94" i="19"/>
  <c r="F1445" i="23"/>
  <c r="H1445" i="23" s="1"/>
  <c r="AV86" i="19"/>
  <c r="F1437" i="23"/>
  <c r="H1437" i="23" s="1"/>
  <c r="AV78" i="19"/>
  <c r="F1429" i="23"/>
  <c r="H1429" i="23" s="1"/>
  <c r="AV70" i="19"/>
  <c r="F1421" i="23"/>
  <c r="H1421" i="23" s="1"/>
  <c r="AV62" i="19"/>
  <c r="F1413" i="23"/>
  <c r="H1413" i="23" s="1"/>
  <c r="AV54" i="19"/>
  <c r="F1405" i="23"/>
  <c r="H1405" i="23" s="1"/>
  <c r="I1405" i="23" s="1"/>
  <c r="J1405" i="23" s="1"/>
  <c r="K1405" i="23" s="1"/>
  <c r="AV46" i="19"/>
  <c r="F1397" i="23"/>
  <c r="H1397" i="23" s="1"/>
  <c r="I1397" i="23" s="1"/>
  <c r="J1397" i="23" s="1"/>
  <c r="K1397" i="23" s="1"/>
  <c r="AV38" i="19"/>
  <c r="F1389" i="23"/>
  <c r="H1389" i="23" s="1"/>
  <c r="AV30" i="19"/>
  <c r="F1381" i="23"/>
  <c r="H1381" i="23" s="1"/>
  <c r="I1381" i="23" s="1"/>
  <c r="J1381" i="23" s="1"/>
  <c r="K1381" i="23" s="1"/>
  <c r="AV22" i="19"/>
  <c r="F1373" i="23"/>
  <c r="H1373" i="23" s="1"/>
  <c r="AV14" i="19"/>
  <c r="F1365" i="23"/>
  <c r="H1365" i="23" s="1"/>
  <c r="AV109" i="19"/>
  <c r="F1460" i="23"/>
  <c r="H1460" i="23" s="1"/>
  <c r="AS102" i="19"/>
  <c r="F1349" i="23"/>
  <c r="H1349" i="23" s="1"/>
  <c r="AS94" i="19"/>
  <c r="F1341" i="23"/>
  <c r="H1341" i="23" s="1"/>
  <c r="AS86" i="19"/>
  <c r="F1333" i="23"/>
  <c r="H1333" i="23" s="1"/>
  <c r="AS78" i="19"/>
  <c r="F1325" i="23"/>
  <c r="H1325" i="23" s="1"/>
  <c r="AS70" i="19"/>
  <c r="F1317" i="23"/>
  <c r="H1317" i="23" s="1"/>
  <c r="AS62" i="19"/>
  <c r="F1309" i="23"/>
  <c r="H1309" i="23" s="1"/>
  <c r="AS54" i="19"/>
  <c r="F1301" i="23"/>
  <c r="H1301" i="23" s="1"/>
  <c r="AS46" i="19"/>
  <c r="F1293" i="23"/>
  <c r="H1293" i="23" s="1"/>
  <c r="AS38" i="19"/>
  <c r="F1285" i="23"/>
  <c r="H1285" i="23" s="1"/>
  <c r="I1285" i="23" s="1"/>
  <c r="J1285" i="23" s="1"/>
  <c r="K1285" i="23" s="1"/>
  <c r="AS30" i="19"/>
  <c r="F1277" i="23"/>
  <c r="H1277" i="23" s="1"/>
  <c r="AS22" i="19"/>
  <c r="F1269" i="23"/>
  <c r="H1269" i="23" s="1"/>
  <c r="AS14" i="19"/>
  <c r="F1261" i="23"/>
  <c r="H1261" i="23" s="1"/>
  <c r="I1261" i="23" s="1"/>
  <c r="J1261" i="23" s="1"/>
  <c r="K1261" i="23" s="1"/>
  <c r="AS109" i="19"/>
  <c r="F1356" i="23"/>
  <c r="H1356" i="23" s="1"/>
  <c r="AS101" i="19"/>
  <c r="F1348" i="23"/>
  <c r="H1348" i="23" s="1"/>
  <c r="AS93" i="19"/>
  <c r="F1340" i="23"/>
  <c r="H1340" i="23" s="1"/>
  <c r="AS85" i="19"/>
  <c r="F1332" i="23"/>
  <c r="H1332" i="23" s="1"/>
  <c r="AS77" i="19"/>
  <c r="F1324" i="23"/>
  <c r="H1324" i="23" s="1"/>
  <c r="I1324" i="23" s="1"/>
  <c r="J1324" i="23" s="1"/>
  <c r="K1324" i="23" s="1"/>
  <c r="AS69" i="19"/>
  <c r="F1316" i="23"/>
  <c r="H1316" i="23" s="1"/>
  <c r="I1316" i="23" s="1"/>
  <c r="J1316" i="23" s="1"/>
  <c r="K1316" i="23" s="1"/>
  <c r="AS61" i="19"/>
  <c r="F1308" i="23"/>
  <c r="H1308" i="23" s="1"/>
  <c r="I1308" i="23" s="1"/>
  <c r="J1308" i="23" s="1"/>
  <c r="K1308" i="23" s="1"/>
  <c r="AS53" i="19"/>
  <c r="F1300" i="23"/>
  <c r="H1300" i="23" s="1"/>
  <c r="I1300" i="23" s="1"/>
  <c r="J1300" i="23" s="1"/>
  <c r="K1300" i="23" s="1"/>
  <c r="AS45" i="19"/>
  <c r="F1292" i="23"/>
  <c r="H1292" i="23" s="1"/>
  <c r="AS37" i="19"/>
  <c r="F1284" i="23"/>
  <c r="H1284" i="23" s="1"/>
  <c r="I1284" i="23" s="1"/>
  <c r="J1284" i="23" s="1"/>
  <c r="K1284" i="23" s="1"/>
  <c r="AS29" i="19"/>
  <c r="F1276" i="23"/>
  <c r="H1276" i="23" s="1"/>
  <c r="I1276" i="23" s="1"/>
  <c r="J1276" i="23" s="1"/>
  <c r="K1276" i="23" s="1"/>
  <c r="AS21" i="19"/>
  <c r="F1268" i="23"/>
  <c r="H1268" i="23" s="1"/>
  <c r="AS13" i="19"/>
  <c r="F1260" i="23"/>
  <c r="H1260" i="23" s="1"/>
  <c r="I1260" i="23" s="1"/>
  <c r="J1260" i="23" s="1"/>
  <c r="K1260" i="23" s="1"/>
  <c r="AS108" i="19"/>
  <c r="F1355" i="23"/>
  <c r="H1355" i="23" s="1"/>
  <c r="I1355" i="23" s="1"/>
  <c r="J1355" i="23" s="1"/>
  <c r="K1355" i="23" s="1"/>
  <c r="AS100" i="19"/>
  <c r="F1347" i="23"/>
  <c r="H1347" i="23" s="1"/>
  <c r="I1347" i="23" s="1"/>
  <c r="J1347" i="23" s="1"/>
  <c r="K1347" i="23" s="1"/>
  <c r="AS92" i="19"/>
  <c r="F1339" i="23"/>
  <c r="H1339" i="23" s="1"/>
  <c r="AS84" i="19"/>
  <c r="F1331" i="23"/>
  <c r="H1331" i="23" s="1"/>
  <c r="AS76" i="19"/>
  <c r="F1323" i="23"/>
  <c r="H1323" i="23" s="1"/>
  <c r="AS68" i="19"/>
  <c r="F1315" i="23"/>
  <c r="H1315" i="23" s="1"/>
  <c r="AS60" i="19"/>
  <c r="F1307" i="23"/>
  <c r="H1307" i="23" s="1"/>
  <c r="AS52" i="19"/>
  <c r="F1299" i="23"/>
  <c r="H1299" i="23" s="1"/>
  <c r="AS44" i="19"/>
  <c r="F1291" i="23"/>
  <c r="H1291" i="23" s="1"/>
  <c r="I1291" i="23" s="1"/>
  <c r="J1291" i="23" s="1"/>
  <c r="K1291" i="23" s="1"/>
  <c r="AS36" i="19"/>
  <c r="F1283" i="23"/>
  <c r="H1283" i="23" s="1"/>
  <c r="AS28" i="19"/>
  <c r="F1275" i="23"/>
  <c r="H1275" i="23" s="1"/>
  <c r="I1275" i="23" s="1"/>
  <c r="J1275" i="23" s="1"/>
  <c r="K1275" i="23" s="1"/>
  <c r="AS20" i="19"/>
  <c r="F1267" i="23"/>
  <c r="H1267" i="23" s="1"/>
  <c r="I1267" i="23" s="1"/>
  <c r="J1267" i="23" s="1"/>
  <c r="K1267" i="23" s="1"/>
  <c r="AS12" i="19"/>
  <c r="F1259" i="23"/>
  <c r="H1259" i="23" s="1"/>
  <c r="I1259" i="23" s="1"/>
  <c r="J1259" i="23" s="1"/>
  <c r="K1259" i="23" s="1"/>
  <c r="AS107" i="19"/>
  <c r="F1354" i="23"/>
  <c r="H1354" i="23" s="1"/>
  <c r="I1354" i="23" s="1"/>
  <c r="J1354" i="23" s="1"/>
  <c r="K1354" i="23" s="1"/>
  <c r="AS99" i="19"/>
  <c r="F1346" i="23"/>
  <c r="H1346" i="23" s="1"/>
  <c r="I1346" i="23" s="1"/>
  <c r="J1346" i="23" s="1"/>
  <c r="K1346" i="23" s="1"/>
  <c r="AS91" i="19"/>
  <c r="F1338" i="23"/>
  <c r="H1338" i="23" s="1"/>
  <c r="I1338" i="23" s="1"/>
  <c r="J1338" i="23" s="1"/>
  <c r="K1338" i="23" s="1"/>
  <c r="AS83" i="19"/>
  <c r="F1330" i="23"/>
  <c r="H1330" i="23" s="1"/>
  <c r="I1330" i="23" s="1"/>
  <c r="J1330" i="23" s="1"/>
  <c r="K1330" i="23" s="1"/>
  <c r="AS75" i="19"/>
  <c r="F1322" i="23"/>
  <c r="H1322" i="23" s="1"/>
  <c r="I1322" i="23" s="1"/>
  <c r="J1322" i="23" s="1"/>
  <c r="K1322" i="23" s="1"/>
  <c r="AS67" i="19"/>
  <c r="F1314" i="23"/>
  <c r="H1314" i="23" s="1"/>
  <c r="I1314" i="23" s="1"/>
  <c r="J1314" i="23" s="1"/>
  <c r="K1314" i="23" s="1"/>
  <c r="AS59" i="19"/>
  <c r="F1306" i="23"/>
  <c r="H1306" i="23" s="1"/>
  <c r="I1306" i="23" s="1"/>
  <c r="J1306" i="23" s="1"/>
  <c r="K1306" i="23" s="1"/>
  <c r="AS51" i="19"/>
  <c r="F1298" i="23"/>
  <c r="H1298" i="23" s="1"/>
  <c r="I1298" i="23" s="1"/>
  <c r="J1298" i="23" s="1"/>
  <c r="K1298" i="23" s="1"/>
  <c r="AS43" i="19"/>
  <c r="F1290" i="23"/>
  <c r="H1290" i="23" s="1"/>
  <c r="I1290" i="23" s="1"/>
  <c r="J1290" i="23" s="1"/>
  <c r="K1290" i="23" s="1"/>
  <c r="AS35" i="19"/>
  <c r="F1282" i="23"/>
  <c r="H1282" i="23" s="1"/>
  <c r="I1282" i="23" s="1"/>
  <c r="J1282" i="23" s="1"/>
  <c r="K1282" i="23" s="1"/>
  <c r="AS27" i="19"/>
  <c r="F1274" i="23"/>
  <c r="H1274" i="23" s="1"/>
  <c r="I1274" i="23" s="1"/>
  <c r="J1274" i="23" s="1"/>
  <c r="K1274" i="23" s="1"/>
  <c r="AS19" i="19"/>
  <c r="F1266" i="23"/>
  <c r="H1266" i="23" s="1"/>
  <c r="I1266" i="23" s="1"/>
  <c r="J1266" i="23" s="1"/>
  <c r="K1266" i="23" s="1"/>
  <c r="AS11" i="19"/>
  <c r="F1258" i="23"/>
  <c r="H1258" i="23" s="1"/>
  <c r="I1258" i="23" s="1"/>
  <c r="J1258" i="23" s="1"/>
  <c r="K1258" i="23" s="1"/>
  <c r="AS106" i="19"/>
  <c r="F1353" i="23"/>
  <c r="H1353" i="23" s="1"/>
  <c r="I1353" i="23" s="1"/>
  <c r="J1353" i="23" s="1"/>
  <c r="K1353" i="23" s="1"/>
  <c r="AS98" i="19"/>
  <c r="F1345" i="23"/>
  <c r="H1345" i="23" s="1"/>
  <c r="AS90" i="19"/>
  <c r="F1337" i="23"/>
  <c r="H1337" i="23" s="1"/>
  <c r="I1337" i="23" s="1"/>
  <c r="J1337" i="23" s="1"/>
  <c r="K1337" i="23" s="1"/>
  <c r="AS82" i="19"/>
  <c r="F1329" i="23"/>
  <c r="H1329" i="23" s="1"/>
  <c r="AS74" i="19"/>
  <c r="F1321" i="23"/>
  <c r="H1321" i="23" s="1"/>
  <c r="AS66" i="19"/>
  <c r="F1313" i="23"/>
  <c r="H1313" i="23" s="1"/>
  <c r="AS58" i="19"/>
  <c r="F1305" i="23"/>
  <c r="H1305" i="23" s="1"/>
  <c r="I1305" i="23" s="1"/>
  <c r="J1305" i="23" s="1"/>
  <c r="K1305" i="23" s="1"/>
  <c r="AS50" i="19"/>
  <c r="F1297" i="23"/>
  <c r="H1297" i="23" s="1"/>
  <c r="I1297" i="23" s="1"/>
  <c r="J1297" i="23" s="1"/>
  <c r="K1297" i="23" s="1"/>
  <c r="AS42" i="19"/>
  <c r="F1289" i="23"/>
  <c r="H1289" i="23" s="1"/>
  <c r="I1289" i="23" s="1"/>
  <c r="J1289" i="23" s="1"/>
  <c r="K1289" i="23" s="1"/>
  <c r="AS34" i="19"/>
  <c r="F1281" i="23"/>
  <c r="H1281" i="23" s="1"/>
  <c r="AS26" i="19"/>
  <c r="F1273" i="23"/>
  <c r="H1273" i="23" s="1"/>
  <c r="AS18" i="19"/>
  <c r="F1265" i="23"/>
  <c r="H1265" i="23" s="1"/>
  <c r="AS10" i="19"/>
  <c r="F1257" i="23"/>
  <c r="H1257" i="23" s="1"/>
  <c r="AS105" i="19"/>
  <c r="F1352" i="23"/>
  <c r="H1352" i="23" s="1"/>
  <c r="I1352" i="23" s="1"/>
  <c r="J1352" i="23" s="1"/>
  <c r="K1352" i="23" s="1"/>
  <c r="AS97" i="19"/>
  <c r="F1344" i="23"/>
  <c r="H1344" i="23" s="1"/>
  <c r="I1344" i="23" s="1"/>
  <c r="J1344" i="23" s="1"/>
  <c r="K1344" i="23" s="1"/>
  <c r="AS89" i="19"/>
  <c r="F1336" i="23"/>
  <c r="H1336" i="23" s="1"/>
  <c r="AS81" i="19"/>
  <c r="F1328" i="23"/>
  <c r="H1328" i="23" s="1"/>
  <c r="I1328" i="23" s="1"/>
  <c r="J1328" i="23" s="1"/>
  <c r="K1328" i="23" s="1"/>
  <c r="AS73" i="19"/>
  <c r="F1320" i="23"/>
  <c r="H1320" i="23" s="1"/>
  <c r="I1320" i="23" s="1"/>
  <c r="J1320" i="23" s="1"/>
  <c r="K1320" i="23" s="1"/>
  <c r="AS65" i="19"/>
  <c r="F1312" i="23"/>
  <c r="H1312" i="23" s="1"/>
  <c r="I1312" i="23" s="1"/>
  <c r="J1312" i="23" s="1"/>
  <c r="K1312" i="23" s="1"/>
  <c r="AS57" i="19"/>
  <c r="F1304" i="23"/>
  <c r="H1304" i="23" s="1"/>
  <c r="AS49" i="19"/>
  <c r="F1296" i="23"/>
  <c r="H1296" i="23" s="1"/>
  <c r="AS41" i="19"/>
  <c r="F1288" i="23"/>
  <c r="H1288" i="23" s="1"/>
  <c r="AS33" i="19"/>
  <c r="F1280" i="23"/>
  <c r="H1280" i="23" s="1"/>
  <c r="AS25" i="19"/>
  <c r="F1272" i="23"/>
  <c r="H1272" i="23" s="1"/>
  <c r="AS17" i="19"/>
  <c r="F1264" i="23"/>
  <c r="H1264" i="23" s="1"/>
  <c r="AS9" i="19"/>
  <c r="F1256" i="23"/>
  <c r="H1256" i="23" s="1"/>
  <c r="AS104" i="19"/>
  <c r="F1351" i="23"/>
  <c r="H1351" i="23" s="1"/>
  <c r="AS96" i="19"/>
  <c r="F1343" i="23"/>
  <c r="H1343" i="23" s="1"/>
  <c r="AS88" i="19"/>
  <c r="F1335" i="23"/>
  <c r="H1335" i="23" s="1"/>
  <c r="AS80" i="19"/>
  <c r="F1327" i="23"/>
  <c r="H1327" i="23" s="1"/>
  <c r="I1327" i="23" s="1"/>
  <c r="J1327" i="23" s="1"/>
  <c r="K1327" i="23" s="1"/>
  <c r="AS72" i="19"/>
  <c r="F1319" i="23"/>
  <c r="H1319" i="23" s="1"/>
  <c r="AS64" i="19"/>
  <c r="F1311" i="23"/>
  <c r="H1311" i="23" s="1"/>
  <c r="AS56" i="19"/>
  <c r="F1303" i="23"/>
  <c r="H1303" i="23" s="1"/>
  <c r="I1303" i="23" s="1"/>
  <c r="J1303" i="23" s="1"/>
  <c r="K1303" i="23" s="1"/>
  <c r="AS48" i="19"/>
  <c r="F1295" i="23"/>
  <c r="H1295" i="23" s="1"/>
  <c r="AS40" i="19"/>
  <c r="F1287" i="23"/>
  <c r="H1287" i="23" s="1"/>
  <c r="I1287" i="23" s="1"/>
  <c r="J1287" i="23" s="1"/>
  <c r="K1287" i="23" s="1"/>
  <c r="AS32" i="19"/>
  <c r="F1279" i="23"/>
  <c r="H1279" i="23" s="1"/>
  <c r="I1279" i="23" s="1"/>
  <c r="J1279" i="23" s="1"/>
  <c r="K1279" i="23" s="1"/>
  <c r="AS24" i="19"/>
  <c r="F1271" i="23"/>
  <c r="H1271" i="23" s="1"/>
  <c r="I1271" i="23" s="1"/>
  <c r="J1271" i="23" s="1"/>
  <c r="K1271" i="23" s="1"/>
  <c r="AS16" i="19"/>
  <c r="F1263" i="23"/>
  <c r="H1263" i="23" s="1"/>
  <c r="I1263" i="23" s="1"/>
  <c r="J1263" i="23" s="1"/>
  <c r="K1263" i="23" s="1"/>
  <c r="AS8" i="19"/>
  <c r="F1255" i="23"/>
  <c r="H1255" i="23" s="1"/>
  <c r="AS103" i="19"/>
  <c r="F1350" i="23"/>
  <c r="H1350" i="23" s="1"/>
  <c r="I1350" i="23" s="1"/>
  <c r="J1350" i="23" s="1"/>
  <c r="K1350" i="23" s="1"/>
  <c r="AS95" i="19"/>
  <c r="F1342" i="23"/>
  <c r="H1342" i="23" s="1"/>
  <c r="AS87" i="19"/>
  <c r="F1334" i="23"/>
  <c r="H1334" i="23" s="1"/>
  <c r="I1334" i="23" s="1"/>
  <c r="J1334" i="23" s="1"/>
  <c r="K1334" i="23" s="1"/>
  <c r="AS79" i="19"/>
  <c r="F1326" i="23"/>
  <c r="H1326" i="23" s="1"/>
  <c r="AS71" i="19"/>
  <c r="F1318" i="23"/>
  <c r="H1318" i="23" s="1"/>
  <c r="AS63" i="19"/>
  <c r="F1310" i="23"/>
  <c r="H1310" i="23" s="1"/>
  <c r="AS55" i="19"/>
  <c r="F1302" i="23"/>
  <c r="H1302" i="23" s="1"/>
  <c r="AS47" i="19"/>
  <c r="F1294" i="23"/>
  <c r="H1294" i="23" s="1"/>
  <c r="I1294" i="23" s="1"/>
  <c r="J1294" i="23" s="1"/>
  <c r="K1294" i="23" s="1"/>
  <c r="AS39" i="19"/>
  <c r="F1286" i="23"/>
  <c r="H1286" i="23" s="1"/>
  <c r="AS31" i="19"/>
  <c r="F1278" i="23"/>
  <c r="H1278" i="23" s="1"/>
  <c r="AS23" i="19"/>
  <c r="F1270" i="23"/>
  <c r="H1270" i="23" s="1"/>
  <c r="AS15" i="19"/>
  <c r="F1262" i="23"/>
  <c r="H1262" i="23" s="1"/>
  <c r="I1262" i="23" s="1"/>
  <c r="J1262" i="23" s="1"/>
  <c r="K1262" i="23" s="1"/>
  <c r="AS7" i="19"/>
  <c r="F1254" i="23"/>
  <c r="H1254" i="23" s="1"/>
  <c r="AP102" i="19"/>
  <c r="F1245" i="23"/>
  <c r="H1245" i="23" s="1"/>
  <c r="I1245" i="23" s="1"/>
  <c r="J1245" i="23" s="1"/>
  <c r="K1245" i="23" s="1"/>
  <c r="AP94" i="19"/>
  <c r="F1237" i="23"/>
  <c r="H1237" i="23" s="1"/>
  <c r="I1237" i="23" s="1"/>
  <c r="J1237" i="23" s="1"/>
  <c r="K1237" i="23" s="1"/>
  <c r="AP86" i="19"/>
  <c r="F1229" i="23"/>
  <c r="H1229" i="23" s="1"/>
  <c r="I1229" i="23" s="1"/>
  <c r="J1229" i="23" s="1"/>
  <c r="K1229" i="23" s="1"/>
  <c r="AP78" i="19"/>
  <c r="F1221" i="23"/>
  <c r="H1221" i="23" s="1"/>
  <c r="I1221" i="23" s="1"/>
  <c r="J1221" i="23" s="1"/>
  <c r="K1221" i="23" s="1"/>
  <c r="AP70" i="19"/>
  <c r="F1213" i="23"/>
  <c r="H1213" i="23" s="1"/>
  <c r="AP62" i="19"/>
  <c r="F1205" i="23"/>
  <c r="H1205" i="23" s="1"/>
  <c r="I1205" i="23" s="1"/>
  <c r="J1205" i="23" s="1"/>
  <c r="K1205" i="23" s="1"/>
  <c r="AP54" i="19"/>
  <c r="F1197" i="23"/>
  <c r="H1197" i="23" s="1"/>
  <c r="I1197" i="23" s="1"/>
  <c r="J1197" i="23" s="1"/>
  <c r="K1197" i="23" s="1"/>
  <c r="AP46" i="19"/>
  <c r="F1189" i="23"/>
  <c r="H1189" i="23" s="1"/>
  <c r="AP38" i="19"/>
  <c r="F1181" i="23"/>
  <c r="H1181" i="23" s="1"/>
  <c r="I1181" i="23" s="1"/>
  <c r="J1181" i="23" s="1"/>
  <c r="K1181" i="23" s="1"/>
  <c r="AP30" i="19"/>
  <c r="F1173" i="23"/>
  <c r="H1173" i="23" s="1"/>
  <c r="AP22" i="19"/>
  <c r="F1165" i="23"/>
  <c r="H1165" i="23" s="1"/>
  <c r="I1165" i="23" s="1"/>
  <c r="J1165" i="23" s="1"/>
  <c r="K1165" i="23" s="1"/>
  <c r="AP14" i="19"/>
  <c r="F1157" i="23"/>
  <c r="H1157" i="23" s="1"/>
  <c r="AP109" i="19"/>
  <c r="F1252" i="23"/>
  <c r="H1252" i="23" s="1"/>
  <c r="AP101" i="19"/>
  <c r="F1244" i="23"/>
  <c r="H1244" i="23" s="1"/>
  <c r="AP93" i="19"/>
  <c r="F1236" i="23"/>
  <c r="H1236" i="23" s="1"/>
  <c r="I1236" i="23" s="1"/>
  <c r="J1236" i="23" s="1"/>
  <c r="K1236" i="23" s="1"/>
  <c r="AP85" i="19"/>
  <c r="F1228" i="23"/>
  <c r="H1228" i="23" s="1"/>
  <c r="AP77" i="19"/>
  <c r="F1220" i="23"/>
  <c r="H1220" i="23" s="1"/>
  <c r="AP69" i="19"/>
  <c r="F1212" i="23"/>
  <c r="H1212" i="23" s="1"/>
  <c r="AP61" i="19"/>
  <c r="F1204" i="23"/>
  <c r="H1204" i="23" s="1"/>
  <c r="AP53" i="19"/>
  <c r="F1196" i="23"/>
  <c r="H1196" i="23" s="1"/>
  <c r="AP45" i="19"/>
  <c r="F1188" i="23"/>
  <c r="H1188" i="23" s="1"/>
  <c r="AP37" i="19"/>
  <c r="F1180" i="23"/>
  <c r="H1180" i="23" s="1"/>
  <c r="AP29" i="19"/>
  <c r="F1172" i="23"/>
  <c r="H1172" i="23" s="1"/>
  <c r="AP21" i="19"/>
  <c r="F1164" i="23"/>
  <c r="H1164" i="23" s="1"/>
  <c r="AP13" i="19"/>
  <c r="F1156" i="23"/>
  <c r="H1156" i="23" s="1"/>
  <c r="AP108" i="19"/>
  <c r="F1251" i="23"/>
  <c r="H1251" i="23" s="1"/>
  <c r="AP100" i="19"/>
  <c r="F1243" i="23"/>
  <c r="H1243" i="23" s="1"/>
  <c r="AP92" i="19"/>
  <c r="F1235" i="23"/>
  <c r="H1235" i="23" s="1"/>
  <c r="AP84" i="19"/>
  <c r="F1227" i="23"/>
  <c r="H1227" i="23" s="1"/>
  <c r="I1227" i="23" s="1"/>
  <c r="J1227" i="23" s="1"/>
  <c r="K1227" i="23" s="1"/>
  <c r="AP76" i="19"/>
  <c r="F1219" i="23"/>
  <c r="H1219" i="23" s="1"/>
  <c r="I1219" i="23" s="1"/>
  <c r="J1219" i="23" s="1"/>
  <c r="K1219" i="23" s="1"/>
  <c r="AP68" i="19"/>
  <c r="F1211" i="23"/>
  <c r="H1211" i="23" s="1"/>
  <c r="I1211" i="23" s="1"/>
  <c r="J1211" i="23" s="1"/>
  <c r="K1211" i="23" s="1"/>
  <c r="AP60" i="19"/>
  <c r="F1203" i="23"/>
  <c r="H1203" i="23" s="1"/>
  <c r="I1203" i="23" s="1"/>
  <c r="J1203" i="23" s="1"/>
  <c r="K1203" i="23" s="1"/>
  <c r="AP52" i="19"/>
  <c r="F1195" i="23"/>
  <c r="H1195" i="23" s="1"/>
  <c r="AP44" i="19"/>
  <c r="F1187" i="23"/>
  <c r="H1187" i="23" s="1"/>
  <c r="AP36" i="19"/>
  <c r="F1179" i="23"/>
  <c r="H1179" i="23" s="1"/>
  <c r="AP28" i="19"/>
  <c r="F1171" i="23"/>
  <c r="H1171" i="23" s="1"/>
  <c r="I1171" i="23" s="1"/>
  <c r="J1171" i="23" s="1"/>
  <c r="K1171" i="23" s="1"/>
  <c r="AP20" i="19"/>
  <c r="F1163" i="23"/>
  <c r="H1163" i="23" s="1"/>
  <c r="I1163" i="23" s="1"/>
  <c r="J1163" i="23" s="1"/>
  <c r="K1163" i="23" s="1"/>
  <c r="AP12" i="19"/>
  <c r="F1155" i="23"/>
  <c r="H1155" i="23" s="1"/>
  <c r="I1155" i="23" s="1"/>
  <c r="J1155" i="23" s="1"/>
  <c r="K1155" i="23" s="1"/>
  <c r="AP107" i="19"/>
  <c r="F1250" i="23"/>
  <c r="H1250" i="23" s="1"/>
  <c r="I1250" i="23" s="1"/>
  <c r="J1250" i="23" s="1"/>
  <c r="K1250" i="23" s="1"/>
  <c r="AP99" i="19"/>
  <c r="F1242" i="23"/>
  <c r="H1242" i="23" s="1"/>
  <c r="I1242" i="23" s="1"/>
  <c r="J1242" i="23" s="1"/>
  <c r="K1242" i="23" s="1"/>
  <c r="AP91" i="19"/>
  <c r="F1234" i="23"/>
  <c r="H1234" i="23" s="1"/>
  <c r="I1234" i="23" s="1"/>
  <c r="J1234" i="23" s="1"/>
  <c r="K1234" i="23" s="1"/>
  <c r="AP83" i="19"/>
  <c r="F1226" i="23"/>
  <c r="H1226" i="23" s="1"/>
  <c r="I1226" i="23" s="1"/>
  <c r="J1226" i="23" s="1"/>
  <c r="K1226" i="23" s="1"/>
  <c r="AP75" i="19"/>
  <c r="F1218" i="23"/>
  <c r="H1218" i="23" s="1"/>
  <c r="I1218" i="23" s="1"/>
  <c r="J1218" i="23" s="1"/>
  <c r="K1218" i="23" s="1"/>
  <c r="AP67" i="19"/>
  <c r="F1210" i="23"/>
  <c r="H1210" i="23" s="1"/>
  <c r="I1210" i="23" s="1"/>
  <c r="J1210" i="23" s="1"/>
  <c r="K1210" i="23" s="1"/>
  <c r="AP59" i="19"/>
  <c r="F1202" i="23"/>
  <c r="H1202" i="23" s="1"/>
  <c r="I1202" i="23" s="1"/>
  <c r="J1202" i="23" s="1"/>
  <c r="K1202" i="23" s="1"/>
  <c r="AP51" i="19"/>
  <c r="F1194" i="23"/>
  <c r="H1194" i="23" s="1"/>
  <c r="I1194" i="23" s="1"/>
  <c r="J1194" i="23" s="1"/>
  <c r="K1194" i="23" s="1"/>
  <c r="AP43" i="19"/>
  <c r="F1186" i="23"/>
  <c r="H1186" i="23" s="1"/>
  <c r="I1186" i="23" s="1"/>
  <c r="J1186" i="23" s="1"/>
  <c r="K1186" i="23" s="1"/>
  <c r="AP35" i="19"/>
  <c r="F1178" i="23"/>
  <c r="H1178" i="23" s="1"/>
  <c r="I1178" i="23" s="1"/>
  <c r="J1178" i="23" s="1"/>
  <c r="K1178" i="23" s="1"/>
  <c r="AP27" i="19"/>
  <c r="F1170" i="23"/>
  <c r="H1170" i="23" s="1"/>
  <c r="I1170" i="23" s="1"/>
  <c r="J1170" i="23" s="1"/>
  <c r="K1170" i="23" s="1"/>
  <c r="AP19" i="19"/>
  <c r="F1162" i="23"/>
  <c r="H1162" i="23" s="1"/>
  <c r="I1162" i="23" s="1"/>
  <c r="J1162" i="23" s="1"/>
  <c r="K1162" i="23" s="1"/>
  <c r="AP11" i="19"/>
  <c r="F1154" i="23"/>
  <c r="H1154" i="23" s="1"/>
  <c r="I1154" i="23" s="1"/>
  <c r="J1154" i="23" s="1"/>
  <c r="K1154" i="23" s="1"/>
  <c r="AP106" i="19"/>
  <c r="F1249" i="23"/>
  <c r="H1249" i="23" s="1"/>
  <c r="AP98" i="19"/>
  <c r="F1241" i="23"/>
  <c r="H1241" i="23" s="1"/>
  <c r="I1241" i="23" s="1"/>
  <c r="J1241" i="23" s="1"/>
  <c r="K1241" i="23" s="1"/>
  <c r="AP90" i="19"/>
  <c r="F1233" i="23"/>
  <c r="H1233" i="23" s="1"/>
  <c r="I1233" i="23" s="1"/>
  <c r="J1233" i="23" s="1"/>
  <c r="K1233" i="23" s="1"/>
  <c r="AP82" i="19"/>
  <c r="F1225" i="23"/>
  <c r="H1225" i="23" s="1"/>
  <c r="AP74" i="19"/>
  <c r="F1217" i="23"/>
  <c r="H1217" i="23" s="1"/>
  <c r="I1217" i="23" s="1"/>
  <c r="J1217" i="23" s="1"/>
  <c r="K1217" i="23" s="1"/>
  <c r="AP66" i="19"/>
  <c r="F1209" i="23"/>
  <c r="H1209" i="23" s="1"/>
  <c r="I1209" i="23" s="1"/>
  <c r="J1209" i="23" s="1"/>
  <c r="K1209" i="23" s="1"/>
  <c r="AP58" i="19"/>
  <c r="F1201" i="23"/>
  <c r="H1201" i="23" s="1"/>
  <c r="I1201" i="23" s="1"/>
  <c r="J1201" i="23" s="1"/>
  <c r="K1201" i="23" s="1"/>
  <c r="AP50" i="19"/>
  <c r="F1193" i="23"/>
  <c r="H1193" i="23" s="1"/>
  <c r="AP42" i="19"/>
  <c r="F1185" i="23"/>
  <c r="H1185" i="23" s="1"/>
  <c r="AP34" i="19"/>
  <c r="F1177" i="23"/>
  <c r="H1177" i="23" s="1"/>
  <c r="I1177" i="23" s="1"/>
  <c r="J1177" i="23" s="1"/>
  <c r="K1177" i="23" s="1"/>
  <c r="AP26" i="19"/>
  <c r="F1169" i="23"/>
  <c r="H1169" i="23" s="1"/>
  <c r="I1169" i="23" s="1"/>
  <c r="J1169" i="23" s="1"/>
  <c r="K1169" i="23" s="1"/>
  <c r="AP18" i="19"/>
  <c r="F1161" i="23"/>
  <c r="H1161" i="23" s="1"/>
  <c r="AP10" i="19"/>
  <c r="F1153" i="23"/>
  <c r="H1153" i="23" s="1"/>
  <c r="I1153" i="23" s="1"/>
  <c r="J1153" i="23" s="1"/>
  <c r="K1153" i="23" s="1"/>
  <c r="AP105" i="19"/>
  <c r="F1248" i="23"/>
  <c r="H1248" i="23" s="1"/>
  <c r="AP97" i="19"/>
  <c r="F1240" i="23"/>
  <c r="H1240" i="23" s="1"/>
  <c r="AP89" i="19"/>
  <c r="F1232" i="23"/>
  <c r="H1232" i="23" s="1"/>
  <c r="AP81" i="19"/>
  <c r="F1224" i="23"/>
  <c r="H1224" i="23" s="1"/>
  <c r="AP73" i="19"/>
  <c r="F1216" i="23"/>
  <c r="H1216" i="23" s="1"/>
  <c r="AP65" i="19"/>
  <c r="F1208" i="23"/>
  <c r="H1208" i="23" s="1"/>
  <c r="AP57" i="19"/>
  <c r="F1200" i="23"/>
  <c r="H1200" i="23" s="1"/>
  <c r="AP49" i="19"/>
  <c r="F1192" i="23"/>
  <c r="H1192" i="23" s="1"/>
  <c r="AP41" i="19"/>
  <c r="F1184" i="23"/>
  <c r="H1184" i="23" s="1"/>
  <c r="AP33" i="19"/>
  <c r="F1176" i="23"/>
  <c r="H1176" i="23" s="1"/>
  <c r="AP25" i="19"/>
  <c r="F1168" i="23"/>
  <c r="H1168" i="23" s="1"/>
  <c r="AP17" i="19"/>
  <c r="F1160" i="23"/>
  <c r="H1160" i="23" s="1"/>
  <c r="AP9" i="19"/>
  <c r="F1152" i="23"/>
  <c r="H1152" i="23" s="1"/>
  <c r="AP104" i="19"/>
  <c r="F1247" i="23"/>
  <c r="H1247" i="23" s="1"/>
  <c r="AP96" i="19"/>
  <c r="F1239" i="23"/>
  <c r="H1239" i="23" s="1"/>
  <c r="I1239" i="23" s="1"/>
  <c r="J1239" i="23" s="1"/>
  <c r="K1239" i="23" s="1"/>
  <c r="AP88" i="19"/>
  <c r="F1231" i="23"/>
  <c r="H1231" i="23" s="1"/>
  <c r="AP80" i="19"/>
  <c r="F1223" i="23"/>
  <c r="H1223" i="23" s="1"/>
  <c r="AP72" i="19"/>
  <c r="F1215" i="23"/>
  <c r="H1215" i="23" s="1"/>
  <c r="AP64" i="19"/>
  <c r="F1207" i="23"/>
  <c r="H1207" i="23" s="1"/>
  <c r="AP56" i="19"/>
  <c r="F1199" i="23"/>
  <c r="H1199" i="23" s="1"/>
  <c r="AP48" i="19"/>
  <c r="F1191" i="23"/>
  <c r="H1191" i="23" s="1"/>
  <c r="I1191" i="23" s="1"/>
  <c r="J1191" i="23" s="1"/>
  <c r="K1191" i="23" s="1"/>
  <c r="AP40" i="19"/>
  <c r="F1183" i="23"/>
  <c r="H1183" i="23" s="1"/>
  <c r="AP32" i="19"/>
  <c r="F1175" i="23"/>
  <c r="H1175" i="23" s="1"/>
  <c r="AP24" i="19"/>
  <c r="F1167" i="23"/>
  <c r="H1167" i="23" s="1"/>
  <c r="AP16" i="19"/>
  <c r="F1159" i="23"/>
  <c r="H1159" i="23" s="1"/>
  <c r="AP8" i="19"/>
  <c r="F1151" i="23"/>
  <c r="H1151" i="23" s="1"/>
  <c r="I1151" i="23" s="1"/>
  <c r="J1151" i="23" s="1"/>
  <c r="K1151" i="23" s="1"/>
  <c r="AP103" i="19"/>
  <c r="F1246" i="23"/>
  <c r="H1246" i="23" s="1"/>
  <c r="I1246" i="23" s="1"/>
  <c r="J1246" i="23" s="1"/>
  <c r="K1246" i="23" s="1"/>
  <c r="AP95" i="19"/>
  <c r="F1238" i="23"/>
  <c r="H1238" i="23" s="1"/>
  <c r="AP87" i="19"/>
  <c r="F1230" i="23"/>
  <c r="H1230" i="23" s="1"/>
  <c r="I1230" i="23" s="1"/>
  <c r="J1230" i="23" s="1"/>
  <c r="K1230" i="23" s="1"/>
  <c r="AP79" i="19"/>
  <c r="F1222" i="23"/>
  <c r="H1222" i="23" s="1"/>
  <c r="I1222" i="23" s="1"/>
  <c r="J1222" i="23" s="1"/>
  <c r="K1222" i="23" s="1"/>
  <c r="AP71" i="19"/>
  <c r="F1214" i="23"/>
  <c r="H1214" i="23" s="1"/>
  <c r="AP63" i="19"/>
  <c r="F1206" i="23"/>
  <c r="H1206" i="23" s="1"/>
  <c r="AP55" i="19"/>
  <c r="F1198" i="23"/>
  <c r="H1198" i="23" s="1"/>
  <c r="I1198" i="23" s="1"/>
  <c r="J1198" i="23" s="1"/>
  <c r="K1198" i="23" s="1"/>
  <c r="AP47" i="19"/>
  <c r="F1190" i="23"/>
  <c r="H1190" i="23" s="1"/>
  <c r="AP39" i="19"/>
  <c r="F1182" i="23"/>
  <c r="H1182" i="23" s="1"/>
  <c r="AP31" i="19"/>
  <c r="F1174" i="23"/>
  <c r="H1174" i="23" s="1"/>
  <c r="I1174" i="23" s="1"/>
  <c r="J1174" i="23" s="1"/>
  <c r="K1174" i="23" s="1"/>
  <c r="AP23" i="19"/>
  <c r="F1166" i="23"/>
  <c r="H1166" i="23" s="1"/>
  <c r="AP15" i="19"/>
  <c r="F1158" i="23"/>
  <c r="H1158" i="23" s="1"/>
  <c r="AP7" i="19"/>
  <c r="F1150" i="23"/>
  <c r="H1150" i="23" s="1"/>
  <c r="AM102" i="19"/>
  <c r="F1141" i="23"/>
  <c r="H1141" i="23" s="1"/>
  <c r="AM94" i="19"/>
  <c r="F1133" i="23"/>
  <c r="H1133" i="23" s="1"/>
  <c r="AM86" i="19"/>
  <c r="F1125" i="23"/>
  <c r="H1125" i="23" s="1"/>
  <c r="AM78" i="19"/>
  <c r="F1117" i="23"/>
  <c r="H1117" i="23" s="1"/>
  <c r="I1117" i="23" s="1"/>
  <c r="J1117" i="23" s="1"/>
  <c r="K1117" i="23" s="1"/>
  <c r="AM70" i="19"/>
  <c r="F1109" i="23"/>
  <c r="H1109" i="23" s="1"/>
  <c r="AM62" i="19"/>
  <c r="F1101" i="23"/>
  <c r="H1101" i="23" s="1"/>
  <c r="AM54" i="19"/>
  <c r="F1093" i="23"/>
  <c r="H1093" i="23" s="1"/>
  <c r="AM46" i="19"/>
  <c r="F1085" i="23"/>
  <c r="H1085" i="23" s="1"/>
  <c r="AM38" i="19"/>
  <c r="F1077" i="23"/>
  <c r="H1077" i="23" s="1"/>
  <c r="I1077" i="23" s="1"/>
  <c r="J1077" i="23" s="1"/>
  <c r="K1077" i="23" s="1"/>
  <c r="AM30" i="19"/>
  <c r="F1069" i="23"/>
  <c r="H1069" i="23" s="1"/>
  <c r="AM22" i="19"/>
  <c r="F1061" i="23"/>
  <c r="H1061" i="23" s="1"/>
  <c r="AM14" i="19"/>
  <c r="F1053" i="23"/>
  <c r="H1053" i="23" s="1"/>
  <c r="I1053" i="23" s="1"/>
  <c r="J1053" i="23" s="1"/>
  <c r="K1053" i="23" s="1"/>
  <c r="AM109" i="19"/>
  <c r="F1148" i="23"/>
  <c r="H1148" i="23" s="1"/>
  <c r="AM101" i="19"/>
  <c r="F1140" i="23"/>
  <c r="H1140" i="23" s="1"/>
  <c r="AM93" i="19"/>
  <c r="F1132" i="23"/>
  <c r="H1132" i="23" s="1"/>
  <c r="AM85" i="19"/>
  <c r="F1124" i="23"/>
  <c r="H1124" i="23" s="1"/>
  <c r="AM77" i="19"/>
  <c r="F1116" i="23"/>
  <c r="H1116" i="23" s="1"/>
  <c r="AM69" i="19"/>
  <c r="F1108" i="23"/>
  <c r="H1108" i="23" s="1"/>
  <c r="AM53" i="19"/>
  <c r="F1092" i="23"/>
  <c r="H1092" i="23" s="1"/>
  <c r="AM45" i="19"/>
  <c r="F1084" i="23"/>
  <c r="H1084" i="23" s="1"/>
  <c r="AM37" i="19"/>
  <c r="F1076" i="23"/>
  <c r="H1076" i="23" s="1"/>
  <c r="AM29" i="19"/>
  <c r="F1068" i="23"/>
  <c r="H1068" i="23" s="1"/>
  <c r="AM21" i="19"/>
  <c r="F1060" i="23"/>
  <c r="H1060" i="23" s="1"/>
  <c r="AM13" i="19"/>
  <c r="F1052" i="23"/>
  <c r="H1052" i="23" s="1"/>
  <c r="AM61" i="19"/>
  <c r="F1100" i="23"/>
  <c r="H1100" i="23" s="1"/>
  <c r="AM108" i="19"/>
  <c r="F1147" i="23"/>
  <c r="H1147" i="23" s="1"/>
  <c r="I1147" i="23" s="1"/>
  <c r="J1147" i="23" s="1"/>
  <c r="K1147" i="23" s="1"/>
  <c r="AM100" i="19"/>
  <c r="F1139" i="23"/>
  <c r="H1139" i="23" s="1"/>
  <c r="I1139" i="23" s="1"/>
  <c r="J1139" i="23" s="1"/>
  <c r="K1139" i="23" s="1"/>
  <c r="AM92" i="19"/>
  <c r="F1131" i="23"/>
  <c r="H1131" i="23" s="1"/>
  <c r="I1131" i="23" s="1"/>
  <c r="J1131" i="23" s="1"/>
  <c r="K1131" i="23" s="1"/>
  <c r="AM84" i="19"/>
  <c r="F1123" i="23"/>
  <c r="H1123" i="23" s="1"/>
  <c r="I1123" i="23" s="1"/>
  <c r="J1123" i="23" s="1"/>
  <c r="K1123" i="23" s="1"/>
  <c r="AM76" i="19"/>
  <c r="F1115" i="23"/>
  <c r="H1115" i="23" s="1"/>
  <c r="I1115" i="23" s="1"/>
  <c r="J1115" i="23" s="1"/>
  <c r="K1115" i="23" s="1"/>
  <c r="AM68" i="19"/>
  <c r="F1107" i="23"/>
  <c r="H1107" i="23" s="1"/>
  <c r="I1107" i="23" s="1"/>
  <c r="J1107" i="23" s="1"/>
  <c r="K1107" i="23" s="1"/>
  <c r="AM60" i="19"/>
  <c r="F1099" i="23"/>
  <c r="H1099" i="23" s="1"/>
  <c r="I1099" i="23" s="1"/>
  <c r="J1099" i="23" s="1"/>
  <c r="K1099" i="23" s="1"/>
  <c r="AM52" i="19"/>
  <c r="F1091" i="23"/>
  <c r="H1091" i="23" s="1"/>
  <c r="I1091" i="23" s="1"/>
  <c r="J1091" i="23" s="1"/>
  <c r="K1091" i="23" s="1"/>
  <c r="AM44" i="19"/>
  <c r="F1083" i="23"/>
  <c r="H1083" i="23" s="1"/>
  <c r="AM36" i="19"/>
  <c r="F1075" i="23"/>
  <c r="H1075" i="23" s="1"/>
  <c r="I1075" i="23" s="1"/>
  <c r="J1075" i="23" s="1"/>
  <c r="K1075" i="23" s="1"/>
  <c r="AM28" i="19"/>
  <c r="F1067" i="23"/>
  <c r="H1067" i="23" s="1"/>
  <c r="AM20" i="19"/>
  <c r="F1059" i="23"/>
  <c r="H1059" i="23" s="1"/>
  <c r="AM12" i="19"/>
  <c r="F1051" i="23"/>
  <c r="H1051" i="23" s="1"/>
  <c r="AM107" i="19"/>
  <c r="F1146" i="23"/>
  <c r="H1146" i="23" s="1"/>
  <c r="I1146" i="23" s="1"/>
  <c r="J1146" i="23" s="1"/>
  <c r="K1146" i="23" s="1"/>
  <c r="AM99" i="19"/>
  <c r="F1138" i="23"/>
  <c r="H1138" i="23" s="1"/>
  <c r="I1138" i="23" s="1"/>
  <c r="J1138" i="23" s="1"/>
  <c r="K1138" i="23" s="1"/>
  <c r="AM91" i="19"/>
  <c r="F1130" i="23"/>
  <c r="H1130" i="23" s="1"/>
  <c r="I1130" i="23" s="1"/>
  <c r="J1130" i="23" s="1"/>
  <c r="K1130" i="23" s="1"/>
  <c r="AM83" i="19"/>
  <c r="F1122" i="23"/>
  <c r="H1122" i="23" s="1"/>
  <c r="I1122" i="23" s="1"/>
  <c r="J1122" i="23" s="1"/>
  <c r="K1122" i="23" s="1"/>
  <c r="AM75" i="19"/>
  <c r="F1114" i="23"/>
  <c r="H1114" i="23" s="1"/>
  <c r="I1114" i="23" s="1"/>
  <c r="J1114" i="23" s="1"/>
  <c r="K1114" i="23" s="1"/>
  <c r="AM67" i="19"/>
  <c r="F1106" i="23"/>
  <c r="H1106" i="23" s="1"/>
  <c r="I1106" i="23" s="1"/>
  <c r="J1106" i="23" s="1"/>
  <c r="K1106" i="23" s="1"/>
  <c r="AM59" i="19"/>
  <c r="F1098" i="23"/>
  <c r="H1098" i="23" s="1"/>
  <c r="I1098" i="23" s="1"/>
  <c r="J1098" i="23" s="1"/>
  <c r="K1098" i="23" s="1"/>
  <c r="AM51" i="19"/>
  <c r="F1090" i="23"/>
  <c r="H1090" i="23" s="1"/>
  <c r="I1090" i="23" s="1"/>
  <c r="J1090" i="23" s="1"/>
  <c r="K1090" i="23" s="1"/>
  <c r="AM43" i="19"/>
  <c r="F1082" i="23"/>
  <c r="H1082" i="23" s="1"/>
  <c r="I1082" i="23" s="1"/>
  <c r="J1082" i="23" s="1"/>
  <c r="K1082" i="23" s="1"/>
  <c r="AM35" i="19"/>
  <c r="F1074" i="23"/>
  <c r="H1074" i="23" s="1"/>
  <c r="I1074" i="23" s="1"/>
  <c r="J1074" i="23" s="1"/>
  <c r="K1074" i="23" s="1"/>
  <c r="AM27" i="19"/>
  <c r="F1066" i="23"/>
  <c r="H1066" i="23" s="1"/>
  <c r="I1066" i="23" s="1"/>
  <c r="J1066" i="23" s="1"/>
  <c r="K1066" i="23" s="1"/>
  <c r="AM19" i="19"/>
  <c r="F1058" i="23"/>
  <c r="H1058" i="23" s="1"/>
  <c r="I1058" i="23" s="1"/>
  <c r="J1058" i="23" s="1"/>
  <c r="K1058" i="23" s="1"/>
  <c r="AM11" i="19"/>
  <c r="F1050" i="23"/>
  <c r="H1050" i="23" s="1"/>
  <c r="I1050" i="23" s="1"/>
  <c r="J1050" i="23" s="1"/>
  <c r="K1050" i="23" s="1"/>
  <c r="AM106" i="19"/>
  <c r="F1145" i="23"/>
  <c r="H1145" i="23" s="1"/>
  <c r="I1145" i="23" s="1"/>
  <c r="J1145" i="23" s="1"/>
  <c r="K1145" i="23" s="1"/>
  <c r="AM98" i="19"/>
  <c r="F1137" i="23"/>
  <c r="H1137" i="23" s="1"/>
  <c r="AM90" i="19"/>
  <c r="F1129" i="23"/>
  <c r="H1129" i="23" s="1"/>
  <c r="AM82" i="19"/>
  <c r="F1121" i="23"/>
  <c r="H1121" i="23" s="1"/>
  <c r="I1121" i="23" s="1"/>
  <c r="J1121" i="23" s="1"/>
  <c r="K1121" i="23" s="1"/>
  <c r="AM74" i="19"/>
  <c r="F1113" i="23"/>
  <c r="H1113" i="23" s="1"/>
  <c r="I1113" i="23" s="1"/>
  <c r="J1113" i="23" s="1"/>
  <c r="K1113" i="23" s="1"/>
  <c r="AM66" i="19"/>
  <c r="F1105" i="23"/>
  <c r="H1105" i="23" s="1"/>
  <c r="I1105" i="23" s="1"/>
  <c r="J1105" i="23" s="1"/>
  <c r="K1105" i="23" s="1"/>
  <c r="AM58" i="19"/>
  <c r="F1097" i="23"/>
  <c r="H1097" i="23" s="1"/>
  <c r="AM50" i="19"/>
  <c r="F1089" i="23"/>
  <c r="H1089" i="23" s="1"/>
  <c r="I1089" i="23" s="1"/>
  <c r="J1089" i="23" s="1"/>
  <c r="K1089" i="23" s="1"/>
  <c r="AM42" i="19"/>
  <c r="F1081" i="23"/>
  <c r="H1081" i="23" s="1"/>
  <c r="I1081" i="23" s="1"/>
  <c r="J1081" i="23" s="1"/>
  <c r="K1081" i="23" s="1"/>
  <c r="AM34" i="19"/>
  <c r="F1073" i="23"/>
  <c r="H1073" i="23" s="1"/>
  <c r="I1073" i="23" s="1"/>
  <c r="J1073" i="23" s="1"/>
  <c r="K1073" i="23" s="1"/>
  <c r="AM26" i="19"/>
  <c r="F1065" i="23"/>
  <c r="H1065" i="23" s="1"/>
  <c r="AM18" i="19"/>
  <c r="F1057" i="23"/>
  <c r="H1057" i="23" s="1"/>
  <c r="I1057" i="23" s="1"/>
  <c r="J1057" i="23" s="1"/>
  <c r="K1057" i="23" s="1"/>
  <c r="AM10" i="19"/>
  <c r="F1049" i="23"/>
  <c r="H1049" i="23" s="1"/>
  <c r="AM105" i="19"/>
  <c r="F1144" i="23"/>
  <c r="H1144" i="23" s="1"/>
  <c r="AM97" i="19"/>
  <c r="F1136" i="23"/>
  <c r="H1136" i="23" s="1"/>
  <c r="AM89" i="19"/>
  <c r="F1128" i="23"/>
  <c r="H1128" i="23" s="1"/>
  <c r="AM81" i="19"/>
  <c r="F1120" i="23"/>
  <c r="H1120" i="23" s="1"/>
  <c r="AM73" i="19"/>
  <c r="F1112" i="23"/>
  <c r="H1112" i="23" s="1"/>
  <c r="AM65" i="19"/>
  <c r="F1104" i="23"/>
  <c r="H1104" i="23" s="1"/>
  <c r="AM57" i="19"/>
  <c r="F1096" i="23"/>
  <c r="H1096" i="23" s="1"/>
  <c r="AM49" i="19"/>
  <c r="F1088" i="23"/>
  <c r="H1088" i="23" s="1"/>
  <c r="AM41" i="19"/>
  <c r="F1080" i="23"/>
  <c r="H1080" i="23" s="1"/>
  <c r="AM33" i="19"/>
  <c r="F1072" i="23"/>
  <c r="H1072" i="23" s="1"/>
  <c r="AM25" i="19"/>
  <c r="F1064" i="23"/>
  <c r="H1064" i="23" s="1"/>
  <c r="AM17" i="19"/>
  <c r="F1056" i="23"/>
  <c r="H1056" i="23" s="1"/>
  <c r="AM9" i="19"/>
  <c r="F1048" i="23"/>
  <c r="H1048" i="23" s="1"/>
  <c r="AM104" i="19"/>
  <c r="F1143" i="23"/>
  <c r="H1143" i="23" s="1"/>
  <c r="AM96" i="19"/>
  <c r="F1135" i="23"/>
  <c r="H1135" i="23" s="1"/>
  <c r="AM88" i="19"/>
  <c r="F1127" i="23"/>
  <c r="H1127" i="23" s="1"/>
  <c r="AM80" i="19"/>
  <c r="F1119" i="23"/>
  <c r="H1119" i="23" s="1"/>
  <c r="AM72" i="19"/>
  <c r="F1111" i="23"/>
  <c r="H1111" i="23" s="1"/>
  <c r="AM64" i="19"/>
  <c r="F1103" i="23"/>
  <c r="H1103" i="23" s="1"/>
  <c r="AM56" i="19"/>
  <c r="F1095" i="23"/>
  <c r="H1095" i="23" s="1"/>
  <c r="AM48" i="19"/>
  <c r="F1087" i="23"/>
  <c r="H1087" i="23" s="1"/>
  <c r="I1087" i="23" s="1"/>
  <c r="J1087" i="23" s="1"/>
  <c r="K1087" i="23" s="1"/>
  <c r="AM40" i="19"/>
  <c r="F1079" i="23"/>
  <c r="H1079" i="23" s="1"/>
  <c r="I1079" i="23" s="1"/>
  <c r="J1079" i="23" s="1"/>
  <c r="K1079" i="23" s="1"/>
  <c r="AM32" i="19"/>
  <c r="F1071" i="23"/>
  <c r="H1071" i="23" s="1"/>
  <c r="AM24" i="19"/>
  <c r="F1063" i="23"/>
  <c r="H1063" i="23" s="1"/>
  <c r="I1063" i="23" s="1"/>
  <c r="J1063" i="23" s="1"/>
  <c r="K1063" i="23" s="1"/>
  <c r="AM16" i="19"/>
  <c r="F1055" i="23"/>
  <c r="H1055" i="23" s="1"/>
  <c r="AM8" i="19"/>
  <c r="F1047" i="23"/>
  <c r="H1047" i="23" s="1"/>
  <c r="AM103" i="19"/>
  <c r="F1142" i="23"/>
  <c r="H1142" i="23" s="1"/>
  <c r="AM95" i="19"/>
  <c r="F1134" i="23"/>
  <c r="H1134" i="23" s="1"/>
  <c r="AM87" i="19"/>
  <c r="F1126" i="23"/>
  <c r="H1126" i="23" s="1"/>
  <c r="AM79" i="19"/>
  <c r="F1118" i="23"/>
  <c r="H1118" i="23" s="1"/>
  <c r="AM71" i="19"/>
  <c r="F1110" i="23"/>
  <c r="H1110" i="23" s="1"/>
  <c r="AM63" i="19"/>
  <c r="F1102" i="23"/>
  <c r="H1102" i="23" s="1"/>
  <c r="AM55" i="19"/>
  <c r="F1094" i="23"/>
  <c r="H1094" i="23" s="1"/>
  <c r="AM47" i="19"/>
  <c r="F1086" i="23"/>
  <c r="H1086" i="23" s="1"/>
  <c r="AM39" i="19"/>
  <c r="F1078" i="23"/>
  <c r="H1078" i="23" s="1"/>
  <c r="AM31" i="19"/>
  <c r="F1070" i="23"/>
  <c r="H1070" i="23" s="1"/>
  <c r="AM23" i="19"/>
  <c r="F1062" i="23"/>
  <c r="H1062" i="23" s="1"/>
  <c r="AM15" i="19"/>
  <c r="F1054" i="23"/>
  <c r="H1054" i="23" s="1"/>
  <c r="AM7" i="19"/>
  <c r="F1046" i="23"/>
  <c r="H1046" i="23" s="1"/>
  <c r="AJ102" i="19"/>
  <c r="F1037" i="23"/>
  <c r="H1037" i="23" s="1"/>
  <c r="I1037" i="23" s="1"/>
  <c r="J1037" i="23" s="1"/>
  <c r="K1037" i="23" s="1"/>
  <c r="AJ94" i="19"/>
  <c r="F1029" i="23"/>
  <c r="H1029" i="23" s="1"/>
  <c r="I1029" i="23" s="1"/>
  <c r="J1029" i="23" s="1"/>
  <c r="K1029" i="23" s="1"/>
  <c r="AJ86" i="19"/>
  <c r="F1021" i="23"/>
  <c r="H1021" i="23" s="1"/>
  <c r="I1021" i="23" s="1"/>
  <c r="J1021" i="23" s="1"/>
  <c r="K1021" i="23" s="1"/>
  <c r="AJ78" i="19"/>
  <c r="F1013" i="23"/>
  <c r="H1013" i="23" s="1"/>
  <c r="AJ70" i="19"/>
  <c r="F1005" i="23"/>
  <c r="H1005" i="23" s="1"/>
  <c r="I1005" i="23" s="1"/>
  <c r="J1005" i="23" s="1"/>
  <c r="K1005" i="23" s="1"/>
  <c r="AJ62" i="19"/>
  <c r="F997" i="23"/>
  <c r="H997" i="23" s="1"/>
  <c r="AJ54" i="19"/>
  <c r="F989" i="23"/>
  <c r="H989" i="23" s="1"/>
  <c r="I989" i="23" s="1"/>
  <c r="J989" i="23" s="1"/>
  <c r="K989" i="23" s="1"/>
  <c r="AJ46" i="19"/>
  <c r="F981" i="23"/>
  <c r="H981" i="23" s="1"/>
  <c r="I981" i="23" s="1"/>
  <c r="J981" i="23" s="1"/>
  <c r="K981" i="23" s="1"/>
  <c r="AJ38" i="19"/>
  <c r="F973" i="23"/>
  <c r="H973" i="23" s="1"/>
  <c r="AJ30" i="19"/>
  <c r="F965" i="23"/>
  <c r="H965" i="23" s="1"/>
  <c r="I965" i="23" s="1"/>
  <c r="J965" i="23" s="1"/>
  <c r="K965" i="23" s="1"/>
  <c r="AJ22" i="19"/>
  <c r="F957" i="23"/>
  <c r="H957" i="23" s="1"/>
  <c r="I957" i="23" s="1"/>
  <c r="J957" i="23" s="1"/>
  <c r="K957" i="23" s="1"/>
  <c r="AJ14" i="19"/>
  <c r="F949" i="23"/>
  <c r="H949" i="23" s="1"/>
  <c r="I949" i="23" s="1"/>
  <c r="J949" i="23" s="1"/>
  <c r="K949" i="23" s="1"/>
  <c r="AJ109" i="19"/>
  <c r="F1044" i="23"/>
  <c r="H1044" i="23" s="1"/>
  <c r="AJ101" i="19"/>
  <c r="F1036" i="23"/>
  <c r="H1036" i="23" s="1"/>
  <c r="AJ93" i="19"/>
  <c r="F1028" i="23"/>
  <c r="H1028" i="23" s="1"/>
  <c r="AJ85" i="19"/>
  <c r="F1020" i="23"/>
  <c r="H1020" i="23" s="1"/>
  <c r="I1020" i="23" s="1"/>
  <c r="J1020" i="23" s="1"/>
  <c r="K1020" i="23" s="1"/>
  <c r="AJ77" i="19"/>
  <c r="F1012" i="23"/>
  <c r="H1012" i="23" s="1"/>
  <c r="AJ69" i="19"/>
  <c r="F1004" i="23"/>
  <c r="H1004" i="23" s="1"/>
  <c r="I1004" i="23" s="1"/>
  <c r="J1004" i="23" s="1"/>
  <c r="K1004" i="23" s="1"/>
  <c r="AJ61" i="19"/>
  <c r="F996" i="23"/>
  <c r="H996" i="23" s="1"/>
  <c r="AJ53" i="19"/>
  <c r="F988" i="23"/>
  <c r="H988" i="23" s="1"/>
  <c r="I988" i="23" s="1"/>
  <c r="J988" i="23" s="1"/>
  <c r="K988" i="23" s="1"/>
  <c r="AJ45" i="19"/>
  <c r="F980" i="23"/>
  <c r="H980" i="23" s="1"/>
  <c r="AJ37" i="19"/>
  <c r="F972" i="23"/>
  <c r="H972" i="23" s="1"/>
  <c r="AJ29" i="19"/>
  <c r="F964" i="23"/>
  <c r="H964" i="23" s="1"/>
  <c r="AJ21" i="19"/>
  <c r="F956" i="23"/>
  <c r="H956" i="23" s="1"/>
  <c r="AJ13" i="19"/>
  <c r="F948" i="23"/>
  <c r="H948" i="23" s="1"/>
  <c r="AJ108" i="19"/>
  <c r="F1043" i="23"/>
  <c r="H1043" i="23" s="1"/>
  <c r="I1043" i="23" s="1"/>
  <c r="J1043" i="23" s="1"/>
  <c r="K1043" i="23" s="1"/>
  <c r="AJ100" i="19"/>
  <c r="F1035" i="23"/>
  <c r="H1035" i="23" s="1"/>
  <c r="I1035" i="23" s="1"/>
  <c r="J1035" i="23" s="1"/>
  <c r="K1035" i="23" s="1"/>
  <c r="AJ92" i="19"/>
  <c r="F1027" i="23"/>
  <c r="H1027" i="23" s="1"/>
  <c r="I1027" i="23" s="1"/>
  <c r="J1027" i="23" s="1"/>
  <c r="K1027" i="23" s="1"/>
  <c r="AJ84" i="19"/>
  <c r="F1019" i="23"/>
  <c r="H1019" i="23" s="1"/>
  <c r="I1019" i="23" s="1"/>
  <c r="J1019" i="23" s="1"/>
  <c r="K1019" i="23" s="1"/>
  <c r="AJ76" i="19"/>
  <c r="F1011" i="23"/>
  <c r="H1011" i="23" s="1"/>
  <c r="I1011" i="23" s="1"/>
  <c r="J1011" i="23" s="1"/>
  <c r="K1011" i="23" s="1"/>
  <c r="AJ68" i="19"/>
  <c r="F1003" i="23"/>
  <c r="H1003" i="23" s="1"/>
  <c r="I1003" i="23" s="1"/>
  <c r="J1003" i="23" s="1"/>
  <c r="K1003" i="23" s="1"/>
  <c r="AJ60" i="19"/>
  <c r="F995" i="23"/>
  <c r="H995" i="23" s="1"/>
  <c r="AJ52" i="19"/>
  <c r="F987" i="23"/>
  <c r="H987" i="23" s="1"/>
  <c r="I987" i="23" s="1"/>
  <c r="J987" i="23" s="1"/>
  <c r="K987" i="23" s="1"/>
  <c r="AJ44" i="19"/>
  <c r="F979" i="23"/>
  <c r="H979" i="23" s="1"/>
  <c r="AJ36" i="19"/>
  <c r="F971" i="23"/>
  <c r="H971" i="23" s="1"/>
  <c r="AJ28" i="19"/>
  <c r="F963" i="23"/>
  <c r="H963" i="23" s="1"/>
  <c r="I963" i="23" s="1"/>
  <c r="J963" i="23" s="1"/>
  <c r="K963" i="23" s="1"/>
  <c r="AJ20" i="19"/>
  <c r="F955" i="23"/>
  <c r="H955" i="23" s="1"/>
  <c r="AJ12" i="19"/>
  <c r="F947" i="23"/>
  <c r="H947" i="23" s="1"/>
  <c r="I947" i="23" s="1"/>
  <c r="J947" i="23" s="1"/>
  <c r="K947" i="23" s="1"/>
  <c r="AJ107" i="19"/>
  <c r="F1042" i="23"/>
  <c r="H1042" i="23" s="1"/>
  <c r="I1042" i="23" s="1"/>
  <c r="J1042" i="23" s="1"/>
  <c r="K1042" i="23" s="1"/>
  <c r="AJ99" i="19"/>
  <c r="F1034" i="23"/>
  <c r="H1034" i="23" s="1"/>
  <c r="I1034" i="23" s="1"/>
  <c r="J1034" i="23" s="1"/>
  <c r="K1034" i="23" s="1"/>
  <c r="AJ91" i="19"/>
  <c r="F1026" i="23"/>
  <c r="H1026" i="23" s="1"/>
  <c r="I1026" i="23" s="1"/>
  <c r="J1026" i="23" s="1"/>
  <c r="K1026" i="23" s="1"/>
  <c r="AJ83" i="19"/>
  <c r="F1018" i="23"/>
  <c r="H1018" i="23" s="1"/>
  <c r="I1018" i="23" s="1"/>
  <c r="J1018" i="23" s="1"/>
  <c r="K1018" i="23" s="1"/>
  <c r="AJ75" i="19"/>
  <c r="F1010" i="23"/>
  <c r="H1010" i="23" s="1"/>
  <c r="I1010" i="23" s="1"/>
  <c r="J1010" i="23" s="1"/>
  <c r="K1010" i="23" s="1"/>
  <c r="AJ67" i="19"/>
  <c r="F1002" i="23"/>
  <c r="H1002" i="23" s="1"/>
  <c r="I1002" i="23" s="1"/>
  <c r="J1002" i="23" s="1"/>
  <c r="K1002" i="23" s="1"/>
  <c r="AJ59" i="19"/>
  <c r="F994" i="23"/>
  <c r="H994" i="23" s="1"/>
  <c r="I994" i="23" s="1"/>
  <c r="J994" i="23" s="1"/>
  <c r="K994" i="23" s="1"/>
  <c r="AJ51" i="19"/>
  <c r="F986" i="23"/>
  <c r="H986" i="23" s="1"/>
  <c r="I986" i="23" s="1"/>
  <c r="J986" i="23" s="1"/>
  <c r="K986" i="23" s="1"/>
  <c r="AJ43" i="19"/>
  <c r="F978" i="23"/>
  <c r="H978" i="23" s="1"/>
  <c r="I978" i="23" s="1"/>
  <c r="J978" i="23" s="1"/>
  <c r="K978" i="23" s="1"/>
  <c r="AJ35" i="19"/>
  <c r="F970" i="23"/>
  <c r="H970" i="23" s="1"/>
  <c r="AJ27" i="19"/>
  <c r="F962" i="23"/>
  <c r="H962" i="23" s="1"/>
  <c r="I962" i="23" s="1"/>
  <c r="J962" i="23" s="1"/>
  <c r="K962" i="23" s="1"/>
  <c r="AJ19" i="19"/>
  <c r="F954" i="23"/>
  <c r="H954" i="23" s="1"/>
  <c r="AJ11" i="19"/>
  <c r="F946" i="23"/>
  <c r="H946" i="23" s="1"/>
  <c r="I946" i="23" s="1"/>
  <c r="J946" i="23" s="1"/>
  <c r="K946" i="23" s="1"/>
  <c r="AJ106" i="19"/>
  <c r="F1041" i="23"/>
  <c r="H1041" i="23" s="1"/>
  <c r="AJ98" i="19"/>
  <c r="F1033" i="23"/>
  <c r="H1033" i="23" s="1"/>
  <c r="I1033" i="23" s="1"/>
  <c r="J1033" i="23" s="1"/>
  <c r="K1033" i="23" s="1"/>
  <c r="AJ90" i="19"/>
  <c r="F1025" i="23"/>
  <c r="H1025" i="23" s="1"/>
  <c r="AJ82" i="19"/>
  <c r="F1017" i="23"/>
  <c r="H1017" i="23" s="1"/>
  <c r="I1017" i="23" s="1"/>
  <c r="J1017" i="23" s="1"/>
  <c r="K1017" i="23" s="1"/>
  <c r="AJ74" i="19"/>
  <c r="F1009" i="23"/>
  <c r="H1009" i="23" s="1"/>
  <c r="I1009" i="23" s="1"/>
  <c r="J1009" i="23" s="1"/>
  <c r="K1009" i="23" s="1"/>
  <c r="AJ66" i="19"/>
  <c r="F1001" i="23"/>
  <c r="H1001" i="23" s="1"/>
  <c r="I1001" i="23" s="1"/>
  <c r="J1001" i="23" s="1"/>
  <c r="K1001" i="23" s="1"/>
  <c r="AJ58" i="19"/>
  <c r="F993" i="23"/>
  <c r="H993" i="23" s="1"/>
  <c r="AJ50" i="19"/>
  <c r="F985" i="23"/>
  <c r="H985" i="23" s="1"/>
  <c r="AJ42" i="19"/>
  <c r="F977" i="23"/>
  <c r="H977" i="23" s="1"/>
  <c r="AJ34" i="19"/>
  <c r="F969" i="23"/>
  <c r="H969" i="23" s="1"/>
  <c r="AJ26" i="19"/>
  <c r="F961" i="23"/>
  <c r="H961" i="23" s="1"/>
  <c r="I961" i="23" s="1"/>
  <c r="J961" i="23" s="1"/>
  <c r="K961" i="23" s="1"/>
  <c r="AJ18" i="19"/>
  <c r="F953" i="23"/>
  <c r="H953" i="23" s="1"/>
  <c r="AJ10" i="19"/>
  <c r="F945" i="23"/>
  <c r="H945" i="23" s="1"/>
  <c r="AJ105" i="19"/>
  <c r="F1040" i="23"/>
  <c r="H1040" i="23" s="1"/>
  <c r="AJ97" i="19"/>
  <c r="F1032" i="23"/>
  <c r="H1032" i="23" s="1"/>
  <c r="AJ89" i="19"/>
  <c r="F1024" i="23"/>
  <c r="H1024" i="23" s="1"/>
  <c r="AJ81" i="19"/>
  <c r="F1016" i="23"/>
  <c r="H1016" i="23" s="1"/>
  <c r="AJ73" i="19"/>
  <c r="F1008" i="23"/>
  <c r="H1008" i="23" s="1"/>
  <c r="I1008" i="23" s="1"/>
  <c r="J1008" i="23" s="1"/>
  <c r="K1008" i="23" s="1"/>
  <c r="AJ65" i="19"/>
  <c r="F1000" i="23"/>
  <c r="H1000" i="23" s="1"/>
  <c r="AJ57" i="19"/>
  <c r="F992" i="23"/>
  <c r="H992" i="23" s="1"/>
  <c r="I992" i="23" s="1"/>
  <c r="J992" i="23" s="1"/>
  <c r="K992" i="23" s="1"/>
  <c r="AJ49" i="19"/>
  <c r="F984" i="23"/>
  <c r="H984" i="23" s="1"/>
  <c r="AJ41" i="19"/>
  <c r="F976" i="23"/>
  <c r="H976" i="23" s="1"/>
  <c r="AJ33" i="19"/>
  <c r="F968" i="23"/>
  <c r="H968" i="23" s="1"/>
  <c r="AJ25" i="19"/>
  <c r="F960" i="23"/>
  <c r="H960" i="23" s="1"/>
  <c r="AJ17" i="19"/>
  <c r="F952" i="23"/>
  <c r="H952" i="23" s="1"/>
  <c r="AJ9" i="19"/>
  <c r="F944" i="23"/>
  <c r="H944" i="23" s="1"/>
  <c r="AJ104" i="19"/>
  <c r="F1039" i="23"/>
  <c r="H1039" i="23" s="1"/>
  <c r="AJ96" i="19"/>
  <c r="F1031" i="23"/>
  <c r="H1031" i="23" s="1"/>
  <c r="I1031" i="23" s="1"/>
  <c r="J1031" i="23" s="1"/>
  <c r="K1031" i="23" s="1"/>
  <c r="AJ88" i="19"/>
  <c r="F1023" i="23"/>
  <c r="H1023" i="23" s="1"/>
  <c r="I1023" i="23" s="1"/>
  <c r="J1023" i="23" s="1"/>
  <c r="K1023" i="23" s="1"/>
  <c r="AJ80" i="19"/>
  <c r="F1015" i="23"/>
  <c r="H1015" i="23" s="1"/>
  <c r="AJ72" i="19"/>
  <c r="F1007" i="23"/>
  <c r="H1007" i="23" s="1"/>
  <c r="I1007" i="23" s="1"/>
  <c r="J1007" i="23" s="1"/>
  <c r="K1007" i="23" s="1"/>
  <c r="AJ64" i="19"/>
  <c r="F999" i="23"/>
  <c r="H999" i="23" s="1"/>
  <c r="AJ56" i="19"/>
  <c r="F991" i="23"/>
  <c r="H991" i="23" s="1"/>
  <c r="I991" i="23" s="1"/>
  <c r="J991" i="23" s="1"/>
  <c r="K991" i="23" s="1"/>
  <c r="AJ48" i="19"/>
  <c r="F983" i="23"/>
  <c r="H983" i="23" s="1"/>
  <c r="AJ40" i="19"/>
  <c r="F975" i="23"/>
  <c r="H975" i="23" s="1"/>
  <c r="AJ32" i="19"/>
  <c r="F967" i="23"/>
  <c r="H967" i="23" s="1"/>
  <c r="I967" i="23" s="1"/>
  <c r="J967" i="23" s="1"/>
  <c r="K967" i="23" s="1"/>
  <c r="AJ24" i="19"/>
  <c r="F959" i="23"/>
  <c r="H959" i="23" s="1"/>
  <c r="I959" i="23" s="1"/>
  <c r="J959" i="23" s="1"/>
  <c r="K959" i="23" s="1"/>
  <c r="AJ16" i="19"/>
  <c r="F951" i="23"/>
  <c r="H951" i="23" s="1"/>
  <c r="I951" i="23" s="1"/>
  <c r="J951" i="23" s="1"/>
  <c r="K951" i="23" s="1"/>
  <c r="AJ8" i="19"/>
  <c r="F943" i="23"/>
  <c r="H943" i="23" s="1"/>
  <c r="I943" i="23" s="1"/>
  <c r="J943" i="23" s="1"/>
  <c r="K943" i="23" s="1"/>
  <c r="AJ103" i="19"/>
  <c r="F1038" i="23"/>
  <c r="H1038" i="23" s="1"/>
  <c r="AJ95" i="19"/>
  <c r="F1030" i="23"/>
  <c r="H1030" i="23" s="1"/>
  <c r="AJ87" i="19"/>
  <c r="F1022" i="23"/>
  <c r="H1022" i="23" s="1"/>
  <c r="I1022" i="23" s="1"/>
  <c r="J1022" i="23" s="1"/>
  <c r="K1022" i="23" s="1"/>
  <c r="AJ79" i="19"/>
  <c r="F1014" i="23"/>
  <c r="H1014" i="23" s="1"/>
  <c r="AJ71" i="19"/>
  <c r="F1006" i="23"/>
  <c r="H1006" i="23" s="1"/>
  <c r="AJ63" i="19"/>
  <c r="F998" i="23"/>
  <c r="H998" i="23" s="1"/>
  <c r="AJ55" i="19"/>
  <c r="F990" i="23"/>
  <c r="H990" i="23" s="1"/>
  <c r="AJ47" i="19"/>
  <c r="F982" i="23"/>
  <c r="H982" i="23" s="1"/>
  <c r="AJ39" i="19"/>
  <c r="F974" i="23"/>
  <c r="H974" i="23" s="1"/>
  <c r="I974" i="23" s="1"/>
  <c r="J974" i="23" s="1"/>
  <c r="K974" i="23" s="1"/>
  <c r="AJ31" i="19"/>
  <c r="F966" i="23"/>
  <c r="H966" i="23" s="1"/>
  <c r="AJ23" i="19"/>
  <c r="F958" i="23"/>
  <c r="H958" i="23" s="1"/>
  <c r="AJ15" i="19"/>
  <c r="F950" i="23"/>
  <c r="H950" i="23" s="1"/>
  <c r="AJ7" i="19"/>
  <c r="F942" i="23"/>
  <c r="H942" i="23" s="1"/>
  <c r="AG102" i="19"/>
  <c r="F933" i="23"/>
  <c r="H933" i="23" s="1"/>
  <c r="I933" i="23" s="1"/>
  <c r="J933" i="23" s="1"/>
  <c r="K933" i="23" s="1"/>
  <c r="AG94" i="19"/>
  <c r="F925" i="23"/>
  <c r="H925" i="23" s="1"/>
  <c r="I925" i="23" s="1"/>
  <c r="J925" i="23" s="1"/>
  <c r="K925" i="23" s="1"/>
  <c r="AG86" i="19"/>
  <c r="F917" i="23"/>
  <c r="H917" i="23" s="1"/>
  <c r="AG78" i="19"/>
  <c r="F909" i="23"/>
  <c r="H909" i="23" s="1"/>
  <c r="AG70" i="19"/>
  <c r="F901" i="23"/>
  <c r="H901" i="23" s="1"/>
  <c r="AG62" i="19"/>
  <c r="F893" i="23"/>
  <c r="H893" i="23" s="1"/>
  <c r="AG54" i="19"/>
  <c r="F885" i="23"/>
  <c r="H885" i="23" s="1"/>
  <c r="AG46" i="19"/>
  <c r="F877" i="23"/>
  <c r="H877" i="23" s="1"/>
  <c r="AG38" i="19"/>
  <c r="F869" i="23"/>
  <c r="H869" i="23" s="1"/>
  <c r="I869" i="23" s="1"/>
  <c r="J869" i="23" s="1"/>
  <c r="K869" i="23" s="1"/>
  <c r="AG30" i="19"/>
  <c r="F861" i="23"/>
  <c r="H861" i="23" s="1"/>
  <c r="AG22" i="19"/>
  <c r="F853" i="23"/>
  <c r="H853" i="23" s="1"/>
  <c r="AG14" i="19"/>
  <c r="F845" i="23"/>
  <c r="H845" i="23" s="1"/>
  <c r="AG101" i="19"/>
  <c r="F932" i="23"/>
  <c r="H932" i="23" s="1"/>
  <c r="AG93" i="19"/>
  <c r="F924" i="23"/>
  <c r="H924" i="23" s="1"/>
  <c r="I924" i="23" s="1"/>
  <c r="J924" i="23" s="1"/>
  <c r="K924" i="23" s="1"/>
  <c r="AG85" i="19"/>
  <c r="F916" i="23"/>
  <c r="H916" i="23" s="1"/>
  <c r="I916" i="23" s="1"/>
  <c r="J916" i="23" s="1"/>
  <c r="K916" i="23" s="1"/>
  <c r="AG77" i="19"/>
  <c r="F908" i="23"/>
  <c r="H908" i="23" s="1"/>
  <c r="I908" i="23" s="1"/>
  <c r="J908" i="23" s="1"/>
  <c r="K908" i="23" s="1"/>
  <c r="AG69" i="19"/>
  <c r="F900" i="23"/>
  <c r="H900" i="23" s="1"/>
  <c r="I900" i="23" s="1"/>
  <c r="J900" i="23" s="1"/>
  <c r="K900" i="23" s="1"/>
  <c r="AG61" i="19"/>
  <c r="F892" i="23"/>
  <c r="H892" i="23" s="1"/>
  <c r="I892" i="23" s="1"/>
  <c r="J892" i="23" s="1"/>
  <c r="K892" i="23" s="1"/>
  <c r="AG53" i="19"/>
  <c r="F884" i="23"/>
  <c r="H884" i="23" s="1"/>
  <c r="AG45" i="19"/>
  <c r="F876" i="23"/>
  <c r="H876" i="23" s="1"/>
  <c r="AG37" i="19"/>
  <c r="F868" i="23"/>
  <c r="H868" i="23" s="1"/>
  <c r="AG29" i="19"/>
  <c r="F860" i="23"/>
  <c r="H860" i="23" s="1"/>
  <c r="I860" i="23" s="1"/>
  <c r="J860" i="23" s="1"/>
  <c r="K860" i="23" s="1"/>
  <c r="AG21" i="19"/>
  <c r="F852" i="23"/>
  <c r="H852" i="23" s="1"/>
  <c r="AG13" i="19"/>
  <c r="F844" i="23"/>
  <c r="H844" i="23" s="1"/>
  <c r="AG108" i="19"/>
  <c r="F939" i="23"/>
  <c r="H939" i="23" s="1"/>
  <c r="AG100" i="19"/>
  <c r="F931" i="23"/>
  <c r="H931" i="23" s="1"/>
  <c r="I931" i="23" s="1"/>
  <c r="J931" i="23" s="1"/>
  <c r="K931" i="23" s="1"/>
  <c r="AG92" i="19"/>
  <c r="F923" i="23"/>
  <c r="H923" i="23" s="1"/>
  <c r="AG84" i="19"/>
  <c r="F915" i="23"/>
  <c r="H915" i="23" s="1"/>
  <c r="I915" i="23" s="1"/>
  <c r="J915" i="23" s="1"/>
  <c r="K915" i="23" s="1"/>
  <c r="AG76" i="19"/>
  <c r="F907" i="23"/>
  <c r="H907" i="23" s="1"/>
  <c r="AG68" i="19"/>
  <c r="F899" i="23"/>
  <c r="H899" i="23" s="1"/>
  <c r="AG60" i="19"/>
  <c r="F891" i="23"/>
  <c r="H891" i="23" s="1"/>
  <c r="AG52" i="19"/>
  <c r="F883" i="23"/>
  <c r="H883" i="23" s="1"/>
  <c r="I883" i="23" s="1"/>
  <c r="J883" i="23" s="1"/>
  <c r="K883" i="23" s="1"/>
  <c r="AG44" i="19"/>
  <c r="F875" i="23"/>
  <c r="H875" i="23" s="1"/>
  <c r="AG36" i="19"/>
  <c r="F867" i="23"/>
  <c r="H867" i="23" s="1"/>
  <c r="I867" i="23" s="1"/>
  <c r="J867" i="23" s="1"/>
  <c r="K867" i="23" s="1"/>
  <c r="AG28" i="19"/>
  <c r="F859" i="23"/>
  <c r="H859" i="23" s="1"/>
  <c r="AG20" i="19"/>
  <c r="F851" i="23"/>
  <c r="H851" i="23" s="1"/>
  <c r="AG12" i="19"/>
  <c r="F843" i="23"/>
  <c r="H843" i="23" s="1"/>
  <c r="AG107" i="19"/>
  <c r="F938" i="23"/>
  <c r="H938" i="23" s="1"/>
  <c r="AG99" i="19"/>
  <c r="F930" i="23"/>
  <c r="H930" i="23" s="1"/>
  <c r="I930" i="23" s="1"/>
  <c r="J930" i="23" s="1"/>
  <c r="K930" i="23" s="1"/>
  <c r="AG91" i="19"/>
  <c r="F922" i="23"/>
  <c r="H922" i="23" s="1"/>
  <c r="AG83" i="19"/>
  <c r="F914" i="23"/>
  <c r="H914" i="23" s="1"/>
  <c r="AG75" i="19"/>
  <c r="F906" i="23"/>
  <c r="H906" i="23" s="1"/>
  <c r="I906" i="23" s="1"/>
  <c r="J906" i="23" s="1"/>
  <c r="K906" i="23" s="1"/>
  <c r="AG67" i="19"/>
  <c r="F898" i="23"/>
  <c r="H898" i="23" s="1"/>
  <c r="I898" i="23" s="1"/>
  <c r="J898" i="23" s="1"/>
  <c r="K898" i="23" s="1"/>
  <c r="AG59" i="19"/>
  <c r="F890" i="23"/>
  <c r="H890" i="23" s="1"/>
  <c r="I890" i="23" s="1"/>
  <c r="J890" i="23" s="1"/>
  <c r="K890" i="23" s="1"/>
  <c r="AG51" i="19"/>
  <c r="F882" i="23"/>
  <c r="H882" i="23" s="1"/>
  <c r="AG43" i="19"/>
  <c r="F874" i="23"/>
  <c r="H874" i="23" s="1"/>
  <c r="AG35" i="19"/>
  <c r="F866" i="23"/>
  <c r="H866" i="23" s="1"/>
  <c r="I866" i="23" s="1"/>
  <c r="J866" i="23" s="1"/>
  <c r="K866" i="23" s="1"/>
  <c r="AG27" i="19"/>
  <c r="F858" i="23"/>
  <c r="H858" i="23" s="1"/>
  <c r="AG19" i="19"/>
  <c r="F850" i="23"/>
  <c r="H850" i="23" s="1"/>
  <c r="I850" i="23" s="1"/>
  <c r="J850" i="23" s="1"/>
  <c r="K850" i="23" s="1"/>
  <c r="AG11" i="19"/>
  <c r="F842" i="23"/>
  <c r="H842" i="23" s="1"/>
  <c r="AG106" i="19"/>
  <c r="F937" i="23"/>
  <c r="H937" i="23" s="1"/>
  <c r="AG98" i="19"/>
  <c r="F929" i="23"/>
  <c r="H929" i="23" s="1"/>
  <c r="I929" i="23" s="1"/>
  <c r="J929" i="23" s="1"/>
  <c r="K929" i="23" s="1"/>
  <c r="AG90" i="19"/>
  <c r="F921" i="23"/>
  <c r="H921" i="23" s="1"/>
  <c r="AG82" i="19"/>
  <c r="F913" i="23"/>
  <c r="H913" i="23" s="1"/>
  <c r="AG74" i="19"/>
  <c r="F905" i="23"/>
  <c r="H905" i="23" s="1"/>
  <c r="AG66" i="19"/>
  <c r="F897" i="23"/>
  <c r="H897" i="23" s="1"/>
  <c r="AG58" i="19"/>
  <c r="F889" i="23"/>
  <c r="H889" i="23" s="1"/>
  <c r="AG50" i="19"/>
  <c r="F881" i="23"/>
  <c r="H881" i="23" s="1"/>
  <c r="AG42" i="19"/>
  <c r="F873" i="23"/>
  <c r="H873" i="23" s="1"/>
  <c r="AG34" i="19"/>
  <c r="F865" i="23"/>
  <c r="H865" i="23" s="1"/>
  <c r="I865" i="23" s="1"/>
  <c r="J865" i="23" s="1"/>
  <c r="K865" i="23" s="1"/>
  <c r="AG26" i="19"/>
  <c r="F857" i="23"/>
  <c r="H857" i="23" s="1"/>
  <c r="I857" i="23" s="1"/>
  <c r="J857" i="23" s="1"/>
  <c r="K857" i="23" s="1"/>
  <c r="AG18" i="19"/>
  <c r="F849" i="23"/>
  <c r="H849" i="23" s="1"/>
  <c r="I849" i="23" s="1"/>
  <c r="J849" i="23" s="1"/>
  <c r="K849" i="23" s="1"/>
  <c r="AG10" i="19"/>
  <c r="F841" i="23"/>
  <c r="H841" i="23" s="1"/>
  <c r="AG105" i="19"/>
  <c r="F936" i="23"/>
  <c r="H936" i="23" s="1"/>
  <c r="AG97" i="19"/>
  <c r="F928" i="23"/>
  <c r="H928" i="23" s="1"/>
  <c r="AG89" i="19"/>
  <c r="F920" i="23"/>
  <c r="H920" i="23" s="1"/>
  <c r="AG81" i="19"/>
  <c r="F912" i="23"/>
  <c r="H912" i="23" s="1"/>
  <c r="I912" i="23" s="1"/>
  <c r="J912" i="23" s="1"/>
  <c r="K912" i="23" s="1"/>
  <c r="AG73" i="19"/>
  <c r="F904" i="23"/>
  <c r="H904" i="23" s="1"/>
  <c r="I904" i="23" s="1"/>
  <c r="J904" i="23" s="1"/>
  <c r="K904" i="23" s="1"/>
  <c r="AG65" i="19"/>
  <c r="F896" i="23"/>
  <c r="H896" i="23" s="1"/>
  <c r="AG57" i="19"/>
  <c r="F888" i="23"/>
  <c r="H888" i="23" s="1"/>
  <c r="AG49" i="19"/>
  <c r="F880" i="23"/>
  <c r="H880" i="23" s="1"/>
  <c r="AG41" i="19"/>
  <c r="F872" i="23"/>
  <c r="H872" i="23" s="1"/>
  <c r="AG33" i="19"/>
  <c r="F864" i="23"/>
  <c r="H864" i="23" s="1"/>
  <c r="I864" i="23" s="1"/>
  <c r="J864" i="23" s="1"/>
  <c r="K864" i="23" s="1"/>
  <c r="AG25" i="19"/>
  <c r="F856" i="23"/>
  <c r="H856" i="23" s="1"/>
  <c r="AG17" i="19"/>
  <c r="F848" i="23"/>
  <c r="H848" i="23" s="1"/>
  <c r="I848" i="23" s="1"/>
  <c r="J848" i="23" s="1"/>
  <c r="K848" i="23" s="1"/>
  <c r="AG9" i="19"/>
  <c r="F840" i="23"/>
  <c r="H840" i="23" s="1"/>
  <c r="I840" i="23" s="1"/>
  <c r="J840" i="23" s="1"/>
  <c r="K840" i="23" s="1"/>
  <c r="AG104" i="19"/>
  <c r="F935" i="23"/>
  <c r="H935" i="23" s="1"/>
  <c r="I935" i="23" s="1"/>
  <c r="J935" i="23" s="1"/>
  <c r="K935" i="23" s="1"/>
  <c r="AG96" i="19"/>
  <c r="F927" i="23"/>
  <c r="H927" i="23" s="1"/>
  <c r="I927" i="23" s="1"/>
  <c r="J927" i="23" s="1"/>
  <c r="K927" i="23" s="1"/>
  <c r="AG88" i="19"/>
  <c r="F919" i="23"/>
  <c r="H919" i="23" s="1"/>
  <c r="I919" i="23" s="1"/>
  <c r="J919" i="23" s="1"/>
  <c r="K919" i="23" s="1"/>
  <c r="AG80" i="19"/>
  <c r="F911" i="23"/>
  <c r="H911" i="23" s="1"/>
  <c r="I911" i="23" s="1"/>
  <c r="J911" i="23" s="1"/>
  <c r="K911" i="23" s="1"/>
  <c r="AG72" i="19"/>
  <c r="F903" i="23"/>
  <c r="H903" i="23" s="1"/>
  <c r="I903" i="23" s="1"/>
  <c r="J903" i="23" s="1"/>
  <c r="K903" i="23" s="1"/>
  <c r="AG64" i="19"/>
  <c r="F895" i="23"/>
  <c r="H895" i="23" s="1"/>
  <c r="I895" i="23" s="1"/>
  <c r="J895" i="23" s="1"/>
  <c r="K895" i="23" s="1"/>
  <c r="AG56" i="19"/>
  <c r="F887" i="23"/>
  <c r="H887" i="23" s="1"/>
  <c r="I887" i="23" s="1"/>
  <c r="J887" i="23" s="1"/>
  <c r="K887" i="23" s="1"/>
  <c r="AG48" i="19"/>
  <c r="F879" i="23"/>
  <c r="H879" i="23" s="1"/>
  <c r="I879" i="23" s="1"/>
  <c r="J879" i="23" s="1"/>
  <c r="K879" i="23" s="1"/>
  <c r="AG40" i="19"/>
  <c r="F871" i="23"/>
  <c r="H871" i="23" s="1"/>
  <c r="I871" i="23" s="1"/>
  <c r="J871" i="23" s="1"/>
  <c r="K871" i="23" s="1"/>
  <c r="AG32" i="19"/>
  <c r="F863" i="23"/>
  <c r="H863" i="23" s="1"/>
  <c r="AG24" i="19"/>
  <c r="F855" i="23"/>
  <c r="H855" i="23" s="1"/>
  <c r="I855" i="23" s="1"/>
  <c r="J855" i="23" s="1"/>
  <c r="K855" i="23" s="1"/>
  <c r="AG16" i="19"/>
  <c r="F847" i="23"/>
  <c r="H847" i="23" s="1"/>
  <c r="AG8" i="19"/>
  <c r="F839" i="23"/>
  <c r="H839" i="23" s="1"/>
  <c r="AG103" i="19"/>
  <c r="F934" i="23"/>
  <c r="H934" i="23" s="1"/>
  <c r="AG95" i="19"/>
  <c r="F926" i="23"/>
  <c r="H926" i="23" s="1"/>
  <c r="AG87" i="19"/>
  <c r="F918" i="23"/>
  <c r="H918" i="23" s="1"/>
  <c r="AG79" i="19"/>
  <c r="F910" i="23"/>
  <c r="H910" i="23" s="1"/>
  <c r="AG71" i="19"/>
  <c r="F902" i="23"/>
  <c r="H902" i="23" s="1"/>
  <c r="AG63" i="19"/>
  <c r="F894" i="23"/>
  <c r="H894" i="23" s="1"/>
  <c r="I894" i="23" s="1"/>
  <c r="J894" i="23" s="1"/>
  <c r="K894" i="23" s="1"/>
  <c r="AG55" i="19"/>
  <c r="F886" i="23"/>
  <c r="H886" i="23" s="1"/>
  <c r="AG47" i="19"/>
  <c r="F878" i="23"/>
  <c r="H878" i="23" s="1"/>
  <c r="AG39" i="19"/>
  <c r="F870" i="23"/>
  <c r="H870" i="23" s="1"/>
  <c r="I870" i="23" s="1"/>
  <c r="J870" i="23" s="1"/>
  <c r="K870" i="23" s="1"/>
  <c r="AG31" i="19"/>
  <c r="F862" i="23"/>
  <c r="H862" i="23" s="1"/>
  <c r="I862" i="23" s="1"/>
  <c r="J862" i="23" s="1"/>
  <c r="K862" i="23" s="1"/>
  <c r="AG23" i="19"/>
  <c r="F854" i="23"/>
  <c r="H854" i="23" s="1"/>
  <c r="I854" i="23" s="1"/>
  <c r="J854" i="23" s="1"/>
  <c r="K854" i="23" s="1"/>
  <c r="AG15" i="19"/>
  <c r="F846" i="23"/>
  <c r="H846" i="23" s="1"/>
  <c r="AG7" i="19"/>
  <c r="F838" i="23"/>
  <c r="H838" i="23" s="1"/>
  <c r="AG109" i="19"/>
  <c r="AD109" i="19"/>
  <c r="AD102" i="19"/>
  <c r="F829" i="23"/>
  <c r="H829" i="23" s="1"/>
  <c r="I829" i="23" s="1"/>
  <c r="J829" i="23" s="1"/>
  <c r="K829" i="23" s="1"/>
  <c r="AD94" i="19"/>
  <c r="F821" i="23"/>
  <c r="H821" i="23" s="1"/>
  <c r="I821" i="23" s="1"/>
  <c r="J821" i="23" s="1"/>
  <c r="K821" i="23" s="1"/>
  <c r="AD86" i="19"/>
  <c r="F813" i="23"/>
  <c r="H813" i="23" s="1"/>
  <c r="I813" i="23" s="1"/>
  <c r="J813" i="23" s="1"/>
  <c r="K813" i="23" s="1"/>
  <c r="AD78" i="19"/>
  <c r="F805" i="23"/>
  <c r="H805" i="23" s="1"/>
  <c r="I805" i="23" s="1"/>
  <c r="J805" i="23" s="1"/>
  <c r="K805" i="23" s="1"/>
  <c r="AD70" i="19"/>
  <c r="F797" i="23"/>
  <c r="H797" i="23" s="1"/>
  <c r="I797" i="23" s="1"/>
  <c r="J797" i="23" s="1"/>
  <c r="K797" i="23" s="1"/>
  <c r="AD62" i="19"/>
  <c r="F789" i="23"/>
  <c r="H789" i="23" s="1"/>
  <c r="AD54" i="19"/>
  <c r="F781" i="23"/>
  <c r="H781" i="23" s="1"/>
  <c r="I781" i="23" s="1"/>
  <c r="J781" i="23" s="1"/>
  <c r="K781" i="23" s="1"/>
  <c r="AD46" i="19"/>
  <c r="F773" i="23"/>
  <c r="H773" i="23" s="1"/>
  <c r="I773" i="23" s="1"/>
  <c r="J773" i="23" s="1"/>
  <c r="K773" i="23" s="1"/>
  <c r="AD38" i="19"/>
  <c r="F765" i="23"/>
  <c r="H765" i="23" s="1"/>
  <c r="AD30" i="19"/>
  <c r="F757" i="23"/>
  <c r="H757" i="23" s="1"/>
  <c r="AD22" i="19"/>
  <c r="F749" i="23"/>
  <c r="H749" i="23" s="1"/>
  <c r="AD14" i="19"/>
  <c r="F741" i="23"/>
  <c r="H741" i="23" s="1"/>
  <c r="AD101" i="19"/>
  <c r="F828" i="23"/>
  <c r="H828" i="23" s="1"/>
  <c r="I828" i="23" s="1"/>
  <c r="J828" i="23" s="1"/>
  <c r="K828" i="23" s="1"/>
  <c r="AD93" i="19"/>
  <c r="F820" i="23"/>
  <c r="H820" i="23" s="1"/>
  <c r="I820" i="23" s="1"/>
  <c r="J820" i="23" s="1"/>
  <c r="K820" i="23" s="1"/>
  <c r="AD85" i="19"/>
  <c r="F812" i="23"/>
  <c r="H812" i="23" s="1"/>
  <c r="I812" i="23" s="1"/>
  <c r="J812" i="23" s="1"/>
  <c r="K812" i="23" s="1"/>
  <c r="AD77" i="19"/>
  <c r="F804" i="23"/>
  <c r="H804" i="23" s="1"/>
  <c r="I804" i="23" s="1"/>
  <c r="J804" i="23" s="1"/>
  <c r="K804" i="23" s="1"/>
  <c r="AD69" i="19"/>
  <c r="F796" i="23"/>
  <c r="H796" i="23" s="1"/>
  <c r="I796" i="23" s="1"/>
  <c r="J796" i="23" s="1"/>
  <c r="K796" i="23" s="1"/>
  <c r="AD61" i="19"/>
  <c r="F788" i="23"/>
  <c r="H788" i="23" s="1"/>
  <c r="I788" i="23" s="1"/>
  <c r="J788" i="23" s="1"/>
  <c r="K788" i="23" s="1"/>
  <c r="AD53" i="19"/>
  <c r="F780" i="23"/>
  <c r="H780" i="23" s="1"/>
  <c r="I780" i="23" s="1"/>
  <c r="J780" i="23" s="1"/>
  <c r="K780" i="23" s="1"/>
  <c r="AD45" i="19"/>
  <c r="F772" i="23"/>
  <c r="H772" i="23" s="1"/>
  <c r="AD37" i="19"/>
  <c r="F764" i="23"/>
  <c r="H764" i="23" s="1"/>
  <c r="I764" i="23" s="1"/>
  <c r="J764" i="23" s="1"/>
  <c r="K764" i="23" s="1"/>
  <c r="AD29" i="19"/>
  <c r="F756" i="23"/>
  <c r="H756" i="23" s="1"/>
  <c r="I756" i="23" s="1"/>
  <c r="J756" i="23" s="1"/>
  <c r="K756" i="23" s="1"/>
  <c r="AD21" i="19"/>
  <c r="F748" i="23"/>
  <c r="H748" i="23" s="1"/>
  <c r="I748" i="23" s="1"/>
  <c r="J748" i="23" s="1"/>
  <c r="K748" i="23" s="1"/>
  <c r="AD13" i="19"/>
  <c r="F740" i="23"/>
  <c r="H740" i="23" s="1"/>
  <c r="I740" i="23" s="1"/>
  <c r="J740" i="23" s="1"/>
  <c r="K740" i="23" s="1"/>
  <c r="AD108" i="19"/>
  <c r="F835" i="23"/>
  <c r="H835" i="23" s="1"/>
  <c r="I835" i="23" s="1"/>
  <c r="J835" i="23" s="1"/>
  <c r="K835" i="23" s="1"/>
  <c r="AD100" i="19"/>
  <c r="F827" i="23"/>
  <c r="H827" i="23" s="1"/>
  <c r="AD92" i="19"/>
  <c r="F819" i="23"/>
  <c r="H819" i="23" s="1"/>
  <c r="I819" i="23" s="1"/>
  <c r="J819" i="23" s="1"/>
  <c r="K819" i="23" s="1"/>
  <c r="AD84" i="19"/>
  <c r="F811" i="23"/>
  <c r="H811" i="23" s="1"/>
  <c r="I811" i="23" s="1"/>
  <c r="J811" i="23" s="1"/>
  <c r="K811" i="23" s="1"/>
  <c r="AD76" i="19"/>
  <c r="F803" i="23"/>
  <c r="H803" i="23" s="1"/>
  <c r="I803" i="23" s="1"/>
  <c r="J803" i="23" s="1"/>
  <c r="K803" i="23" s="1"/>
  <c r="AD68" i="19"/>
  <c r="F795" i="23"/>
  <c r="H795" i="23" s="1"/>
  <c r="AD60" i="19"/>
  <c r="F787" i="23"/>
  <c r="H787" i="23" s="1"/>
  <c r="I787" i="23" s="1"/>
  <c r="J787" i="23" s="1"/>
  <c r="K787" i="23" s="1"/>
  <c r="AD52" i="19"/>
  <c r="F779" i="23"/>
  <c r="H779" i="23" s="1"/>
  <c r="I779" i="23" s="1"/>
  <c r="J779" i="23" s="1"/>
  <c r="K779" i="23" s="1"/>
  <c r="AD44" i="19"/>
  <c r="F771" i="23"/>
  <c r="H771" i="23" s="1"/>
  <c r="I771" i="23" s="1"/>
  <c r="J771" i="23" s="1"/>
  <c r="K771" i="23" s="1"/>
  <c r="AD36" i="19"/>
  <c r="F763" i="23"/>
  <c r="H763" i="23" s="1"/>
  <c r="AD28" i="19"/>
  <c r="F755" i="23"/>
  <c r="H755" i="23" s="1"/>
  <c r="AD20" i="19"/>
  <c r="F747" i="23"/>
  <c r="H747" i="23" s="1"/>
  <c r="AD12" i="19"/>
  <c r="F739" i="23"/>
  <c r="H739" i="23" s="1"/>
  <c r="I739" i="23" s="1"/>
  <c r="J739" i="23" s="1"/>
  <c r="K739" i="23" s="1"/>
  <c r="AD107" i="19"/>
  <c r="F834" i="23"/>
  <c r="H834" i="23" s="1"/>
  <c r="I834" i="23" s="1"/>
  <c r="J834" i="23" s="1"/>
  <c r="K834" i="23" s="1"/>
  <c r="AD99" i="19"/>
  <c r="F826" i="23"/>
  <c r="H826" i="23" s="1"/>
  <c r="I826" i="23" s="1"/>
  <c r="J826" i="23" s="1"/>
  <c r="K826" i="23" s="1"/>
  <c r="AD91" i="19"/>
  <c r="F818" i="23"/>
  <c r="H818" i="23" s="1"/>
  <c r="AD83" i="19"/>
  <c r="F810" i="23"/>
  <c r="H810" i="23" s="1"/>
  <c r="AD75" i="19"/>
  <c r="F802" i="23"/>
  <c r="H802" i="23" s="1"/>
  <c r="AD67" i="19"/>
  <c r="F794" i="23"/>
  <c r="H794" i="23" s="1"/>
  <c r="I794" i="23" s="1"/>
  <c r="J794" i="23" s="1"/>
  <c r="K794" i="23" s="1"/>
  <c r="AD59" i="19"/>
  <c r="F786" i="23"/>
  <c r="H786" i="23" s="1"/>
  <c r="I786" i="23" s="1"/>
  <c r="J786" i="23" s="1"/>
  <c r="K786" i="23" s="1"/>
  <c r="AD51" i="19"/>
  <c r="F778" i="23"/>
  <c r="H778" i="23" s="1"/>
  <c r="AD43" i="19"/>
  <c r="F770" i="23"/>
  <c r="H770" i="23" s="1"/>
  <c r="I770" i="23" s="1"/>
  <c r="J770" i="23" s="1"/>
  <c r="K770" i="23" s="1"/>
  <c r="AD35" i="19"/>
  <c r="F762" i="23"/>
  <c r="H762" i="23" s="1"/>
  <c r="AD27" i="19"/>
  <c r="F754" i="23"/>
  <c r="H754" i="23" s="1"/>
  <c r="I754" i="23" s="1"/>
  <c r="J754" i="23" s="1"/>
  <c r="K754" i="23" s="1"/>
  <c r="AD19" i="19"/>
  <c r="F746" i="23"/>
  <c r="H746" i="23" s="1"/>
  <c r="AD11" i="19"/>
  <c r="F738" i="23"/>
  <c r="H738" i="23" s="1"/>
  <c r="I738" i="23" s="1"/>
  <c r="J738" i="23" s="1"/>
  <c r="K738" i="23" s="1"/>
  <c r="AD106" i="19"/>
  <c r="F833" i="23"/>
  <c r="H833" i="23" s="1"/>
  <c r="I833" i="23" s="1"/>
  <c r="J833" i="23" s="1"/>
  <c r="K833" i="23" s="1"/>
  <c r="AD98" i="19"/>
  <c r="F825" i="23"/>
  <c r="H825" i="23" s="1"/>
  <c r="AD90" i="19"/>
  <c r="F817" i="23"/>
  <c r="H817" i="23" s="1"/>
  <c r="I817" i="23" s="1"/>
  <c r="J817" i="23" s="1"/>
  <c r="K817" i="23" s="1"/>
  <c r="AD82" i="19"/>
  <c r="F809" i="23"/>
  <c r="H809" i="23" s="1"/>
  <c r="AD74" i="19"/>
  <c r="F801" i="23"/>
  <c r="H801" i="23" s="1"/>
  <c r="I801" i="23" s="1"/>
  <c r="J801" i="23" s="1"/>
  <c r="K801" i="23" s="1"/>
  <c r="AD66" i="19"/>
  <c r="F793" i="23"/>
  <c r="H793" i="23" s="1"/>
  <c r="AD58" i="19"/>
  <c r="F785" i="23"/>
  <c r="H785" i="23" s="1"/>
  <c r="I785" i="23" s="1"/>
  <c r="J785" i="23" s="1"/>
  <c r="K785" i="23" s="1"/>
  <c r="AD50" i="19"/>
  <c r="F777" i="23"/>
  <c r="H777" i="23" s="1"/>
  <c r="AD42" i="19"/>
  <c r="F769" i="23"/>
  <c r="H769" i="23" s="1"/>
  <c r="I769" i="23" s="1"/>
  <c r="J769" i="23" s="1"/>
  <c r="K769" i="23" s="1"/>
  <c r="AD34" i="19"/>
  <c r="F761" i="23"/>
  <c r="H761" i="23" s="1"/>
  <c r="AD26" i="19"/>
  <c r="F753" i="23"/>
  <c r="H753" i="23" s="1"/>
  <c r="I753" i="23" s="1"/>
  <c r="J753" i="23" s="1"/>
  <c r="K753" i="23" s="1"/>
  <c r="AD18" i="19"/>
  <c r="F745" i="23"/>
  <c r="H745" i="23" s="1"/>
  <c r="AD10" i="19"/>
  <c r="F737" i="23"/>
  <c r="H737" i="23" s="1"/>
  <c r="I737" i="23" s="1"/>
  <c r="J737" i="23" s="1"/>
  <c r="K737" i="23" s="1"/>
  <c r="AD105" i="19"/>
  <c r="F832" i="23"/>
  <c r="H832" i="23" s="1"/>
  <c r="I832" i="23" s="1"/>
  <c r="J832" i="23" s="1"/>
  <c r="K832" i="23" s="1"/>
  <c r="AD97" i="19"/>
  <c r="F824" i="23"/>
  <c r="H824" i="23" s="1"/>
  <c r="AD89" i="19"/>
  <c r="F816" i="23"/>
  <c r="H816" i="23" s="1"/>
  <c r="I816" i="23" s="1"/>
  <c r="J816" i="23" s="1"/>
  <c r="K816" i="23" s="1"/>
  <c r="AD81" i="19"/>
  <c r="F808" i="23"/>
  <c r="H808" i="23" s="1"/>
  <c r="AD73" i="19"/>
  <c r="F800" i="23"/>
  <c r="H800" i="23" s="1"/>
  <c r="I800" i="23" s="1"/>
  <c r="J800" i="23" s="1"/>
  <c r="K800" i="23" s="1"/>
  <c r="AD65" i="19"/>
  <c r="F792" i="23"/>
  <c r="H792" i="23" s="1"/>
  <c r="AD57" i="19"/>
  <c r="F784" i="23"/>
  <c r="H784" i="23" s="1"/>
  <c r="AD49" i="19"/>
  <c r="F776" i="23"/>
  <c r="H776" i="23" s="1"/>
  <c r="AD41" i="19"/>
  <c r="F768" i="23"/>
  <c r="H768" i="23" s="1"/>
  <c r="AD33" i="19"/>
  <c r="F760" i="23"/>
  <c r="H760" i="23" s="1"/>
  <c r="AD25" i="19"/>
  <c r="F752" i="23"/>
  <c r="H752" i="23" s="1"/>
  <c r="AD17" i="19"/>
  <c r="F744" i="23"/>
  <c r="H744" i="23" s="1"/>
  <c r="AD9" i="19"/>
  <c r="F736" i="23"/>
  <c r="H736" i="23" s="1"/>
  <c r="AD104" i="19"/>
  <c r="F831" i="23"/>
  <c r="H831" i="23" s="1"/>
  <c r="AD96" i="19"/>
  <c r="F823" i="23"/>
  <c r="H823" i="23" s="1"/>
  <c r="I823" i="23" s="1"/>
  <c r="J823" i="23" s="1"/>
  <c r="K823" i="23" s="1"/>
  <c r="AD88" i="19"/>
  <c r="F815" i="23"/>
  <c r="H815" i="23" s="1"/>
  <c r="I815" i="23" s="1"/>
  <c r="J815" i="23" s="1"/>
  <c r="K815" i="23" s="1"/>
  <c r="AD80" i="19"/>
  <c r="F807" i="23"/>
  <c r="H807" i="23" s="1"/>
  <c r="I807" i="23" s="1"/>
  <c r="J807" i="23" s="1"/>
  <c r="K807" i="23" s="1"/>
  <c r="AD72" i="19"/>
  <c r="F799" i="23"/>
  <c r="H799" i="23" s="1"/>
  <c r="AD64" i="19"/>
  <c r="F791" i="23"/>
  <c r="H791" i="23" s="1"/>
  <c r="I791" i="23" s="1"/>
  <c r="J791" i="23" s="1"/>
  <c r="K791" i="23" s="1"/>
  <c r="AD56" i="19"/>
  <c r="F783" i="23"/>
  <c r="H783" i="23" s="1"/>
  <c r="I783" i="23" s="1"/>
  <c r="J783" i="23" s="1"/>
  <c r="K783" i="23" s="1"/>
  <c r="AD48" i="19"/>
  <c r="F775" i="23"/>
  <c r="H775" i="23" s="1"/>
  <c r="I775" i="23" s="1"/>
  <c r="J775" i="23" s="1"/>
  <c r="K775" i="23" s="1"/>
  <c r="AD40" i="19"/>
  <c r="F767" i="23"/>
  <c r="H767" i="23" s="1"/>
  <c r="I767" i="23" s="1"/>
  <c r="J767" i="23" s="1"/>
  <c r="K767" i="23" s="1"/>
  <c r="AD32" i="19"/>
  <c r="F759" i="23"/>
  <c r="H759" i="23" s="1"/>
  <c r="AD24" i="19"/>
  <c r="F751" i="23"/>
  <c r="H751" i="23" s="1"/>
  <c r="I751" i="23" s="1"/>
  <c r="J751" i="23" s="1"/>
  <c r="K751" i="23" s="1"/>
  <c r="AD16" i="19"/>
  <c r="F743" i="23"/>
  <c r="H743" i="23" s="1"/>
  <c r="I743" i="23" s="1"/>
  <c r="J743" i="23" s="1"/>
  <c r="K743" i="23" s="1"/>
  <c r="AD8" i="19"/>
  <c r="F735" i="23"/>
  <c r="H735" i="23" s="1"/>
  <c r="I735" i="23" s="1"/>
  <c r="J735" i="23" s="1"/>
  <c r="K735" i="23" s="1"/>
  <c r="AD103" i="19"/>
  <c r="F830" i="23"/>
  <c r="H830" i="23" s="1"/>
  <c r="I830" i="23" s="1"/>
  <c r="J830" i="23" s="1"/>
  <c r="K830" i="23" s="1"/>
  <c r="AD95" i="19"/>
  <c r="F822" i="23"/>
  <c r="H822" i="23" s="1"/>
  <c r="AD87" i="19"/>
  <c r="F814" i="23"/>
  <c r="H814" i="23" s="1"/>
  <c r="I814" i="23" s="1"/>
  <c r="J814" i="23" s="1"/>
  <c r="K814" i="23" s="1"/>
  <c r="AD79" i="19"/>
  <c r="F806" i="23"/>
  <c r="H806" i="23" s="1"/>
  <c r="AD71" i="19"/>
  <c r="F798" i="23"/>
  <c r="H798" i="23" s="1"/>
  <c r="I798" i="23" s="1"/>
  <c r="J798" i="23" s="1"/>
  <c r="K798" i="23" s="1"/>
  <c r="AD63" i="19"/>
  <c r="F790" i="23"/>
  <c r="H790" i="23" s="1"/>
  <c r="AD55" i="19"/>
  <c r="F782" i="23"/>
  <c r="H782" i="23" s="1"/>
  <c r="I782" i="23" s="1"/>
  <c r="J782" i="23" s="1"/>
  <c r="K782" i="23" s="1"/>
  <c r="AD47" i="19"/>
  <c r="F774" i="23"/>
  <c r="H774" i="23" s="1"/>
  <c r="AD39" i="19"/>
  <c r="F766" i="23"/>
  <c r="H766" i="23" s="1"/>
  <c r="I766" i="23" s="1"/>
  <c r="J766" i="23" s="1"/>
  <c r="K766" i="23" s="1"/>
  <c r="AD31" i="19"/>
  <c r="F758" i="23"/>
  <c r="H758" i="23" s="1"/>
  <c r="I758" i="23" s="1"/>
  <c r="J758" i="23" s="1"/>
  <c r="K758" i="23" s="1"/>
  <c r="AD23" i="19"/>
  <c r="F750" i="23"/>
  <c r="H750" i="23" s="1"/>
  <c r="I750" i="23" s="1"/>
  <c r="J750" i="23" s="1"/>
  <c r="K750" i="23" s="1"/>
  <c r="AD15" i="19"/>
  <c r="F742" i="23"/>
  <c r="H742" i="23" s="1"/>
  <c r="I742" i="23" s="1"/>
  <c r="J742" i="23" s="1"/>
  <c r="K742" i="23" s="1"/>
  <c r="AD7" i="19"/>
  <c r="F734" i="23"/>
  <c r="H734" i="23" s="1"/>
  <c r="AA102" i="19"/>
  <c r="F725" i="23"/>
  <c r="H725" i="23" s="1"/>
  <c r="AA94" i="19"/>
  <c r="F717" i="23"/>
  <c r="H717" i="23" s="1"/>
  <c r="AA86" i="19"/>
  <c r="F709" i="23"/>
  <c r="H709" i="23" s="1"/>
  <c r="AA78" i="19"/>
  <c r="F701" i="23"/>
  <c r="H701" i="23" s="1"/>
  <c r="I701" i="23" s="1"/>
  <c r="J701" i="23" s="1"/>
  <c r="K701" i="23" s="1"/>
  <c r="AA70" i="19"/>
  <c r="F693" i="23"/>
  <c r="H693" i="23" s="1"/>
  <c r="AA62" i="19"/>
  <c r="F685" i="23"/>
  <c r="H685" i="23" s="1"/>
  <c r="AA54" i="19"/>
  <c r="F677" i="23"/>
  <c r="H677" i="23" s="1"/>
  <c r="AA46" i="19"/>
  <c r="F669" i="23"/>
  <c r="H669" i="23" s="1"/>
  <c r="I669" i="23" s="1"/>
  <c r="J669" i="23" s="1"/>
  <c r="K669" i="23" s="1"/>
  <c r="AA38" i="19"/>
  <c r="F661" i="23"/>
  <c r="H661" i="23" s="1"/>
  <c r="AA30" i="19"/>
  <c r="F653" i="23"/>
  <c r="H653" i="23" s="1"/>
  <c r="AA22" i="19"/>
  <c r="F645" i="23"/>
  <c r="H645" i="23" s="1"/>
  <c r="AA14" i="19"/>
  <c r="F637" i="23"/>
  <c r="H637" i="23" s="1"/>
  <c r="AA101" i="19"/>
  <c r="F724" i="23"/>
  <c r="H724" i="23" s="1"/>
  <c r="AA45" i="19"/>
  <c r="F668" i="23"/>
  <c r="H668" i="23" s="1"/>
  <c r="AA13" i="19"/>
  <c r="F636" i="23"/>
  <c r="H636" i="23" s="1"/>
  <c r="I636" i="23" s="1"/>
  <c r="J636" i="23" s="1"/>
  <c r="K636" i="23" s="1"/>
  <c r="AA69" i="19"/>
  <c r="F692" i="23"/>
  <c r="H692" i="23" s="1"/>
  <c r="I692" i="23" s="1"/>
  <c r="J692" i="23" s="1"/>
  <c r="K692" i="23" s="1"/>
  <c r="AA108" i="19"/>
  <c r="F731" i="23"/>
  <c r="H731" i="23" s="1"/>
  <c r="I731" i="23" s="1"/>
  <c r="J731" i="23" s="1"/>
  <c r="K731" i="23" s="1"/>
  <c r="AA100" i="19"/>
  <c r="F723" i="23"/>
  <c r="H723" i="23" s="1"/>
  <c r="I723" i="23" s="1"/>
  <c r="J723" i="23" s="1"/>
  <c r="K723" i="23" s="1"/>
  <c r="AA92" i="19"/>
  <c r="F715" i="23"/>
  <c r="H715" i="23" s="1"/>
  <c r="AA84" i="19"/>
  <c r="F707" i="23"/>
  <c r="H707" i="23" s="1"/>
  <c r="AA76" i="19"/>
  <c r="F699" i="23"/>
  <c r="H699" i="23" s="1"/>
  <c r="AA68" i="19"/>
  <c r="F691" i="23"/>
  <c r="H691" i="23" s="1"/>
  <c r="AA60" i="19"/>
  <c r="F683" i="23"/>
  <c r="H683" i="23" s="1"/>
  <c r="AA52" i="19"/>
  <c r="F675" i="23"/>
  <c r="H675" i="23" s="1"/>
  <c r="AA44" i="19"/>
  <c r="F667" i="23"/>
  <c r="H667" i="23" s="1"/>
  <c r="AA36" i="19"/>
  <c r="F659" i="23"/>
  <c r="H659" i="23" s="1"/>
  <c r="AA28" i="19"/>
  <c r="F651" i="23"/>
  <c r="H651" i="23" s="1"/>
  <c r="AA20" i="19"/>
  <c r="F643" i="23"/>
  <c r="H643" i="23" s="1"/>
  <c r="AA12" i="19"/>
  <c r="F635" i="23"/>
  <c r="H635" i="23" s="1"/>
  <c r="AA53" i="19"/>
  <c r="F676" i="23"/>
  <c r="H676" i="23" s="1"/>
  <c r="I676" i="23" s="1"/>
  <c r="J676" i="23" s="1"/>
  <c r="K676" i="23" s="1"/>
  <c r="AA107" i="19"/>
  <c r="F730" i="23"/>
  <c r="H730" i="23" s="1"/>
  <c r="I730" i="23" s="1"/>
  <c r="J730" i="23" s="1"/>
  <c r="K730" i="23" s="1"/>
  <c r="AA99" i="19"/>
  <c r="F722" i="23"/>
  <c r="H722" i="23" s="1"/>
  <c r="AA91" i="19"/>
  <c r="F714" i="23"/>
  <c r="H714" i="23" s="1"/>
  <c r="AA83" i="19"/>
  <c r="F706" i="23"/>
  <c r="H706" i="23" s="1"/>
  <c r="I706" i="23" s="1"/>
  <c r="J706" i="23" s="1"/>
  <c r="K706" i="23" s="1"/>
  <c r="AA75" i="19"/>
  <c r="F698" i="23"/>
  <c r="H698" i="23" s="1"/>
  <c r="I698" i="23" s="1"/>
  <c r="J698" i="23" s="1"/>
  <c r="K698" i="23" s="1"/>
  <c r="AA67" i="19"/>
  <c r="F690" i="23"/>
  <c r="H690" i="23" s="1"/>
  <c r="I690" i="23" s="1"/>
  <c r="J690" i="23" s="1"/>
  <c r="K690" i="23" s="1"/>
  <c r="AA59" i="19"/>
  <c r="F682" i="23"/>
  <c r="H682" i="23" s="1"/>
  <c r="I682" i="23" s="1"/>
  <c r="J682" i="23" s="1"/>
  <c r="K682" i="23" s="1"/>
  <c r="AA51" i="19"/>
  <c r="F674" i="23"/>
  <c r="H674" i="23" s="1"/>
  <c r="AA43" i="19"/>
  <c r="F666" i="23"/>
  <c r="H666" i="23" s="1"/>
  <c r="I666" i="23" s="1"/>
  <c r="J666" i="23" s="1"/>
  <c r="K666" i="23" s="1"/>
  <c r="AA35" i="19"/>
  <c r="F658" i="23"/>
  <c r="H658" i="23" s="1"/>
  <c r="AA27" i="19"/>
  <c r="F650" i="23"/>
  <c r="H650" i="23" s="1"/>
  <c r="AA19" i="19"/>
  <c r="F642" i="23"/>
  <c r="H642" i="23" s="1"/>
  <c r="AA11" i="19"/>
  <c r="F634" i="23"/>
  <c r="H634" i="23" s="1"/>
  <c r="I634" i="23" s="1"/>
  <c r="J634" i="23" s="1"/>
  <c r="K634" i="23" s="1"/>
  <c r="AA85" i="19"/>
  <c r="F708" i="23"/>
  <c r="H708" i="23" s="1"/>
  <c r="AA21" i="19"/>
  <c r="F644" i="23"/>
  <c r="H644" i="23" s="1"/>
  <c r="AA106" i="19"/>
  <c r="F729" i="23"/>
  <c r="H729" i="23" s="1"/>
  <c r="I729" i="23" s="1"/>
  <c r="J729" i="23" s="1"/>
  <c r="K729" i="23" s="1"/>
  <c r="AA98" i="19"/>
  <c r="F721" i="23"/>
  <c r="H721" i="23" s="1"/>
  <c r="I721" i="23" s="1"/>
  <c r="J721" i="23" s="1"/>
  <c r="K721" i="23" s="1"/>
  <c r="AA90" i="19"/>
  <c r="F713" i="23"/>
  <c r="H713" i="23" s="1"/>
  <c r="I713" i="23" s="1"/>
  <c r="J713" i="23" s="1"/>
  <c r="K713" i="23" s="1"/>
  <c r="AA82" i="19"/>
  <c r="F705" i="23"/>
  <c r="H705" i="23" s="1"/>
  <c r="I705" i="23" s="1"/>
  <c r="J705" i="23" s="1"/>
  <c r="K705" i="23" s="1"/>
  <c r="AA74" i="19"/>
  <c r="F697" i="23"/>
  <c r="H697" i="23" s="1"/>
  <c r="I697" i="23" s="1"/>
  <c r="J697" i="23" s="1"/>
  <c r="K697" i="23" s="1"/>
  <c r="AA66" i="19"/>
  <c r="F689" i="23"/>
  <c r="H689" i="23" s="1"/>
  <c r="I689" i="23" s="1"/>
  <c r="J689" i="23" s="1"/>
  <c r="K689" i="23" s="1"/>
  <c r="AA58" i="19"/>
  <c r="F681" i="23"/>
  <c r="H681" i="23" s="1"/>
  <c r="I681" i="23" s="1"/>
  <c r="J681" i="23" s="1"/>
  <c r="K681" i="23" s="1"/>
  <c r="AA50" i="19"/>
  <c r="F673" i="23"/>
  <c r="H673" i="23" s="1"/>
  <c r="I673" i="23" s="1"/>
  <c r="J673" i="23" s="1"/>
  <c r="K673" i="23" s="1"/>
  <c r="AA42" i="19"/>
  <c r="F665" i="23"/>
  <c r="H665" i="23" s="1"/>
  <c r="I665" i="23" s="1"/>
  <c r="J665" i="23" s="1"/>
  <c r="K665" i="23" s="1"/>
  <c r="AA34" i="19"/>
  <c r="F657" i="23"/>
  <c r="H657" i="23" s="1"/>
  <c r="I657" i="23" s="1"/>
  <c r="J657" i="23" s="1"/>
  <c r="K657" i="23" s="1"/>
  <c r="AA26" i="19"/>
  <c r="F649" i="23"/>
  <c r="H649" i="23" s="1"/>
  <c r="I649" i="23" s="1"/>
  <c r="J649" i="23" s="1"/>
  <c r="K649" i="23" s="1"/>
  <c r="AA18" i="19"/>
  <c r="F641" i="23"/>
  <c r="H641" i="23" s="1"/>
  <c r="I641" i="23" s="1"/>
  <c r="J641" i="23" s="1"/>
  <c r="K641" i="23" s="1"/>
  <c r="AA10" i="19"/>
  <c r="F633" i="23"/>
  <c r="H633" i="23" s="1"/>
  <c r="I633" i="23" s="1"/>
  <c r="J633" i="23" s="1"/>
  <c r="K633" i="23" s="1"/>
  <c r="AA77" i="19"/>
  <c r="F700" i="23"/>
  <c r="H700" i="23" s="1"/>
  <c r="I700" i="23" s="1"/>
  <c r="J700" i="23" s="1"/>
  <c r="K700" i="23" s="1"/>
  <c r="AA29" i="19"/>
  <c r="F652" i="23"/>
  <c r="H652" i="23" s="1"/>
  <c r="I652" i="23" s="1"/>
  <c r="J652" i="23" s="1"/>
  <c r="K652" i="23" s="1"/>
  <c r="AA105" i="19"/>
  <c r="F728" i="23"/>
  <c r="H728" i="23" s="1"/>
  <c r="AA97" i="19"/>
  <c r="F720" i="23"/>
  <c r="H720" i="23" s="1"/>
  <c r="AA89" i="19"/>
  <c r="F712" i="23"/>
  <c r="H712" i="23" s="1"/>
  <c r="I712" i="23" s="1"/>
  <c r="J712" i="23" s="1"/>
  <c r="K712" i="23" s="1"/>
  <c r="AA81" i="19"/>
  <c r="F704" i="23"/>
  <c r="H704" i="23" s="1"/>
  <c r="I704" i="23" s="1"/>
  <c r="J704" i="23" s="1"/>
  <c r="K704" i="23" s="1"/>
  <c r="AA73" i="19"/>
  <c r="F696" i="23"/>
  <c r="H696" i="23" s="1"/>
  <c r="AA65" i="19"/>
  <c r="F688" i="23"/>
  <c r="H688" i="23" s="1"/>
  <c r="AA57" i="19"/>
  <c r="F680" i="23"/>
  <c r="H680" i="23" s="1"/>
  <c r="I680" i="23" s="1"/>
  <c r="J680" i="23" s="1"/>
  <c r="K680" i="23" s="1"/>
  <c r="AA49" i="19"/>
  <c r="F672" i="23"/>
  <c r="H672" i="23" s="1"/>
  <c r="I672" i="23" s="1"/>
  <c r="J672" i="23" s="1"/>
  <c r="K672" i="23" s="1"/>
  <c r="AA41" i="19"/>
  <c r="F664" i="23"/>
  <c r="H664" i="23" s="1"/>
  <c r="AA33" i="19"/>
  <c r="F656" i="23"/>
  <c r="H656" i="23" s="1"/>
  <c r="I656" i="23" s="1"/>
  <c r="J656" i="23" s="1"/>
  <c r="K656" i="23" s="1"/>
  <c r="AA25" i="19"/>
  <c r="F648" i="23"/>
  <c r="H648" i="23" s="1"/>
  <c r="AA17" i="19"/>
  <c r="F640" i="23"/>
  <c r="H640" i="23" s="1"/>
  <c r="I640" i="23" s="1"/>
  <c r="J640" i="23" s="1"/>
  <c r="K640" i="23" s="1"/>
  <c r="AA9" i="19"/>
  <c r="F632" i="23"/>
  <c r="H632" i="23" s="1"/>
  <c r="I632" i="23" s="1"/>
  <c r="J632" i="23" s="1"/>
  <c r="K632" i="23" s="1"/>
  <c r="AA93" i="19"/>
  <c r="F716" i="23"/>
  <c r="H716" i="23" s="1"/>
  <c r="I716" i="23" s="1"/>
  <c r="J716" i="23" s="1"/>
  <c r="K716" i="23" s="1"/>
  <c r="AA37" i="19"/>
  <c r="F660" i="23"/>
  <c r="H660" i="23" s="1"/>
  <c r="I660" i="23" s="1"/>
  <c r="J660" i="23" s="1"/>
  <c r="K660" i="23" s="1"/>
  <c r="AA104" i="19"/>
  <c r="F727" i="23"/>
  <c r="H727" i="23" s="1"/>
  <c r="AA96" i="19"/>
  <c r="F719" i="23"/>
  <c r="H719" i="23" s="1"/>
  <c r="AA88" i="19"/>
  <c r="F711" i="23"/>
  <c r="H711" i="23" s="1"/>
  <c r="I711" i="23" s="1"/>
  <c r="J711" i="23" s="1"/>
  <c r="K711" i="23" s="1"/>
  <c r="AA80" i="19"/>
  <c r="F703" i="23"/>
  <c r="H703" i="23" s="1"/>
  <c r="AA72" i="19"/>
  <c r="F695" i="23"/>
  <c r="H695" i="23" s="1"/>
  <c r="AA64" i="19"/>
  <c r="F687" i="23"/>
  <c r="H687" i="23" s="1"/>
  <c r="AA56" i="19"/>
  <c r="F679" i="23"/>
  <c r="H679" i="23" s="1"/>
  <c r="AA48" i="19"/>
  <c r="F671" i="23"/>
  <c r="H671" i="23" s="1"/>
  <c r="AA40" i="19"/>
  <c r="F663" i="23"/>
  <c r="H663" i="23" s="1"/>
  <c r="AA32" i="19"/>
  <c r="F655" i="23"/>
  <c r="H655" i="23" s="1"/>
  <c r="AA24" i="19"/>
  <c r="F647" i="23"/>
  <c r="H647" i="23" s="1"/>
  <c r="AA16" i="19"/>
  <c r="F639" i="23"/>
  <c r="H639" i="23" s="1"/>
  <c r="AA8" i="19"/>
  <c r="F631" i="23"/>
  <c r="H631" i="23" s="1"/>
  <c r="AA109" i="19"/>
  <c r="F732" i="23"/>
  <c r="H732" i="23" s="1"/>
  <c r="I732" i="23" s="1"/>
  <c r="J732" i="23" s="1"/>
  <c r="K732" i="23" s="1"/>
  <c r="AA61" i="19"/>
  <c r="F684" i="23"/>
  <c r="H684" i="23" s="1"/>
  <c r="AA103" i="19"/>
  <c r="F726" i="23"/>
  <c r="H726" i="23" s="1"/>
  <c r="I726" i="23" s="1"/>
  <c r="J726" i="23" s="1"/>
  <c r="K726" i="23" s="1"/>
  <c r="AA95" i="19"/>
  <c r="F718" i="23"/>
  <c r="H718" i="23" s="1"/>
  <c r="I718" i="23" s="1"/>
  <c r="J718" i="23" s="1"/>
  <c r="K718" i="23" s="1"/>
  <c r="AA87" i="19"/>
  <c r="F710" i="23"/>
  <c r="H710" i="23" s="1"/>
  <c r="AA79" i="19"/>
  <c r="F702" i="23"/>
  <c r="H702" i="23" s="1"/>
  <c r="AA71" i="19"/>
  <c r="F694" i="23"/>
  <c r="H694" i="23" s="1"/>
  <c r="AA63" i="19"/>
  <c r="F686" i="23"/>
  <c r="H686" i="23" s="1"/>
  <c r="I686" i="23" s="1"/>
  <c r="J686" i="23" s="1"/>
  <c r="K686" i="23" s="1"/>
  <c r="AA55" i="19"/>
  <c r="F678" i="23"/>
  <c r="H678" i="23" s="1"/>
  <c r="I678" i="23" s="1"/>
  <c r="J678" i="23" s="1"/>
  <c r="K678" i="23" s="1"/>
  <c r="AA47" i="19"/>
  <c r="F670" i="23"/>
  <c r="H670" i="23" s="1"/>
  <c r="I670" i="23" s="1"/>
  <c r="J670" i="23" s="1"/>
  <c r="K670" i="23" s="1"/>
  <c r="AA39" i="19"/>
  <c r="F662" i="23"/>
  <c r="H662" i="23" s="1"/>
  <c r="AA31" i="19"/>
  <c r="F654" i="23"/>
  <c r="H654" i="23" s="1"/>
  <c r="I654" i="23" s="1"/>
  <c r="J654" i="23" s="1"/>
  <c r="K654" i="23" s="1"/>
  <c r="AA23" i="19"/>
  <c r="F646" i="23"/>
  <c r="H646" i="23" s="1"/>
  <c r="I646" i="23" s="1"/>
  <c r="J646" i="23" s="1"/>
  <c r="K646" i="23" s="1"/>
  <c r="AA15" i="19"/>
  <c r="F638" i="23"/>
  <c r="H638" i="23" s="1"/>
  <c r="AA7" i="19"/>
  <c r="F630" i="23"/>
  <c r="H630" i="23" s="1"/>
  <c r="X102" i="19"/>
  <c r="F621" i="23"/>
  <c r="H621" i="23" s="1"/>
  <c r="X94" i="19"/>
  <c r="F613" i="23"/>
  <c r="H613" i="23" s="1"/>
  <c r="X86" i="19"/>
  <c r="F605" i="23"/>
  <c r="H605" i="23" s="1"/>
  <c r="I605" i="23" s="1"/>
  <c r="J605" i="23" s="1"/>
  <c r="K605" i="23" s="1"/>
  <c r="X78" i="19"/>
  <c r="F597" i="23"/>
  <c r="H597" i="23" s="1"/>
  <c r="I597" i="23" s="1"/>
  <c r="J597" i="23" s="1"/>
  <c r="K597" i="23" s="1"/>
  <c r="X70" i="19"/>
  <c r="F589" i="23"/>
  <c r="H589" i="23" s="1"/>
  <c r="X62" i="19"/>
  <c r="F581" i="23"/>
  <c r="H581" i="23" s="1"/>
  <c r="X54" i="19"/>
  <c r="F573" i="23"/>
  <c r="H573" i="23" s="1"/>
  <c r="X46" i="19"/>
  <c r="F565" i="23"/>
  <c r="H565" i="23" s="1"/>
  <c r="I565" i="23" s="1"/>
  <c r="J565" i="23" s="1"/>
  <c r="K565" i="23" s="1"/>
  <c r="X38" i="19"/>
  <c r="F557" i="23"/>
  <c r="H557" i="23" s="1"/>
  <c r="X30" i="19"/>
  <c r="F549" i="23"/>
  <c r="H549" i="23" s="1"/>
  <c r="I549" i="23" s="1"/>
  <c r="J549" i="23" s="1"/>
  <c r="K549" i="23" s="1"/>
  <c r="X22" i="19"/>
  <c r="F541" i="23"/>
  <c r="H541" i="23" s="1"/>
  <c r="X14" i="19"/>
  <c r="F533" i="23"/>
  <c r="H533" i="23" s="1"/>
  <c r="I533" i="23" s="1"/>
  <c r="J533" i="23" s="1"/>
  <c r="K533" i="23" s="1"/>
  <c r="X109" i="19"/>
  <c r="F628" i="23"/>
  <c r="H628" i="23" s="1"/>
  <c r="I628" i="23" s="1"/>
  <c r="J628" i="23" s="1"/>
  <c r="K628" i="23" s="1"/>
  <c r="X101" i="19"/>
  <c r="F620" i="23"/>
  <c r="H620" i="23" s="1"/>
  <c r="X93" i="19"/>
  <c r="F612" i="23"/>
  <c r="H612" i="23" s="1"/>
  <c r="X85" i="19"/>
  <c r="F604" i="23"/>
  <c r="H604" i="23" s="1"/>
  <c r="X77" i="19"/>
  <c r="F596" i="23"/>
  <c r="H596" i="23" s="1"/>
  <c r="X69" i="19"/>
  <c r="F588" i="23"/>
  <c r="H588" i="23" s="1"/>
  <c r="X61" i="19"/>
  <c r="F580" i="23"/>
  <c r="H580" i="23" s="1"/>
  <c r="I580" i="23" s="1"/>
  <c r="J580" i="23" s="1"/>
  <c r="K580" i="23" s="1"/>
  <c r="X53" i="19"/>
  <c r="F572" i="23"/>
  <c r="H572" i="23" s="1"/>
  <c r="X45" i="19"/>
  <c r="F564" i="23"/>
  <c r="H564" i="23" s="1"/>
  <c r="I564" i="23" s="1"/>
  <c r="J564" i="23" s="1"/>
  <c r="K564" i="23" s="1"/>
  <c r="X37" i="19"/>
  <c r="F556" i="23"/>
  <c r="H556" i="23" s="1"/>
  <c r="X29" i="19"/>
  <c r="F548" i="23"/>
  <c r="H548" i="23" s="1"/>
  <c r="I548" i="23" s="1"/>
  <c r="J548" i="23" s="1"/>
  <c r="K548" i="23" s="1"/>
  <c r="X21" i="19"/>
  <c r="F540" i="23"/>
  <c r="H540" i="23" s="1"/>
  <c r="X13" i="19"/>
  <c r="F532" i="23"/>
  <c r="H532" i="23" s="1"/>
  <c r="I532" i="23" s="1"/>
  <c r="J532" i="23" s="1"/>
  <c r="K532" i="23" s="1"/>
  <c r="X108" i="19"/>
  <c r="F627" i="23"/>
  <c r="H627" i="23" s="1"/>
  <c r="X100" i="19"/>
  <c r="F619" i="23"/>
  <c r="H619" i="23" s="1"/>
  <c r="X92" i="19"/>
  <c r="F611" i="23"/>
  <c r="H611" i="23" s="1"/>
  <c r="X84" i="19"/>
  <c r="F603" i="23"/>
  <c r="H603" i="23" s="1"/>
  <c r="X76" i="19"/>
  <c r="F595" i="23"/>
  <c r="H595" i="23" s="1"/>
  <c r="X68" i="19"/>
  <c r="F587" i="23"/>
  <c r="H587" i="23" s="1"/>
  <c r="X60" i="19"/>
  <c r="F579" i="23"/>
  <c r="H579" i="23" s="1"/>
  <c r="X52" i="19"/>
  <c r="F571" i="23"/>
  <c r="H571" i="23" s="1"/>
  <c r="X44" i="19"/>
  <c r="F563" i="23"/>
  <c r="H563" i="23" s="1"/>
  <c r="I563" i="23" s="1"/>
  <c r="J563" i="23" s="1"/>
  <c r="K563" i="23" s="1"/>
  <c r="X36" i="19"/>
  <c r="F555" i="23"/>
  <c r="H555" i="23" s="1"/>
  <c r="X28" i="19"/>
  <c r="F547" i="23"/>
  <c r="H547" i="23" s="1"/>
  <c r="I547" i="23" s="1"/>
  <c r="J547" i="23" s="1"/>
  <c r="K547" i="23" s="1"/>
  <c r="X20" i="19"/>
  <c r="F539" i="23"/>
  <c r="H539" i="23" s="1"/>
  <c r="X12" i="19"/>
  <c r="F531" i="23"/>
  <c r="H531" i="23" s="1"/>
  <c r="I531" i="23" s="1"/>
  <c r="J531" i="23" s="1"/>
  <c r="K531" i="23" s="1"/>
  <c r="X107" i="19"/>
  <c r="F626" i="23"/>
  <c r="H626" i="23" s="1"/>
  <c r="I626" i="23" s="1"/>
  <c r="J626" i="23" s="1"/>
  <c r="K626" i="23" s="1"/>
  <c r="X99" i="19"/>
  <c r="F618" i="23"/>
  <c r="H618" i="23" s="1"/>
  <c r="X91" i="19"/>
  <c r="F610" i="23"/>
  <c r="H610" i="23" s="1"/>
  <c r="X83" i="19"/>
  <c r="F602" i="23"/>
  <c r="H602" i="23" s="1"/>
  <c r="I602" i="23" s="1"/>
  <c r="J602" i="23" s="1"/>
  <c r="K602" i="23" s="1"/>
  <c r="X75" i="19"/>
  <c r="F594" i="23"/>
  <c r="H594" i="23" s="1"/>
  <c r="X67" i="19"/>
  <c r="F586" i="23"/>
  <c r="H586" i="23" s="1"/>
  <c r="X59" i="19"/>
  <c r="F578" i="23"/>
  <c r="H578" i="23" s="1"/>
  <c r="X51" i="19"/>
  <c r="F570" i="23"/>
  <c r="H570" i="23" s="1"/>
  <c r="X43" i="19"/>
  <c r="F562" i="23"/>
  <c r="H562" i="23" s="1"/>
  <c r="I562" i="23" s="1"/>
  <c r="J562" i="23" s="1"/>
  <c r="K562" i="23" s="1"/>
  <c r="X35" i="19"/>
  <c r="F554" i="23"/>
  <c r="H554" i="23" s="1"/>
  <c r="X27" i="19"/>
  <c r="F546" i="23"/>
  <c r="H546" i="23" s="1"/>
  <c r="I546" i="23" s="1"/>
  <c r="J546" i="23" s="1"/>
  <c r="K546" i="23" s="1"/>
  <c r="X19" i="19"/>
  <c r="F538" i="23"/>
  <c r="H538" i="23" s="1"/>
  <c r="X11" i="19"/>
  <c r="F530" i="23"/>
  <c r="H530" i="23" s="1"/>
  <c r="I530" i="23" s="1"/>
  <c r="J530" i="23" s="1"/>
  <c r="K530" i="23" s="1"/>
  <c r="X106" i="19"/>
  <c r="F625" i="23"/>
  <c r="H625" i="23" s="1"/>
  <c r="I625" i="23" s="1"/>
  <c r="J625" i="23" s="1"/>
  <c r="K625" i="23" s="1"/>
  <c r="X98" i="19"/>
  <c r="F617" i="23"/>
  <c r="H617" i="23" s="1"/>
  <c r="I617" i="23" s="1"/>
  <c r="J617" i="23" s="1"/>
  <c r="K617" i="23" s="1"/>
  <c r="X90" i="19"/>
  <c r="F609" i="23"/>
  <c r="H609" i="23" s="1"/>
  <c r="I609" i="23" s="1"/>
  <c r="J609" i="23" s="1"/>
  <c r="K609" i="23" s="1"/>
  <c r="X82" i="19"/>
  <c r="F601" i="23"/>
  <c r="H601" i="23" s="1"/>
  <c r="I601" i="23" s="1"/>
  <c r="J601" i="23" s="1"/>
  <c r="K601" i="23" s="1"/>
  <c r="X74" i="19"/>
  <c r="F593" i="23"/>
  <c r="H593" i="23" s="1"/>
  <c r="I593" i="23" s="1"/>
  <c r="J593" i="23" s="1"/>
  <c r="K593" i="23" s="1"/>
  <c r="X66" i="19"/>
  <c r="F585" i="23"/>
  <c r="H585" i="23" s="1"/>
  <c r="I585" i="23" s="1"/>
  <c r="J585" i="23" s="1"/>
  <c r="K585" i="23" s="1"/>
  <c r="X58" i="19"/>
  <c r="F577" i="23"/>
  <c r="H577" i="23" s="1"/>
  <c r="I577" i="23" s="1"/>
  <c r="J577" i="23" s="1"/>
  <c r="K577" i="23" s="1"/>
  <c r="X50" i="19"/>
  <c r="F569" i="23"/>
  <c r="H569" i="23" s="1"/>
  <c r="X42" i="19"/>
  <c r="F561" i="23"/>
  <c r="H561" i="23" s="1"/>
  <c r="X34" i="19"/>
  <c r="F553" i="23"/>
  <c r="H553" i="23" s="1"/>
  <c r="I553" i="23" s="1"/>
  <c r="J553" i="23" s="1"/>
  <c r="K553" i="23" s="1"/>
  <c r="X26" i="19"/>
  <c r="F545" i="23"/>
  <c r="H545" i="23" s="1"/>
  <c r="I545" i="23" s="1"/>
  <c r="J545" i="23" s="1"/>
  <c r="K545" i="23" s="1"/>
  <c r="X18" i="19"/>
  <c r="F537" i="23"/>
  <c r="H537" i="23" s="1"/>
  <c r="X10" i="19"/>
  <c r="F529" i="23"/>
  <c r="H529" i="23" s="1"/>
  <c r="X105" i="19"/>
  <c r="F624" i="23"/>
  <c r="H624" i="23" s="1"/>
  <c r="X97" i="19"/>
  <c r="F616" i="23"/>
  <c r="H616" i="23" s="1"/>
  <c r="I616" i="23" s="1"/>
  <c r="J616" i="23" s="1"/>
  <c r="K616" i="23" s="1"/>
  <c r="X89" i="19"/>
  <c r="F608" i="23"/>
  <c r="H608" i="23" s="1"/>
  <c r="I608" i="23" s="1"/>
  <c r="J608" i="23" s="1"/>
  <c r="K608" i="23" s="1"/>
  <c r="X81" i="19"/>
  <c r="F600" i="23"/>
  <c r="H600" i="23" s="1"/>
  <c r="I600" i="23" s="1"/>
  <c r="J600" i="23" s="1"/>
  <c r="K600" i="23" s="1"/>
  <c r="X73" i="19"/>
  <c r="F592" i="23"/>
  <c r="H592" i="23" s="1"/>
  <c r="I592" i="23" s="1"/>
  <c r="J592" i="23" s="1"/>
  <c r="K592" i="23" s="1"/>
  <c r="X65" i="19"/>
  <c r="F584" i="23"/>
  <c r="H584" i="23" s="1"/>
  <c r="I584" i="23" s="1"/>
  <c r="J584" i="23" s="1"/>
  <c r="K584" i="23" s="1"/>
  <c r="X57" i="19"/>
  <c r="F576" i="23"/>
  <c r="H576" i="23" s="1"/>
  <c r="X49" i="19"/>
  <c r="F568" i="23"/>
  <c r="H568" i="23" s="1"/>
  <c r="I568" i="23" s="1"/>
  <c r="J568" i="23" s="1"/>
  <c r="K568" i="23" s="1"/>
  <c r="X41" i="19"/>
  <c r="F560" i="23"/>
  <c r="H560" i="23" s="1"/>
  <c r="X33" i="19"/>
  <c r="F552" i="23"/>
  <c r="H552" i="23" s="1"/>
  <c r="I552" i="23" s="1"/>
  <c r="J552" i="23" s="1"/>
  <c r="K552" i="23" s="1"/>
  <c r="X25" i="19"/>
  <c r="F544" i="23"/>
  <c r="H544" i="23" s="1"/>
  <c r="X17" i="19"/>
  <c r="F536" i="23"/>
  <c r="H536" i="23" s="1"/>
  <c r="I536" i="23" s="1"/>
  <c r="J536" i="23" s="1"/>
  <c r="K536" i="23" s="1"/>
  <c r="X9" i="19"/>
  <c r="F528" i="23"/>
  <c r="H528" i="23" s="1"/>
  <c r="X104" i="19"/>
  <c r="F623" i="23"/>
  <c r="H623" i="23" s="1"/>
  <c r="X96" i="19"/>
  <c r="F615" i="23"/>
  <c r="H615" i="23" s="1"/>
  <c r="X88" i="19"/>
  <c r="F607" i="23"/>
  <c r="H607" i="23" s="1"/>
  <c r="X80" i="19"/>
  <c r="F599" i="23"/>
  <c r="H599" i="23" s="1"/>
  <c r="X72" i="19"/>
  <c r="F591" i="23"/>
  <c r="H591" i="23" s="1"/>
  <c r="X64" i="19"/>
  <c r="F583" i="23"/>
  <c r="H583" i="23" s="1"/>
  <c r="X56" i="19"/>
  <c r="F575" i="23"/>
  <c r="H575" i="23" s="1"/>
  <c r="X48" i="19"/>
  <c r="F567" i="23"/>
  <c r="H567" i="23" s="1"/>
  <c r="I567" i="23" s="1"/>
  <c r="J567" i="23" s="1"/>
  <c r="K567" i="23" s="1"/>
  <c r="X40" i="19"/>
  <c r="F559" i="23"/>
  <c r="H559" i="23" s="1"/>
  <c r="X32" i="19"/>
  <c r="F551" i="23"/>
  <c r="H551" i="23" s="1"/>
  <c r="I551" i="23" s="1"/>
  <c r="J551" i="23" s="1"/>
  <c r="K551" i="23" s="1"/>
  <c r="X24" i="19"/>
  <c r="F543" i="23"/>
  <c r="H543" i="23" s="1"/>
  <c r="X16" i="19"/>
  <c r="F535" i="23"/>
  <c r="H535" i="23" s="1"/>
  <c r="I535" i="23" s="1"/>
  <c r="J535" i="23" s="1"/>
  <c r="K535" i="23" s="1"/>
  <c r="X8" i="19"/>
  <c r="F527" i="23"/>
  <c r="H527" i="23" s="1"/>
  <c r="X103" i="19"/>
  <c r="F622" i="23"/>
  <c r="H622" i="23" s="1"/>
  <c r="I622" i="23" s="1"/>
  <c r="J622" i="23" s="1"/>
  <c r="K622" i="23" s="1"/>
  <c r="X95" i="19"/>
  <c r="F614" i="23"/>
  <c r="H614" i="23" s="1"/>
  <c r="I614" i="23" s="1"/>
  <c r="J614" i="23" s="1"/>
  <c r="K614" i="23" s="1"/>
  <c r="X87" i="19"/>
  <c r="F606" i="23"/>
  <c r="H606" i="23" s="1"/>
  <c r="X79" i="19"/>
  <c r="F598" i="23"/>
  <c r="H598" i="23" s="1"/>
  <c r="X71" i="19"/>
  <c r="F590" i="23"/>
  <c r="H590" i="23" s="1"/>
  <c r="I590" i="23" s="1"/>
  <c r="J590" i="23" s="1"/>
  <c r="K590" i="23" s="1"/>
  <c r="X63" i="19"/>
  <c r="F582" i="23"/>
  <c r="H582" i="23" s="1"/>
  <c r="X55" i="19"/>
  <c r="F574" i="23"/>
  <c r="H574" i="23" s="1"/>
  <c r="X47" i="19"/>
  <c r="F566" i="23"/>
  <c r="H566" i="23" s="1"/>
  <c r="X39" i="19"/>
  <c r="F558" i="23"/>
  <c r="H558" i="23" s="1"/>
  <c r="X31" i="19"/>
  <c r="F550" i="23"/>
  <c r="H550" i="23" s="1"/>
  <c r="X23" i="19"/>
  <c r="F542" i="23"/>
  <c r="H542" i="23" s="1"/>
  <c r="X15" i="19"/>
  <c r="F534" i="23"/>
  <c r="H534" i="23" s="1"/>
  <c r="X7" i="19"/>
  <c r="F526" i="23"/>
  <c r="H526" i="23" s="1"/>
  <c r="U102" i="19"/>
  <c r="F517" i="23"/>
  <c r="H517" i="23" s="1"/>
  <c r="I517" i="23" s="1"/>
  <c r="J517" i="23" s="1"/>
  <c r="K517" i="23" s="1"/>
  <c r="U94" i="19"/>
  <c r="F509" i="23"/>
  <c r="H509" i="23" s="1"/>
  <c r="U86" i="19"/>
  <c r="F501" i="23"/>
  <c r="H501" i="23" s="1"/>
  <c r="I501" i="23" s="1"/>
  <c r="J501" i="23" s="1"/>
  <c r="K501" i="23" s="1"/>
  <c r="U78" i="19"/>
  <c r="F493" i="23"/>
  <c r="H493" i="23" s="1"/>
  <c r="U70" i="19"/>
  <c r="F485" i="23"/>
  <c r="H485" i="23" s="1"/>
  <c r="I485" i="23" s="1"/>
  <c r="J485" i="23" s="1"/>
  <c r="K485" i="23" s="1"/>
  <c r="U62" i="19"/>
  <c r="F477" i="23"/>
  <c r="H477" i="23" s="1"/>
  <c r="U46" i="19"/>
  <c r="F461" i="23"/>
  <c r="H461" i="23" s="1"/>
  <c r="U38" i="19"/>
  <c r="F453" i="23"/>
  <c r="H453" i="23" s="1"/>
  <c r="I453" i="23" s="1"/>
  <c r="J453" i="23" s="1"/>
  <c r="K453" i="23" s="1"/>
  <c r="U30" i="19"/>
  <c r="F445" i="23"/>
  <c r="H445" i="23" s="1"/>
  <c r="I445" i="23" s="1"/>
  <c r="J445" i="23" s="1"/>
  <c r="K445" i="23" s="1"/>
  <c r="U22" i="19"/>
  <c r="F437" i="23"/>
  <c r="H437" i="23" s="1"/>
  <c r="U14" i="19"/>
  <c r="F429" i="23"/>
  <c r="H429" i="23" s="1"/>
  <c r="U109" i="19"/>
  <c r="F524" i="23"/>
  <c r="H524" i="23" s="1"/>
  <c r="U101" i="19"/>
  <c r="F516" i="23"/>
  <c r="H516" i="23" s="1"/>
  <c r="I516" i="23" s="1"/>
  <c r="J516" i="23" s="1"/>
  <c r="K516" i="23" s="1"/>
  <c r="U93" i="19"/>
  <c r="F508" i="23"/>
  <c r="H508" i="23" s="1"/>
  <c r="U85" i="19"/>
  <c r="F500" i="23"/>
  <c r="H500" i="23" s="1"/>
  <c r="I500" i="23" s="1"/>
  <c r="J500" i="23" s="1"/>
  <c r="K500" i="23" s="1"/>
  <c r="U69" i="19"/>
  <c r="F484" i="23"/>
  <c r="H484" i="23" s="1"/>
  <c r="I484" i="23" s="1"/>
  <c r="J484" i="23" s="1"/>
  <c r="K484" i="23" s="1"/>
  <c r="U61" i="19"/>
  <c r="F476" i="23"/>
  <c r="H476" i="23" s="1"/>
  <c r="U53" i="19"/>
  <c r="F468" i="23"/>
  <c r="H468" i="23" s="1"/>
  <c r="I468" i="23" s="1"/>
  <c r="J468" i="23" s="1"/>
  <c r="K468" i="23" s="1"/>
  <c r="U45" i="19"/>
  <c r="F460" i="23"/>
  <c r="H460" i="23" s="1"/>
  <c r="U37" i="19"/>
  <c r="F452" i="23"/>
  <c r="H452" i="23" s="1"/>
  <c r="I452" i="23" s="1"/>
  <c r="J452" i="23" s="1"/>
  <c r="K452" i="23" s="1"/>
  <c r="U29" i="19"/>
  <c r="F444" i="23"/>
  <c r="H444" i="23" s="1"/>
  <c r="U21" i="19"/>
  <c r="F436" i="23"/>
  <c r="H436" i="23" s="1"/>
  <c r="I436" i="23" s="1"/>
  <c r="J436" i="23" s="1"/>
  <c r="K436" i="23" s="1"/>
  <c r="U13" i="19"/>
  <c r="F428" i="23"/>
  <c r="H428" i="23" s="1"/>
  <c r="I428" i="23" s="1"/>
  <c r="J428" i="23" s="1"/>
  <c r="K428" i="23" s="1"/>
  <c r="U108" i="19"/>
  <c r="F523" i="23"/>
  <c r="H523" i="23" s="1"/>
  <c r="U100" i="19"/>
  <c r="F515" i="23"/>
  <c r="H515" i="23" s="1"/>
  <c r="I515" i="23" s="1"/>
  <c r="J515" i="23" s="1"/>
  <c r="K515" i="23" s="1"/>
  <c r="U92" i="19"/>
  <c r="F507" i="23"/>
  <c r="H507" i="23" s="1"/>
  <c r="U84" i="19"/>
  <c r="F499" i="23"/>
  <c r="H499" i="23" s="1"/>
  <c r="I499" i="23" s="1"/>
  <c r="J499" i="23" s="1"/>
  <c r="K499" i="23" s="1"/>
  <c r="U76" i="19"/>
  <c r="F491" i="23"/>
  <c r="H491" i="23" s="1"/>
  <c r="U68" i="19"/>
  <c r="F483" i="23"/>
  <c r="H483" i="23" s="1"/>
  <c r="I483" i="23" s="1"/>
  <c r="J483" i="23" s="1"/>
  <c r="K483" i="23" s="1"/>
  <c r="U60" i="19"/>
  <c r="F475" i="23"/>
  <c r="H475" i="23" s="1"/>
  <c r="U52" i="19"/>
  <c r="F467" i="23"/>
  <c r="H467" i="23" s="1"/>
  <c r="I467" i="23" s="1"/>
  <c r="J467" i="23" s="1"/>
  <c r="K467" i="23" s="1"/>
  <c r="U44" i="19"/>
  <c r="F459" i="23"/>
  <c r="H459" i="23" s="1"/>
  <c r="U36" i="19"/>
  <c r="F451" i="23"/>
  <c r="H451" i="23" s="1"/>
  <c r="I451" i="23" s="1"/>
  <c r="J451" i="23" s="1"/>
  <c r="K451" i="23" s="1"/>
  <c r="U28" i="19"/>
  <c r="F443" i="23"/>
  <c r="H443" i="23" s="1"/>
  <c r="U20" i="19"/>
  <c r="F435" i="23"/>
  <c r="H435" i="23" s="1"/>
  <c r="U12" i="19"/>
  <c r="F427" i="23"/>
  <c r="H427" i="23" s="1"/>
  <c r="U107" i="19"/>
  <c r="F522" i="23"/>
  <c r="H522" i="23" s="1"/>
  <c r="I522" i="23" s="1"/>
  <c r="J522" i="23" s="1"/>
  <c r="K522" i="23" s="1"/>
  <c r="U99" i="19"/>
  <c r="F514" i="23"/>
  <c r="H514" i="23" s="1"/>
  <c r="I514" i="23" s="1"/>
  <c r="J514" i="23" s="1"/>
  <c r="K514" i="23" s="1"/>
  <c r="U91" i="19"/>
  <c r="F506" i="23"/>
  <c r="H506" i="23" s="1"/>
  <c r="I506" i="23" s="1"/>
  <c r="J506" i="23" s="1"/>
  <c r="K506" i="23" s="1"/>
  <c r="U83" i="19"/>
  <c r="F498" i="23"/>
  <c r="H498" i="23" s="1"/>
  <c r="I498" i="23" s="1"/>
  <c r="J498" i="23" s="1"/>
  <c r="K498" i="23" s="1"/>
  <c r="U75" i="19"/>
  <c r="F490" i="23"/>
  <c r="H490" i="23" s="1"/>
  <c r="I490" i="23" s="1"/>
  <c r="J490" i="23" s="1"/>
  <c r="K490" i="23" s="1"/>
  <c r="U67" i="19"/>
  <c r="F482" i="23"/>
  <c r="H482" i="23" s="1"/>
  <c r="I482" i="23" s="1"/>
  <c r="J482" i="23" s="1"/>
  <c r="K482" i="23" s="1"/>
  <c r="U59" i="19"/>
  <c r="F474" i="23"/>
  <c r="H474" i="23" s="1"/>
  <c r="I474" i="23" s="1"/>
  <c r="J474" i="23" s="1"/>
  <c r="K474" i="23" s="1"/>
  <c r="U51" i="19"/>
  <c r="F466" i="23"/>
  <c r="H466" i="23" s="1"/>
  <c r="I466" i="23" s="1"/>
  <c r="J466" i="23" s="1"/>
  <c r="K466" i="23" s="1"/>
  <c r="U43" i="19"/>
  <c r="F458" i="23"/>
  <c r="H458" i="23" s="1"/>
  <c r="I458" i="23" s="1"/>
  <c r="J458" i="23" s="1"/>
  <c r="K458" i="23" s="1"/>
  <c r="U35" i="19"/>
  <c r="F450" i="23"/>
  <c r="H450" i="23" s="1"/>
  <c r="I450" i="23" s="1"/>
  <c r="J450" i="23" s="1"/>
  <c r="K450" i="23" s="1"/>
  <c r="U27" i="19"/>
  <c r="F442" i="23"/>
  <c r="H442" i="23" s="1"/>
  <c r="U19" i="19"/>
  <c r="F434" i="23"/>
  <c r="H434" i="23" s="1"/>
  <c r="U11" i="19"/>
  <c r="F426" i="23"/>
  <c r="H426" i="23" s="1"/>
  <c r="U106" i="19"/>
  <c r="F521" i="23"/>
  <c r="H521" i="23" s="1"/>
  <c r="I521" i="23" s="1"/>
  <c r="J521" i="23" s="1"/>
  <c r="K521" i="23" s="1"/>
  <c r="U98" i="19"/>
  <c r="F513" i="23"/>
  <c r="H513" i="23" s="1"/>
  <c r="U90" i="19"/>
  <c r="F505" i="23"/>
  <c r="H505" i="23" s="1"/>
  <c r="U82" i="19"/>
  <c r="F497" i="23"/>
  <c r="H497" i="23" s="1"/>
  <c r="I497" i="23" s="1"/>
  <c r="J497" i="23" s="1"/>
  <c r="K497" i="23" s="1"/>
  <c r="U74" i="19"/>
  <c r="F489" i="23"/>
  <c r="H489" i="23" s="1"/>
  <c r="U66" i="19"/>
  <c r="F481" i="23"/>
  <c r="H481" i="23" s="1"/>
  <c r="I481" i="23" s="1"/>
  <c r="J481" i="23" s="1"/>
  <c r="K481" i="23" s="1"/>
  <c r="U58" i="19"/>
  <c r="F473" i="23"/>
  <c r="H473" i="23" s="1"/>
  <c r="I473" i="23" s="1"/>
  <c r="J473" i="23" s="1"/>
  <c r="K473" i="23" s="1"/>
  <c r="U50" i="19"/>
  <c r="F465" i="23"/>
  <c r="H465" i="23" s="1"/>
  <c r="U42" i="19"/>
  <c r="F457" i="23"/>
  <c r="H457" i="23" s="1"/>
  <c r="I457" i="23" s="1"/>
  <c r="J457" i="23" s="1"/>
  <c r="K457" i="23" s="1"/>
  <c r="U34" i="19"/>
  <c r="F449" i="23"/>
  <c r="H449" i="23" s="1"/>
  <c r="I449" i="23" s="1"/>
  <c r="J449" i="23" s="1"/>
  <c r="K449" i="23" s="1"/>
  <c r="U26" i="19"/>
  <c r="F441" i="23"/>
  <c r="H441" i="23" s="1"/>
  <c r="U18" i="19"/>
  <c r="F433" i="23"/>
  <c r="H433" i="23" s="1"/>
  <c r="U10" i="19"/>
  <c r="F425" i="23"/>
  <c r="H425" i="23" s="1"/>
  <c r="U105" i="19"/>
  <c r="F520" i="23"/>
  <c r="H520" i="23" s="1"/>
  <c r="I520" i="23" s="1"/>
  <c r="J520" i="23" s="1"/>
  <c r="K520" i="23" s="1"/>
  <c r="U97" i="19"/>
  <c r="F512" i="23"/>
  <c r="H512" i="23" s="1"/>
  <c r="U89" i="19"/>
  <c r="F504" i="23"/>
  <c r="H504" i="23" s="1"/>
  <c r="I504" i="23" s="1"/>
  <c r="J504" i="23" s="1"/>
  <c r="K504" i="23" s="1"/>
  <c r="U81" i="19"/>
  <c r="F496" i="23"/>
  <c r="H496" i="23" s="1"/>
  <c r="U73" i="19"/>
  <c r="F488" i="23"/>
  <c r="H488" i="23" s="1"/>
  <c r="I488" i="23" s="1"/>
  <c r="J488" i="23" s="1"/>
  <c r="K488" i="23" s="1"/>
  <c r="U65" i="19"/>
  <c r="F480" i="23"/>
  <c r="H480" i="23" s="1"/>
  <c r="U57" i="19"/>
  <c r="F472" i="23"/>
  <c r="H472" i="23" s="1"/>
  <c r="I472" i="23" s="1"/>
  <c r="J472" i="23" s="1"/>
  <c r="K472" i="23" s="1"/>
  <c r="U49" i="19"/>
  <c r="F464" i="23"/>
  <c r="H464" i="23" s="1"/>
  <c r="U41" i="19"/>
  <c r="F456" i="23"/>
  <c r="H456" i="23" s="1"/>
  <c r="I456" i="23" s="1"/>
  <c r="J456" i="23" s="1"/>
  <c r="K456" i="23" s="1"/>
  <c r="U33" i="19"/>
  <c r="F448" i="23"/>
  <c r="H448" i="23" s="1"/>
  <c r="U25" i="19"/>
  <c r="F440" i="23"/>
  <c r="H440" i="23" s="1"/>
  <c r="U17" i="19"/>
  <c r="F432" i="23"/>
  <c r="H432" i="23" s="1"/>
  <c r="I432" i="23" s="1"/>
  <c r="J432" i="23" s="1"/>
  <c r="K432" i="23" s="1"/>
  <c r="U9" i="19"/>
  <c r="F424" i="23"/>
  <c r="H424" i="23" s="1"/>
  <c r="I424" i="23" s="1"/>
  <c r="J424" i="23" s="1"/>
  <c r="K424" i="23" s="1"/>
  <c r="U104" i="19"/>
  <c r="F519" i="23"/>
  <c r="H519" i="23" s="1"/>
  <c r="I519" i="23" s="1"/>
  <c r="J519" i="23" s="1"/>
  <c r="K519" i="23" s="1"/>
  <c r="U96" i="19"/>
  <c r="F511" i="23"/>
  <c r="H511" i="23" s="1"/>
  <c r="U88" i="19"/>
  <c r="F503" i="23"/>
  <c r="H503" i="23" s="1"/>
  <c r="I503" i="23" s="1"/>
  <c r="J503" i="23" s="1"/>
  <c r="K503" i="23" s="1"/>
  <c r="U80" i="19"/>
  <c r="F495" i="23"/>
  <c r="H495" i="23" s="1"/>
  <c r="U72" i="19"/>
  <c r="F487" i="23"/>
  <c r="H487" i="23" s="1"/>
  <c r="I487" i="23" s="1"/>
  <c r="J487" i="23" s="1"/>
  <c r="K487" i="23" s="1"/>
  <c r="U64" i="19"/>
  <c r="F479" i="23"/>
  <c r="H479" i="23" s="1"/>
  <c r="U56" i="19"/>
  <c r="F471" i="23"/>
  <c r="H471" i="23" s="1"/>
  <c r="I471" i="23" s="1"/>
  <c r="J471" i="23" s="1"/>
  <c r="K471" i="23" s="1"/>
  <c r="U48" i="19"/>
  <c r="F463" i="23"/>
  <c r="H463" i="23" s="1"/>
  <c r="U40" i="19"/>
  <c r="F455" i="23"/>
  <c r="H455" i="23" s="1"/>
  <c r="I455" i="23" s="1"/>
  <c r="J455" i="23" s="1"/>
  <c r="K455" i="23" s="1"/>
  <c r="U32" i="19"/>
  <c r="F447" i="23"/>
  <c r="H447" i="23" s="1"/>
  <c r="U24" i="19"/>
  <c r="F439" i="23"/>
  <c r="H439" i="23" s="1"/>
  <c r="I439" i="23" s="1"/>
  <c r="J439" i="23" s="1"/>
  <c r="K439" i="23" s="1"/>
  <c r="U16" i="19"/>
  <c r="F431" i="23"/>
  <c r="H431" i="23" s="1"/>
  <c r="I431" i="23" s="1"/>
  <c r="J431" i="23" s="1"/>
  <c r="K431" i="23" s="1"/>
  <c r="U8" i="19"/>
  <c r="F423" i="23"/>
  <c r="H423" i="23" s="1"/>
  <c r="I423" i="23" s="1"/>
  <c r="J423" i="23" s="1"/>
  <c r="K423" i="23" s="1"/>
  <c r="U103" i="19"/>
  <c r="F518" i="23"/>
  <c r="H518" i="23" s="1"/>
  <c r="U95" i="19"/>
  <c r="F510" i="23"/>
  <c r="H510" i="23" s="1"/>
  <c r="U87" i="19"/>
  <c r="F502" i="23"/>
  <c r="H502" i="23" s="1"/>
  <c r="U79" i="19"/>
  <c r="F494" i="23"/>
  <c r="H494" i="23" s="1"/>
  <c r="U71" i="19"/>
  <c r="F486" i="23"/>
  <c r="H486" i="23" s="1"/>
  <c r="U63" i="19"/>
  <c r="F478" i="23"/>
  <c r="H478" i="23" s="1"/>
  <c r="U55" i="19"/>
  <c r="F470" i="23"/>
  <c r="H470" i="23" s="1"/>
  <c r="U47" i="19"/>
  <c r="F462" i="23"/>
  <c r="H462" i="23" s="1"/>
  <c r="U39" i="19"/>
  <c r="F454" i="23"/>
  <c r="H454" i="23" s="1"/>
  <c r="U31" i="19"/>
  <c r="F446" i="23"/>
  <c r="H446" i="23" s="1"/>
  <c r="U23" i="19"/>
  <c r="F438" i="23"/>
  <c r="H438" i="23" s="1"/>
  <c r="U15" i="19"/>
  <c r="F430" i="23"/>
  <c r="H430" i="23" s="1"/>
  <c r="I430" i="23" s="1"/>
  <c r="J430" i="23" s="1"/>
  <c r="K430" i="23" s="1"/>
  <c r="U7" i="19"/>
  <c r="F422" i="23"/>
  <c r="H422" i="23" s="1"/>
  <c r="R102" i="19"/>
  <c r="F413" i="23"/>
  <c r="H413" i="23" s="1"/>
  <c r="R94" i="19"/>
  <c r="F405" i="23"/>
  <c r="H405" i="23" s="1"/>
  <c r="R86" i="19"/>
  <c r="F397" i="23"/>
  <c r="H397" i="23" s="1"/>
  <c r="R78" i="19"/>
  <c r="F389" i="23"/>
  <c r="H389" i="23" s="1"/>
  <c r="R70" i="19"/>
  <c r="F381" i="23"/>
  <c r="H381" i="23" s="1"/>
  <c r="R62" i="19"/>
  <c r="F373" i="23"/>
  <c r="H373" i="23" s="1"/>
  <c r="R54" i="19"/>
  <c r="F365" i="23"/>
  <c r="H365" i="23" s="1"/>
  <c r="R46" i="19"/>
  <c r="F357" i="23"/>
  <c r="H357" i="23" s="1"/>
  <c r="R38" i="19"/>
  <c r="F349" i="23"/>
  <c r="H349" i="23" s="1"/>
  <c r="R30" i="19"/>
  <c r="F341" i="23"/>
  <c r="H341" i="23" s="1"/>
  <c r="R22" i="19"/>
  <c r="F333" i="23"/>
  <c r="H333" i="23" s="1"/>
  <c r="I333" i="23" s="1"/>
  <c r="J333" i="23" s="1"/>
  <c r="K333" i="23" s="1"/>
  <c r="R14" i="19"/>
  <c r="F325" i="23"/>
  <c r="H325" i="23" s="1"/>
  <c r="R109" i="19"/>
  <c r="F420" i="23"/>
  <c r="H420" i="23" s="1"/>
  <c r="I420" i="23" s="1"/>
  <c r="J420" i="23" s="1"/>
  <c r="K420" i="23" s="1"/>
  <c r="R101" i="19"/>
  <c r="F412" i="23"/>
  <c r="H412" i="23" s="1"/>
  <c r="I412" i="23" s="1"/>
  <c r="J412" i="23" s="1"/>
  <c r="K412" i="23" s="1"/>
  <c r="R93" i="19"/>
  <c r="F404" i="23"/>
  <c r="H404" i="23" s="1"/>
  <c r="I404" i="23" s="1"/>
  <c r="J404" i="23" s="1"/>
  <c r="K404" i="23" s="1"/>
  <c r="R85" i="19"/>
  <c r="F396" i="23"/>
  <c r="H396" i="23" s="1"/>
  <c r="I396" i="23" s="1"/>
  <c r="J396" i="23" s="1"/>
  <c r="K396" i="23" s="1"/>
  <c r="R77" i="19"/>
  <c r="F388" i="23"/>
  <c r="H388" i="23" s="1"/>
  <c r="I388" i="23" s="1"/>
  <c r="J388" i="23" s="1"/>
  <c r="K388" i="23" s="1"/>
  <c r="R69" i="19"/>
  <c r="F380" i="23"/>
  <c r="H380" i="23" s="1"/>
  <c r="I380" i="23" s="1"/>
  <c r="J380" i="23" s="1"/>
  <c r="K380" i="23" s="1"/>
  <c r="R61" i="19"/>
  <c r="F372" i="23"/>
  <c r="H372" i="23" s="1"/>
  <c r="I372" i="23" s="1"/>
  <c r="J372" i="23" s="1"/>
  <c r="K372" i="23" s="1"/>
  <c r="R53" i="19"/>
  <c r="F364" i="23"/>
  <c r="H364" i="23" s="1"/>
  <c r="I364" i="23" s="1"/>
  <c r="J364" i="23" s="1"/>
  <c r="K364" i="23" s="1"/>
  <c r="R45" i="19"/>
  <c r="F356" i="23"/>
  <c r="H356" i="23" s="1"/>
  <c r="I356" i="23" s="1"/>
  <c r="J356" i="23" s="1"/>
  <c r="K356" i="23" s="1"/>
  <c r="R37" i="19"/>
  <c r="F348" i="23"/>
  <c r="H348" i="23" s="1"/>
  <c r="R29" i="19"/>
  <c r="F340" i="23"/>
  <c r="H340" i="23" s="1"/>
  <c r="I340" i="23" s="1"/>
  <c r="J340" i="23" s="1"/>
  <c r="K340" i="23" s="1"/>
  <c r="R21" i="19"/>
  <c r="F332" i="23"/>
  <c r="H332" i="23" s="1"/>
  <c r="I332" i="23" s="1"/>
  <c r="R13" i="19"/>
  <c r="F324" i="23"/>
  <c r="H324" i="23" s="1"/>
  <c r="R108" i="19"/>
  <c r="F419" i="23"/>
  <c r="H419" i="23" s="1"/>
  <c r="R100" i="19"/>
  <c r="F411" i="23"/>
  <c r="H411" i="23" s="1"/>
  <c r="R92" i="19"/>
  <c r="F403" i="23"/>
  <c r="H403" i="23" s="1"/>
  <c r="R84" i="19"/>
  <c r="F395" i="23"/>
  <c r="H395" i="23" s="1"/>
  <c r="R76" i="19"/>
  <c r="F387" i="23"/>
  <c r="H387" i="23" s="1"/>
  <c r="R68" i="19"/>
  <c r="F379" i="23"/>
  <c r="H379" i="23" s="1"/>
  <c r="R60" i="19"/>
  <c r="F371" i="23"/>
  <c r="H371" i="23" s="1"/>
  <c r="R52" i="19"/>
  <c r="F363" i="23"/>
  <c r="H363" i="23" s="1"/>
  <c r="R44" i="19"/>
  <c r="F355" i="23"/>
  <c r="H355" i="23" s="1"/>
  <c r="R36" i="19"/>
  <c r="F347" i="23"/>
  <c r="H347" i="23" s="1"/>
  <c r="R28" i="19"/>
  <c r="F339" i="23"/>
  <c r="H339" i="23" s="1"/>
  <c r="R20" i="19"/>
  <c r="F331" i="23"/>
  <c r="H331" i="23" s="1"/>
  <c r="R12" i="19"/>
  <c r="F323" i="23"/>
  <c r="H323" i="23" s="1"/>
  <c r="I323" i="23" s="1"/>
  <c r="J323" i="23" s="1"/>
  <c r="K323" i="23" s="1"/>
  <c r="R107" i="19"/>
  <c r="F418" i="23"/>
  <c r="H418" i="23" s="1"/>
  <c r="I418" i="23" s="1"/>
  <c r="J418" i="23" s="1"/>
  <c r="K418" i="23" s="1"/>
  <c r="R99" i="19"/>
  <c r="F410" i="23"/>
  <c r="H410" i="23" s="1"/>
  <c r="I410" i="23" s="1"/>
  <c r="J410" i="23" s="1"/>
  <c r="K410" i="23" s="1"/>
  <c r="R91" i="19"/>
  <c r="F402" i="23"/>
  <c r="H402" i="23" s="1"/>
  <c r="R83" i="19"/>
  <c r="F394" i="23"/>
  <c r="H394" i="23" s="1"/>
  <c r="R75" i="19"/>
  <c r="F386" i="23"/>
  <c r="H386" i="23" s="1"/>
  <c r="R67" i="19"/>
  <c r="F378" i="23"/>
  <c r="H378" i="23" s="1"/>
  <c r="R59" i="19"/>
  <c r="F370" i="23"/>
  <c r="H370" i="23" s="1"/>
  <c r="R51" i="19"/>
  <c r="F362" i="23"/>
  <c r="H362" i="23" s="1"/>
  <c r="R43" i="19"/>
  <c r="F354" i="23"/>
  <c r="H354" i="23" s="1"/>
  <c r="R35" i="19"/>
  <c r="F346" i="23"/>
  <c r="H346" i="23" s="1"/>
  <c r="I346" i="23" s="1"/>
  <c r="J346" i="23" s="1"/>
  <c r="K346" i="23" s="1"/>
  <c r="R27" i="19"/>
  <c r="F338" i="23"/>
  <c r="H338" i="23" s="1"/>
  <c r="I338" i="23" s="1"/>
  <c r="J338" i="23" s="1"/>
  <c r="K338" i="23" s="1"/>
  <c r="R19" i="19"/>
  <c r="F330" i="23"/>
  <c r="H330" i="23" s="1"/>
  <c r="I330" i="23" s="1"/>
  <c r="J330" i="23" s="1"/>
  <c r="K330" i="23" s="1"/>
  <c r="R11" i="19"/>
  <c r="F322" i="23"/>
  <c r="H322" i="23" s="1"/>
  <c r="I322" i="23" s="1"/>
  <c r="J322" i="23" s="1"/>
  <c r="K322" i="23" s="1"/>
  <c r="R106" i="19"/>
  <c r="F417" i="23"/>
  <c r="H417" i="23" s="1"/>
  <c r="R98" i="19"/>
  <c r="F409" i="23"/>
  <c r="H409" i="23" s="1"/>
  <c r="R90" i="19"/>
  <c r="F401" i="23"/>
  <c r="H401" i="23" s="1"/>
  <c r="R82" i="19"/>
  <c r="F393" i="23"/>
  <c r="H393" i="23" s="1"/>
  <c r="R74" i="19"/>
  <c r="F385" i="23"/>
  <c r="H385" i="23" s="1"/>
  <c r="R66" i="19"/>
  <c r="F377" i="23"/>
  <c r="H377" i="23" s="1"/>
  <c r="R58" i="19"/>
  <c r="F369" i="23"/>
  <c r="H369" i="23" s="1"/>
  <c r="R50" i="19"/>
  <c r="F361" i="23"/>
  <c r="H361" i="23" s="1"/>
  <c r="R42" i="19"/>
  <c r="F353" i="23"/>
  <c r="H353" i="23" s="1"/>
  <c r="R34" i="19"/>
  <c r="F345" i="23"/>
  <c r="H345" i="23" s="1"/>
  <c r="R26" i="19"/>
  <c r="F337" i="23"/>
  <c r="H337" i="23" s="1"/>
  <c r="R18" i="19"/>
  <c r="F329" i="23"/>
  <c r="H329" i="23" s="1"/>
  <c r="R10" i="19"/>
  <c r="F321" i="23"/>
  <c r="H321" i="23" s="1"/>
  <c r="R105" i="19"/>
  <c r="F416" i="23"/>
  <c r="H416" i="23" s="1"/>
  <c r="R97" i="19"/>
  <c r="F408" i="23"/>
  <c r="H408" i="23" s="1"/>
  <c r="I408" i="23" s="1"/>
  <c r="J408" i="23" s="1"/>
  <c r="K408" i="23" s="1"/>
  <c r="R89" i="19"/>
  <c r="F400" i="23"/>
  <c r="H400" i="23" s="1"/>
  <c r="I400" i="23" s="1"/>
  <c r="J400" i="23" s="1"/>
  <c r="K400" i="23" s="1"/>
  <c r="R81" i="19"/>
  <c r="F392" i="23"/>
  <c r="H392" i="23" s="1"/>
  <c r="I392" i="23" s="1"/>
  <c r="J392" i="23" s="1"/>
  <c r="K392" i="23" s="1"/>
  <c r="R73" i="19"/>
  <c r="F384" i="23"/>
  <c r="H384" i="23" s="1"/>
  <c r="R65" i="19"/>
  <c r="F376" i="23"/>
  <c r="H376" i="23" s="1"/>
  <c r="R57" i="19"/>
  <c r="F368" i="23"/>
  <c r="H368" i="23" s="1"/>
  <c r="I368" i="23" s="1"/>
  <c r="J368" i="23" s="1"/>
  <c r="K368" i="23" s="1"/>
  <c r="R49" i="19"/>
  <c r="F360" i="23"/>
  <c r="H360" i="23" s="1"/>
  <c r="R41" i="19"/>
  <c r="F352" i="23"/>
  <c r="H352" i="23" s="1"/>
  <c r="R33" i="19"/>
  <c r="F344" i="23"/>
  <c r="H344" i="23" s="1"/>
  <c r="R25" i="19"/>
  <c r="F336" i="23"/>
  <c r="H336" i="23" s="1"/>
  <c r="I336" i="23" s="1"/>
  <c r="J336" i="23" s="1"/>
  <c r="K336" i="23" s="1"/>
  <c r="R17" i="19"/>
  <c r="F328" i="23"/>
  <c r="H328" i="23" s="1"/>
  <c r="I328" i="23" s="1"/>
  <c r="J328" i="23" s="1"/>
  <c r="K328" i="23" s="1"/>
  <c r="R9" i="19"/>
  <c r="F320" i="23"/>
  <c r="H320" i="23" s="1"/>
  <c r="R104" i="19"/>
  <c r="F415" i="23"/>
  <c r="H415" i="23" s="1"/>
  <c r="I415" i="23" s="1"/>
  <c r="J415" i="23" s="1"/>
  <c r="K415" i="23" s="1"/>
  <c r="R96" i="19"/>
  <c r="F407" i="23"/>
  <c r="H407" i="23" s="1"/>
  <c r="I407" i="23" s="1"/>
  <c r="J407" i="23" s="1"/>
  <c r="K407" i="23" s="1"/>
  <c r="R88" i="19"/>
  <c r="F399" i="23"/>
  <c r="H399" i="23" s="1"/>
  <c r="I399" i="23" s="1"/>
  <c r="J399" i="23" s="1"/>
  <c r="K399" i="23" s="1"/>
  <c r="R80" i="19"/>
  <c r="F391" i="23"/>
  <c r="H391" i="23" s="1"/>
  <c r="I391" i="23" s="1"/>
  <c r="J391" i="23" s="1"/>
  <c r="K391" i="23" s="1"/>
  <c r="R72" i="19"/>
  <c r="F383" i="23"/>
  <c r="H383" i="23" s="1"/>
  <c r="I383" i="23" s="1"/>
  <c r="J383" i="23" s="1"/>
  <c r="K383" i="23" s="1"/>
  <c r="R64" i="19"/>
  <c r="F375" i="23"/>
  <c r="H375" i="23" s="1"/>
  <c r="I375" i="23" s="1"/>
  <c r="J375" i="23" s="1"/>
  <c r="K375" i="23" s="1"/>
  <c r="R56" i="19"/>
  <c r="F367" i="23"/>
  <c r="H367" i="23" s="1"/>
  <c r="I367" i="23" s="1"/>
  <c r="J367" i="23" s="1"/>
  <c r="K367" i="23" s="1"/>
  <c r="R48" i="19"/>
  <c r="F359" i="23"/>
  <c r="H359" i="23" s="1"/>
  <c r="I359" i="23" s="1"/>
  <c r="J359" i="23" s="1"/>
  <c r="K359" i="23" s="1"/>
  <c r="R40" i="19"/>
  <c r="F351" i="23"/>
  <c r="H351" i="23" s="1"/>
  <c r="I351" i="23" s="1"/>
  <c r="J351" i="23" s="1"/>
  <c r="K351" i="23" s="1"/>
  <c r="R32" i="19"/>
  <c r="F343" i="23"/>
  <c r="H343" i="23" s="1"/>
  <c r="I343" i="23" s="1"/>
  <c r="J343" i="23" s="1"/>
  <c r="K343" i="23" s="1"/>
  <c r="R24" i="19"/>
  <c r="F335" i="23"/>
  <c r="H335" i="23" s="1"/>
  <c r="R16" i="19"/>
  <c r="F327" i="23"/>
  <c r="H327" i="23" s="1"/>
  <c r="R8" i="19"/>
  <c r="F319" i="23"/>
  <c r="H319" i="23" s="1"/>
  <c r="I319" i="23" s="1"/>
  <c r="J319" i="23" s="1"/>
  <c r="K319" i="23" s="1"/>
  <c r="R103" i="19"/>
  <c r="F414" i="23"/>
  <c r="H414" i="23" s="1"/>
  <c r="I414" i="23" s="1"/>
  <c r="J414" i="23" s="1"/>
  <c r="K414" i="23" s="1"/>
  <c r="R95" i="19"/>
  <c r="F406" i="23"/>
  <c r="H406" i="23" s="1"/>
  <c r="R87" i="19"/>
  <c r="F398" i="23"/>
  <c r="H398" i="23" s="1"/>
  <c r="I398" i="23" s="1"/>
  <c r="J398" i="23" s="1"/>
  <c r="K398" i="23" s="1"/>
  <c r="R79" i="19"/>
  <c r="F390" i="23"/>
  <c r="H390" i="23" s="1"/>
  <c r="R71" i="19"/>
  <c r="F382" i="23"/>
  <c r="H382" i="23" s="1"/>
  <c r="I382" i="23" s="1"/>
  <c r="J382" i="23" s="1"/>
  <c r="K382" i="23" s="1"/>
  <c r="R63" i="19"/>
  <c r="F374" i="23"/>
  <c r="H374" i="23" s="1"/>
  <c r="R55" i="19"/>
  <c r="F366" i="23"/>
  <c r="H366" i="23" s="1"/>
  <c r="I366" i="23" s="1"/>
  <c r="J366" i="23" s="1"/>
  <c r="K366" i="23" s="1"/>
  <c r="R47" i="19"/>
  <c r="F358" i="23"/>
  <c r="H358" i="23" s="1"/>
  <c r="R39" i="19"/>
  <c r="F350" i="23"/>
  <c r="H350" i="23" s="1"/>
  <c r="R31" i="19"/>
  <c r="F342" i="23"/>
  <c r="H342" i="23" s="1"/>
  <c r="R23" i="19"/>
  <c r="F334" i="23"/>
  <c r="H334" i="23" s="1"/>
  <c r="R15" i="19"/>
  <c r="F326" i="23"/>
  <c r="H326" i="23" s="1"/>
  <c r="R7" i="19"/>
  <c r="F318" i="23"/>
  <c r="H318" i="23" s="1"/>
  <c r="O102" i="19"/>
  <c r="F309" i="23"/>
  <c r="H309" i="23" s="1"/>
  <c r="O94" i="19"/>
  <c r="F301" i="23"/>
  <c r="H301" i="23" s="1"/>
  <c r="I301" i="23" s="1"/>
  <c r="J301" i="23" s="1"/>
  <c r="K301" i="23" s="1"/>
  <c r="O86" i="19"/>
  <c r="F293" i="23"/>
  <c r="H293" i="23" s="1"/>
  <c r="O78" i="19"/>
  <c r="F285" i="23"/>
  <c r="H285" i="23" s="1"/>
  <c r="O70" i="19"/>
  <c r="F277" i="23"/>
  <c r="H277" i="23" s="1"/>
  <c r="I277" i="23" s="1"/>
  <c r="J277" i="23" s="1"/>
  <c r="K277" i="23" s="1"/>
  <c r="O62" i="19"/>
  <c r="F269" i="23"/>
  <c r="H269" i="23" s="1"/>
  <c r="O54" i="19"/>
  <c r="F261" i="23"/>
  <c r="H261" i="23" s="1"/>
  <c r="O46" i="19"/>
  <c r="F253" i="23"/>
  <c r="H253" i="23" s="1"/>
  <c r="O38" i="19"/>
  <c r="F245" i="23"/>
  <c r="H245" i="23" s="1"/>
  <c r="O30" i="19"/>
  <c r="F237" i="23"/>
  <c r="H237" i="23" s="1"/>
  <c r="O22" i="19"/>
  <c r="F229" i="23"/>
  <c r="H229" i="23" s="1"/>
  <c r="O14" i="19"/>
  <c r="F221" i="23"/>
  <c r="H221" i="23" s="1"/>
  <c r="O109" i="19"/>
  <c r="F316" i="23"/>
  <c r="H316" i="23" s="1"/>
  <c r="I316" i="23" s="1"/>
  <c r="J316" i="23" s="1"/>
  <c r="K316" i="23" s="1"/>
  <c r="O101" i="19"/>
  <c r="F308" i="23"/>
  <c r="H308" i="23" s="1"/>
  <c r="O93" i="19"/>
  <c r="F300" i="23"/>
  <c r="H300" i="23" s="1"/>
  <c r="I300" i="23" s="1"/>
  <c r="O85" i="19"/>
  <c r="F292" i="23"/>
  <c r="H292" i="23" s="1"/>
  <c r="O77" i="19"/>
  <c r="F284" i="23"/>
  <c r="H284" i="23" s="1"/>
  <c r="I284" i="23" s="1"/>
  <c r="O69" i="19"/>
  <c r="F276" i="23"/>
  <c r="H276" i="23" s="1"/>
  <c r="I276" i="23" s="1"/>
  <c r="J276" i="23" s="1"/>
  <c r="K276" i="23" s="1"/>
  <c r="O61" i="19"/>
  <c r="F268" i="23"/>
  <c r="H268" i="23" s="1"/>
  <c r="I268" i="23" s="1"/>
  <c r="J268" i="23" s="1"/>
  <c r="K268" i="23" s="1"/>
  <c r="O53" i="19"/>
  <c r="F260" i="23"/>
  <c r="H260" i="23" s="1"/>
  <c r="I260" i="23" s="1"/>
  <c r="J260" i="23" s="1"/>
  <c r="K260" i="23" s="1"/>
  <c r="O45" i="19"/>
  <c r="F252" i="23"/>
  <c r="H252" i="23" s="1"/>
  <c r="I252" i="23" s="1"/>
  <c r="J252" i="23" s="1"/>
  <c r="K252" i="23" s="1"/>
  <c r="O37" i="19"/>
  <c r="F244" i="23"/>
  <c r="H244" i="23" s="1"/>
  <c r="I244" i="23" s="1"/>
  <c r="O29" i="19"/>
  <c r="F236" i="23"/>
  <c r="H236" i="23" s="1"/>
  <c r="I236" i="23" s="1"/>
  <c r="O13" i="19"/>
  <c r="F220" i="23"/>
  <c r="H220" i="23" s="1"/>
  <c r="I220" i="23" s="1"/>
  <c r="O108" i="19"/>
  <c r="F315" i="23"/>
  <c r="H315" i="23" s="1"/>
  <c r="I315" i="23" s="1"/>
  <c r="J315" i="23" s="1"/>
  <c r="K315" i="23" s="1"/>
  <c r="O100" i="19"/>
  <c r="F307" i="23"/>
  <c r="H307" i="23" s="1"/>
  <c r="O92" i="19"/>
  <c r="F299" i="23"/>
  <c r="H299" i="23" s="1"/>
  <c r="O84" i="19"/>
  <c r="F291" i="23"/>
  <c r="H291" i="23" s="1"/>
  <c r="I291" i="23" s="1"/>
  <c r="J291" i="23" s="1"/>
  <c r="K291" i="23" s="1"/>
  <c r="O76" i="19"/>
  <c r="F283" i="23"/>
  <c r="H283" i="23" s="1"/>
  <c r="O68" i="19"/>
  <c r="F275" i="23"/>
  <c r="H275" i="23" s="1"/>
  <c r="I275" i="23" s="1"/>
  <c r="J275" i="23" s="1"/>
  <c r="K275" i="23" s="1"/>
  <c r="O60" i="19"/>
  <c r="F267" i="23"/>
  <c r="H267" i="23" s="1"/>
  <c r="O52" i="19"/>
  <c r="F259" i="23"/>
  <c r="H259" i="23" s="1"/>
  <c r="I259" i="23" s="1"/>
  <c r="J259" i="23" s="1"/>
  <c r="K259" i="23" s="1"/>
  <c r="O44" i="19"/>
  <c r="F251" i="23"/>
  <c r="H251" i="23" s="1"/>
  <c r="O36" i="19"/>
  <c r="F243" i="23"/>
  <c r="H243" i="23" s="1"/>
  <c r="I243" i="23" s="1"/>
  <c r="J243" i="23" s="1"/>
  <c r="K243" i="23" s="1"/>
  <c r="O28" i="19"/>
  <c r="F235" i="23"/>
  <c r="H235" i="23" s="1"/>
  <c r="I235" i="23" s="1"/>
  <c r="J235" i="23" s="1"/>
  <c r="K235" i="23" s="1"/>
  <c r="O20" i="19"/>
  <c r="F227" i="23"/>
  <c r="H227" i="23" s="1"/>
  <c r="I227" i="23" s="1"/>
  <c r="J227" i="23" s="1"/>
  <c r="K227" i="23" s="1"/>
  <c r="O12" i="19"/>
  <c r="F219" i="23"/>
  <c r="H219" i="23" s="1"/>
  <c r="I219" i="23" s="1"/>
  <c r="J219" i="23" s="1"/>
  <c r="K219" i="23" s="1"/>
  <c r="O107" i="19"/>
  <c r="F314" i="23"/>
  <c r="H314" i="23" s="1"/>
  <c r="I314" i="23" s="1"/>
  <c r="J314" i="23" s="1"/>
  <c r="K314" i="23" s="1"/>
  <c r="O99" i="19"/>
  <c r="F306" i="23"/>
  <c r="H306" i="23" s="1"/>
  <c r="I306" i="23" s="1"/>
  <c r="J306" i="23" s="1"/>
  <c r="K306" i="23" s="1"/>
  <c r="O91" i="19"/>
  <c r="F298" i="23"/>
  <c r="H298" i="23" s="1"/>
  <c r="I298" i="23" s="1"/>
  <c r="J298" i="23" s="1"/>
  <c r="K298" i="23" s="1"/>
  <c r="O83" i="19"/>
  <c r="F290" i="23"/>
  <c r="H290" i="23" s="1"/>
  <c r="I290" i="23" s="1"/>
  <c r="J290" i="23" s="1"/>
  <c r="K290" i="23" s="1"/>
  <c r="O75" i="19"/>
  <c r="F282" i="23"/>
  <c r="H282" i="23" s="1"/>
  <c r="O67" i="19"/>
  <c r="F274" i="23"/>
  <c r="H274" i="23" s="1"/>
  <c r="O59" i="19"/>
  <c r="F266" i="23"/>
  <c r="H266" i="23" s="1"/>
  <c r="O51" i="19"/>
  <c r="F258" i="23"/>
  <c r="H258" i="23" s="1"/>
  <c r="I258" i="23" s="1"/>
  <c r="J258" i="23" s="1"/>
  <c r="K258" i="23" s="1"/>
  <c r="O43" i="19"/>
  <c r="F250" i="23"/>
  <c r="H250" i="23" s="1"/>
  <c r="I250" i="23" s="1"/>
  <c r="J250" i="23" s="1"/>
  <c r="K250" i="23" s="1"/>
  <c r="O35" i="19"/>
  <c r="F242" i="23"/>
  <c r="H242" i="23" s="1"/>
  <c r="O27" i="19"/>
  <c r="F234" i="23"/>
  <c r="H234" i="23" s="1"/>
  <c r="I234" i="23" s="1"/>
  <c r="J234" i="23" s="1"/>
  <c r="K234" i="23" s="1"/>
  <c r="O11" i="19"/>
  <c r="F218" i="23"/>
  <c r="H218" i="23" s="1"/>
  <c r="I218" i="23" s="1"/>
  <c r="J218" i="23" s="1"/>
  <c r="K218" i="23" s="1"/>
  <c r="O106" i="19"/>
  <c r="F313" i="23"/>
  <c r="H313" i="23" s="1"/>
  <c r="O98" i="19"/>
  <c r="F305" i="23"/>
  <c r="H305" i="23" s="1"/>
  <c r="O90" i="19"/>
  <c r="F297" i="23"/>
  <c r="H297" i="23" s="1"/>
  <c r="O82" i="19"/>
  <c r="F289" i="23"/>
  <c r="H289" i="23" s="1"/>
  <c r="O74" i="19"/>
  <c r="F281" i="23"/>
  <c r="H281" i="23" s="1"/>
  <c r="I281" i="23" s="1"/>
  <c r="J281" i="23" s="1"/>
  <c r="K281" i="23" s="1"/>
  <c r="O66" i="19"/>
  <c r="F273" i="23"/>
  <c r="H273" i="23" s="1"/>
  <c r="O58" i="19"/>
  <c r="F265" i="23"/>
  <c r="H265" i="23" s="1"/>
  <c r="O50" i="19"/>
  <c r="F257" i="23"/>
  <c r="H257" i="23" s="1"/>
  <c r="O42" i="19"/>
  <c r="F249" i="23"/>
  <c r="H249" i="23" s="1"/>
  <c r="O34" i="19"/>
  <c r="F241" i="23"/>
  <c r="H241" i="23" s="1"/>
  <c r="O26" i="19"/>
  <c r="F233" i="23"/>
  <c r="H233" i="23" s="1"/>
  <c r="O18" i="19"/>
  <c r="F225" i="23"/>
  <c r="H225" i="23" s="1"/>
  <c r="O105" i="19"/>
  <c r="F312" i="23"/>
  <c r="H312" i="23" s="1"/>
  <c r="O97" i="19"/>
  <c r="F304" i="23"/>
  <c r="H304" i="23" s="1"/>
  <c r="I304" i="23" s="1"/>
  <c r="J304" i="23" s="1"/>
  <c r="K304" i="23" s="1"/>
  <c r="O89" i="19"/>
  <c r="F296" i="23"/>
  <c r="H296" i="23" s="1"/>
  <c r="O81" i="19"/>
  <c r="F288" i="23"/>
  <c r="H288" i="23" s="1"/>
  <c r="I288" i="23" s="1"/>
  <c r="J288" i="23" s="1"/>
  <c r="K288" i="23" s="1"/>
  <c r="O73" i="19"/>
  <c r="F280" i="23"/>
  <c r="H280" i="23" s="1"/>
  <c r="O65" i="19"/>
  <c r="F272" i="23"/>
  <c r="H272" i="23" s="1"/>
  <c r="O57" i="19"/>
  <c r="F264" i="23"/>
  <c r="H264" i="23" s="1"/>
  <c r="O49" i="19"/>
  <c r="F256" i="23"/>
  <c r="H256" i="23" s="1"/>
  <c r="O41" i="19"/>
  <c r="F248" i="23"/>
  <c r="H248" i="23" s="1"/>
  <c r="O33" i="19"/>
  <c r="F240" i="23"/>
  <c r="H240" i="23" s="1"/>
  <c r="I240" i="23" s="1"/>
  <c r="J240" i="23" s="1"/>
  <c r="K240" i="23" s="1"/>
  <c r="O25" i="19"/>
  <c r="F232" i="23"/>
  <c r="H232" i="23" s="1"/>
  <c r="I232" i="23" s="1"/>
  <c r="J232" i="23" s="1"/>
  <c r="K232" i="23" s="1"/>
  <c r="O17" i="19"/>
  <c r="F224" i="23"/>
  <c r="H224" i="23" s="1"/>
  <c r="I224" i="23" s="1"/>
  <c r="J224" i="23" s="1"/>
  <c r="K224" i="23" s="1"/>
  <c r="O9" i="19"/>
  <c r="F216" i="23"/>
  <c r="H216" i="23" s="1"/>
  <c r="O104" i="19"/>
  <c r="F311" i="23"/>
  <c r="H311" i="23" s="1"/>
  <c r="I311" i="23" s="1"/>
  <c r="J311" i="23" s="1"/>
  <c r="K311" i="23" s="1"/>
  <c r="O96" i="19"/>
  <c r="F303" i="23"/>
  <c r="H303" i="23" s="1"/>
  <c r="O88" i="19"/>
  <c r="F295" i="23"/>
  <c r="H295" i="23" s="1"/>
  <c r="I295" i="23" s="1"/>
  <c r="J295" i="23" s="1"/>
  <c r="K295" i="23" s="1"/>
  <c r="O80" i="19"/>
  <c r="F287" i="23"/>
  <c r="H287" i="23" s="1"/>
  <c r="O72" i="19"/>
  <c r="F279" i="23"/>
  <c r="H279" i="23" s="1"/>
  <c r="I279" i="23" s="1"/>
  <c r="J279" i="23" s="1"/>
  <c r="K279" i="23" s="1"/>
  <c r="O64" i="19"/>
  <c r="F271" i="23"/>
  <c r="H271" i="23" s="1"/>
  <c r="O56" i="19"/>
  <c r="F263" i="23"/>
  <c r="H263" i="23" s="1"/>
  <c r="O48" i="19"/>
  <c r="F255" i="23"/>
  <c r="H255" i="23" s="1"/>
  <c r="O40" i="19"/>
  <c r="F247" i="23"/>
  <c r="H247" i="23" s="1"/>
  <c r="I247" i="23" s="1"/>
  <c r="J247" i="23" s="1"/>
  <c r="K247" i="23" s="1"/>
  <c r="O32" i="19"/>
  <c r="F239" i="23"/>
  <c r="H239" i="23" s="1"/>
  <c r="I239" i="23" s="1"/>
  <c r="J239" i="23" s="1"/>
  <c r="K239" i="23" s="1"/>
  <c r="O24" i="19"/>
  <c r="F231" i="23"/>
  <c r="H231" i="23" s="1"/>
  <c r="O16" i="19"/>
  <c r="F223" i="23"/>
  <c r="H223" i="23" s="1"/>
  <c r="O8" i="19"/>
  <c r="F215" i="23"/>
  <c r="H215" i="23" s="1"/>
  <c r="O103" i="19"/>
  <c r="F310" i="23"/>
  <c r="H310" i="23" s="1"/>
  <c r="O95" i="19"/>
  <c r="F302" i="23"/>
  <c r="H302" i="23" s="1"/>
  <c r="O87" i="19"/>
  <c r="F294" i="23"/>
  <c r="H294" i="23" s="1"/>
  <c r="O79" i="19"/>
  <c r="F286" i="23"/>
  <c r="H286" i="23" s="1"/>
  <c r="I286" i="23" s="1"/>
  <c r="J286" i="23" s="1"/>
  <c r="K286" i="23" s="1"/>
  <c r="O71" i="19"/>
  <c r="F278" i="23"/>
  <c r="H278" i="23" s="1"/>
  <c r="O63" i="19"/>
  <c r="F270" i="23"/>
  <c r="H270" i="23" s="1"/>
  <c r="I270" i="23" s="1"/>
  <c r="J270" i="23" s="1"/>
  <c r="K270" i="23" s="1"/>
  <c r="O55" i="19"/>
  <c r="F262" i="23"/>
  <c r="H262" i="23" s="1"/>
  <c r="O47" i="19"/>
  <c r="F254" i="23"/>
  <c r="H254" i="23" s="1"/>
  <c r="O39" i="19"/>
  <c r="F246" i="23"/>
  <c r="H246" i="23" s="1"/>
  <c r="I246" i="23" s="1"/>
  <c r="J246" i="23" s="1"/>
  <c r="K246" i="23" s="1"/>
  <c r="O31" i="19"/>
  <c r="F238" i="23"/>
  <c r="H238" i="23" s="1"/>
  <c r="O23" i="19"/>
  <c r="F230" i="23"/>
  <c r="H230" i="23" s="1"/>
  <c r="O15" i="19"/>
  <c r="F222" i="23"/>
  <c r="H222" i="23" s="1"/>
  <c r="O7" i="19"/>
  <c r="F214" i="23"/>
  <c r="H214" i="23" s="1"/>
  <c r="L77" i="19"/>
  <c r="F180" i="23"/>
  <c r="H180" i="23" s="1"/>
  <c r="I180" i="23" s="1"/>
  <c r="L76" i="19"/>
  <c r="F179" i="23"/>
  <c r="H179" i="23" s="1"/>
  <c r="I179" i="23" s="1"/>
  <c r="J179" i="23" s="1"/>
  <c r="K179" i="23" s="1"/>
  <c r="L43" i="19"/>
  <c r="F146" i="23"/>
  <c r="H146" i="23" s="1"/>
  <c r="L90" i="19"/>
  <c r="F193" i="23"/>
  <c r="H193" i="23" s="1"/>
  <c r="L73" i="19"/>
  <c r="F176" i="23"/>
  <c r="H176" i="23" s="1"/>
  <c r="I176" i="23" s="1"/>
  <c r="J176" i="23" s="1"/>
  <c r="K176" i="23" s="1"/>
  <c r="I76" i="19"/>
  <c r="F75" i="23"/>
  <c r="H75" i="23" s="1"/>
  <c r="I75" i="23" s="1"/>
  <c r="J75" i="23" s="1"/>
  <c r="K75" i="23" s="1"/>
  <c r="I43" i="19"/>
  <c r="F42" i="23"/>
  <c r="H42" i="23" s="1"/>
  <c r="I42" i="23" s="1"/>
  <c r="J42" i="23" s="1"/>
  <c r="K42" i="23" s="1"/>
  <c r="I86" i="19"/>
  <c r="I109" i="19"/>
  <c r="I101" i="19"/>
  <c r="I93" i="19"/>
  <c r="I69" i="19"/>
  <c r="I61" i="19"/>
  <c r="I45" i="19"/>
  <c r="I37" i="19"/>
  <c r="I29" i="19"/>
  <c r="I21" i="19"/>
  <c r="I13" i="19"/>
  <c r="L109" i="19"/>
  <c r="L101" i="19"/>
  <c r="L93" i="19"/>
  <c r="L85" i="19"/>
  <c r="L69" i="19"/>
  <c r="L61" i="19"/>
  <c r="L53" i="19"/>
  <c r="L29" i="19"/>
  <c r="L21" i="19"/>
  <c r="I108" i="19"/>
  <c r="I100" i="19"/>
  <c r="I92" i="19"/>
  <c r="I84" i="19"/>
  <c r="I68" i="19"/>
  <c r="I60" i="19"/>
  <c r="I52" i="19"/>
  <c r="I44" i="19"/>
  <c r="I36" i="19"/>
  <c r="I28" i="19"/>
  <c r="I20" i="19"/>
  <c r="L108" i="19"/>
  <c r="L100" i="19"/>
  <c r="L92" i="19"/>
  <c r="L84" i="19"/>
  <c r="L68" i="19"/>
  <c r="L60" i="19"/>
  <c r="L52" i="19"/>
  <c r="L44" i="19"/>
  <c r="L36" i="19"/>
  <c r="L20" i="19"/>
  <c r="L12" i="19"/>
  <c r="F83" i="19"/>
  <c r="I85" i="19"/>
  <c r="I105" i="19"/>
  <c r="I97" i="19"/>
  <c r="I73" i="19"/>
  <c r="L97" i="19"/>
  <c r="L89" i="19"/>
  <c r="F88" i="19"/>
  <c r="I102" i="19"/>
  <c r="I94" i="19"/>
  <c r="I78" i="19"/>
  <c r="I70" i="19"/>
  <c r="I62" i="19"/>
  <c r="I54" i="19"/>
  <c r="I46" i="19"/>
  <c r="I38" i="19"/>
  <c r="I30" i="19"/>
  <c r="I22" i="19"/>
  <c r="I14" i="19"/>
  <c r="L102" i="19"/>
  <c r="L94" i="19"/>
  <c r="L86" i="19"/>
  <c r="L78" i="19"/>
  <c r="L70" i="19"/>
  <c r="L62" i="19"/>
  <c r="L54" i="19"/>
  <c r="L46" i="19"/>
  <c r="L38" i="19"/>
  <c r="L30" i="19"/>
  <c r="L22" i="19"/>
  <c r="L14" i="19"/>
  <c r="U54" i="19"/>
  <c r="I12" i="19"/>
  <c r="I107" i="19"/>
  <c r="I99" i="19"/>
  <c r="I91" i="19"/>
  <c r="I83" i="19"/>
  <c r="I75" i="19"/>
  <c r="I67" i="19"/>
  <c r="I59" i="19"/>
  <c r="I51" i="19"/>
  <c r="I35" i="19"/>
  <c r="I27" i="19"/>
  <c r="I19" i="19"/>
  <c r="I11" i="19"/>
  <c r="L107" i="19"/>
  <c r="L99" i="19"/>
  <c r="L91" i="19"/>
  <c r="L83" i="19"/>
  <c r="L75" i="19"/>
  <c r="L67" i="19"/>
  <c r="L59" i="19"/>
  <c r="L51" i="19"/>
  <c r="L35" i="19"/>
  <c r="L27" i="19"/>
  <c r="L19" i="19"/>
  <c r="L11" i="19"/>
  <c r="O19" i="19"/>
  <c r="L45" i="19"/>
  <c r="F57" i="19"/>
  <c r="I106" i="19"/>
  <c r="I98" i="19"/>
  <c r="I90" i="19"/>
  <c r="I82" i="19"/>
  <c r="I74" i="19"/>
  <c r="I66" i="19"/>
  <c r="I58" i="19"/>
  <c r="I50" i="19"/>
  <c r="I42" i="19"/>
  <c r="I34" i="19"/>
  <c r="I26" i="19"/>
  <c r="I18" i="19"/>
  <c r="I10" i="19"/>
  <c r="L106" i="19"/>
  <c r="L98" i="19"/>
  <c r="L82" i="19"/>
  <c r="L74" i="19"/>
  <c r="L66" i="19"/>
  <c r="L58" i="19"/>
  <c r="L50" i="19"/>
  <c r="L42" i="19"/>
  <c r="L34" i="19"/>
  <c r="L26" i="19"/>
  <c r="L18" i="19"/>
  <c r="L10" i="19"/>
  <c r="O10" i="19"/>
  <c r="I53" i="19"/>
  <c r="F71" i="19"/>
  <c r="I89" i="19"/>
  <c r="I81" i="19"/>
  <c r="I65" i="19"/>
  <c r="I57" i="19"/>
  <c r="I49" i="19"/>
  <c r="I41" i="19"/>
  <c r="I33" i="19"/>
  <c r="I25" i="19"/>
  <c r="I17" i="19"/>
  <c r="I9" i="19"/>
  <c r="L105" i="19"/>
  <c r="L81" i="19"/>
  <c r="L65" i="19"/>
  <c r="L57" i="19"/>
  <c r="L49" i="19"/>
  <c r="L41" i="19"/>
  <c r="L33" i="19"/>
  <c r="L25" i="19"/>
  <c r="L17" i="19"/>
  <c r="L9" i="19"/>
  <c r="I77" i="19"/>
  <c r="U77" i="19"/>
  <c r="I104" i="19"/>
  <c r="I96" i="19"/>
  <c r="I88" i="19"/>
  <c r="I80" i="19"/>
  <c r="I72" i="19"/>
  <c r="I64" i="19"/>
  <c r="I56" i="19"/>
  <c r="I48" i="19"/>
  <c r="I40" i="19"/>
  <c r="I32" i="19"/>
  <c r="I24" i="19"/>
  <c r="I16" i="19"/>
  <c r="I8" i="19"/>
  <c r="L104" i="19"/>
  <c r="L96" i="19"/>
  <c r="L88" i="19"/>
  <c r="L80" i="19"/>
  <c r="L72" i="19"/>
  <c r="L64" i="19"/>
  <c r="L56" i="19"/>
  <c r="L48" i="19"/>
  <c r="L40" i="19"/>
  <c r="L32" i="19"/>
  <c r="L24" i="19"/>
  <c r="L16" i="19"/>
  <c r="L8" i="19"/>
  <c r="L37" i="19"/>
  <c r="L13" i="19"/>
  <c r="O21" i="19"/>
  <c r="L28" i="19"/>
  <c r="F56" i="19"/>
  <c r="I103" i="19"/>
  <c r="I95" i="19"/>
  <c r="I87" i="19"/>
  <c r="I79" i="19"/>
  <c r="I71" i="19"/>
  <c r="I63" i="19"/>
  <c r="I55" i="19"/>
  <c r="I47" i="19"/>
  <c r="I39" i="19"/>
  <c r="CD31" i="19"/>
  <c r="I31" i="19"/>
  <c r="I23" i="19"/>
  <c r="I15" i="19"/>
  <c r="I7" i="19"/>
  <c r="L103" i="19"/>
  <c r="L95" i="19"/>
  <c r="L87" i="19"/>
  <c r="L79" i="19"/>
  <c r="L71" i="19"/>
  <c r="L63" i="19"/>
  <c r="L55" i="19"/>
  <c r="L47" i="19"/>
  <c r="L39" i="19"/>
  <c r="L31" i="19"/>
  <c r="L23" i="19"/>
  <c r="L15" i="19"/>
  <c r="L7" i="19"/>
  <c r="F103" i="19"/>
  <c r="F10" i="19"/>
  <c r="F43" i="19"/>
  <c r="F66" i="19"/>
  <c r="F72" i="19"/>
  <c r="F97" i="19"/>
  <c r="F76" i="19"/>
  <c r="F23" i="19"/>
  <c r="F67" i="19"/>
  <c r="F70" i="19"/>
  <c r="F55" i="19"/>
  <c r="CK46" i="19"/>
  <c r="CK102" i="19"/>
  <c r="CD8" i="19"/>
  <c r="CK76" i="19"/>
  <c r="CK77" i="19"/>
  <c r="F107" i="19"/>
  <c r="F58" i="19"/>
  <c r="CK55" i="19"/>
  <c r="F99" i="19"/>
  <c r="I6" i="19"/>
  <c r="AG6" i="19"/>
  <c r="BE6" i="19"/>
  <c r="L6" i="19"/>
  <c r="AJ6" i="19"/>
  <c r="O6" i="19"/>
  <c r="R6" i="19"/>
  <c r="AP6" i="19"/>
  <c r="F54" i="19"/>
  <c r="U6" i="19"/>
  <c r="AS6" i="19"/>
  <c r="F46" i="19"/>
  <c r="BQ6" i="19"/>
  <c r="D110" i="19"/>
  <c r="BN6" i="19"/>
  <c r="BK6" i="19"/>
  <c r="CD18" i="19"/>
  <c r="CD43" i="19"/>
  <c r="CE43" i="19" s="1"/>
  <c r="CK45" i="19"/>
  <c r="CK101" i="19"/>
  <c r="CD58" i="19"/>
  <c r="CE58" i="19" s="1"/>
  <c r="CK71" i="19"/>
  <c r="CK98" i="19"/>
  <c r="F106" i="19"/>
  <c r="CD57" i="19"/>
  <c r="CE57" i="19" s="1"/>
  <c r="CK58" i="19"/>
  <c r="CK69" i="19"/>
  <c r="CK106" i="19"/>
  <c r="CK107" i="19"/>
  <c r="CD83" i="19"/>
  <c r="CE83" i="19" s="1"/>
  <c r="CK57" i="19"/>
  <c r="F68" i="19"/>
  <c r="CK56" i="19"/>
  <c r="CD67" i="19"/>
  <c r="CE67" i="19" s="1"/>
  <c r="CD73" i="19"/>
  <c r="CK97" i="19"/>
  <c r="CD40" i="19"/>
  <c r="CD65" i="19"/>
  <c r="CK72" i="19"/>
  <c r="CK68" i="19"/>
  <c r="CK53" i="19"/>
  <c r="CK66" i="19"/>
  <c r="CK67" i="19"/>
  <c r="CD81" i="19"/>
  <c r="AY6" i="19"/>
  <c r="CD68" i="19"/>
  <c r="CE68" i="19" s="1"/>
  <c r="CK88" i="19"/>
  <c r="CK96" i="19"/>
  <c r="CK103" i="19"/>
  <c r="F101" i="19"/>
  <c r="F69" i="19"/>
  <c r="F53" i="19"/>
  <c r="F45" i="19"/>
  <c r="CD108" i="19"/>
  <c r="AN110" i="19"/>
  <c r="CD78" i="19"/>
  <c r="CD53" i="19"/>
  <c r="CE53" i="19" s="1"/>
  <c r="CD107" i="19"/>
  <c r="CE107" i="19" s="1"/>
  <c r="CD102" i="19"/>
  <c r="CE102" i="19" s="1"/>
  <c r="CD86" i="19"/>
  <c r="CD70" i="19"/>
  <c r="CE70" i="19" s="1"/>
  <c r="CD22" i="19"/>
  <c r="F77" i="19"/>
  <c r="AB110" i="19"/>
  <c r="AD6" i="19"/>
  <c r="CD34" i="19"/>
  <c r="CD13" i="19"/>
  <c r="CD10" i="19"/>
  <c r="CE10" i="19" s="1"/>
  <c r="AZ110" i="19"/>
  <c r="BB6" i="19"/>
  <c r="CD12" i="19"/>
  <c r="BX110" i="19"/>
  <c r="BZ6" i="19"/>
  <c r="CD9" i="19"/>
  <c r="CD16" i="19"/>
  <c r="CD37" i="19"/>
  <c r="CD15" i="19"/>
  <c r="CD11" i="19"/>
  <c r="CD7" i="19"/>
  <c r="CD26" i="19"/>
  <c r="AK110" i="19"/>
  <c r="Y110" i="19"/>
  <c r="BU110" i="19"/>
  <c r="J110" i="19"/>
  <c r="BF110" i="19"/>
  <c r="S110" i="19"/>
  <c r="AA6" i="19"/>
  <c r="AQ110" i="19"/>
  <c r="BO110" i="19"/>
  <c r="BW6" i="19"/>
  <c r="CD20" i="19"/>
  <c r="AT110" i="19"/>
  <c r="BR110" i="19"/>
  <c r="CD14" i="19"/>
  <c r="CD23" i="19"/>
  <c r="CE23" i="19" s="1"/>
  <c r="V110" i="19"/>
  <c r="AE110" i="19"/>
  <c r="AM6" i="19"/>
  <c r="BC110" i="19"/>
  <c r="CA110" i="19"/>
  <c r="CD24" i="19"/>
  <c r="CD27" i="19"/>
  <c r="CD30" i="19"/>
  <c r="CD32" i="19"/>
  <c r="BI110" i="19"/>
  <c r="P110" i="19"/>
  <c r="X6" i="19"/>
  <c r="AV6" i="19"/>
  <c r="BL110" i="19"/>
  <c r="BT6" i="19"/>
  <c r="CD19" i="19"/>
  <c r="CD28" i="19"/>
  <c r="CD25" i="19"/>
  <c r="CD46" i="19"/>
  <c r="CE46" i="19" s="1"/>
  <c r="M110" i="19"/>
  <c r="AW110" i="19"/>
  <c r="AH110" i="19"/>
  <c r="CD17" i="19"/>
  <c r="CD29" i="19"/>
  <c r="CD33" i="19"/>
  <c r="CD39" i="19"/>
  <c r="CD42" i="19"/>
  <c r="CE42" i="19" s="1"/>
  <c r="CD56" i="19"/>
  <c r="CE56" i="19" s="1"/>
  <c r="CD36" i="19"/>
  <c r="CD21" i="19"/>
  <c r="CD38" i="19"/>
  <c r="CD35" i="19"/>
  <c r="CD45" i="19"/>
  <c r="CE45" i="19" s="1"/>
  <c r="CD41" i="19"/>
  <c r="F42" i="19"/>
  <c r="CD47" i="19"/>
  <c r="CD44" i="19"/>
  <c r="CD51" i="19"/>
  <c r="CD61" i="19"/>
  <c r="CD62" i="19"/>
  <c r="CD69" i="19"/>
  <c r="CE69" i="19" s="1"/>
  <c r="CK49" i="19"/>
  <c r="CD66" i="19"/>
  <c r="CE66" i="19" s="1"/>
  <c r="CD59" i="19"/>
  <c r="F49" i="19"/>
  <c r="CD50" i="19"/>
  <c r="CD55" i="19"/>
  <c r="CE55" i="19" s="1"/>
  <c r="CD63" i="19"/>
  <c r="CD71" i="19"/>
  <c r="CE71" i="19" s="1"/>
  <c r="CD48" i="19"/>
  <c r="CD49" i="19"/>
  <c r="CE49" i="19" s="1"/>
  <c r="CD52" i="19"/>
  <c r="CD80" i="19"/>
  <c r="CD82" i="19"/>
  <c r="CD96" i="19"/>
  <c r="CE96" i="19" s="1"/>
  <c r="CD60" i="19"/>
  <c r="CD64" i="19"/>
  <c r="CD87" i="19"/>
  <c r="CD54" i="19"/>
  <c r="CE54" i="19" s="1"/>
  <c r="CD72" i="19"/>
  <c r="CE72" i="19" s="1"/>
  <c r="CD89" i="19"/>
  <c r="CD84" i="19"/>
  <c r="CD90" i="19"/>
  <c r="CD76" i="19"/>
  <c r="CE76" i="19" s="1"/>
  <c r="F96" i="19"/>
  <c r="CD97" i="19"/>
  <c r="CE97" i="19" s="1"/>
  <c r="CD98" i="19"/>
  <c r="CE98" i="19" s="1"/>
  <c r="CD85" i="19"/>
  <c r="CD101" i="19"/>
  <c r="CE101" i="19" s="1"/>
  <c r="CD109" i="19"/>
  <c r="CD74" i="19"/>
  <c r="CD77" i="19"/>
  <c r="CE77" i="19" s="1"/>
  <c r="CD79" i="19"/>
  <c r="CD105" i="19"/>
  <c r="CD88" i="19"/>
  <c r="CE88" i="19" s="1"/>
  <c r="CD91" i="19"/>
  <c r="CD92" i="19"/>
  <c r="CD106" i="19"/>
  <c r="CE106" i="19" s="1"/>
  <c r="CD93" i="19"/>
  <c r="CD94" i="19"/>
  <c r="CD95" i="19"/>
  <c r="F102" i="19"/>
  <c r="F98" i="19"/>
  <c r="CD99" i="19"/>
  <c r="CE99" i="19" s="1"/>
  <c r="CD100" i="19"/>
  <c r="CD103" i="19"/>
  <c r="CE103" i="19" s="1"/>
  <c r="CD104" i="19"/>
  <c r="I941" i="23" l="1"/>
  <c r="J941" i="23" s="1"/>
  <c r="K941" i="23" s="1"/>
  <c r="CD110" i="19"/>
  <c r="CL22" i="19"/>
  <c r="I1669" i="23"/>
  <c r="J1669" i="23" s="1"/>
  <c r="K1669" i="23" s="1"/>
  <c r="I1149" i="23"/>
  <c r="J1149" i="23" s="1"/>
  <c r="K1149" i="23" s="1"/>
  <c r="I837" i="23"/>
  <c r="J837" i="23" s="1"/>
  <c r="K837" i="23" s="1"/>
  <c r="I1773" i="23"/>
  <c r="J1773" i="23" s="1"/>
  <c r="K1773" i="23" s="1"/>
  <c r="I1461" i="23"/>
  <c r="J1461" i="23" s="1"/>
  <c r="I1565" i="23"/>
  <c r="J1565" i="23" s="1"/>
  <c r="K1565" i="23" s="1"/>
  <c r="I1253" i="23"/>
  <c r="J1253" i="23" s="1"/>
  <c r="K1253" i="23" s="1"/>
  <c r="I629" i="23"/>
  <c r="J629" i="23" s="1"/>
  <c r="I733" i="23"/>
  <c r="J733" i="23" s="1"/>
  <c r="I317" i="23"/>
  <c r="J317" i="23" s="1"/>
  <c r="K317" i="23" s="1"/>
  <c r="I213" i="23"/>
  <c r="J213" i="23" s="1"/>
  <c r="K213" i="23" s="1"/>
  <c r="I1045" i="23"/>
  <c r="J1045" i="23" s="1"/>
  <c r="K1045" i="23" s="1"/>
  <c r="I1357" i="23"/>
  <c r="J1357" i="23" s="1"/>
  <c r="I109" i="23"/>
  <c r="J109" i="23" s="1"/>
  <c r="K109" i="23" s="1"/>
  <c r="I525" i="23"/>
  <c r="J525" i="23" s="1"/>
  <c r="CQ49" i="19"/>
  <c r="CQ42" i="19"/>
  <c r="CQ58" i="19"/>
  <c r="CQ76" i="19"/>
  <c r="CQ101" i="19"/>
  <c r="CQ83" i="19"/>
  <c r="CQ43" i="19"/>
  <c r="CQ106" i="19"/>
  <c r="CQ53" i="19"/>
  <c r="CQ46" i="19"/>
  <c r="CQ107" i="19"/>
  <c r="CQ68" i="19"/>
  <c r="CQ96" i="19"/>
  <c r="CQ97" i="19"/>
  <c r="CQ55" i="19"/>
  <c r="CQ45" i="19"/>
  <c r="CQ99" i="19"/>
  <c r="CQ67" i="19"/>
  <c r="CQ70" i="19"/>
  <c r="CQ98" i="19"/>
  <c r="CQ77" i="19"/>
  <c r="CQ69" i="19"/>
  <c r="CQ54" i="19"/>
  <c r="CQ57" i="19"/>
  <c r="CQ71" i="19"/>
  <c r="CQ66" i="19"/>
  <c r="CQ56" i="19"/>
  <c r="CQ72" i="19"/>
  <c r="CQ102" i="19"/>
  <c r="CQ88" i="19"/>
  <c r="CQ103" i="19"/>
  <c r="K421" i="23"/>
  <c r="K2189" i="23"/>
  <c r="K1981" i="23"/>
  <c r="I2501" i="23"/>
  <c r="J2501" i="23" s="1"/>
  <c r="K2242" i="23"/>
  <c r="K2254" i="23"/>
  <c r="K200" i="23"/>
  <c r="K134" i="23"/>
  <c r="K2537" i="23"/>
  <c r="K22" i="23"/>
  <c r="K2564" i="23"/>
  <c r="K2226" i="23"/>
  <c r="K64" i="23"/>
  <c r="K2557" i="23"/>
  <c r="K2147" i="23"/>
  <c r="K2004" i="23"/>
  <c r="K2252" i="23"/>
  <c r="K1978" i="23"/>
  <c r="K2462" i="23"/>
  <c r="K1903" i="23"/>
  <c r="K1871" i="23"/>
  <c r="K2453" i="23"/>
  <c r="K82" i="23"/>
  <c r="K2396" i="23"/>
  <c r="K86" i="23"/>
  <c r="K2124" i="23"/>
  <c r="K2045" i="23"/>
  <c r="K2142" i="23"/>
  <c r="K2553" i="23"/>
  <c r="K2207" i="23"/>
  <c r="K2036" i="23"/>
  <c r="K157" i="23"/>
  <c r="K2373" i="23"/>
  <c r="K2298" i="23"/>
  <c r="K2181" i="23"/>
  <c r="K2159" i="23"/>
  <c r="K1822" i="23"/>
  <c r="K2173" i="23"/>
  <c r="K1902" i="23"/>
  <c r="K1973" i="23"/>
  <c r="K2389" i="23"/>
  <c r="K1919" i="23"/>
  <c r="K1793" i="23"/>
  <c r="K2131" i="23"/>
  <c r="K1790" i="23"/>
  <c r="K2542" i="23"/>
  <c r="K1782" i="23"/>
  <c r="K2342" i="23"/>
  <c r="K2231" i="23"/>
  <c r="K2386" i="23"/>
  <c r="K2068" i="23"/>
  <c r="K2533" i="23"/>
  <c r="K2134" i="23"/>
  <c r="K2083" i="23"/>
  <c r="K2129" i="23"/>
  <c r="K201" i="23"/>
  <c r="K2103" i="23"/>
  <c r="K2516" i="23"/>
  <c r="K2424" i="23"/>
  <c r="K2376" i="23"/>
  <c r="K2034" i="23"/>
  <c r="K1913" i="23"/>
  <c r="K1972" i="23"/>
  <c r="K2477" i="23"/>
  <c r="K2434" i="23"/>
  <c r="K1994" i="23"/>
  <c r="K2405" i="23"/>
  <c r="K2186" i="23"/>
  <c r="K2544" i="23"/>
  <c r="K2446" i="23"/>
  <c r="K2428" i="23"/>
  <c r="K2369" i="23"/>
  <c r="K2241" i="23"/>
  <c r="K2051" i="23"/>
  <c r="K119" i="23"/>
  <c r="K2590" i="23"/>
  <c r="K1943" i="23"/>
  <c r="K2521" i="23"/>
  <c r="K2148" i="23"/>
  <c r="K1996" i="23"/>
  <c r="K1930" i="23"/>
  <c r="K1809" i="23"/>
  <c r="K2385" i="23"/>
  <c r="K2374" i="23"/>
  <c r="K1958" i="23"/>
  <c r="K1883" i="23"/>
  <c r="K2054" i="23"/>
  <c r="K1991" i="23"/>
  <c r="K2528" i="23"/>
  <c r="K1827" i="23"/>
  <c r="K1980" i="23"/>
  <c r="K1898" i="23"/>
  <c r="K2271" i="23"/>
  <c r="K2198" i="23"/>
  <c r="K126" i="23"/>
  <c r="K14" i="23"/>
  <c r="K54" i="23"/>
  <c r="K2482" i="23"/>
  <c r="K2582" i="23"/>
  <c r="K2037" i="23"/>
  <c r="K1953" i="23"/>
  <c r="K1815" i="23"/>
  <c r="K185" i="23"/>
  <c r="K2532" i="23"/>
  <c r="K1795" i="23"/>
  <c r="K1951" i="23"/>
  <c r="K2450" i="23"/>
  <c r="K2502" i="23"/>
  <c r="K2401" i="23"/>
  <c r="K2422" i="23"/>
  <c r="K2339" i="23"/>
  <c r="K1774" i="23"/>
  <c r="K2283" i="23"/>
  <c r="K114" i="23"/>
  <c r="K190" i="23"/>
  <c r="K1792" i="23"/>
  <c r="K191" i="23"/>
  <c r="K2268" i="23"/>
  <c r="K2604" i="23"/>
  <c r="K2066" i="23"/>
  <c r="K1866" i="23"/>
  <c r="K2299" i="23"/>
  <c r="K2466" i="23"/>
  <c r="K2416" i="23"/>
  <c r="K2340" i="23"/>
  <c r="K2345" i="23"/>
  <c r="K2437" i="23"/>
  <c r="K2426" i="23"/>
  <c r="K2038" i="23"/>
  <c r="K1841" i="23"/>
  <c r="K46" i="23"/>
  <c r="K1798" i="23"/>
  <c r="K2436" i="23"/>
  <c r="K2390" i="23"/>
  <c r="K2214" i="23"/>
  <c r="K1925" i="23"/>
  <c r="K1935" i="23"/>
  <c r="K492" i="23"/>
  <c r="K2331" i="23"/>
  <c r="K1892" i="23"/>
  <c r="K1920" i="23"/>
  <c r="K61" i="23"/>
  <c r="K2308" i="23"/>
  <c r="K101" i="23"/>
  <c r="K2018" i="23"/>
  <c r="K1825" i="23"/>
  <c r="K2468" i="23"/>
  <c r="K166" i="23"/>
  <c r="K1835" i="23"/>
  <c r="K95" i="23"/>
  <c r="K2317" i="23"/>
  <c r="K2541" i="23"/>
  <c r="K2353" i="23"/>
  <c r="K2204" i="23"/>
  <c r="K2108" i="23"/>
  <c r="K2122" i="23"/>
  <c r="K1865" i="23"/>
  <c r="K158" i="23"/>
  <c r="K198" i="23"/>
  <c r="K78" i="23"/>
  <c r="K183" i="23"/>
  <c r="K940" i="23"/>
  <c r="K2093" i="23"/>
  <c r="K1908" i="23"/>
  <c r="K1823" i="23"/>
  <c r="K189" i="23"/>
  <c r="K2005" i="23"/>
  <c r="K2047" i="23"/>
  <c r="K1896" i="23"/>
  <c r="K1828" i="23"/>
  <c r="K63" i="23"/>
  <c r="K77" i="23"/>
  <c r="K2078" i="23"/>
  <c r="K1799" i="23"/>
  <c r="K2505" i="23"/>
  <c r="K1988" i="23"/>
  <c r="K173" i="23"/>
  <c r="K2350" i="23"/>
  <c r="K2461" i="23"/>
  <c r="K1989" i="23"/>
  <c r="K1955" i="23"/>
  <c r="K1912" i="23"/>
  <c r="K2243" i="23"/>
  <c r="K1783" i="23"/>
  <c r="K2030" i="23"/>
  <c r="K117" i="23"/>
  <c r="K2566" i="23"/>
  <c r="K2458" i="23"/>
  <c r="K2454" i="23"/>
  <c r="K2244" i="23"/>
  <c r="K1986" i="23"/>
  <c r="K1867" i="23"/>
  <c r="K2601" i="23"/>
  <c r="K2489" i="23"/>
  <c r="K2229" i="23"/>
  <c r="K1796" i="23"/>
  <c r="K2562" i="23"/>
  <c r="K2282" i="23"/>
  <c r="K2586" i="23"/>
  <c r="K2485" i="23"/>
  <c r="K2406" i="23"/>
  <c r="K2323" i="23"/>
  <c r="K2191" i="23"/>
  <c r="K2149" i="23"/>
  <c r="K2113" i="23"/>
  <c r="K1939" i="23"/>
  <c r="K1921" i="23"/>
  <c r="K159" i="23"/>
  <c r="K2400" i="23"/>
  <c r="K1786" i="23"/>
  <c r="K2028" i="23"/>
  <c r="K2046" i="23"/>
  <c r="K2238" i="23"/>
  <c r="K2513" i="23"/>
  <c r="K2230" i="23"/>
  <c r="K1899" i="23"/>
  <c r="K1777" i="23"/>
  <c r="K209" i="23"/>
  <c r="K2500" i="23"/>
  <c r="K2384" i="23"/>
  <c r="K2121" i="23"/>
  <c r="K1800" i="23"/>
  <c r="K2525" i="23"/>
  <c r="K2578" i="23"/>
  <c r="K2413" i="23"/>
  <c r="K2158" i="23"/>
  <c r="K2014" i="23"/>
  <c r="K2164" i="23"/>
  <c r="K1864" i="23"/>
  <c r="K210" i="23"/>
  <c r="K2086" i="23"/>
  <c r="K2067" i="23"/>
  <c r="K2359" i="23"/>
  <c r="K85" i="23"/>
  <c r="K2556" i="23"/>
  <c r="K2481" i="23"/>
  <c r="K2291" i="23"/>
  <c r="K1814" i="23"/>
  <c r="K1889" i="23"/>
  <c r="K2548" i="23"/>
  <c r="K2197" i="23"/>
  <c r="K125" i="23"/>
  <c r="K2596" i="23"/>
  <c r="K2393" i="23"/>
  <c r="K2251" i="23"/>
  <c r="K1784" i="23"/>
  <c r="K2352" i="23"/>
  <c r="K2070" i="23"/>
  <c r="K1884" i="23"/>
  <c r="K2084" i="23"/>
  <c r="K1911" i="23"/>
  <c r="K2444" i="23"/>
  <c r="K2497" i="23"/>
  <c r="K2346" i="23"/>
  <c r="K2310" i="23"/>
  <c r="K2133" i="23"/>
  <c r="K2179" i="23"/>
  <c r="K2035" i="23"/>
  <c r="K1776" i="23"/>
  <c r="K2425" i="23"/>
  <c r="K2377" i="23"/>
  <c r="K2593" i="23"/>
  <c r="K2449" i="23"/>
  <c r="K2227" i="23"/>
  <c r="K2287" i="23"/>
  <c r="K2156" i="23"/>
  <c r="K2099" i="23"/>
  <c r="K2267" i="23"/>
  <c r="K1906" i="23"/>
  <c r="K1820" i="23"/>
  <c r="K217" i="23"/>
  <c r="K2478" i="23"/>
  <c r="K1929" i="23"/>
  <c r="K93" i="23"/>
  <c r="K2510" i="23"/>
  <c r="K2494" i="23"/>
  <c r="K2347" i="23"/>
  <c r="K2361" i="23"/>
  <c r="K2237" i="23"/>
  <c r="K2098" i="23"/>
  <c r="K1904" i="23"/>
  <c r="K162" i="23"/>
  <c r="K34" i="23"/>
  <c r="K2182" i="23"/>
  <c r="K2082" i="23"/>
  <c r="K2006" i="23"/>
  <c r="K1808" i="23"/>
  <c r="K2580" i="23"/>
  <c r="K2414" i="23"/>
  <c r="K2549" i="23"/>
  <c r="K2577" i="23"/>
  <c r="K2412" i="23"/>
  <c r="K2465" i="23"/>
  <c r="K2335" i="23"/>
  <c r="K2090" i="23"/>
  <c r="K1780" i="23"/>
  <c r="I272" i="23"/>
  <c r="J272" i="23" s="1"/>
  <c r="I242" i="23"/>
  <c r="J242" i="23" s="1"/>
  <c r="K242" i="23" s="1"/>
  <c r="J300" i="23"/>
  <c r="K300" i="23" s="1"/>
  <c r="I369" i="23"/>
  <c r="J369" i="23" s="1"/>
  <c r="I438" i="23"/>
  <c r="J438" i="23" s="1"/>
  <c r="I460" i="23"/>
  <c r="J460" i="23" s="1"/>
  <c r="I566" i="23"/>
  <c r="J566" i="23" s="1"/>
  <c r="I627" i="23"/>
  <c r="J627" i="23" s="1"/>
  <c r="I728" i="23"/>
  <c r="J728" i="23" s="1"/>
  <c r="I808" i="23"/>
  <c r="J808" i="23" s="1"/>
  <c r="I230" i="23"/>
  <c r="J230" i="23" s="1"/>
  <c r="I216" i="23"/>
  <c r="J216" i="23" s="1"/>
  <c r="I308" i="23"/>
  <c r="J308" i="23" s="1"/>
  <c r="K308" i="23" s="1"/>
  <c r="I409" i="23"/>
  <c r="J409" i="23" s="1"/>
  <c r="I331" i="23"/>
  <c r="J331" i="23" s="1"/>
  <c r="I324" i="23"/>
  <c r="J324" i="23" s="1"/>
  <c r="I349" i="23"/>
  <c r="J349" i="23" s="1"/>
  <c r="I446" i="23"/>
  <c r="J446" i="23" s="1"/>
  <c r="I489" i="23"/>
  <c r="J489" i="23" s="1"/>
  <c r="I443" i="23"/>
  <c r="J443" i="23" s="1"/>
  <c r="I477" i="23"/>
  <c r="J477" i="23" s="1"/>
  <c r="I560" i="23"/>
  <c r="J560" i="23" s="1"/>
  <c r="I578" i="23"/>
  <c r="J578" i="23" s="1"/>
  <c r="I722" i="23"/>
  <c r="J722" i="23" s="1"/>
  <c r="K722" i="23" s="1"/>
  <c r="I759" i="23"/>
  <c r="J759" i="23" s="1"/>
  <c r="I777" i="23"/>
  <c r="J777" i="23" s="1"/>
  <c r="I827" i="23"/>
  <c r="J827" i="23" s="1"/>
  <c r="I789" i="23"/>
  <c r="J789" i="23" s="1"/>
  <c r="I896" i="23"/>
  <c r="J896" i="23" s="1"/>
  <c r="K896" i="23" s="1"/>
  <c r="I914" i="23"/>
  <c r="J914" i="23" s="1"/>
  <c r="I939" i="23"/>
  <c r="J939" i="23" s="1"/>
  <c r="I966" i="23"/>
  <c r="J966" i="23" s="1"/>
  <c r="I952" i="23"/>
  <c r="J952" i="23" s="1"/>
  <c r="K952" i="23" s="1"/>
  <c r="I945" i="23"/>
  <c r="J945" i="23" s="1"/>
  <c r="I1041" i="23"/>
  <c r="J1041" i="23" s="1"/>
  <c r="K1041" i="23" s="1"/>
  <c r="I1013" i="23"/>
  <c r="J1013" i="23" s="1"/>
  <c r="I1110" i="23"/>
  <c r="J1110" i="23" s="1"/>
  <c r="K1110" i="23" s="1"/>
  <c r="I1135" i="23"/>
  <c r="J1135" i="23" s="1"/>
  <c r="I1096" i="23"/>
  <c r="J1096" i="23" s="1"/>
  <c r="I1060" i="23"/>
  <c r="J1060" i="23" s="1"/>
  <c r="I1132" i="23"/>
  <c r="J1132" i="23" s="1"/>
  <c r="I1093" i="23"/>
  <c r="J1093" i="23" s="1"/>
  <c r="I1158" i="23"/>
  <c r="J1158" i="23" s="1"/>
  <c r="I1190" i="23"/>
  <c r="J1190" i="23" s="1"/>
  <c r="I1215" i="23"/>
  <c r="J1215" i="23" s="1"/>
  <c r="I1176" i="23"/>
  <c r="J1176" i="23" s="1"/>
  <c r="I1240" i="23"/>
  <c r="J1240" i="23" s="1"/>
  <c r="I1180" i="23"/>
  <c r="J1180" i="23" s="1"/>
  <c r="I1244" i="23"/>
  <c r="J1244" i="23" s="1"/>
  <c r="I1173" i="23"/>
  <c r="J1173" i="23" s="1"/>
  <c r="I1302" i="23"/>
  <c r="J1302" i="23" s="1"/>
  <c r="I1288" i="23"/>
  <c r="J1288" i="23" s="1"/>
  <c r="I1281" i="23"/>
  <c r="J1281" i="23" s="1"/>
  <c r="I1345" i="23"/>
  <c r="J1345" i="23" s="1"/>
  <c r="I1331" i="23"/>
  <c r="J1331" i="23" s="1"/>
  <c r="I1292" i="23"/>
  <c r="J1292" i="23" s="1"/>
  <c r="I1356" i="23"/>
  <c r="J1356" i="23" s="1"/>
  <c r="I1349" i="23"/>
  <c r="J1349" i="23" s="1"/>
  <c r="I1413" i="23"/>
  <c r="J1413" i="23" s="1"/>
  <c r="I1445" i="23"/>
  <c r="J1445" i="23" s="1"/>
  <c r="I1367" i="23"/>
  <c r="J1367" i="23" s="1"/>
  <c r="I1431" i="23"/>
  <c r="J1431" i="23" s="1"/>
  <c r="I1392" i="23"/>
  <c r="J1392" i="23" s="1"/>
  <c r="I1456" i="23"/>
  <c r="J1456" i="23" s="1"/>
  <c r="I1385" i="23"/>
  <c r="J1385" i="23" s="1"/>
  <c r="I1410" i="23"/>
  <c r="J1410" i="23" s="1"/>
  <c r="I1364" i="23"/>
  <c r="J1364" i="23" s="1"/>
  <c r="I1494" i="23"/>
  <c r="J1494" i="23" s="1"/>
  <c r="I1526" i="23"/>
  <c r="J1526" i="23" s="1"/>
  <c r="I1519" i="23"/>
  <c r="J1519" i="23" s="1"/>
  <c r="I1480" i="23"/>
  <c r="J1480" i="23" s="1"/>
  <c r="I1473" i="23"/>
  <c r="J1473" i="23" s="1"/>
  <c r="I1537" i="23"/>
  <c r="J1537" i="23" s="1"/>
  <c r="I1498" i="23"/>
  <c r="J1498" i="23" s="1"/>
  <c r="I1562" i="23"/>
  <c r="J1562" i="23" s="1"/>
  <c r="I1523" i="23"/>
  <c r="J1523" i="23" s="1"/>
  <c r="I1555" i="23"/>
  <c r="J1555" i="23" s="1"/>
  <c r="I146" i="23"/>
  <c r="J146" i="23" s="1"/>
  <c r="I241" i="23"/>
  <c r="J241" i="23" s="1"/>
  <c r="I299" i="23"/>
  <c r="J299" i="23" s="1"/>
  <c r="I326" i="23"/>
  <c r="J326" i="23" s="1"/>
  <c r="I362" i="23"/>
  <c r="J362" i="23" s="1"/>
  <c r="I355" i="23"/>
  <c r="J355" i="23" s="1"/>
  <c r="I373" i="23"/>
  <c r="J373" i="23" s="1"/>
  <c r="I495" i="23"/>
  <c r="J495" i="23" s="1"/>
  <c r="I513" i="23"/>
  <c r="J513" i="23" s="1"/>
  <c r="I435" i="23"/>
  <c r="J435" i="23" s="1"/>
  <c r="I559" i="23"/>
  <c r="J559" i="23" s="1"/>
  <c r="I664" i="23"/>
  <c r="J664" i="23" s="1"/>
  <c r="I635" i="23"/>
  <c r="J635" i="23" s="1"/>
  <c r="I725" i="23"/>
  <c r="J725" i="23" s="1"/>
  <c r="K725" i="23" s="1"/>
  <c r="I744" i="23"/>
  <c r="J744" i="23" s="1"/>
  <c r="I287" i="23"/>
  <c r="J287" i="23" s="1"/>
  <c r="I249" i="23"/>
  <c r="J249" i="23" s="1"/>
  <c r="I327" i="23"/>
  <c r="J327" i="23" s="1"/>
  <c r="K327" i="23" s="1"/>
  <c r="I384" i="23"/>
  <c r="J384" i="23" s="1"/>
  <c r="I425" i="23"/>
  <c r="J425" i="23" s="1"/>
  <c r="I606" i="23"/>
  <c r="J606" i="23" s="1"/>
  <c r="I624" i="23"/>
  <c r="J624" i="23" s="1"/>
  <c r="I610" i="23"/>
  <c r="J610" i="23" s="1"/>
  <c r="I571" i="23"/>
  <c r="J571" i="23" s="1"/>
  <c r="I621" i="23"/>
  <c r="J621" i="23" s="1"/>
  <c r="I727" i="23"/>
  <c r="J727" i="23" s="1"/>
  <c r="I675" i="23"/>
  <c r="J675" i="23" s="1"/>
  <c r="I784" i="23"/>
  <c r="J784" i="23" s="1"/>
  <c r="I763" i="23"/>
  <c r="J763" i="23" s="1"/>
  <c r="K763" i="23" s="1"/>
  <c r="I882" i="23"/>
  <c r="J882" i="23" s="1"/>
  <c r="I901" i="23"/>
  <c r="J901" i="23" s="1"/>
  <c r="I998" i="23"/>
  <c r="J998" i="23" s="1"/>
  <c r="I1016" i="23"/>
  <c r="J1016" i="23" s="1"/>
  <c r="I977" i="23"/>
  <c r="J977" i="23" s="1"/>
  <c r="I970" i="23"/>
  <c r="J970" i="23" s="1"/>
  <c r="I995" i="23"/>
  <c r="J995" i="23" s="1"/>
  <c r="I956" i="23"/>
  <c r="J956" i="23" s="1"/>
  <c r="I1046" i="23"/>
  <c r="J1046" i="23" s="1"/>
  <c r="I1078" i="23"/>
  <c r="J1078" i="23" s="1"/>
  <c r="I1103" i="23"/>
  <c r="J1103" i="23" s="1"/>
  <c r="I1064" i="23"/>
  <c r="J1064" i="23" s="1"/>
  <c r="I1128" i="23"/>
  <c r="J1128" i="23" s="1"/>
  <c r="I1092" i="23"/>
  <c r="J1092" i="23" s="1"/>
  <c r="I1061" i="23"/>
  <c r="J1061" i="23" s="1"/>
  <c r="I1125" i="23"/>
  <c r="J1125" i="23" s="1"/>
  <c r="I1183" i="23"/>
  <c r="J1183" i="23" s="1"/>
  <c r="I1247" i="23"/>
  <c r="J1247" i="23" s="1"/>
  <c r="I1208" i="23"/>
  <c r="J1208" i="23" s="1"/>
  <c r="I1187" i="23"/>
  <c r="J1187" i="23" s="1"/>
  <c r="I1251" i="23"/>
  <c r="J1251" i="23" s="1"/>
  <c r="I1212" i="23"/>
  <c r="J1212" i="23" s="1"/>
  <c r="I1270" i="23"/>
  <c r="J1270" i="23" s="1"/>
  <c r="I1295" i="23"/>
  <c r="J1295" i="23" s="1"/>
  <c r="I1256" i="23"/>
  <c r="J1256" i="23" s="1"/>
  <c r="I1313" i="23"/>
  <c r="J1313" i="23" s="1"/>
  <c r="I1299" i="23"/>
  <c r="J1299" i="23" s="1"/>
  <c r="I1317" i="23"/>
  <c r="J1317" i="23" s="1"/>
  <c r="I1438" i="23"/>
  <c r="J1438" i="23" s="1"/>
  <c r="I1399" i="23"/>
  <c r="J1399" i="23" s="1"/>
  <c r="I1360" i="23"/>
  <c r="J1360" i="23" s="1"/>
  <c r="I1424" i="23"/>
  <c r="J1424" i="23" s="1"/>
  <c r="I1442" i="23"/>
  <c r="J1442" i="23" s="1"/>
  <c r="I1435" i="23"/>
  <c r="J1435" i="23" s="1"/>
  <c r="I1462" i="23"/>
  <c r="J1462" i="23" s="1"/>
  <c r="K1462" i="23" s="1"/>
  <c r="I1551" i="23"/>
  <c r="J1551" i="23" s="1"/>
  <c r="I1512" i="23"/>
  <c r="J1512" i="23" s="1"/>
  <c r="I1466" i="23"/>
  <c r="J1466" i="23" s="1"/>
  <c r="I1491" i="23"/>
  <c r="J1491" i="23" s="1"/>
  <c r="I1516" i="23"/>
  <c r="J1516" i="23" s="1"/>
  <c r="I1548" i="23"/>
  <c r="J1548" i="23" s="1"/>
  <c r="I1477" i="23"/>
  <c r="J1477" i="23" s="1"/>
  <c r="I1509" i="23"/>
  <c r="J1509" i="23" s="1"/>
  <c r="I1574" i="23"/>
  <c r="J1574" i="23" s="1"/>
  <c r="I1606" i="23"/>
  <c r="J1606" i="23" s="1"/>
  <c r="I1638" i="23"/>
  <c r="J1638" i="23" s="1"/>
  <c r="I1567" i="23"/>
  <c r="J1567" i="23" s="1"/>
  <c r="I1599" i="23"/>
  <c r="J1599" i="23" s="1"/>
  <c r="I1631" i="23"/>
  <c r="J1631" i="23" s="1"/>
  <c r="I1663" i="23"/>
  <c r="J1663" i="23" s="1"/>
  <c r="I1624" i="23"/>
  <c r="J1624" i="23" s="1"/>
  <c r="I1585" i="23"/>
  <c r="J1585" i="23" s="1"/>
  <c r="I1649" i="23"/>
  <c r="J1649" i="23" s="1"/>
  <c r="I1571" i="23"/>
  <c r="J1571" i="23" s="1"/>
  <c r="I1603" i="23"/>
  <c r="J1603" i="23" s="1"/>
  <c r="I1635" i="23"/>
  <c r="J1635" i="23" s="1"/>
  <c r="I1667" i="23"/>
  <c r="J1667" i="23" s="1"/>
  <c r="I1628" i="23"/>
  <c r="J1628" i="23" s="1"/>
  <c r="I1750" i="23"/>
  <c r="J1750" i="23" s="1"/>
  <c r="I1679" i="23"/>
  <c r="J1679" i="23" s="1"/>
  <c r="I1711" i="23"/>
  <c r="J1711" i="23" s="1"/>
  <c r="I1704" i="23"/>
  <c r="J1704" i="23" s="1"/>
  <c r="I1768" i="23"/>
  <c r="J1768" i="23" s="1"/>
  <c r="I1697" i="23"/>
  <c r="J1697" i="23" s="1"/>
  <c r="I1761" i="23"/>
  <c r="J1761" i="23" s="1"/>
  <c r="I1690" i="23"/>
  <c r="J1690" i="23" s="1"/>
  <c r="I1722" i="23"/>
  <c r="J1722" i="23" s="1"/>
  <c r="I1683" i="23"/>
  <c r="J1683" i="23" s="1"/>
  <c r="I1715" i="23"/>
  <c r="J1715" i="23" s="1"/>
  <c r="I1747" i="23"/>
  <c r="J1747" i="23" s="1"/>
  <c r="I1756" i="23"/>
  <c r="J1756" i="23" s="1"/>
  <c r="K1914" i="23"/>
  <c r="K2222" i="23"/>
  <c r="K2174" i="23"/>
  <c r="K2166" i="23"/>
  <c r="K2508" i="23"/>
  <c r="K2561" i="23"/>
  <c r="K2460" i="23"/>
  <c r="K2417" i="23"/>
  <c r="K1949" i="23"/>
  <c r="K1963" i="23"/>
  <c r="K2457" i="23"/>
  <c r="K2484" i="23"/>
  <c r="K2433" i="23"/>
  <c r="K2205" i="23"/>
  <c r="I261" i="23"/>
  <c r="J261" i="23" s="1"/>
  <c r="I344" i="23"/>
  <c r="J344" i="23" s="1"/>
  <c r="I394" i="23"/>
  <c r="J394" i="23" s="1"/>
  <c r="I348" i="23"/>
  <c r="J348" i="23" s="1"/>
  <c r="I470" i="23"/>
  <c r="J470" i="23" s="1"/>
  <c r="I442" i="23"/>
  <c r="J442" i="23" s="1"/>
  <c r="I534" i="23"/>
  <c r="J534" i="23" s="1"/>
  <c r="I538" i="23"/>
  <c r="J538" i="23" s="1"/>
  <c r="I620" i="23"/>
  <c r="J620" i="23" s="1"/>
  <c r="I710" i="23"/>
  <c r="J710" i="23" s="1"/>
  <c r="I714" i="23"/>
  <c r="J714" i="23" s="1"/>
  <c r="I661" i="23"/>
  <c r="J661" i="23" s="1"/>
  <c r="I294" i="23"/>
  <c r="J294" i="23" s="1"/>
  <c r="I248" i="23"/>
  <c r="J248" i="23" s="1"/>
  <c r="I313" i="23"/>
  <c r="J313" i="23" s="1"/>
  <c r="I307" i="23"/>
  <c r="J307" i="23" s="1"/>
  <c r="I237" i="23"/>
  <c r="J237" i="23" s="1"/>
  <c r="I334" i="23"/>
  <c r="J334" i="23" s="1"/>
  <c r="I416" i="23"/>
  <c r="J416" i="23" s="1"/>
  <c r="I370" i="23"/>
  <c r="J370" i="23" s="1"/>
  <c r="I478" i="23"/>
  <c r="J478" i="23" s="1"/>
  <c r="I464" i="23"/>
  <c r="J464" i="23" s="1"/>
  <c r="I508" i="23"/>
  <c r="J508" i="23" s="1"/>
  <c r="I542" i="23"/>
  <c r="J542" i="23" s="1"/>
  <c r="I528" i="23"/>
  <c r="J528" i="23" s="1"/>
  <c r="I663" i="23"/>
  <c r="J663" i="23" s="1"/>
  <c r="I745" i="23"/>
  <c r="J745" i="23" s="1"/>
  <c r="I802" i="23"/>
  <c r="J802" i="23" s="1"/>
  <c r="I757" i="23"/>
  <c r="J757" i="23" s="1"/>
  <c r="I910" i="23"/>
  <c r="J910" i="23" s="1"/>
  <c r="I889" i="23"/>
  <c r="J889" i="23" s="1"/>
  <c r="I843" i="23"/>
  <c r="J843" i="23" s="1"/>
  <c r="I907" i="23"/>
  <c r="J907" i="23" s="1"/>
  <c r="I932" i="23"/>
  <c r="J932" i="23" s="1"/>
  <c r="I1030" i="23"/>
  <c r="J1030" i="23" s="1"/>
  <c r="I1142" i="23"/>
  <c r="J1142" i="23" s="1"/>
  <c r="I238" i="23"/>
  <c r="J238" i="23" s="1"/>
  <c r="I302" i="23"/>
  <c r="J302" i="23" s="1"/>
  <c r="I263" i="23"/>
  <c r="J263" i="23" s="1"/>
  <c r="I256" i="23"/>
  <c r="J256" i="23" s="1"/>
  <c r="I225" i="23"/>
  <c r="J225" i="23" s="1"/>
  <c r="I289" i="23"/>
  <c r="J289" i="23" s="1"/>
  <c r="I283" i="23"/>
  <c r="J283" i="23" s="1"/>
  <c r="I342" i="23"/>
  <c r="J342" i="23" s="1"/>
  <c r="I406" i="23"/>
  <c r="J406" i="23" s="1"/>
  <c r="I360" i="23"/>
  <c r="J360" i="23" s="1"/>
  <c r="I321" i="23"/>
  <c r="J321" i="23" s="1"/>
  <c r="I385" i="23"/>
  <c r="J385" i="23" s="1"/>
  <c r="I371" i="23"/>
  <c r="J371" i="23" s="1"/>
  <c r="J332" i="23"/>
  <c r="K332" i="23" s="1"/>
  <c r="I357" i="23"/>
  <c r="J357" i="23" s="1"/>
  <c r="I422" i="23"/>
  <c r="J422" i="23" s="1"/>
  <c r="I486" i="23"/>
  <c r="J486" i="23" s="1"/>
  <c r="I447" i="23"/>
  <c r="J447" i="23" s="1"/>
  <c r="I511" i="23"/>
  <c r="J511" i="23" s="1"/>
  <c r="I433" i="23"/>
  <c r="J433" i="23" s="1"/>
  <c r="I465" i="23"/>
  <c r="J465" i="23" s="1"/>
  <c r="I444" i="23"/>
  <c r="J444" i="23" s="1"/>
  <c r="I550" i="23"/>
  <c r="J550" i="23" s="1"/>
  <c r="I582" i="23"/>
  <c r="J582" i="23" s="1"/>
  <c r="I543" i="23"/>
  <c r="J543" i="23" s="1"/>
  <c r="I607" i="23"/>
  <c r="J607" i="23" s="1"/>
  <c r="I529" i="23"/>
  <c r="J529" i="23" s="1"/>
  <c r="I554" i="23"/>
  <c r="J554" i="23" s="1"/>
  <c r="I618" i="23"/>
  <c r="J618" i="23" s="1"/>
  <c r="I611" i="23"/>
  <c r="J611" i="23" s="1"/>
  <c r="I572" i="23"/>
  <c r="J572" i="23" s="1"/>
  <c r="I662" i="23"/>
  <c r="J662" i="23" s="1"/>
  <c r="I703" i="23"/>
  <c r="J703" i="23" s="1"/>
  <c r="I778" i="23"/>
  <c r="J778" i="23" s="1"/>
  <c r="I765" i="23"/>
  <c r="J765" i="23" s="1"/>
  <c r="I886" i="23"/>
  <c r="J886" i="23" s="1"/>
  <c r="I847" i="23"/>
  <c r="J847" i="23" s="1"/>
  <c r="I872" i="23"/>
  <c r="J872" i="23" s="1"/>
  <c r="I936" i="23"/>
  <c r="J936" i="23" s="1"/>
  <c r="I858" i="23"/>
  <c r="J858" i="23" s="1"/>
  <c r="I922" i="23"/>
  <c r="J922" i="23" s="1"/>
  <c r="I844" i="23"/>
  <c r="J844" i="23" s="1"/>
  <c r="I876" i="23"/>
  <c r="J876" i="23" s="1"/>
  <c r="I845" i="23"/>
  <c r="J845" i="23" s="1"/>
  <c r="I909" i="23"/>
  <c r="J909" i="23" s="1"/>
  <c r="I942" i="23"/>
  <c r="J942" i="23" s="1"/>
  <c r="I1006" i="23"/>
  <c r="J1006" i="23" s="1"/>
  <c r="I999" i="23"/>
  <c r="J999" i="23" s="1"/>
  <c r="I960" i="23"/>
  <c r="J960" i="23" s="1"/>
  <c r="I1024" i="23"/>
  <c r="J1024" i="23" s="1"/>
  <c r="I971" i="23"/>
  <c r="J971" i="23" s="1"/>
  <c r="I964" i="23"/>
  <c r="J964" i="23" s="1"/>
  <c r="I1028" i="23"/>
  <c r="J1028" i="23" s="1"/>
  <c r="I1054" i="23"/>
  <c r="J1054" i="23" s="1"/>
  <c r="I1086" i="23"/>
  <c r="J1086" i="23" s="1"/>
  <c r="I1047" i="23"/>
  <c r="J1047" i="23" s="1"/>
  <c r="I1111" i="23"/>
  <c r="J1111" i="23" s="1"/>
  <c r="I1072" i="23"/>
  <c r="J1072" i="23" s="1"/>
  <c r="I1104" i="23"/>
  <c r="J1104" i="23" s="1"/>
  <c r="I1065" i="23"/>
  <c r="J1065" i="23" s="1"/>
  <c r="I1129" i="23"/>
  <c r="J1129" i="23" s="1"/>
  <c r="I1083" i="23"/>
  <c r="J1083" i="23" s="1"/>
  <c r="I1108" i="23"/>
  <c r="J1108" i="23" s="1"/>
  <c r="I1069" i="23"/>
  <c r="J1069" i="23" s="1"/>
  <c r="I1133" i="23"/>
  <c r="J1133" i="23" s="1"/>
  <c r="I1159" i="23"/>
  <c r="J1159" i="23" s="1"/>
  <c r="I1223" i="23"/>
  <c r="J1223" i="23" s="1"/>
  <c r="I1184" i="23"/>
  <c r="J1184" i="23" s="1"/>
  <c r="I1248" i="23"/>
  <c r="J1248" i="23" s="1"/>
  <c r="I1156" i="23"/>
  <c r="J1156" i="23" s="1"/>
  <c r="I1252" i="23"/>
  <c r="J1252" i="23" s="1"/>
  <c r="I1213" i="23"/>
  <c r="J1213" i="23" s="1"/>
  <c r="I1278" i="23"/>
  <c r="J1278" i="23" s="1"/>
  <c r="I1342" i="23"/>
  <c r="J1342" i="23" s="1"/>
  <c r="I1264" i="23"/>
  <c r="J1264" i="23" s="1"/>
  <c r="I1257" i="23"/>
  <c r="J1257" i="23" s="1"/>
  <c r="I1339" i="23"/>
  <c r="J1339" i="23" s="1"/>
  <c r="I1268" i="23"/>
  <c r="J1268" i="23" s="1"/>
  <c r="I1332" i="23"/>
  <c r="J1332" i="23" s="1"/>
  <c r="I1293" i="23"/>
  <c r="J1293" i="23" s="1"/>
  <c r="I1460" i="23"/>
  <c r="J1460" i="23" s="1"/>
  <c r="I1421" i="23"/>
  <c r="J1421" i="23" s="1"/>
  <c r="I1446" i="23"/>
  <c r="J1446" i="23" s="1"/>
  <c r="I1439" i="23"/>
  <c r="J1439" i="23" s="1"/>
  <c r="I1432" i="23"/>
  <c r="J1432" i="23" s="1"/>
  <c r="I1393" i="23"/>
  <c r="J1393" i="23" s="1"/>
  <c r="I1457" i="23"/>
  <c r="J1457" i="23" s="1"/>
  <c r="I1450" i="23"/>
  <c r="J1450" i="23" s="1"/>
  <c r="I1411" i="23"/>
  <c r="J1411" i="23" s="1"/>
  <c r="I1443" i="23"/>
  <c r="J1443" i="23" s="1"/>
  <c r="I1404" i="23"/>
  <c r="J1404" i="23" s="1"/>
  <c r="I1470" i="23"/>
  <c r="J1470" i="23" s="1"/>
  <c r="I1534" i="23"/>
  <c r="J1534" i="23" s="1"/>
  <c r="I1463" i="23"/>
  <c r="J1463" i="23" s="1"/>
  <c r="I1488" i="23"/>
  <c r="J1488" i="23" s="1"/>
  <c r="I1499" i="23"/>
  <c r="J1499" i="23" s="1"/>
  <c r="I1556" i="23"/>
  <c r="J1556" i="23" s="1"/>
  <c r="I1517" i="23"/>
  <c r="J1517" i="23" s="1"/>
  <c r="I1614" i="23"/>
  <c r="J1614" i="23" s="1"/>
  <c r="I1575" i="23"/>
  <c r="J1575" i="23" s="1"/>
  <c r="I1639" i="23"/>
  <c r="J1639" i="23" s="1"/>
  <c r="I1664" i="23"/>
  <c r="J1664" i="23" s="1"/>
  <c r="I1586" i="23"/>
  <c r="J1586" i="23" s="1"/>
  <c r="I1618" i="23"/>
  <c r="J1618" i="23" s="1"/>
  <c r="I1579" i="23"/>
  <c r="J1579" i="23" s="1"/>
  <c r="I1643" i="23"/>
  <c r="J1643" i="23" s="1"/>
  <c r="I1726" i="23"/>
  <c r="J1726" i="23" s="1"/>
  <c r="I1687" i="23"/>
  <c r="J1687" i="23" s="1"/>
  <c r="I1751" i="23"/>
  <c r="J1751" i="23" s="1"/>
  <c r="I1673" i="23"/>
  <c r="J1673" i="23" s="1"/>
  <c r="I1705" i="23"/>
  <c r="J1705" i="23" s="1"/>
  <c r="I1737" i="23"/>
  <c r="J1737" i="23" s="1"/>
  <c r="I1730" i="23"/>
  <c r="J1730" i="23" s="1"/>
  <c r="I1762" i="23"/>
  <c r="J1762" i="23" s="1"/>
  <c r="I1691" i="23"/>
  <c r="J1691" i="23" s="1"/>
  <c r="I1723" i="23"/>
  <c r="J1723" i="23" s="1"/>
  <c r="I1755" i="23"/>
  <c r="J1755" i="23" s="1"/>
  <c r="I1700" i="23"/>
  <c r="J1700" i="23" s="1"/>
  <c r="I1732" i="23"/>
  <c r="J1732" i="23" s="1"/>
  <c r="I1764" i="23"/>
  <c r="J1764" i="23" s="1"/>
  <c r="H2606" i="23"/>
  <c r="I5" i="23"/>
  <c r="K2013" i="23"/>
  <c r="K2278" i="23"/>
  <c r="K1893" i="23"/>
  <c r="K2169" i="23"/>
  <c r="K2365" i="23"/>
  <c r="K2094" i="23"/>
  <c r="K1881" i="23"/>
  <c r="K18" i="23"/>
  <c r="K2588" i="23"/>
  <c r="I305" i="23"/>
  <c r="J305" i="23" s="1"/>
  <c r="I267" i="23"/>
  <c r="J267" i="23" s="1"/>
  <c r="I229" i="23"/>
  <c r="J229" i="23" s="1"/>
  <c r="I419" i="23"/>
  <c r="J419" i="23" s="1"/>
  <c r="I405" i="23"/>
  <c r="J405" i="23" s="1"/>
  <c r="I598" i="23"/>
  <c r="J598" i="23" s="1"/>
  <c r="I570" i="23"/>
  <c r="J570" i="23" s="1"/>
  <c r="I588" i="23"/>
  <c r="J588" i="23" s="1"/>
  <c r="I696" i="23"/>
  <c r="J696" i="23" s="1"/>
  <c r="I644" i="23"/>
  <c r="J644" i="23" s="1"/>
  <c r="I724" i="23"/>
  <c r="J724" i="23" s="1"/>
  <c r="I262" i="23"/>
  <c r="J262" i="23" s="1"/>
  <c r="I280" i="23"/>
  <c r="J280" i="23" s="1"/>
  <c r="J244" i="23"/>
  <c r="K244" i="23" s="1"/>
  <c r="I352" i="23"/>
  <c r="J352" i="23" s="1"/>
  <c r="I402" i="23"/>
  <c r="J402" i="23" s="1"/>
  <c r="I510" i="23"/>
  <c r="J510" i="23" s="1"/>
  <c r="I496" i="23"/>
  <c r="J496" i="23" s="1"/>
  <c r="I574" i="23"/>
  <c r="J574" i="23" s="1"/>
  <c r="I603" i="23"/>
  <c r="J603" i="23" s="1"/>
  <c r="I589" i="23"/>
  <c r="J589" i="23" s="1"/>
  <c r="I631" i="23"/>
  <c r="J631" i="23" s="1"/>
  <c r="I658" i="23"/>
  <c r="J658" i="23" s="1"/>
  <c r="I643" i="23"/>
  <c r="J643" i="23" s="1"/>
  <c r="I928" i="23"/>
  <c r="J928" i="23" s="1"/>
  <c r="I875" i="23"/>
  <c r="J875" i="23" s="1"/>
  <c r="I868" i="23"/>
  <c r="J868" i="23" s="1"/>
  <c r="I1071" i="23"/>
  <c r="J1071" i="23" s="1"/>
  <c r="J180" i="23"/>
  <c r="K180" i="23" s="1"/>
  <c r="I231" i="23"/>
  <c r="J231" i="23" s="1"/>
  <c r="I257" i="23"/>
  <c r="J257" i="23" s="1"/>
  <c r="I251" i="23"/>
  <c r="J251" i="23" s="1"/>
  <c r="J284" i="23"/>
  <c r="K284" i="23" s="1"/>
  <c r="I245" i="23"/>
  <c r="J245" i="23" s="1"/>
  <c r="I309" i="23"/>
  <c r="J309" i="23" s="1"/>
  <c r="I374" i="23"/>
  <c r="J374" i="23" s="1"/>
  <c r="I335" i="23"/>
  <c r="J335" i="23" s="1"/>
  <c r="I353" i="23"/>
  <c r="J353" i="23" s="1"/>
  <c r="I417" i="23"/>
  <c r="J417" i="23" s="1"/>
  <c r="I378" i="23"/>
  <c r="J378" i="23" s="1"/>
  <c r="I339" i="23"/>
  <c r="J339" i="23" s="1"/>
  <c r="I403" i="23"/>
  <c r="J403" i="23" s="1"/>
  <c r="I325" i="23"/>
  <c r="J325" i="23" s="1"/>
  <c r="I389" i="23"/>
  <c r="J389" i="23" s="1"/>
  <c r="I454" i="23"/>
  <c r="J454" i="23" s="1"/>
  <c r="I518" i="23"/>
  <c r="J518" i="23" s="1"/>
  <c r="I479" i="23"/>
  <c r="J479" i="23" s="1"/>
  <c r="I440" i="23"/>
  <c r="J440" i="23" s="1"/>
  <c r="I426" i="23"/>
  <c r="J426" i="23" s="1"/>
  <c r="I476" i="23"/>
  <c r="J476" i="23" s="1"/>
  <c r="I575" i="23"/>
  <c r="J575" i="23" s="1"/>
  <c r="I561" i="23"/>
  <c r="J561" i="23" s="1"/>
  <c r="I586" i="23"/>
  <c r="J586" i="23" s="1"/>
  <c r="I579" i="23"/>
  <c r="J579" i="23" s="1"/>
  <c r="I540" i="23"/>
  <c r="J540" i="23" s="1"/>
  <c r="I604" i="23"/>
  <c r="J604" i="23" s="1"/>
  <c r="I630" i="23"/>
  <c r="J630" i="23" s="1"/>
  <c r="K630" i="23" s="1"/>
  <c r="I694" i="23"/>
  <c r="J694" i="23" s="1"/>
  <c r="I639" i="23"/>
  <c r="J639" i="23" s="1"/>
  <c r="I671" i="23"/>
  <c r="J671" i="23" s="1"/>
  <c r="I648" i="23"/>
  <c r="J648" i="23" s="1"/>
  <c r="I651" i="23"/>
  <c r="J651" i="23" s="1"/>
  <c r="I683" i="23"/>
  <c r="J683" i="23" s="1"/>
  <c r="I715" i="23"/>
  <c r="J715" i="23" s="1"/>
  <c r="I645" i="23"/>
  <c r="J645" i="23" s="1"/>
  <c r="I677" i="23"/>
  <c r="J677" i="23" s="1"/>
  <c r="I709" i="23"/>
  <c r="J709" i="23" s="1"/>
  <c r="I774" i="23"/>
  <c r="J774" i="23" s="1"/>
  <c r="I806" i="23"/>
  <c r="J806" i="23" s="1"/>
  <c r="I799" i="23"/>
  <c r="J799" i="23" s="1"/>
  <c r="I831" i="23"/>
  <c r="J831" i="23" s="1"/>
  <c r="I760" i="23"/>
  <c r="J760" i="23" s="1"/>
  <c r="I792" i="23"/>
  <c r="J792" i="23" s="1"/>
  <c r="I824" i="23"/>
  <c r="J824" i="23" s="1"/>
  <c r="I746" i="23"/>
  <c r="J746" i="23" s="1"/>
  <c r="I810" i="23"/>
  <c r="J810" i="23" s="1"/>
  <c r="I918" i="23"/>
  <c r="J918" i="23" s="1"/>
  <c r="I897" i="23"/>
  <c r="J897" i="23" s="1"/>
  <c r="I851" i="23"/>
  <c r="J851" i="23" s="1"/>
  <c r="I877" i="23"/>
  <c r="J877" i="23" s="1"/>
  <c r="I1038" i="23"/>
  <c r="J1038" i="23" s="1"/>
  <c r="I953" i="23"/>
  <c r="J953" i="23" s="1"/>
  <c r="I985" i="23"/>
  <c r="J985" i="23" s="1"/>
  <c r="I996" i="23"/>
  <c r="J996" i="23" s="1"/>
  <c r="I1118" i="23"/>
  <c r="J1118" i="23" s="1"/>
  <c r="I1143" i="23"/>
  <c r="J1143" i="23" s="1"/>
  <c r="I1136" i="23"/>
  <c r="J1136" i="23" s="1"/>
  <c r="I1097" i="23"/>
  <c r="J1097" i="23" s="1"/>
  <c r="I1051" i="23"/>
  <c r="J1051" i="23" s="1"/>
  <c r="I1068" i="23"/>
  <c r="J1068" i="23" s="1"/>
  <c r="I1140" i="23"/>
  <c r="J1140" i="23" s="1"/>
  <c r="I1101" i="23"/>
  <c r="J1101" i="23" s="1"/>
  <c r="I1166" i="23"/>
  <c r="J1166" i="23" s="1"/>
  <c r="I1152" i="23"/>
  <c r="J1152" i="23" s="1"/>
  <c r="I1216" i="23"/>
  <c r="J1216" i="23" s="1"/>
  <c r="I1195" i="23"/>
  <c r="J1195" i="23" s="1"/>
  <c r="I1188" i="23"/>
  <c r="J1188" i="23" s="1"/>
  <c r="I1220" i="23"/>
  <c r="J1220" i="23" s="1"/>
  <c r="I1310" i="23"/>
  <c r="J1310" i="23" s="1"/>
  <c r="I1335" i="23"/>
  <c r="J1335" i="23" s="1"/>
  <c r="I1296" i="23"/>
  <c r="J1296" i="23" s="1"/>
  <c r="I1321" i="23"/>
  <c r="J1321" i="23" s="1"/>
  <c r="I1307" i="23"/>
  <c r="J1307" i="23" s="1"/>
  <c r="I1325" i="23"/>
  <c r="J1325" i="23" s="1"/>
  <c r="I1389" i="23"/>
  <c r="J1389" i="23" s="1"/>
  <c r="I1453" i="23"/>
  <c r="J1453" i="23" s="1"/>
  <c r="I1414" i="23"/>
  <c r="J1414" i="23" s="1"/>
  <c r="I1407" i="23"/>
  <c r="J1407" i="23" s="1"/>
  <c r="I1400" i="23"/>
  <c r="J1400" i="23" s="1"/>
  <c r="I1361" i="23"/>
  <c r="J1361" i="23" s="1"/>
  <c r="I1425" i="23"/>
  <c r="J1425" i="23" s="1"/>
  <c r="I1418" i="23"/>
  <c r="J1418" i="23" s="1"/>
  <c r="I1372" i="23"/>
  <c r="J1372" i="23" s="1"/>
  <c r="I1436" i="23"/>
  <c r="J1436" i="23" s="1"/>
  <c r="I1502" i="23"/>
  <c r="J1502" i="23" s="1"/>
  <c r="I1495" i="23"/>
  <c r="J1495" i="23" s="1"/>
  <c r="I1559" i="23"/>
  <c r="J1559" i="23" s="1"/>
  <c r="I1474" i="23"/>
  <c r="J1474" i="23" s="1"/>
  <c r="I1506" i="23"/>
  <c r="J1506" i="23" s="1"/>
  <c r="I1467" i="23"/>
  <c r="J1467" i="23" s="1"/>
  <c r="I1563" i="23"/>
  <c r="J1563" i="23" s="1"/>
  <c r="I1485" i="23"/>
  <c r="J1485" i="23" s="1"/>
  <c r="I1607" i="23"/>
  <c r="J1607" i="23" s="1"/>
  <c r="I1632" i="23"/>
  <c r="J1632" i="23" s="1"/>
  <c r="I1657" i="23"/>
  <c r="J1657" i="23" s="1"/>
  <c r="I1611" i="23"/>
  <c r="J1611" i="23" s="1"/>
  <c r="I1668" i="23"/>
  <c r="J1668" i="23" s="1"/>
  <c r="I1694" i="23"/>
  <c r="J1694" i="23" s="1"/>
  <c r="I1758" i="23"/>
  <c r="J1758" i="23" s="1"/>
  <c r="I1719" i="23"/>
  <c r="J1719" i="23" s="1"/>
  <c r="I1680" i="23"/>
  <c r="J1680" i="23" s="1"/>
  <c r="K110" i="23"/>
  <c r="K142" i="23"/>
  <c r="K174" i="23"/>
  <c r="K206" i="23"/>
  <c r="K30" i="23"/>
  <c r="K62" i="23"/>
  <c r="K94" i="23"/>
  <c r="K1942" i="23"/>
  <c r="K1824" i="23"/>
  <c r="K135" i="23"/>
  <c r="K39" i="23"/>
  <c r="K2269" i="23"/>
  <c r="K2100" i="23"/>
  <c r="K2010" i="23"/>
  <c r="K1890" i="23"/>
  <c r="K2529" i="23"/>
  <c r="K2326" i="23"/>
  <c r="K2210" i="23"/>
  <c r="K2255" i="23"/>
  <c r="K2246" i="23"/>
  <c r="K2117" i="23"/>
  <c r="K2092" i="23"/>
  <c r="K2170" i="23"/>
  <c r="K2127" i="23"/>
  <c r="K2102" i="23"/>
  <c r="K2060" i="23"/>
  <c r="K2019" i="23"/>
  <c r="K2002" i="23"/>
  <c r="K2022" i="23"/>
  <c r="K1900" i="23"/>
  <c r="K1946" i="23"/>
  <c r="K1974" i="23"/>
  <c r="K1803" i="23"/>
  <c r="K1830" i="23"/>
  <c r="K199" i="23"/>
  <c r="K71" i="23"/>
  <c r="K2429" i="23"/>
  <c r="K2306" i="23"/>
  <c r="K2218" i="23"/>
  <c r="K2132" i="23"/>
  <c r="K2042" i="23"/>
  <c r="K1954" i="23"/>
  <c r="K1832" i="23"/>
  <c r="K136" i="23"/>
  <c r="K8" i="23"/>
  <c r="K72" i="23"/>
  <c r="K2126" i="23"/>
  <c r="K2058" i="23"/>
  <c r="K1885" i="23"/>
  <c r="K2452" i="23"/>
  <c r="K2333" i="23"/>
  <c r="K2354" i="23"/>
  <c r="K2329" i="23"/>
  <c r="K2343" i="23"/>
  <c r="K2318" i="23"/>
  <c r="K2253" i="23"/>
  <c r="K2279" i="23"/>
  <c r="K2270" i="23"/>
  <c r="K2141" i="23"/>
  <c r="K2116" i="23"/>
  <c r="K2137" i="23"/>
  <c r="K2029" i="23"/>
  <c r="K1952" i="23"/>
  <c r="K1852" i="23"/>
  <c r="K1834" i="23"/>
  <c r="K1863" i="23"/>
  <c r="K2530" i="23"/>
  <c r="K2212" i="23"/>
  <c r="K2171" i="23"/>
  <c r="K2023" i="23"/>
  <c r="K1868" i="23"/>
  <c r="K141" i="23"/>
  <c r="K226" i="23"/>
  <c r="K178" i="23"/>
  <c r="K98" i="23"/>
  <c r="K2150" i="23"/>
  <c r="K2053" i="23"/>
  <c r="K2110" i="23"/>
  <c r="K1940" i="23"/>
  <c r="K1843" i="23"/>
  <c r="K2581" i="23"/>
  <c r="K2598" i="23"/>
  <c r="K2476" i="23"/>
  <c r="I222" i="23"/>
  <c r="J222" i="23" s="1"/>
  <c r="I293" i="23"/>
  <c r="J293" i="23" s="1"/>
  <c r="I337" i="23"/>
  <c r="J337" i="23" s="1"/>
  <c r="I387" i="23"/>
  <c r="J387" i="23" s="1"/>
  <c r="I341" i="23"/>
  <c r="J341" i="23" s="1"/>
  <c r="I429" i="23"/>
  <c r="J429" i="23" s="1"/>
  <c r="I591" i="23"/>
  <c r="J591" i="23" s="1"/>
  <c r="I595" i="23"/>
  <c r="J595" i="23" s="1"/>
  <c r="I613" i="23"/>
  <c r="J613" i="23" s="1"/>
  <c r="I655" i="23"/>
  <c r="J655" i="23" s="1"/>
  <c r="I699" i="23"/>
  <c r="J699" i="23" s="1"/>
  <c r="I223" i="23"/>
  <c r="J223" i="23" s="1"/>
  <c r="I312" i="23"/>
  <c r="J312" i="23" s="1"/>
  <c r="I282" i="23"/>
  <c r="J282" i="23" s="1"/>
  <c r="I320" i="23"/>
  <c r="J320" i="23" s="1"/>
  <c r="I377" i="23"/>
  <c r="J377" i="23" s="1"/>
  <c r="I363" i="23"/>
  <c r="J363" i="23" s="1"/>
  <c r="I381" i="23"/>
  <c r="J381" i="23" s="1"/>
  <c r="I475" i="23"/>
  <c r="J475" i="23" s="1"/>
  <c r="I509" i="23"/>
  <c r="J509" i="23" s="1"/>
  <c r="I599" i="23"/>
  <c r="J599" i="23" s="1"/>
  <c r="I708" i="23"/>
  <c r="J708" i="23" s="1"/>
  <c r="I707" i="23"/>
  <c r="J707" i="23" s="1"/>
  <c r="I637" i="23"/>
  <c r="J637" i="23" s="1"/>
  <c r="I734" i="23"/>
  <c r="J734" i="23" s="1"/>
  <c r="I809" i="23"/>
  <c r="J809" i="23" s="1"/>
  <c r="I795" i="23"/>
  <c r="J795" i="23" s="1"/>
  <c r="I846" i="23"/>
  <c r="J846" i="23" s="1"/>
  <c r="I984" i="23"/>
  <c r="J984" i="23" s="1"/>
  <c r="I193" i="23"/>
  <c r="J193" i="23" s="1"/>
  <c r="I214" i="23"/>
  <c r="J214" i="23" s="1"/>
  <c r="I278" i="23"/>
  <c r="J278" i="23" s="1"/>
  <c r="I303" i="23"/>
  <c r="J303" i="23" s="1"/>
  <c r="I264" i="23"/>
  <c r="J264" i="23" s="1"/>
  <c r="I265" i="23"/>
  <c r="J265" i="23" s="1"/>
  <c r="I266" i="23"/>
  <c r="J266" i="23" s="1"/>
  <c r="J220" i="23"/>
  <c r="K220" i="23" s="1"/>
  <c r="I292" i="23"/>
  <c r="J292" i="23" s="1"/>
  <c r="I253" i="23"/>
  <c r="J253" i="23" s="1"/>
  <c r="I350" i="23"/>
  <c r="J350" i="23" s="1"/>
  <c r="I393" i="23"/>
  <c r="J393" i="23" s="1"/>
  <c r="I354" i="23"/>
  <c r="J354" i="23" s="1"/>
  <c r="I386" i="23"/>
  <c r="J386" i="23" s="1"/>
  <c r="I347" i="23"/>
  <c r="J347" i="23" s="1"/>
  <c r="I411" i="23"/>
  <c r="J411" i="23" s="1"/>
  <c r="I397" i="23"/>
  <c r="J397" i="23" s="1"/>
  <c r="I494" i="23"/>
  <c r="J494" i="23" s="1"/>
  <c r="I480" i="23"/>
  <c r="J480" i="23" s="1"/>
  <c r="I441" i="23"/>
  <c r="J441" i="23" s="1"/>
  <c r="I505" i="23"/>
  <c r="J505" i="23" s="1"/>
  <c r="I427" i="23"/>
  <c r="J427" i="23" s="1"/>
  <c r="I523" i="23"/>
  <c r="J523" i="23" s="1"/>
  <c r="I558" i="23"/>
  <c r="J558" i="23" s="1"/>
  <c r="I615" i="23"/>
  <c r="J615" i="23" s="1"/>
  <c r="I576" i="23"/>
  <c r="J576" i="23" s="1"/>
  <c r="I537" i="23"/>
  <c r="J537" i="23" s="1"/>
  <c r="I569" i="23"/>
  <c r="J569" i="23" s="1"/>
  <c r="I594" i="23"/>
  <c r="J594" i="23" s="1"/>
  <c r="I587" i="23"/>
  <c r="J587" i="23" s="1"/>
  <c r="I612" i="23"/>
  <c r="J612" i="23" s="1"/>
  <c r="I573" i="23"/>
  <c r="J573" i="23" s="1"/>
  <c r="I684" i="23"/>
  <c r="J684" i="23" s="1"/>
  <c r="I679" i="23"/>
  <c r="J679" i="23" s="1"/>
  <c r="I688" i="23"/>
  <c r="J688" i="23" s="1"/>
  <c r="I659" i="23"/>
  <c r="J659" i="23" s="1"/>
  <c r="I653" i="23"/>
  <c r="J653" i="23" s="1"/>
  <c r="I768" i="23"/>
  <c r="J768" i="23" s="1"/>
  <c r="I761" i="23"/>
  <c r="J761" i="23" s="1"/>
  <c r="I825" i="23"/>
  <c r="J825" i="23" s="1"/>
  <c r="I747" i="23"/>
  <c r="J747" i="23" s="1"/>
  <c r="I772" i="23"/>
  <c r="J772" i="23" s="1"/>
  <c r="I741" i="23"/>
  <c r="J741" i="23" s="1"/>
  <c r="I926" i="23"/>
  <c r="J926" i="23" s="1"/>
  <c r="I841" i="23"/>
  <c r="J841" i="23" s="1"/>
  <c r="I905" i="23"/>
  <c r="J905" i="23" s="1"/>
  <c r="I859" i="23"/>
  <c r="J859" i="23" s="1"/>
  <c r="I923" i="23"/>
  <c r="J923" i="23" s="1"/>
  <c r="I852" i="23"/>
  <c r="J852" i="23" s="1"/>
  <c r="I853" i="23"/>
  <c r="J853" i="23" s="1"/>
  <c r="I917" i="23"/>
  <c r="J917" i="23" s="1"/>
  <c r="I950" i="23"/>
  <c r="J950" i="23" s="1"/>
  <c r="I1014" i="23"/>
  <c r="J1014" i="23" s="1"/>
  <c r="I975" i="23"/>
  <c r="J975" i="23" s="1"/>
  <c r="I1039" i="23"/>
  <c r="J1039" i="23" s="1"/>
  <c r="I968" i="23"/>
  <c r="J968" i="23" s="1"/>
  <c r="I1000" i="23"/>
  <c r="J1000" i="23" s="1"/>
  <c r="I1032" i="23"/>
  <c r="J1032" i="23" s="1"/>
  <c r="I993" i="23"/>
  <c r="J993" i="23" s="1"/>
  <c r="I1025" i="23"/>
  <c r="J1025" i="23" s="1"/>
  <c r="I954" i="23"/>
  <c r="J954" i="23" s="1"/>
  <c r="I979" i="23"/>
  <c r="J979" i="23" s="1"/>
  <c r="I972" i="23"/>
  <c r="J972" i="23" s="1"/>
  <c r="I1036" i="23"/>
  <c r="J1036" i="23" s="1"/>
  <c r="I997" i="23"/>
  <c r="J997" i="23" s="1"/>
  <c r="I1062" i="23"/>
  <c r="J1062" i="23" s="1"/>
  <c r="I1094" i="23"/>
  <c r="J1094" i="23" s="1"/>
  <c r="I1126" i="23"/>
  <c r="J1126" i="23" s="1"/>
  <c r="I1055" i="23"/>
  <c r="J1055" i="23" s="1"/>
  <c r="I1119" i="23"/>
  <c r="J1119" i="23" s="1"/>
  <c r="I1048" i="23"/>
  <c r="J1048" i="23" s="1"/>
  <c r="I1080" i="23"/>
  <c r="J1080" i="23" s="1"/>
  <c r="I1112" i="23"/>
  <c r="J1112" i="23" s="1"/>
  <c r="I1144" i="23"/>
  <c r="J1144" i="23" s="1"/>
  <c r="I1137" i="23"/>
  <c r="J1137" i="23" s="1"/>
  <c r="I1059" i="23"/>
  <c r="J1059" i="23" s="1"/>
  <c r="I1100" i="23"/>
  <c r="J1100" i="23" s="1"/>
  <c r="I1076" i="23"/>
  <c r="J1076" i="23" s="1"/>
  <c r="I1116" i="23"/>
  <c r="J1116" i="23" s="1"/>
  <c r="I1148" i="23"/>
  <c r="J1148" i="23" s="1"/>
  <c r="I1109" i="23"/>
  <c r="J1109" i="23" s="1"/>
  <c r="I1141" i="23"/>
  <c r="J1141" i="23" s="1"/>
  <c r="I1206" i="23"/>
  <c r="J1206" i="23" s="1"/>
  <c r="I1238" i="23"/>
  <c r="J1238" i="23" s="1"/>
  <c r="I1167" i="23"/>
  <c r="J1167" i="23" s="1"/>
  <c r="I1199" i="23"/>
  <c r="J1199" i="23" s="1"/>
  <c r="I1231" i="23"/>
  <c r="J1231" i="23" s="1"/>
  <c r="I1160" i="23"/>
  <c r="J1160" i="23" s="1"/>
  <c r="I1192" i="23"/>
  <c r="J1192" i="23" s="1"/>
  <c r="I1224" i="23"/>
  <c r="J1224" i="23" s="1"/>
  <c r="I1185" i="23"/>
  <c r="J1185" i="23" s="1"/>
  <c r="I1249" i="23"/>
  <c r="J1249" i="23" s="1"/>
  <c r="I1235" i="23"/>
  <c r="J1235" i="23" s="1"/>
  <c r="I1164" i="23"/>
  <c r="J1164" i="23" s="1"/>
  <c r="I1196" i="23"/>
  <c r="J1196" i="23" s="1"/>
  <c r="I1228" i="23"/>
  <c r="J1228" i="23" s="1"/>
  <c r="I1157" i="23"/>
  <c r="J1157" i="23" s="1"/>
  <c r="I1189" i="23"/>
  <c r="J1189" i="23" s="1"/>
  <c r="I1254" i="23"/>
  <c r="J1254" i="23" s="1"/>
  <c r="K1254" i="23" s="1"/>
  <c r="I1286" i="23"/>
  <c r="J1286" i="23" s="1"/>
  <c r="I1318" i="23"/>
  <c r="J1318" i="23" s="1"/>
  <c r="I1311" i="23"/>
  <c r="J1311" i="23" s="1"/>
  <c r="I1343" i="23"/>
  <c r="J1343" i="23" s="1"/>
  <c r="I1272" i="23"/>
  <c r="J1272" i="23" s="1"/>
  <c r="I1304" i="23"/>
  <c r="J1304" i="23" s="1"/>
  <c r="I1336" i="23"/>
  <c r="J1336" i="23" s="1"/>
  <c r="I1265" i="23"/>
  <c r="J1265" i="23" s="1"/>
  <c r="I1329" i="23"/>
  <c r="J1329" i="23" s="1"/>
  <c r="I1283" i="23"/>
  <c r="J1283" i="23" s="1"/>
  <c r="I1315" i="23"/>
  <c r="J1315" i="23" s="1"/>
  <c r="I1340" i="23"/>
  <c r="J1340" i="23" s="1"/>
  <c r="I1269" i="23"/>
  <c r="J1269" i="23" s="1"/>
  <c r="I1301" i="23"/>
  <c r="J1301" i="23" s="1"/>
  <c r="I1333" i="23"/>
  <c r="J1333" i="23" s="1"/>
  <c r="I1365" i="23"/>
  <c r="J1365" i="23" s="1"/>
  <c r="I1429" i="23"/>
  <c r="J1429" i="23" s="1"/>
  <c r="I1358" i="23"/>
  <c r="J1358" i="23" s="1"/>
  <c r="K1358" i="23" s="1"/>
  <c r="I1390" i="23"/>
  <c r="J1390" i="23" s="1"/>
  <c r="I1454" i="23"/>
  <c r="J1454" i="23" s="1"/>
  <c r="I1383" i="23"/>
  <c r="J1383" i="23" s="1"/>
  <c r="I1415" i="23"/>
  <c r="J1415" i="23" s="1"/>
  <c r="I1447" i="23"/>
  <c r="J1447" i="23" s="1"/>
  <c r="I1408" i="23"/>
  <c r="J1408" i="23" s="1"/>
  <c r="I1440" i="23"/>
  <c r="J1440" i="23" s="1"/>
  <c r="I1369" i="23"/>
  <c r="J1369" i="23" s="1"/>
  <c r="I1401" i="23"/>
  <c r="J1401" i="23" s="1"/>
  <c r="I1394" i="23"/>
  <c r="J1394" i="23" s="1"/>
  <c r="I1426" i="23"/>
  <c r="J1426" i="23" s="1"/>
  <c r="I1458" i="23"/>
  <c r="J1458" i="23" s="1"/>
  <c r="I1419" i="23"/>
  <c r="J1419" i="23" s="1"/>
  <c r="I1451" i="23"/>
  <c r="J1451" i="23" s="1"/>
  <c r="I1380" i="23"/>
  <c r="J1380" i="23" s="1"/>
  <c r="I1412" i="23"/>
  <c r="J1412" i="23" s="1"/>
  <c r="I1444" i="23"/>
  <c r="J1444" i="23" s="1"/>
  <c r="I1478" i="23"/>
  <c r="J1478" i="23" s="1"/>
  <c r="I1510" i="23"/>
  <c r="J1510" i="23" s="1"/>
  <c r="I1542" i="23"/>
  <c r="J1542" i="23" s="1"/>
  <c r="I1471" i="23"/>
  <c r="J1471" i="23" s="1"/>
  <c r="I1503" i="23"/>
  <c r="J1503" i="23" s="1"/>
  <c r="I1464" i="23"/>
  <c r="J1464" i="23" s="1"/>
  <c r="I1496" i="23"/>
  <c r="J1496" i="23" s="1"/>
  <c r="I1528" i="23"/>
  <c r="J1528" i="23" s="1"/>
  <c r="I1560" i="23"/>
  <c r="J1560" i="23" s="1"/>
  <c r="I1521" i="23"/>
  <c r="J1521" i="23" s="1"/>
  <c r="I1553" i="23"/>
  <c r="J1553" i="23" s="1"/>
  <c r="I1482" i="23"/>
  <c r="J1482" i="23" s="1"/>
  <c r="I1514" i="23"/>
  <c r="J1514" i="23" s="1"/>
  <c r="I1475" i="23"/>
  <c r="J1475" i="23" s="1"/>
  <c r="I1507" i="23"/>
  <c r="J1507" i="23" s="1"/>
  <c r="I1500" i="23"/>
  <c r="J1500" i="23" s="1"/>
  <c r="I1493" i="23"/>
  <c r="J1493" i="23" s="1"/>
  <c r="I1525" i="23"/>
  <c r="J1525" i="23" s="1"/>
  <c r="I1583" i="23"/>
  <c r="J1583" i="23" s="1"/>
  <c r="I1615" i="23"/>
  <c r="J1615" i="23" s="1"/>
  <c r="I1647" i="23"/>
  <c r="J1647" i="23" s="1"/>
  <c r="I1576" i="23"/>
  <c r="J1576" i="23" s="1"/>
  <c r="I1608" i="23"/>
  <c r="J1608" i="23" s="1"/>
  <c r="I1569" i="23"/>
  <c r="J1569" i="23" s="1"/>
  <c r="I1601" i="23"/>
  <c r="J1601" i="23" s="1"/>
  <c r="I1633" i="23"/>
  <c r="J1633" i="23" s="1"/>
  <c r="I1665" i="23"/>
  <c r="J1665" i="23" s="1"/>
  <c r="I1594" i="23"/>
  <c r="J1594" i="23" s="1"/>
  <c r="I1626" i="23"/>
  <c r="J1626" i="23" s="1"/>
  <c r="I1658" i="23"/>
  <c r="J1658" i="23" s="1"/>
  <c r="I1587" i="23"/>
  <c r="J1587" i="23" s="1"/>
  <c r="I1619" i="23"/>
  <c r="J1619" i="23" s="1"/>
  <c r="I1651" i="23"/>
  <c r="J1651" i="23" s="1"/>
  <c r="I1670" i="23"/>
  <c r="J1670" i="23" s="1"/>
  <c r="I1702" i="23"/>
  <c r="J1702" i="23" s="1"/>
  <c r="I1695" i="23"/>
  <c r="J1695" i="23" s="1"/>
  <c r="I1727" i="23"/>
  <c r="J1727" i="23" s="1"/>
  <c r="I1759" i="23"/>
  <c r="J1759" i="23" s="1"/>
  <c r="I1720" i="23"/>
  <c r="J1720" i="23" s="1"/>
  <c r="I1752" i="23"/>
  <c r="J1752" i="23" s="1"/>
  <c r="I1681" i="23"/>
  <c r="J1681" i="23" s="1"/>
  <c r="I1713" i="23"/>
  <c r="J1713" i="23" s="1"/>
  <c r="I1745" i="23"/>
  <c r="J1745" i="23" s="1"/>
  <c r="I1738" i="23"/>
  <c r="J1738" i="23" s="1"/>
  <c r="I1770" i="23"/>
  <c r="J1770" i="23" s="1"/>
  <c r="I1699" i="23"/>
  <c r="J1699" i="23" s="1"/>
  <c r="I1731" i="23"/>
  <c r="J1731" i="23" s="1"/>
  <c r="I1763" i="23"/>
  <c r="J1763" i="23" s="1"/>
  <c r="I1708" i="23"/>
  <c r="J1708" i="23" s="1"/>
  <c r="I1772" i="23"/>
  <c r="J1772" i="23" s="1"/>
  <c r="K2597" i="23"/>
  <c r="K2572" i="23"/>
  <c r="K2522" i="23"/>
  <c r="K2550" i="23"/>
  <c r="K2421" i="23"/>
  <c r="K2470" i="23"/>
  <c r="K2380" i="23"/>
  <c r="K2394" i="23"/>
  <c r="K2351" i="23"/>
  <c r="K1924" i="23"/>
  <c r="K1970" i="23"/>
  <c r="K1895" i="23"/>
  <c r="K1802" i="23"/>
  <c r="K1857" i="23"/>
  <c r="K169" i="23"/>
  <c r="K2526" i="23"/>
  <c r="K2388" i="23"/>
  <c r="K2250" i="23"/>
  <c r="K2167" i="23"/>
  <c r="K1998" i="23"/>
  <c r="K1850" i="23"/>
  <c r="K13" i="23"/>
  <c r="K2589" i="23"/>
  <c r="K2585" i="23"/>
  <c r="K2574" i="23"/>
  <c r="K2445" i="23"/>
  <c r="K2420" i="23"/>
  <c r="K2441" i="23"/>
  <c r="K2430" i="23"/>
  <c r="K2021" i="23"/>
  <c r="K2003" i="23"/>
  <c r="K1916" i="23"/>
  <c r="K1876" i="23"/>
  <c r="K1839" i="23"/>
  <c r="K2363" i="23"/>
  <c r="K2263" i="23"/>
  <c r="K2469" i="23"/>
  <c r="K2408" i="23"/>
  <c r="K2486" i="23"/>
  <c r="K2357" i="23"/>
  <c r="K2307" i="23"/>
  <c r="K2392" i="23"/>
  <c r="K2303" i="23"/>
  <c r="K2261" i="23"/>
  <c r="K2275" i="23"/>
  <c r="K2257" i="23"/>
  <c r="K2239" i="23"/>
  <c r="K2115" i="23"/>
  <c r="K2161" i="23"/>
  <c r="K2050" i="23"/>
  <c r="K1962" i="23"/>
  <c r="K1894" i="23"/>
  <c r="K1840" i="23"/>
  <c r="I215" i="23"/>
  <c r="J215" i="23" s="1"/>
  <c r="I273" i="23"/>
  <c r="J273" i="23" s="1"/>
  <c r="I358" i="23"/>
  <c r="J358" i="23" s="1"/>
  <c r="I376" i="23"/>
  <c r="J376" i="23" s="1"/>
  <c r="I463" i="23"/>
  <c r="J463" i="23" s="1"/>
  <c r="I623" i="23"/>
  <c r="J623" i="23" s="1"/>
  <c r="I556" i="23"/>
  <c r="J556" i="23" s="1"/>
  <c r="I581" i="23"/>
  <c r="J581" i="23" s="1"/>
  <c r="I687" i="23"/>
  <c r="J687" i="23" s="1"/>
  <c r="I650" i="23"/>
  <c r="J650" i="23" s="1"/>
  <c r="I255" i="23"/>
  <c r="J255" i="23" s="1"/>
  <c r="I269" i="23"/>
  <c r="J269" i="23" s="1"/>
  <c r="I345" i="23"/>
  <c r="J345" i="23" s="1"/>
  <c r="I395" i="23"/>
  <c r="J395" i="23" s="1"/>
  <c r="I413" i="23"/>
  <c r="J413" i="23" s="1"/>
  <c r="I507" i="23"/>
  <c r="J507" i="23" s="1"/>
  <c r="I437" i="23"/>
  <c r="J437" i="23" s="1"/>
  <c r="I539" i="23"/>
  <c r="J539" i="23" s="1"/>
  <c r="I596" i="23"/>
  <c r="J596" i="23" s="1"/>
  <c r="I557" i="23"/>
  <c r="J557" i="23" s="1"/>
  <c r="I695" i="23"/>
  <c r="J695" i="23" s="1"/>
  <c r="I752" i="23"/>
  <c r="J752" i="23" s="1"/>
  <c r="I878" i="23"/>
  <c r="J878" i="23" s="1"/>
  <c r="I839" i="23"/>
  <c r="J839" i="23" s="1"/>
  <c r="I921" i="23"/>
  <c r="J921" i="23" s="1"/>
  <c r="I310" i="23"/>
  <c r="J310" i="23" s="1"/>
  <c r="I271" i="23"/>
  <c r="J271" i="23" s="1"/>
  <c r="I296" i="23"/>
  <c r="J296" i="23" s="1"/>
  <c r="I233" i="23"/>
  <c r="J233" i="23" s="1"/>
  <c r="I297" i="23"/>
  <c r="J297" i="23" s="1"/>
  <c r="I221" i="23"/>
  <c r="J221" i="23" s="1"/>
  <c r="I285" i="23"/>
  <c r="J285" i="23" s="1"/>
  <c r="I318" i="23"/>
  <c r="J318" i="23" s="1"/>
  <c r="I329" i="23"/>
  <c r="J329" i="23" s="1"/>
  <c r="I361" i="23"/>
  <c r="J361" i="23" s="1"/>
  <c r="I379" i="23"/>
  <c r="J379" i="23" s="1"/>
  <c r="I365" i="23"/>
  <c r="J365" i="23" s="1"/>
  <c r="I462" i="23"/>
  <c r="J462" i="23" s="1"/>
  <c r="I448" i="23"/>
  <c r="J448" i="23" s="1"/>
  <c r="I512" i="23"/>
  <c r="J512" i="23" s="1"/>
  <c r="I434" i="23"/>
  <c r="J434" i="23" s="1"/>
  <c r="I459" i="23"/>
  <c r="J459" i="23" s="1"/>
  <c r="I491" i="23"/>
  <c r="J491" i="23" s="1"/>
  <c r="I524" i="23"/>
  <c r="J524" i="23" s="1"/>
  <c r="I493" i="23"/>
  <c r="J493" i="23" s="1"/>
  <c r="I526" i="23"/>
  <c r="J526" i="23" s="1"/>
  <c r="I583" i="23"/>
  <c r="J583" i="23" s="1"/>
  <c r="I544" i="23"/>
  <c r="J544" i="23" s="1"/>
  <c r="I555" i="23"/>
  <c r="J555" i="23" s="1"/>
  <c r="I619" i="23"/>
  <c r="J619" i="23" s="1"/>
  <c r="I541" i="23"/>
  <c r="J541" i="23" s="1"/>
  <c r="I638" i="23"/>
  <c r="J638" i="23" s="1"/>
  <c r="I702" i="23"/>
  <c r="J702" i="23" s="1"/>
  <c r="I647" i="23"/>
  <c r="J647" i="23" s="1"/>
  <c r="I720" i="23"/>
  <c r="J720" i="23" s="1"/>
  <c r="I642" i="23"/>
  <c r="J642" i="23" s="1"/>
  <c r="I674" i="23"/>
  <c r="J674" i="23" s="1"/>
  <c r="I691" i="23"/>
  <c r="J691" i="23" s="1"/>
  <c r="I668" i="23"/>
  <c r="J668" i="23" s="1"/>
  <c r="I685" i="23"/>
  <c r="J685" i="23" s="1"/>
  <c r="I717" i="23"/>
  <c r="J717" i="23" s="1"/>
  <c r="I736" i="23"/>
  <c r="J736" i="23" s="1"/>
  <c r="I793" i="23"/>
  <c r="J793" i="23" s="1"/>
  <c r="I818" i="23"/>
  <c r="J818" i="23" s="1"/>
  <c r="I880" i="23"/>
  <c r="J880" i="23" s="1"/>
  <c r="I873" i="23"/>
  <c r="J873" i="23" s="1"/>
  <c r="I937" i="23"/>
  <c r="J937" i="23" s="1"/>
  <c r="I891" i="23"/>
  <c r="J891" i="23" s="1"/>
  <c r="I884" i="23"/>
  <c r="J884" i="23" s="1"/>
  <c r="I885" i="23"/>
  <c r="J885" i="23" s="1"/>
  <c r="I982" i="23"/>
  <c r="J982" i="23" s="1"/>
  <c r="K118" i="23"/>
  <c r="K150" i="23"/>
  <c r="K182" i="23"/>
  <c r="K6" i="23"/>
  <c r="K38" i="23"/>
  <c r="K70" i="23"/>
  <c r="K102" i="23"/>
  <c r="K1860" i="23"/>
  <c r="K167" i="23"/>
  <c r="K55" i="23"/>
  <c r="K2509" i="23"/>
  <c r="K2493" i="23"/>
  <c r="K2366" i="23"/>
  <c r="K2285" i="23"/>
  <c r="K2114" i="23"/>
  <c r="K1933" i="23"/>
  <c r="K1833" i="23"/>
  <c r="K2294" i="23"/>
  <c r="K2259" i="23"/>
  <c r="K2292" i="23"/>
  <c r="K2223" i="23"/>
  <c r="K2188" i="23"/>
  <c r="K2163" i="23"/>
  <c r="K2106" i="23"/>
  <c r="K2095" i="23"/>
  <c r="K2069" i="23"/>
  <c r="K2052" i="23"/>
  <c r="K1987" i="23"/>
  <c r="K2012" i="23"/>
  <c r="K1990" i="23"/>
  <c r="K1971" i="23"/>
  <c r="K1882" i="23"/>
  <c r="K1960" i="23"/>
  <c r="K1910" i="23"/>
  <c r="K1869" i="23"/>
  <c r="K7" i="23"/>
  <c r="K87" i="23"/>
  <c r="K2404" i="23"/>
  <c r="K2381" i="23"/>
  <c r="K2313" i="23"/>
  <c r="K2249" i="23"/>
  <c r="K2139" i="23"/>
  <c r="K2062" i="23"/>
  <c r="K1950" i="23"/>
  <c r="K1831" i="23"/>
  <c r="K144" i="23"/>
  <c r="K16" i="23"/>
  <c r="K88" i="23"/>
  <c r="K2061" i="23"/>
  <c r="K2026" i="23"/>
  <c r="K2301" i="23"/>
  <c r="K2322" i="23"/>
  <c r="K2297" i="23"/>
  <c r="K2311" i="23"/>
  <c r="K2220" i="23"/>
  <c r="K2234" i="23"/>
  <c r="K2247" i="23"/>
  <c r="K2109" i="23"/>
  <c r="K2187" i="23"/>
  <c r="K2183" i="23"/>
  <c r="K2020" i="23"/>
  <c r="K1931" i="23"/>
  <c r="K1927" i="23"/>
  <c r="K1788" i="23"/>
  <c r="K1873" i="23"/>
  <c r="K1854" i="23"/>
  <c r="K2569" i="23"/>
  <c r="K2349" i="23"/>
  <c r="K2135" i="23"/>
  <c r="K1965" i="23"/>
  <c r="K1779" i="23"/>
  <c r="K165" i="23"/>
  <c r="K194" i="23"/>
  <c r="K50" i="23"/>
  <c r="K2175" i="23"/>
  <c r="K2118" i="23"/>
  <c r="I254" i="23"/>
  <c r="J254" i="23" s="1"/>
  <c r="I274" i="23"/>
  <c r="J274" i="23" s="1"/>
  <c r="J236" i="23"/>
  <c r="K236" i="23" s="1"/>
  <c r="I390" i="23"/>
  <c r="J390" i="23" s="1"/>
  <c r="I401" i="23"/>
  <c r="J401" i="23" s="1"/>
  <c r="I502" i="23"/>
  <c r="J502" i="23" s="1"/>
  <c r="I461" i="23"/>
  <c r="J461" i="23" s="1"/>
  <c r="I527" i="23"/>
  <c r="J527" i="23" s="1"/>
  <c r="I719" i="23"/>
  <c r="J719" i="23" s="1"/>
  <c r="I667" i="23"/>
  <c r="J667" i="23" s="1"/>
  <c r="I693" i="23"/>
  <c r="J693" i="23" s="1"/>
  <c r="I790" i="23"/>
  <c r="J790" i="23" s="1"/>
  <c r="I822" i="23"/>
  <c r="J822" i="23" s="1"/>
  <c r="I776" i="23"/>
  <c r="J776" i="23" s="1"/>
  <c r="I762" i="23"/>
  <c r="J762" i="23" s="1"/>
  <c r="I755" i="23"/>
  <c r="J755" i="23" s="1"/>
  <c r="I902" i="23"/>
  <c r="J902" i="23" s="1"/>
  <c r="I863" i="23"/>
  <c r="J863" i="23" s="1"/>
  <c r="I856" i="23"/>
  <c r="J856" i="23" s="1"/>
  <c r="I920" i="23"/>
  <c r="J920" i="23" s="1"/>
  <c r="I913" i="23"/>
  <c r="J913" i="23" s="1"/>
  <c r="I874" i="23"/>
  <c r="J874" i="23" s="1"/>
  <c r="I938" i="23"/>
  <c r="J938" i="23" s="1"/>
  <c r="I899" i="23"/>
  <c r="J899" i="23" s="1"/>
  <c r="I893" i="23"/>
  <c r="J893" i="23" s="1"/>
  <c r="I958" i="23"/>
  <c r="J958" i="23" s="1"/>
  <c r="I1015" i="23"/>
  <c r="J1015" i="23" s="1"/>
  <c r="I976" i="23"/>
  <c r="J976" i="23" s="1"/>
  <c r="I1040" i="23"/>
  <c r="J1040" i="23" s="1"/>
  <c r="I980" i="23"/>
  <c r="J980" i="23" s="1"/>
  <c r="I1044" i="23"/>
  <c r="J1044" i="23" s="1"/>
  <c r="I973" i="23"/>
  <c r="J973" i="23" s="1"/>
  <c r="I1070" i="23"/>
  <c r="J1070" i="23" s="1"/>
  <c r="I1134" i="23"/>
  <c r="J1134" i="23" s="1"/>
  <c r="I1095" i="23"/>
  <c r="J1095" i="23" s="1"/>
  <c r="I1127" i="23"/>
  <c r="J1127" i="23" s="1"/>
  <c r="I1056" i="23"/>
  <c r="J1056" i="23" s="1"/>
  <c r="I1088" i="23"/>
  <c r="J1088" i="23" s="1"/>
  <c r="I1120" i="23"/>
  <c r="J1120" i="23" s="1"/>
  <c r="I1049" i="23"/>
  <c r="J1049" i="23" s="1"/>
  <c r="I1067" i="23"/>
  <c r="J1067" i="23" s="1"/>
  <c r="I1052" i="23"/>
  <c r="J1052" i="23" s="1"/>
  <c r="I1124" i="23"/>
  <c r="J1124" i="23" s="1"/>
  <c r="I1085" i="23"/>
  <c r="J1085" i="23" s="1"/>
  <c r="I1150" i="23"/>
  <c r="J1150" i="23" s="1"/>
  <c r="I1182" i="23"/>
  <c r="J1182" i="23" s="1"/>
  <c r="I1214" i="23"/>
  <c r="J1214" i="23" s="1"/>
  <c r="I1175" i="23"/>
  <c r="J1175" i="23" s="1"/>
  <c r="I1207" i="23"/>
  <c r="J1207" i="23" s="1"/>
  <c r="I1168" i="23"/>
  <c r="J1168" i="23" s="1"/>
  <c r="I1200" i="23"/>
  <c r="J1200" i="23" s="1"/>
  <c r="I1232" i="23"/>
  <c r="J1232" i="23" s="1"/>
  <c r="I1161" i="23"/>
  <c r="J1161" i="23" s="1"/>
  <c r="I1193" i="23"/>
  <c r="J1193" i="23" s="1"/>
  <c r="I1225" i="23"/>
  <c r="J1225" i="23" s="1"/>
  <c r="I1179" i="23"/>
  <c r="J1179" i="23" s="1"/>
  <c r="I1243" i="23"/>
  <c r="J1243" i="23" s="1"/>
  <c r="I1172" i="23"/>
  <c r="J1172" i="23" s="1"/>
  <c r="I1204" i="23"/>
  <c r="J1204" i="23" s="1"/>
  <c r="I1326" i="23"/>
  <c r="J1326" i="23" s="1"/>
  <c r="I1255" i="23"/>
  <c r="J1255" i="23" s="1"/>
  <c r="I1319" i="23"/>
  <c r="J1319" i="23" s="1"/>
  <c r="I1351" i="23"/>
  <c r="J1351" i="23" s="1"/>
  <c r="K1351" i="23" s="1"/>
  <c r="I1280" i="23"/>
  <c r="J1280" i="23" s="1"/>
  <c r="I1273" i="23"/>
  <c r="J1273" i="23" s="1"/>
  <c r="I1323" i="23"/>
  <c r="J1323" i="23" s="1"/>
  <c r="I1348" i="23"/>
  <c r="J1348" i="23" s="1"/>
  <c r="K1348" i="23" s="1"/>
  <c r="I1277" i="23"/>
  <c r="J1277" i="23" s="1"/>
  <c r="I1309" i="23"/>
  <c r="J1309" i="23" s="1"/>
  <c r="I1341" i="23"/>
  <c r="J1341" i="23" s="1"/>
  <c r="I1373" i="23"/>
  <c r="J1373" i="23" s="1"/>
  <c r="I1437" i="23"/>
  <c r="J1437" i="23" s="1"/>
  <c r="I1366" i="23"/>
  <c r="J1366" i="23" s="1"/>
  <c r="I1398" i="23"/>
  <c r="J1398" i="23" s="1"/>
  <c r="I1430" i="23"/>
  <c r="J1430" i="23" s="1"/>
  <c r="I1359" i="23"/>
  <c r="J1359" i="23" s="1"/>
  <c r="I1391" i="23"/>
  <c r="J1391" i="23" s="1"/>
  <c r="I1384" i="23"/>
  <c r="J1384" i="23" s="1"/>
  <c r="I1416" i="23"/>
  <c r="J1416" i="23" s="1"/>
  <c r="I1448" i="23"/>
  <c r="J1448" i="23" s="1"/>
  <c r="I1441" i="23"/>
  <c r="J1441" i="23" s="1"/>
  <c r="I1434" i="23"/>
  <c r="J1434" i="23" s="1"/>
  <c r="I1395" i="23"/>
  <c r="J1395" i="23" s="1"/>
  <c r="I1427" i="23"/>
  <c r="J1427" i="23" s="1"/>
  <c r="I1459" i="23"/>
  <c r="J1459" i="23" s="1"/>
  <c r="I1486" i="23"/>
  <c r="J1486" i="23" s="1"/>
  <c r="I1518" i="23"/>
  <c r="J1518" i="23" s="1"/>
  <c r="I1550" i="23"/>
  <c r="J1550" i="23" s="1"/>
  <c r="I1479" i="23"/>
  <c r="J1479" i="23" s="1"/>
  <c r="I1511" i="23"/>
  <c r="J1511" i="23" s="1"/>
  <c r="I1472" i="23"/>
  <c r="J1472" i="23" s="1"/>
  <c r="I1504" i="23"/>
  <c r="J1504" i="23" s="1"/>
  <c r="I1536" i="23"/>
  <c r="J1536" i="23" s="1"/>
  <c r="I1490" i="23"/>
  <c r="J1490" i="23" s="1"/>
  <c r="I1554" i="23"/>
  <c r="J1554" i="23" s="1"/>
  <c r="I1483" i="23"/>
  <c r="J1483" i="23" s="1"/>
  <c r="I1515" i="23"/>
  <c r="J1515" i="23" s="1"/>
  <c r="I1476" i="23"/>
  <c r="J1476" i="23" s="1"/>
  <c r="I1508" i="23"/>
  <c r="J1508" i="23" s="1"/>
  <c r="I1469" i="23"/>
  <c r="J1469" i="23" s="1"/>
  <c r="I1501" i="23"/>
  <c r="J1501" i="23" s="1"/>
  <c r="I1566" i="23"/>
  <c r="J1566" i="23" s="1"/>
  <c r="I1630" i="23"/>
  <c r="J1630" i="23" s="1"/>
  <c r="I1591" i="23"/>
  <c r="J1591" i="23" s="1"/>
  <c r="I1623" i="23"/>
  <c r="J1623" i="23" s="1"/>
  <c r="I1655" i="23"/>
  <c r="J1655" i="23" s="1"/>
  <c r="I1616" i="23"/>
  <c r="J1616" i="23" s="1"/>
  <c r="I1577" i="23"/>
  <c r="J1577" i="23" s="1"/>
  <c r="I1609" i="23"/>
  <c r="J1609" i="23" s="1"/>
  <c r="I1641" i="23"/>
  <c r="J1641" i="23" s="1"/>
  <c r="I1602" i="23"/>
  <c r="J1602" i="23" s="1"/>
  <c r="I1666" i="23"/>
  <c r="J1666" i="23" s="1"/>
  <c r="I1595" i="23"/>
  <c r="J1595" i="23" s="1"/>
  <c r="I1627" i="23"/>
  <c r="J1627" i="23" s="1"/>
  <c r="I1659" i="23"/>
  <c r="J1659" i="23" s="1"/>
  <c r="I1620" i="23"/>
  <c r="J1620" i="23" s="1"/>
  <c r="I1652" i="23"/>
  <c r="J1652" i="23" s="1"/>
  <c r="I1678" i="23"/>
  <c r="J1678" i="23" s="1"/>
  <c r="I1671" i="23"/>
  <c r="J1671" i="23" s="1"/>
  <c r="I1703" i="23"/>
  <c r="J1703" i="23" s="1"/>
  <c r="I1735" i="23"/>
  <c r="J1735" i="23" s="1"/>
  <c r="I1682" i="23"/>
  <c r="J1682" i="23" s="1"/>
  <c r="I1675" i="23"/>
  <c r="J1675" i="23" s="1"/>
  <c r="I1707" i="23"/>
  <c r="J1707" i="23" s="1"/>
  <c r="I1739" i="23"/>
  <c r="J1739" i="23" s="1"/>
  <c r="I1771" i="23"/>
  <c r="J1771" i="23" s="1"/>
  <c r="I1748" i="23"/>
  <c r="J1748" i="23" s="1"/>
  <c r="K133" i="23"/>
  <c r="K2565" i="23"/>
  <c r="K2540" i="23"/>
  <c r="K2518" i="23"/>
  <c r="K2492" i="23"/>
  <c r="K2438" i="23"/>
  <c r="K2362" i="23"/>
  <c r="K2319" i="23"/>
  <c r="K2398" i="23"/>
  <c r="K1922" i="23"/>
  <c r="K2524" i="23"/>
  <c r="I749" i="23"/>
  <c r="J749" i="23" s="1"/>
  <c r="I838" i="23"/>
  <c r="J838" i="23" s="1"/>
  <c r="I934" i="23"/>
  <c r="J934" i="23" s="1"/>
  <c r="I888" i="23"/>
  <c r="J888" i="23" s="1"/>
  <c r="I881" i="23"/>
  <c r="J881" i="23" s="1"/>
  <c r="I842" i="23"/>
  <c r="J842" i="23" s="1"/>
  <c r="I861" i="23"/>
  <c r="J861" i="23" s="1"/>
  <c r="I990" i="23"/>
  <c r="J990" i="23" s="1"/>
  <c r="I983" i="23"/>
  <c r="J983" i="23" s="1"/>
  <c r="I944" i="23"/>
  <c r="J944" i="23" s="1"/>
  <c r="I969" i="23"/>
  <c r="J969" i="23" s="1"/>
  <c r="I955" i="23"/>
  <c r="J955" i="23" s="1"/>
  <c r="I948" i="23"/>
  <c r="J948" i="23" s="1"/>
  <c r="I1012" i="23"/>
  <c r="J1012" i="23" s="1"/>
  <c r="I1102" i="23"/>
  <c r="J1102" i="23" s="1"/>
  <c r="I1084" i="23"/>
  <c r="J1084" i="23" s="1"/>
  <c r="K1801" i="23"/>
  <c r="K127" i="23"/>
  <c r="K31" i="23"/>
  <c r="K103" i="23"/>
  <c r="K2324" i="23"/>
  <c r="K2199" i="23"/>
  <c r="K2185" i="23"/>
  <c r="K1901" i="23"/>
  <c r="K1804" i="23"/>
  <c r="K45" i="23"/>
  <c r="K152" i="23"/>
  <c r="K24" i="23"/>
  <c r="K2130" i="23"/>
  <c r="K1997" i="23"/>
  <c r="K2007" i="23"/>
  <c r="K1982" i="23"/>
  <c r="K1934" i="23"/>
  <c r="K2217" i="23"/>
  <c r="K2077" i="23"/>
  <c r="K2409" i="23"/>
  <c r="K2372" i="23"/>
  <c r="K2315" i="23"/>
  <c r="K2368" i="23"/>
  <c r="K2382" i="23"/>
  <c r="K2202" i="23"/>
  <c r="K2215" i="23"/>
  <c r="K2206" i="23"/>
  <c r="K2180" i="23"/>
  <c r="K2162" i="23"/>
  <c r="K2044" i="23"/>
  <c r="K1938" i="23"/>
  <c r="K1966" i="23"/>
  <c r="K1848" i="23"/>
  <c r="K177" i="23"/>
  <c r="K2558" i="23"/>
  <c r="K2370" i="23"/>
  <c r="K2286" i="23"/>
  <c r="K1961" i="23"/>
  <c r="K1818" i="23"/>
  <c r="K29" i="23"/>
  <c r="K130" i="23"/>
  <c r="K66" i="23"/>
  <c r="K2143" i="23"/>
  <c r="K1846" i="23"/>
  <c r="K2190" i="23"/>
  <c r="K2074" i="23"/>
  <c r="K1936" i="23"/>
  <c r="K205" i="23"/>
  <c r="K2517" i="23"/>
  <c r="K2534" i="23"/>
  <c r="K2360" i="23"/>
  <c r="K2225" i="23"/>
  <c r="F2606" i="23"/>
  <c r="CL73" i="19"/>
  <c r="CM73" i="19" s="1"/>
  <c r="CN73" i="19" s="1"/>
  <c r="CL76" i="19"/>
  <c r="CM76" i="19" s="1"/>
  <c r="CN76" i="19" s="1"/>
  <c r="CL90" i="19"/>
  <c r="CM90" i="19" s="1"/>
  <c r="CN90" i="19" s="1"/>
  <c r="CL43" i="19"/>
  <c r="CM43" i="19" s="1"/>
  <c r="CN43" i="19" s="1"/>
  <c r="CL86" i="19"/>
  <c r="CM86" i="19" s="1"/>
  <c r="CN86" i="19" s="1"/>
  <c r="CL15" i="19"/>
  <c r="CL93" i="19"/>
  <c r="CL13" i="19"/>
  <c r="CM13" i="19" s="1"/>
  <c r="CN13" i="19" s="1"/>
  <c r="CL100" i="19"/>
  <c r="CM100" i="19" s="1"/>
  <c r="CN100" i="19" s="1"/>
  <c r="CL62" i="19"/>
  <c r="CL101" i="19"/>
  <c r="CM101" i="19" s="1"/>
  <c r="CN101" i="19" s="1"/>
  <c r="CL28" i="19"/>
  <c r="CL107" i="19"/>
  <c r="CM107" i="19" s="1"/>
  <c r="CN107" i="19" s="1"/>
  <c r="CM22" i="19"/>
  <c r="CN22" i="19" s="1"/>
  <c r="CL105" i="19"/>
  <c r="CM105" i="19" s="1"/>
  <c r="CN105" i="19" s="1"/>
  <c r="CL42" i="19"/>
  <c r="CM42" i="19" s="1"/>
  <c r="CN42" i="19" s="1"/>
  <c r="CL74" i="19"/>
  <c r="CM74" i="19" s="1"/>
  <c r="CN74" i="19" s="1"/>
  <c r="CL61" i="19"/>
  <c r="CM61" i="19" s="1"/>
  <c r="CN61" i="19" s="1"/>
  <c r="CL10" i="19"/>
  <c r="CM10" i="19" s="1"/>
  <c r="CN10" i="19" s="1"/>
  <c r="CL102" i="19"/>
  <c r="CM102" i="19" s="1"/>
  <c r="CN102" i="19" s="1"/>
  <c r="CL36" i="19"/>
  <c r="CL108" i="19"/>
  <c r="CM108" i="19" s="1"/>
  <c r="CN108" i="19" s="1"/>
  <c r="CL69" i="19"/>
  <c r="CM69" i="19" s="1"/>
  <c r="CN69" i="19" s="1"/>
  <c r="CL109" i="19"/>
  <c r="CL88" i="19"/>
  <c r="CL92" i="19"/>
  <c r="CM92" i="19" s="1"/>
  <c r="CN92" i="19" s="1"/>
  <c r="CL45" i="19"/>
  <c r="CM45" i="19" s="1"/>
  <c r="CN45" i="19" s="1"/>
  <c r="CL29" i="19"/>
  <c r="CL11" i="19"/>
  <c r="CL53" i="19"/>
  <c r="CM53" i="19" s="1"/>
  <c r="CN53" i="19" s="1"/>
  <c r="CL34" i="19"/>
  <c r="CL106" i="19"/>
  <c r="CL66" i="19"/>
  <c r="CL51" i="19"/>
  <c r="CM51" i="19" s="1"/>
  <c r="CN51" i="19" s="1"/>
  <c r="CL30" i="19"/>
  <c r="CM30" i="19" s="1"/>
  <c r="CN30" i="19" s="1"/>
  <c r="CL65" i="19"/>
  <c r="CM65" i="19" s="1"/>
  <c r="CN65" i="19" s="1"/>
  <c r="CL50" i="19"/>
  <c r="CL21" i="19"/>
  <c r="CL37" i="19"/>
  <c r="CL18" i="19"/>
  <c r="CL9" i="19"/>
  <c r="CM9" i="19" s="1"/>
  <c r="CN9" i="19" s="1"/>
  <c r="CL84" i="19"/>
  <c r="CM84" i="19" s="1"/>
  <c r="CN84" i="19" s="1"/>
  <c r="CL52" i="19"/>
  <c r="CL60" i="19"/>
  <c r="CL35" i="19"/>
  <c r="CM35" i="19" s="1"/>
  <c r="CN35" i="19" s="1"/>
  <c r="CL26" i="19"/>
  <c r="CM26" i="19" s="1"/>
  <c r="CN26" i="19" s="1"/>
  <c r="CL99" i="19"/>
  <c r="CL70" i="19"/>
  <c r="CM70" i="19" s="1"/>
  <c r="CN70" i="19" s="1"/>
  <c r="CL38" i="19"/>
  <c r="CL68" i="19"/>
  <c r="CL98" i="19"/>
  <c r="CL44" i="19"/>
  <c r="CM44" i="19" s="1"/>
  <c r="CN44" i="19" s="1"/>
  <c r="CL97" i="19"/>
  <c r="CL20" i="19"/>
  <c r="CM20" i="19" s="1"/>
  <c r="CN20" i="19" s="1"/>
  <c r="CO20" i="19" s="1"/>
  <c r="CL87" i="19"/>
  <c r="CL32" i="19"/>
  <c r="CM32" i="19" s="1"/>
  <c r="CN32" i="19" s="1"/>
  <c r="CL96" i="19"/>
  <c r="CL39" i="19"/>
  <c r="CM39" i="19" s="1"/>
  <c r="CN39" i="19" s="1"/>
  <c r="CL103" i="19"/>
  <c r="CM103" i="19" s="1"/>
  <c r="CN103" i="19" s="1"/>
  <c r="CL40" i="19"/>
  <c r="CM40" i="19" s="1"/>
  <c r="CN40" i="19" s="1"/>
  <c r="CL104" i="19"/>
  <c r="CL47" i="19"/>
  <c r="CL48" i="19"/>
  <c r="CL72" i="19"/>
  <c r="CL17" i="19"/>
  <c r="CL81" i="19"/>
  <c r="CM81" i="19" s="1"/>
  <c r="CN81" i="19" s="1"/>
  <c r="CL79" i="19"/>
  <c r="CL55" i="19"/>
  <c r="CM55" i="19" s="1"/>
  <c r="CN55" i="19" s="1"/>
  <c r="CL58" i="19"/>
  <c r="CM58" i="19" s="1"/>
  <c r="CN58" i="19" s="1"/>
  <c r="CL63" i="19"/>
  <c r="CL56" i="19"/>
  <c r="CM56" i="19" s="1"/>
  <c r="CN56" i="19" s="1"/>
  <c r="CL77" i="19"/>
  <c r="CM77" i="19" s="1"/>
  <c r="CN77" i="19" s="1"/>
  <c r="CL7" i="19"/>
  <c r="CL64" i="19"/>
  <c r="CM64" i="19" s="1"/>
  <c r="CN64" i="19" s="1"/>
  <c r="CL75" i="19"/>
  <c r="CL19" i="19"/>
  <c r="CM19" i="19" s="1"/>
  <c r="CN19" i="19" s="1"/>
  <c r="CL83" i="19"/>
  <c r="CM83" i="19" s="1"/>
  <c r="CN83" i="19" s="1"/>
  <c r="CL46" i="19"/>
  <c r="CL14" i="19"/>
  <c r="CL78" i="19"/>
  <c r="CL89" i="19"/>
  <c r="CL27" i="19"/>
  <c r="CL91" i="19"/>
  <c r="CM91" i="19" s="1"/>
  <c r="CN91" i="19" s="1"/>
  <c r="CL12" i="19"/>
  <c r="CL54" i="19"/>
  <c r="CL94" i="19"/>
  <c r="CL57" i="19"/>
  <c r="CM57" i="19" s="1"/>
  <c r="CN57" i="19" s="1"/>
  <c r="CL71" i="19"/>
  <c r="CL8" i="19"/>
  <c r="CL25" i="19"/>
  <c r="CL23" i="19"/>
  <c r="CM23" i="19" s="1"/>
  <c r="CN23" i="19" s="1"/>
  <c r="CL16" i="19"/>
  <c r="CL80" i="19"/>
  <c r="CM80" i="19" s="1"/>
  <c r="CN80" i="19" s="1"/>
  <c r="CL33" i="19"/>
  <c r="CL59" i="19"/>
  <c r="CM59" i="19" s="1"/>
  <c r="CN59" i="19" s="1"/>
  <c r="CL6" i="19"/>
  <c r="CL31" i="19"/>
  <c r="CL95" i="19"/>
  <c r="CM95" i="19" s="1"/>
  <c r="CN95" i="19" s="1"/>
  <c r="CO95" i="19" s="1"/>
  <c r="CL24" i="19"/>
  <c r="CM24" i="19" s="1"/>
  <c r="CN24" i="19" s="1"/>
  <c r="CO24" i="19" s="1"/>
  <c r="CL41" i="19"/>
  <c r="CL82" i="19"/>
  <c r="CL67" i="19"/>
  <c r="CL49" i="19"/>
  <c r="CL85" i="19"/>
  <c r="CM85" i="19" s="1"/>
  <c r="CC110" i="19"/>
  <c r="U110" i="19"/>
  <c r="BE110" i="19"/>
  <c r="BQ110" i="19"/>
  <c r="AY110" i="19"/>
  <c r="AP110" i="19"/>
  <c r="BH110" i="19"/>
  <c r="BT110" i="19"/>
  <c r="BK110" i="19"/>
  <c r="BN110" i="19"/>
  <c r="BW110" i="19"/>
  <c r="AS110" i="19"/>
  <c r="AM110" i="19"/>
  <c r="AJ110" i="19"/>
  <c r="AG110" i="19"/>
  <c r="AD110" i="19"/>
  <c r="CP42" i="19"/>
  <c r="O110" i="19"/>
  <c r="I110" i="19"/>
  <c r="BZ110" i="19"/>
  <c r="R110" i="19"/>
  <c r="AV110" i="19"/>
  <c r="AA110" i="19"/>
  <c r="X110" i="19"/>
  <c r="L110" i="19"/>
  <c r="BB110" i="19"/>
  <c r="CR54" i="19" l="1"/>
  <c r="CR66" i="19"/>
  <c r="CR98" i="19"/>
  <c r="CR68" i="19"/>
  <c r="CR96" i="19"/>
  <c r="CR67" i="19"/>
  <c r="CM28" i="19"/>
  <c r="CN28" i="19" s="1"/>
  <c r="K629" i="23"/>
  <c r="CS103" i="19"/>
  <c r="CS57" i="19"/>
  <c r="CS45" i="19"/>
  <c r="CS46" i="19"/>
  <c r="CS42" i="19"/>
  <c r="CS54" i="19"/>
  <c r="CS53" i="19"/>
  <c r="CS88" i="19"/>
  <c r="CS69" i="19"/>
  <c r="CS55" i="19"/>
  <c r="CS106" i="19"/>
  <c r="CS49" i="19"/>
  <c r="CS102" i="19"/>
  <c r="CS77" i="19"/>
  <c r="CS97" i="19"/>
  <c r="CS43" i="19"/>
  <c r="CS72" i="19"/>
  <c r="CS98" i="19"/>
  <c r="CS83" i="19"/>
  <c r="CS56" i="19"/>
  <c r="CS70" i="19"/>
  <c r="CS96" i="19"/>
  <c r="CS101" i="19"/>
  <c r="CS66" i="19"/>
  <c r="CS67" i="19"/>
  <c r="CS68" i="19"/>
  <c r="CS76" i="19"/>
  <c r="CS71" i="19"/>
  <c r="CS99" i="19"/>
  <c r="CS107" i="19"/>
  <c r="CS58" i="19"/>
  <c r="K733" i="23"/>
  <c r="K525" i="23"/>
  <c r="K1461" i="23"/>
  <c r="P31" i="25"/>
  <c r="P3" i="25" s="1"/>
  <c r="CR71" i="19"/>
  <c r="K1357" i="23"/>
  <c r="K2501" i="23"/>
  <c r="N31" i="25"/>
  <c r="N3" i="25" s="1"/>
  <c r="AJ31" i="25"/>
  <c r="AJ3" i="25" s="1"/>
  <c r="O31" i="25"/>
  <c r="O3" i="25" s="1"/>
  <c r="L31" i="25"/>
  <c r="L3" i="25" s="1"/>
  <c r="K1542" i="23"/>
  <c r="K1118" i="23"/>
  <c r="K1752" i="23"/>
  <c r="K873" i="23"/>
  <c r="K261" i="23"/>
  <c r="K1756" i="23"/>
  <c r="K789" i="23"/>
  <c r="K1471" i="23"/>
  <c r="K491" i="23"/>
  <c r="K1657" i="23"/>
  <c r="K856" i="23"/>
  <c r="K1536" i="23"/>
  <c r="K556" i="23"/>
  <c r="K1771" i="23"/>
  <c r="K1602" i="23"/>
  <c r="K1515" i="23"/>
  <c r="K1036" i="23"/>
  <c r="K852" i="23"/>
  <c r="K397" i="23"/>
  <c r="K1065" i="23"/>
  <c r="K747" i="23"/>
  <c r="K560" i="23"/>
  <c r="K675" i="23"/>
  <c r="K1292" i="23"/>
  <c r="K861" i="23"/>
  <c r="K255" i="23"/>
  <c r="K1157" i="23"/>
  <c r="K717" i="23"/>
  <c r="K647" i="23"/>
  <c r="K1311" i="23"/>
  <c r="K620" i="23"/>
  <c r="K1204" i="23"/>
  <c r="K1161" i="23"/>
  <c r="K1049" i="23"/>
  <c r="K736" i="23"/>
  <c r="K1651" i="23"/>
  <c r="K1525" i="23"/>
  <c r="K1429" i="23"/>
  <c r="K1148" i="23"/>
  <c r="K853" i="23"/>
  <c r="K926" i="23"/>
  <c r="K1257" i="23"/>
  <c r="K225" i="23"/>
  <c r="K964" i="23"/>
  <c r="K942" i="23"/>
  <c r="K550" i="23"/>
  <c r="K406" i="23"/>
  <c r="K1391" i="23"/>
  <c r="K1225" i="23"/>
  <c r="K1207" i="23"/>
  <c r="K1763" i="23"/>
  <c r="K1594" i="23"/>
  <c r="K615" i="23"/>
  <c r="K494" i="23"/>
  <c r="K699" i="23"/>
  <c r="K806" i="23"/>
  <c r="K554" i="23"/>
  <c r="K238" i="23"/>
  <c r="K1176" i="23"/>
  <c r="K1687" i="23"/>
  <c r="K983" i="23"/>
  <c r="K1563" i="23"/>
  <c r="K1439" i="23"/>
  <c r="K470" i="23"/>
  <c r="K606" i="23"/>
  <c r="K905" i="23"/>
  <c r="K386" i="23"/>
  <c r="K337" i="23"/>
  <c r="K1399" i="23"/>
  <c r="K1061" i="23"/>
  <c r="K882" i="23"/>
  <c r="K1083" i="23"/>
  <c r="K271" i="23"/>
  <c r="K695" i="23"/>
  <c r="K413" i="23"/>
  <c r="K1528" i="23"/>
  <c r="K1315" i="23"/>
  <c r="K1189" i="23"/>
  <c r="K265" i="23"/>
  <c r="K282" i="23"/>
  <c r="K293" i="23"/>
  <c r="K1758" i="23"/>
  <c r="K1296" i="23"/>
  <c r="K1251" i="23"/>
  <c r="K607" i="23"/>
  <c r="K1179" i="23"/>
  <c r="K1501" i="23"/>
  <c r="K693" i="23"/>
  <c r="K818" i="23"/>
  <c r="K921" i="23"/>
  <c r="K596" i="23"/>
  <c r="K1665" i="23"/>
  <c r="K1383" i="23"/>
  <c r="K1318" i="23"/>
  <c r="K1109" i="23"/>
  <c r="K954" i="23"/>
  <c r="K923" i="23"/>
  <c r="K569" i="23"/>
  <c r="K411" i="23"/>
  <c r="K253" i="23"/>
  <c r="K223" i="23"/>
  <c r="K1389" i="23"/>
  <c r="K872" i="23"/>
  <c r="K1466" i="23"/>
  <c r="K1360" i="23"/>
  <c r="K1498" i="23"/>
  <c r="K1120" i="23"/>
  <c r="K902" i="23"/>
  <c r="K297" i="23"/>
  <c r="K1412" i="23"/>
  <c r="K1401" i="23"/>
  <c r="K1062" i="23"/>
  <c r="K335" i="23"/>
  <c r="K1723" i="23"/>
  <c r="K528" i="23"/>
  <c r="K1722" i="23"/>
  <c r="K727" i="23"/>
  <c r="K1349" i="23"/>
  <c r="K909" i="23"/>
  <c r="K307" i="23"/>
  <c r="K1175" i="23"/>
  <c r="K1675" i="23"/>
  <c r="K1620" i="23"/>
  <c r="K1309" i="23"/>
  <c r="K913" i="23"/>
  <c r="K702" i="23"/>
  <c r="K361" i="23"/>
  <c r="K623" i="23"/>
  <c r="K1745" i="23"/>
  <c r="K1695" i="23"/>
  <c r="K1587" i="23"/>
  <c r="K1633" i="23"/>
  <c r="K1615" i="23"/>
  <c r="K1510" i="23"/>
  <c r="K1451" i="23"/>
  <c r="K1369" i="23"/>
  <c r="K825" i="23"/>
  <c r="K679" i="23"/>
  <c r="K558" i="23"/>
  <c r="K595" i="23"/>
  <c r="K1559" i="23"/>
  <c r="K1188" i="23"/>
  <c r="K918" i="23"/>
  <c r="K476" i="23"/>
  <c r="K658" i="23"/>
  <c r="K305" i="23"/>
  <c r="K1184" i="23"/>
  <c r="K572" i="23"/>
  <c r="K478" i="23"/>
  <c r="K1103" i="23"/>
  <c r="K970" i="23"/>
  <c r="K610" i="23"/>
  <c r="K249" i="23"/>
  <c r="K1364" i="23"/>
  <c r="K1445" i="23"/>
  <c r="K1180" i="23"/>
  <c r="K1093" i="23"/>
  <c r="K808" i="23"/>
  <c r="K1125" i="23"/>
  <c r="K241" i="23"/>
  <c r="K1577" i="23"/>
  <c r="K1255" i="23"/>
  <c r="K1150" i="23"/>
  <c r="K1070" i="23"/>
  <c r="K920" i="23"/>
  <c r="K527" i="23"/>
  <c r="K254" i="23"/>
  <c r="K884" i="23"/>
  <c r="K638" i="23"/>
  <c r="K583" i="23"/>
  <c r="K463" i="23"/>
  <c r="K1699" i="23"/>
  <c r="K1583" i="23"/>
  <c r="K1458" i="23"/>
  <c r="K1440" i="23"/>
  <c r="K1390" i="23"/>
  <c r="K1301" i="23"/>
  <c r="K1249" i="23"/>
  <c r="K1112" i="23"/>
  <c r="K684" i="23"/>
  <c r="K708" i="23"/>
  <c r="K377" i="23"/>
  <c r="K1051" i="23"/>
  <c r="K648" i="23"/>
  <c r="K868" i="23"/>
  <c r="K589" i="23"/>
  <c r="K886" i="23"/>
  <c r="K294" i="23"/>
  <c r="K1667" i="23"/>
  <c r="K1269" i="23"/>
  <c r="K1336" i="23"/>
  <c r="K1080" i="23"/>
  <c r="K772" i="23"/>
  <c r="K653" i="23"/>
  <c r="K573" i="23"/>
  <c r="K576" i="23"/>
  <c r="K303" i="23"/>
  <c r="K320" i="23"/>
  <c r="K928" i="23"/>
  <c r="K1519" i="23"/>
  <c r="K1302" i="23"/>
  <c r="K777" i="23"/>
  <c r="K1102" i="23"/>
  <c r="K1655" i="23"/>
  <c r="K1273" i="23"/>
  <c r="K1326" i="23"/>
  <c r="K1044" i="23"/>
  <c r="K619" i="23"/>
  <c r="K310" i="23"/>
  <c r="K1738" i="23"/>
  <c r="K1576" i="23"/>
  <c r="K1286" i="23"/>
  <c r="K1228" i="23"/>
  <c r="K1141" i="23"/>
  <c r="K1100" i="23"/>
  <c r="K997" i="23"/>
  <c r="K292" i="23"/>
  <c r="K509" i="23"/>
  <c r="K655" i="23"/>
  <c r="K387" i="23"/>
  <c r="K1372" i="23"/>
  <c r="K1166" i="23"/>
  <c r="K454" i="23"/>
  <c r="K1575" i="23"/>
  <c r="K1069" i="23"/>
  <c r="K936" i="23"/>
  <c r="K1208" i="23"/>
  <c r="K956" i="23"/>
  <c r="K1135" i="23"/>
  <c r="K216" i="23"/>
  <c r="K1514" i="23"/>
  <c r="K744" i="23"/>
  <c r="K146" i="23"/>
  <c r="K1494" i="23"/>
  <c r="K1413" i="23"/>
  <c r="K1345" i="23"/>
  <c r="K1013" i="23"/>
  <c r="K827" i="23"/>
  <c r="K578" i="23"/>
  <c r="K969" i="23"/>
  <c r="K842" i="23"/>
  <c r="K1703" i="23"/>
  <c r="K1659" i="23"/>
  <c r="K1641" i="23"/>
  <c r="K1566" i="23"/>
  <c r="K1479" i="23"/>
  <c r="K1085" i="23"/>
  <c r="K1095" i="23"/>
  <c r="K893" i="23"/>
  <c r="K755" i="23"/>
  <c r="K401" i="23"/>
  <c r="K891" i="23"/>
  <c r="K691" i="23"/>
  <c r="K555" i="23"/>
  <c r="K448" i="23"/>
  <c r="K318" i="23"/>
  <c r="K233" i="23"/>
  <c r="K395" i="23"/>
  <c r="K687" i="23"/>
  <c r="K1759" i="23"/>
  <c r="K1670" i="23"/>
  <c r="K1658" i="23"/>
  <c r="K1500" i="23"/>
  <c r="K1482" i="23"/>
  <c r="K1380" i="23"/>
  <c r="K1426" i="23"/>
  <c r="K1283" i="23"/>
  <c r="K1224" i="23"/>
  <c r="K1167" i="23"/>
  <c r="K1025" i="23"/>
  <c r="K975" i="23"/>
  <c r="K659" i="23"/>
  <c r="K427" i="23"/>
  <c r="K354" i="23"/>
  <c r="K591" i="23"/>
  <c r="K1474" i="23"/>
  <c r="K1038" i="23"/>
  <c r="K280" i="23"/>
  <c r="K1737" i="23"/>
  <c r="K1726" i="23"/>
  <c r="K1470" i="23"/>
  <c r="K1213" i="23"/>
  <c r="K1223" i="23"/>
  <c r="K999" i="23"/>
  <c r="K845" i="23"/>
  <c r="K778" i="23"/>
  <c r="K371" i="23"/>
  <c r="K714" i="23"/>
  <c r="K1509" i="23"/>
  <c r="K1016" i="23"/>
  <c r="K384" i="23"/>
  <c r="K435" i="23"/>
  <c r="K362" i="23"/>
  <c r="K1473" i="23"/>
  <c r="K1392" i="23"/>
  <c r="K1190" i="23"/>
  <c r="K1060" i="23"/>
  <c r="K939" i="23"/>
  <c r="K446" i="23"/>
  <c r="K627" i="23"/>
  <c r="K881" i="23"/>
  <c r="K1671" i="23"/>
  <c r="K1591" i="23"/>
  <c r="K1441" i="23"/>
  <c r="K1243" i="23"/>
  <c r="K1214" i="23"/>
  <c r="K1124" i="23"/>
  <c r="K1040" i="23"/>
  <c r="K899" i="23"/>
  <c r="K762" i="23"/>
  <c r="K390" i="23"/>
  <c r="K674" i="23"/>
  <c r="K544" i="23"/>
  <c r="K524" i="23"/>
  <c r="K878" i="23"/>
  <c r="K345" i="23"/>
  <c r="K358" i="23"/>
  <c r="K1731" i="23"/>
  <c r="K1713" i="23"/>
  <c r="K1569" i="23"/>
  <c r="K1507" i="23"/>
  <c r="K1553" i="23"/>
  <c r="K1464" i="23"/>
  <c r="K1447" i="23"/>
  <c r="K1329" i="23"/>
  <c r="K1343" i="23"/>
  <c r="K1164" i="23"/>
  <c r="K1192" i="23"/>
  <c r="K1238" i="23"/>
  <c r="K1126" i="23"/>
  <c r="K1014" i="23"/>
  <c r="K587" i="23"/>
  <c r="K505" i="23"/>
  <c r="K393" i="23"/>
  <c r="K637" i="23"/>
  <c r="K429" i="23"/>
  <c r="K792" i="23"/>
  <c r="K540" i="23"/>
  <c r="K426" i="23"/>
  <c r="K389" i="23"/>
  <c r="K510" i="23"/>
  <c r="K876" i="23"/>
  <c r="K1256" i="23"/>
  <c r="K513" i="23"/>
  <c r="K1523" i="23"/>
  <c r="K1480" i="23"/>
  <c r="K1431" i="23"/>
  <c r="K1288" i="23"/>
  <c r="K1158" i="23"/>
  <c r="K1096" i="23"/>
  <c r="K914" i="23"/>
  <c r="K566" i="23"/>
  <c r="K529" i="23"/>
  <c r="K444" i="23"/>
  <c r="K1750" i="23"/>
  <c r="K1571" i="23"/>
  <c r="K1567" i="23"/>
  <c r="K1477" i="23"/>
  <c r="K901" i="23"/>
  <c r="K624" i="23"/>
  <c r="K635" i="23"/>
  <c r="K299" i="23"/>
  <c r="K1410" i="23"/>
  <c r="K1240" i="23"/>
  <c r="K945" i="23"/>
  <c r="K759" i="23"/>
  <c r="K477" i="23"/>
  <c r="K324" i="23"/>
  <c r="K230" i="23"/>
  <c r="K1666" i="23"/>
  <c r="K1630" i="23"/>
  <c r="K1366" i="23"/>
  <c r="K1088" i="23"/>
  <c r="K938" i="23"/>
  <c r="K642" i="23"/>
  <c r="K221" i="23"/>
  <c r="K752" i="23"/>
  <c r="K273" i="23"/>
  <c r="K1772" i="23"/>
  <c r="K1619" i="23"/>
  <c r="K1608" i="23"/>
  <c r="K1475" i="23"/>
  <c r="K1521" i="23"/>
  <c r="K1444" i="23"/>
  <c r="K1419" i="23"/>
  <c r="K1415" i="23"/>
  <c r="K1160" i="23"/>
  <c r="K1076" i="23"/>
  <c r="K979" i="23"/>
  <c r="K1000" i="23"/>
  <c r="K950" i="23"/>
  <c r="K741" i="23"/>
  <c r="K768" i="23"/>
  <c r="K594" i="23"/>
  <c r="K441" i="23"/>
  <c r="K707" i="23"/>
  <c r="K381" i="23"/>
  <c r="K1495" i="23"/>
  <c r="K1400" i="23"/>
  <c r="K645" i="23"/>
  <c r="K586" i="23"/>
  <c r="K724" i="23"/>
  <c r="K934" i="23"/>
  <c r="K1748" i="23"/>
  <c r="K1682" i="23"/>
  <c r="K1616" i="23"/>
  <c r="K1459" i="23"/>
  <c r="K1067" i="23"/>
  <c r="K1056" i="23"/>
  <c r="K973" i="23"/>
  <c r="K1015" i="23"/>
  <c r="K461" i="23"/>
  <c r="K685" i="23"/>
  <c r="K1702" i="23"/>
  <c r="K312" i="23"/>
  <c r="K1195" i="23"/>
  <c r="K696" i="23"/>
  <c r="K1764" i="23"/>
  <c r="K1293" i="23"/>
  <c r="K1047" i="23"/>
  <c r="K765" i="23"/>
  <c r="K611" i="23"/>
  <c r="K433" i="23"/>
  <c r="K237" i="23"/>
  <c r="K1768" i="23"/>
  <c r="K1624" i="23"/>
  <c r="K1491" i="23"/>
  <c r="K977" i="23"/>
  <c r="K621" i="23"/>
  <c r="K559" i="23"/>
  <c r="K355" i="23"/>
  <c r="K1456" i="23"/>
  <c r="K1173" i="23"/>
  <c r="K1132" i="23"/>
  <c r="K966" i="23"/>
  <c r="K489" i="23"/>
  <c r="K409" i="23"/>
  <c r="K369" i="23"/>
  <c r="K1012" i="23"/>
  <c r="K944" i="23"/>
  <c r="K838" i="23"/>
  <c r="K1508" i="23"/>
  <c r="K1554" i="23"/>
  <c r="K1472" i="23"/>
  <c r="K1518" i="23"/>
  <c r="K1395" i="23"/>
  <c r="K1416" i="23"/>
  <c r="K1430" i="23"/>
  <c r="K1373" i="23"/>
  <c r="K1127" i="23"/>
  <c r="K976" i="23"/>
  <c r="K790" i="23"/>
  <c r="K880" i="23"/>
  <c r="K493" i="23"/>
  <c r="K434" i="23"/>
  <c r="K365" i="23"/>
  <c r="K539" i="23"/>
  <c r="K650" i="23"/>
  <c r="K1496" i="23"/>
  <c r="K1304" i="23"/>
  <c r="K1235" i="23"/>
  <c r="K1055" i="23"/>
  <c r="K841" i="23"/>
  <c r="K264" i="23"/>
  <c r="K193" i="23"/>
  <c r="K809" i="23"/>
  <c r="K475" i="23"/>
  <c r="K1680" i="23"/>
  <c r="K1668" i="23"/>
  <c r="K1607" i="23"/>
  <c r="K1506" i="23"/>
  <c r="K1502" i="23"/>
  <c r="K1425" i="23"/>
  <c r="K1414" i="23"/>
  <c r="K1307" i="23"/>
  <c r="K1310" i="23"/>
  <c r="K1216" i="23"/>
  <c r="K1140" i="23"/>
  <c r="K1136" i="23"/>
  <c r="K985" i="23"/>
  <c r="K851" i="23"/>
  <c r="K746" i="23"/>
  <c r="K831" i="23"/>
  <c r="K709" i="23"/>
  <c r="K683" i="23"/>
  <c r="K639" i="23"/>
  <c r="K575" i="23"/>
  <c r="K479" i="23"/>
  <c r="K325" i="23"/>
  <c r="K417" i="23"/>
  <c r="K309" i="23"/>
  <c r="K257" i="23"/>
  <c r="K574" i="23"/>
  <c r="K352" i="23"/>
  <c r="K570" i="23"/>
  <c r="K229" i="23"/>
  <c r="K1700" i="23"/>
  <c r="K1762" i="23"/>
  <c r="K1673" i="23"/>
  <c r="K1643" i="23"/>
  <c r="K1664" i="23"/>
  <c r="K1517" i="23"/>
  <c r="K1463" i="23"/>
  <c r="K1443" i="23"/>
  <c r="K1393" i="23"/>
  <c r="K1421" i="23"/>
  <c r="K1268" i="23"/>
  <c r="K1342" i="23"/>
  <c r="K1156" i="23"/>
  <c r="K1159" i="23"/>
  <c r="K1072" i="23"/>
  <c r="K1054" i="23"/>
  <c r="K1024" i="23"/>
  <c r="K511" i="23"/>
  <c r="K357" i="23"/>
  <c r="K321" i="23"/>
  <c r="K283" i="23"/>
  <c r="K263" i="23"/>
  <c r="K1030" i="23"/>
  <c r="K889" i="23"/>
  <c r="K745" i="23"/>
  <c r="K508" i="23"/>
  <c r="K416" i="23"/>
  <c r="K313" i="23"/>
  <c r="K534" i="23"/>
  <c r="K394" i="23"/>
  <c r="K1715" i="23"/>
  <c r="K1761" i="23"/>
  <c r="K1711" i="23"/>
  <c r="K1649" i="23"/>
  <c r="K1631" i="23"/>
  <c r="K1606" i="23"/>
  <c r="K1548" i="23"/>
  <c r="K1512" i="23"/>
  <c r="K1442" i="23"/>
  <c r="K1438" i="23"/>
  <c r="K1183" i="23"/>
  <c r="K1128" i="23"/>
  <c r="K1046" i="23"/>
  <c r="K373" i="23"/>
  <c r="K443" i="23"/>
  <c r="K1200" i="23"/>
  <c r="I2606" i="23"/>
  <c r="J5" i="23"/>
  <c r="J2606" i="23" s="1"/>
  <c r="K948" i="23"/>
  <c r="K749" i="23"/>
  <c r="K1678" i="23"/>
  <c r="K1627" i="23"/>
  <c r="K1476" i="23"/>
  <c r="K1490" i="23"/>
  <c r="K1511" i="23"/>
  <c r="K1486" i="23"/>
  <c r="K1434" i="23"/>
  <c r="K1384" i="23"/>
  <c r="K1398" i="23"/>
  <c r="K1341" i="23"/>
  <c r="K1323" i="23"/>
  <c r="K1319" i="23"/>
  <c r="K1172" i="23"/>
  <c r="K1193" i="23"/>
  <c r="K1168" i="23"/>
  <c r="K1182" i="23"/>
  <c r="K512" i="23"/>
  <c r="K379" i="23"/>
  <c r="K437" i="23"/>
  <c r="K215" i="23"/>
  <c r="K1708" i="23"/>
  <c r="K1770" i="23"/>
  <c r="K1681" i="23"/>
  <c r="K1727" i="23"/>
  <c r="K1272" i="23"/>
  <c r="K1059" i="23"/>
  <c r="K968" i="23"/>
  <c r="K984" i="23"/>
  <c r="K1719" i="23"/>
  <c r="K1611" i="23"/>
  <c r="K1485" i="23"/>
  <c r="K1436" i="23"/>
  <c r="K1361" i="23"/>
  <c r="K1453" i="23"/>
  <c r="K1321" i="23"/>
  <c r="K1220" i="23"/>
  <c r="K1152" i="23"/>
  <c r="K1068" i="23"/>
  <c r="K1143" i="23"/>
  <c r="K953" i="23"/>
  <c r="K897" i="23"/>
  <c r="K824" i="23"/>
  <c r="K799" i="23"/>
  <c r="K677" i="23"/>
  <c r="K651" i="23"/>
  <c r="K694" i="23"/>
  <c r="K579" i="23"/>
  <c r="K518" i="23"/>
  <c r="K403" i="23"/>
  <c r="K353" i="23"/>
  <c r="K245" i="23"/>
  <c r="K231" i="23"/>
  <c r="K875" i="23"/>
  <c r="K631" i="23"/>
  <c r="K496" i="23"/>
  <c r="K644" i="23"/>
  <c r="K598" i="23"/>
  <c r="K267" i="23"/>
  <c r="K1755" i="23"/>
  <c r="K1751" i="23"/>
  <c r="K1579" i="23"/>
  <c r="K1639" i="23"/>
  <c r="K1556" i="23"/>
  <c r="K1534" i="23"/>
  <c r="K1411" i="23"/>
  <c r="K1460" i="23"/>
  <c r="K1339" i="23"/>
  <c r="K1278" i="23"/>
  <c r="K1248" i="23"/>
  <c r="K1133" i="23"/>
  <c r="K1129" i="23"/>
  <c r="K1111" i="23"/>
  <c r="K1028" i="23"/>
  <c r="K960" i="23"/>
  <c r="K844" i="23"/>
  <c r="K447" i="23"/>
  <c r="K360" i="23"/>
  <c r="K289" i="23"/>
  <c r="K302" i="23"/>
  <c r="K932" i="23"/>
  <c r="K910" i="23"/>
  <c r="K464" i="23"/>
  <c r="K334" i="23"/>
  <c r="K248" i="23"/>
  <c r="K710" i="23"/>
  <c r="K442" i="23"/>
  <c r="K1697" i="23"/>
  <c r="K1679" i="23"/>
  <c r="K1585" i="23"/>
  <c r="K1599" i="23"/>
  <c r="K1574" i="23"/>
  <c r="K1516" i="23"/>
  <c r="K1551" i="23"/>
  <c r="K1424" i="23"/>
  <c r="K1317" i="23"/>
  <c r="K1187" i="23"/>
  <c r="K1562" i="23"/>
  <c r="K1331" i="23"/>
  <c r="K331" i="23"/>
  <c r="K1084" i="23"/>
  <c r="K955" i="23"/>
  <c r="K990" i="23"/>
  <c r="K888" i="23"/>
  <c r="K1739" i="23"/>
  <c r="K1735" i="23"/>
  <c r="K1652" i="23"/>
  <c r="K1595" i="23"/>
  <c r="K1609" i="23"/>
  <c r="K1623" i="23"/>
  <c r="K1052" i="23"/>
  <c r="K1134" i="23"/>
  <c r="K980" i="23"/>
  <c r="K958" i="23"/>
  <c r="K874" i="23"/>
  <c r="K863" i="23"/>
  <c r="K776" i="23"/>
  <c r="K667" i="23"/>
  <c r="K502" i="23"/>
  <c r="K274" i="23"/>
  <c r="K982" i="23"/>
  <c r="K937" i="23"/>
  <c r="K793" i="23"/>
  <c r="K668" i="23"/>
  <c r="K720" i="23"/>
  <c r="K541" i="23"/>
  <c r="K285" i="23"/>
  <c r="K296" i="23"/>
  <c r="K839" i="23"/>
  <c r="K557" i="23"/>
  <c r="K507" i="23"/>
  <c r="K269" i="23"/>
  <c r="K581" i="23"/>
  <c r="K376" i="23"/>
  <c r="K1626" i="23"/>
  <c r="K1601" i="23"/>
  <c r="K1647" i="23"/>
  <c r="K1493" i="23"/>
  <c r="K1560" i="23"/>
  <c r="K1503" i="23"/>
  <c r="K1478" i="23"/>
  <c r="K1394" i="23"/>
  <c r="K1408" i="23"/>
  <c r="K1454" i="23"/>
  <c r="K1365" i="23"/>
  <c r="K1340" i="23"/>
  <c r="K1265" i="23"/>
  <c r="K1196" i="23"/>
  <c r="K1185" i="23"/>
  <c r="K1231" i="23"/>
  <c r="K1206" i="23"/>
  <c r="K1116" i="23"/>
  <c r="K1137" i="23"/>
  <c r="K1048" i="23"/>
  <c r="K1094" i="23"/>
  <c r="K972" i="23"/>
  <c r="K993" i="23"/>
  <c r="K1039" i="23"/>
  <c r="K917" i="23"/>
  <c r="K859" i="23"/>
  <c r="K761" i="23"/>
  <c r="K688" i="23"/>
  <c r="K612" i="23"/>
  <c r="K537" i="23"/>
  <c r="K523" i="23"/>
  <c r="K480" i="23"/>
  <c r="K347" i="23"/>
  <c r="K350" i="23"/>
  <c r="K266" i="23"/>
  <c r="K278" i="23"/>
  <c r="K734" i="23"/>
  <c r="K599" i="23"/>
  <c r="K363" i="23"/>
  <c r="K613" i="23"/>
  <c r="K341" i="23"/>
  <c r="K222" i="23"/>
  <c r="K1730" i="23"/>
  <c r="K1432" i="23"/>
  <c r="K922" i="23"/>
  <c r="K847" i="23"/>
  <c r="K703" i="23"/>
  <c r="K618" i="23"/>
  <c r="K543" i="23"/>
  <c r="K465" i="23"/>
  <c r="K486" i="23"/>
  <c r="K663" i="23"/>
  <c r="K344" i="23"/>
  <c r="K1683" i="23"/>
  <c r="K1635" i="23"/>
  <c r="K1295" i="23"/>
  <c r="K1064" i="23"/>
  <c r="K460" i="23"/>
  <c r="K907" i="23"/>
  <c r="K757" i="23"/>
  <c r="K1603" i="23"/>
  <c r="K1299" i="23"/>
  <c r="K1270" i="23"/>
  <c r="K995" i="23"/>
  <c r="K998" i="23"/>
  <c r="K784" i="23"/>
  <c r="K571" i="23"/>
  <c r="K425" i="23"/>
  <c r="K287" i="23"/>
  <c r="K664" i="23"/>
  <c r="K495" i="23"/>
  <c r="K326" i="23"/>
  <c r="K1555" i="23"/>
  <c r="K1537" i="23"/>
  <c r="K1526" i="23"/>
  <c r="K1385" i="23"/>
  <c r="K1367" i="23"/>
  <c r="K1356" i="23"/>
  <c r="K1281" i="23"/>
  <c r="K1244" i="23"/>
  <c r="K728" i="23"/>
  <c r="K438" i="23"/>
  <c r="K272" i="23"/>
  <c r="K846" i="23"/>
  <c r="K339" i="23"/>
  <c r="K405" i="23"/>
  <c r="K1618" i="23"/>
  <c r="K1499" i="23"/>
  <c r="K1450" i="23"/>
  <c r="K1707" i="23"/>
  <c r="K1469" i="23"/>
  <c r="K1483" i="23"/>
  <c r="K1504" i="23"/>
  <c r="K1550" i="23"/>
  <c r="K1427" i="23"/>
  <c r="K1448" i="23"/>
  <c r="K1359" i="23"/>
  <c r="K1437" i="23"/>
  <c r="K1277" i="23"/>
  <c r="K1280" i="23"/>
  <c r="K1232" i="23"/>
  <c r="K822" i="23"/>
  <c r="K719" i="23"/>
  <c r="K885" i="23"/>
  <c r="K526" i="23"/>
  <c r="K459" i="23"/>
  <c r="K462" i="23"/>
  <c r="K329" i="23"/>
  <c r="K1720" i="23"/>
  <c r="K1333" i="23"/>
  <c r="K1199" i="23"/>
  <c r="K1144" i="23"/>
  <c r="K1119" i="23"/>
  <c r="K1032" i="23"/>
  <c r="K214" i="23"/>
  <c r="K795" i="23"/>
  <c r="K1694" i="23"/>
  <c r="K1632" i="23"/>
  <c r="K1467" i="23"/>
  <c r="K1418" i="23"/>
  <c r="K1407" i="23"/>
  <c r="K1325" i="23"/>
  <c r="K1335" i="23"/>
  <c r="K1101" i="23"/>
  <c r="K1097" i="23"/>
  <c r="K996" i="23"/>
  <c r="K877" i="23"/>
  <c r="K810" i="23"/>
  <c r="K760" i="23"/>
  <c r="K774" i="23"/>
  <c r="K715" i="23"/>
  <c r="K671" i="23"/>
  <c r="K604" i="23"/>
  <c r="K561" i="23"/>
  <c r="K440" i="23"/>
  <c r="K378" i="23"/>
  <c r="K374" i="23"/>
  <c r="K251" i="23"/>
  <c r="K1071" i="23"/>
  <c r="K643" i="23"/>
  <c r="K603" i="23"/>
  <c r="K402" i="23"/>
  <c r="K262" i="23"/>
  <c r="K588" i="23"/>
  <c r="K419" i="23"/>
  <c r="K1732" i="23"/>
  <c r="K1691" i="23"/>
  <c r="K1705" i="23"/>
  <c r="K1586" i="23"/>
  <c r="K1614" i="23"/>
  <c r="K1488" i="23"/>
  <c r="K1404" i="23"/>
  <c r="K1457" i="23"/>
  <c r="K1446" i="23"/>
  <c r="K1332" i="23"/>
  <c r="K1264" i="23"/>
  <c r="K1252" i="23"/>
  <c r="K1108" i="23"/>
  <c r="K1104" i="23"/>
  <c r="K1086" i="23"/>
  <c r="K971" i="23"/>
  <c r="K1006" i="23"/>
  <c r="K858" i="23"/>
  <c r="K662" i="23"/>
  <c r="K582" i="23"/>
  <c r="K422" i="23"/>
  <c r="K385" i="23"/>
  <c r="K342" i="23"/>
  <c r="K256" i="23"/>
  <c r="K1142" i="23"/>
  <c r="K843" i="23"/>
  <c r="K802" i="23"/>
  <c r="K542" i="23"/>
  <c r="K370" i="23"/>
  <c r="K661" i="23"/>
  <c r="K538" i="23"/>
  <c r="K348" i="23"/>
  <c r="K1747" i="23"/>
  <c r="K1690" i="23"/>
  <c r="K1704" i="23"/>
  <c r="K1628" i="23"/>
  <c r="K1663" i="23"/>
  <c r="K1638" i="23"/>
  <c r="K1435" i="23"/>
  <c r="K1313" i="23"/>
  <c r="K1212" i="23"/>
  <c r="K1247" i="23"/>
  <c r="K1092" i="23"/>
  <c r="K1078" i="23"/>
  <c r="K1215" i="23"/>
  <c r="K349" i="23"/>
  <c r="CR76" i="19"/>
  <c r="CO90" i="19"/>
  <c r="CO43" i="19"/>
  <c r="CO73" i="19"/>
  <c r="CO76" i="19"/>
  <c r="CR43" i="19"/>
  <c r="CR107" i="19"/>
  <c r="CO107" i="19"/>
  <c r="CO55" i="19"/>
  <c r="CR101" i="19"/>
  <c r="CR45" i="19"/>
  <c r="CO69" i="19"/>
  <c r="CO44" i="19"/>
  <c r="CR53" i="19"/>
  <c r="CO108" i="19"/>
  <c r="CO19" i="19"/>
  <c r="CO70" i="19"/>
  <c r="CR70" i="19"/>
  <c r="CM21" i="19"/>
  <c r="CN21" i="19" s="1"/>
  <c r="CO53" i="19"/>
  <c r="CM66" i="19"/>
  <c r="CN66" i="19" s="1"/>
  <c r="CR55" i="19"/>
  <c r="CM68" i="19"/>
  <c r="CN68" i="19" s="1"/>
  <c r="CM25" i="19"/>
  <c r="CN25" i="19" s="1"/>
  <c r="CM71" i="19"/>
  <c r="CN71" i="19" s="1"/>
  <c r="CM49" i="19"/>
  <c r="CN49" i="19" s="1"/>
  <c r="CM48" i="19"/>
  <c r="CN48" i="19" s="1"/>
  <c r="CR49" i="19"/>
  <c r="CM7" i="19"/>
  <c r="CN7" i="19" s="1"/>
  <c r="CO7" i="19" s="1"/>
  <c r="CO77" i="19"/>
  <c r="CO57" i="19"/>
  <c r="CO58" i="19"/>
  <c r="CR83" i="19"/>
  <c r="CR58" i="19"/>
  <c r="CO83" i="19"/>
  <c r="CR57" i="19"/>
  <c r="CR77" i="19"/>
  <c r="CO23" i="19"/>
  <c r="CM67" i="19"/>
  <c r="CN67" i="19" s="1"/>
  <c r="CN85" i="19"/>
  <c r="CO85" i="19" s="1"/>
  <c r="CM82" i="19"/>
  <c r="CN82" i="19" s="1"/>
  <c r="CO56" i="19"/>
  <c r="CM27" i="19"/>
  <c r="CN27" i="19" s="1"/>
  <c r="CR56" i="19"/>
  <c r="CM12" i="19"/>
  <c r="CN12" i="19" s="1"/>
  <c r="CM54" i="19"/>
  <c r="CN54" i="19" s="1"/>
  <c r="CM62" i="19"/>
  <c r="CN62" i="19" s="1"/>
  <c r="CM88" i="19"/>
  <c r="CN88" i="19" s="1"/>
  <c r="CR88" i="19"/>
  <c r="CM87" i="19"/>
  <c r="CN87" i="19" s="1"/>
  <c r="CM89" i="19"/>
  <c r="CN89" i="19" s="1"/>
  <c r="CR103" i="19"/>
  <c r="CO74" i="19"/>
  <c r="CO64" i="19"/>
  <c r="CM93" i="19"/>
  <c r="CN93" i="19" s="1"/>
  <c r="CM8" i="19"/>
  <c r="CN8" i="19" s="1"/>
  <c r="CM63" i="19"/>
  <c r="CN63" i="19" s="1"/>
  <c r="CM79" i="19"/>
  <c r="CN79" i="19" s="1"/>
  <c r="CM41" i="19"/>
  <c r="CN41" i="19" s="1"/>
  <c r="CM14" i="19"/>
  <c r="CN14" i="19" s="1"/>
  <c r="CM50" i="19"/>
  <c r="CN50" i="19" s="1"/>
  <c r="CM99" i="19"/>
  <c r="CN99" i="19" s="1"/>
  <c r="CM98" i="19"/>
  <c r="CN98" i="19" s="1"/>
  <c r="CM97" i="19"/>
  <c r="CN97" i="19" s="1"/>
  <c r="CM94" i="19"/>
  <c r="CN94" i="19" s="1"/>
  <c r="CM60" i="19"/>
  <c r="CN60" i="19" s="1"/>
  <c r="CM37" i="19"/>
  <c r="CN37" i="19" s="1"/>
  <c r="CM96" i="19"/>
  <c r="CN96" i="19" s="1"/>
  <c r="CO92" i="19"/>
  <c r="CM31" i="19"/>
  <c r="CN31" i="19" s="1"/>
  <c r="CM78" i="19"/>
  <c r="CN78" i="19" s="1"/>
  <c r="CO78" i="19" s="1"/>
  <c r="CR97" i="19"/>
  <c r="CR72" i="19"/>
  <c r="CM72" i="19"/>
  <c r="CN72" i="19" s="1"/>
  <c r="CR99" i="19"/>
  <c r="CM33" i="19"/>
  <c r="CN33" i="19" s="1"/>
  <c r="CM34" i="19"/>
  <c r="CN34" i="19" s="1"/>
  <c r="CM36" i="19"/>
  <c r="CN36" i="19" s="1"/>
  <c r="CO101" i="19"/>
  <c r="CM75" i="19"/>
  <c r="CN75" i="19" s="1"/>
  <c r="CM52" i="19"/>
  <c r="CN52" i="19" s="1"/>
  <c r="CR102" i="19"/>
  <c r="CM47" i="19"/>
  <c r="CN47" i="19" s="1"/>
  <c r="CM11" i="19"/>
  <c r="CN11" i="19" s="1"/>
  <c r="CR42" i="19"/>
  <c r="CO61" i="19"/>
  <c r="CR69" i="19"/>
  <c r="CM104" i="19"/>
  <c r="CM109" i="19"/>
  <c r="CN109" i="19" s="1"/>
  <c r="CO30" i="19"/>
  <c r="CM18" i="19"/>
  <c r="CN18" i="19" s="1"/>
  <c r="CM106" i="19"/>
  <c r="CN106" i="19" s="1"/>
  <c r="CR106" i="19"/>
  <c r="CM29" i="19"/>
  <c r="CN29" i="19" s="1"/>
  <c r="CO84" i="19"/>
  <c r="CO91" i="19"/>
  <c r="CO51" i="19"/>
  <c r="CO28" i="19"/>
  <c r="CO10" i="19"/>
  <c r="CO26" i="19"/>
  <c r="CO65" i="19"/>
  <c r="CO35" i="19"/>
  <c r="CO59" i="19"/>
  <c r="CO42" i="19"/>
  <c r="CO13" i="19"/>
  <c r="CO105" i="19"/>
  <c r="CO103" i="19"/>
  <c r="CO102" i="19"/>
  <c r="CM17" i="19"/>
  <c r="CN17" i="19" s="1"/>
  <c r="CO9" i="19"/>
  <c r="CO39" i="19"/>
  <c r="CO45" i="19"/>
  <c r="CM46" i="19"/>
  <c r="CN46" i="19" s="1"/>
  <c r="CR46" i="19"/>
  <c r="CO80" i="19"/>
  <c r="CM16" i="19"/>
  <c r="CN16" i="19" s="1"/>
  <c r="CO22" i="19"/>
  <c r="CM38" i="19"/>
  <c r="CN38" i="19" s="1"/>
  <c r="CO86" i="19"/>
  <c r="CO81" i="19"/>
  <c r="CO100" i="19"/>
  <c r="CO32" i="19"/>
  <c r="CM6" i="19"/>
  <c r="CO40" i="19"/>
  <c r="G31" i="25" l="1"/>
  <c r="G3" i="25" s="1"/>
  <c r="CO66" i="19"/>
  <c r="AI31" i="25"/>
  <c r="AI3" i="25" s="1"/>
  <c r="AH31" i="25"/>
  <c r="AH3" i="25" s="1"/>
  <c r="Q31" i="25"/>
  <c r="Q3" i="25" s="1"/>
  <c r="M31" i="25"/>
  <c r="M3" i="25" s="1"/>
  <c r="F31" i="25"/>
  <c r="F3" i="25" s="1"/>
  <c r="S31" i="25"/>
  <c r="S3" i="25" s="1"/>
  <c r="K5" i="23"/>
  <c r="CO21" i="19"/>
  <c r="CO68" i="19"/>
  <c r="CO48" i="19"/>
  <c r="CO71" i="19"/>
  <c r="CO25" i="19"/>
  <c r="CO49" i="19"/>
  <c r="CO67" i="19"/>
  <c r="CO82" i="19"/>
  <c r="CO14" i="19"/>
  <c r="CN104" i="19"/>
  <c r="CO104" i="19" s="1"/>
  <c r="CO41" i="19"/>
  <c r="CO62" i="19"/>
  <c r="CO12" i="19"/>
  <c r="CO27" i="19"/>
  <c r="CO8" i="19"/>
  <c r="CO72" i="19"/>
  <c r="CO50" i="19"/>
  <c r="CO54" i="19"/>
  <c r="CO88" i="19"/>
  <c r="CO87" i="19"/>
  <c r="CO89" i="19"/>
  <c r="CO93" i="19"/>
  <c r="CO96" i="19"/>
  <c r="CO63" i="19"/>
  <c r="CO31" i="19"/>
  <c r="CO94" i="19"/>
  <c r="CO79" i="19"/>
  <c r="CO11" i="19"/>
  <c r="CO98" i="19"/>
  <c r="CO33" i="19"/>
  <c r="CO99" i="19"/>
  <c r="CO36" i="19"/>
  <c r="CO37" i="19"/>
  <c r="CO60" i="19"/>
  <c r="CO97" i="19"/>
  <c r="CO52" i="19"/>
  <c r="CO34" i="19"/>
  <c r="CO75" i="19"/>
  <c r="CO47" i="19"/>
  <c r="CO109" i="19"/>
  <c r="CO18" i="19"/>
  <c r="CO106" i="19"/>
  <c r="CO29" i="19"/>
  <c r="CO16" i="19"/>
  <c r="CO38" i="19"/>
  <c r="CO17" i="19"/>
  <c r="CO46" i="19"/>
  <c r="CN6" i="19"/>
  <c r="U31" i="25" l="1"/>
  <c r="U3" i="25" s="1"/>
  <c r="W31" i="25"/>
  <c r="W3" i="25" s="1"/>
  <c r="AE31" i="25"/>
  <c r="AE3" i="25" s="1"/>
  <c r="AA31" i="25"/>
  <c r="AA3" i="25" s="1"/>
  <c r="V31" i="25"/>
  <c r="V3" i="25" s="1"/>
  <c r="Z31" i="25"/>
  <c r="Z3" i="25" s="1"/>
  <c r="AF31" i="25"/>
  <c r="AF3" i="25" s="1"/>
  <c r="H31" i="25"/>
  <c r="H3" i="25" s="1"/>
  <c r="AB31" i="25"/>
  <c r="AB3" i="25" s="1"/>
  <c r="J31" i="25"/>
  <c r="J3" i="25" s="1"/>
  <c r="AD31" i="25"/>
  <c r="AD3" i="25" s="1"/>
  <c r="AG31" i="25"/>
  <c r="AG3" i="25" s="1"/>
  <c r="R31" i="25"/>
  <c r="R3" i="25" s="1"/>
  <c r="AP31" i="25"/>
  <c r="AP3" i="25" s="1"/>
  <c r="AC31" i="25"/>
  <c r="AC3" i="25" s="1"/>
  <c r="AO31" i="25"/>
  <c r="AO3" i="25" s="1"/>
  <c r="Y31" i="25"/>
  <c r="Y3" i="25" s="1"/>
  <c r="AM31" i="25"/>
  <c r="AM3" i="25" s="1"/>
  <c r="I31" i="25"/>
  <c r="I3" i="25" s="1"/>
  <c r="K2606" i="23"/>
  <c r="AR35" i="25" s="1"/>
  <c r="AN31" i="25"/>
  <c r="AN3" i="25" s="1"/>
  <c r="D31" i="25"/>
  <c r="D3" i="25" s="1"/>
  <c r="C31" i="25"/>
  <c r="CO6" i="19"/>
  <c r="X31" i="25" l="1"/>
  <c r="X3" i="25" s="1"/>
  <c r="C3" i="25"/>
  <c r="BB220" i="9"/>
  <c r="BA220" i="9"/>
  <c r="AY220" i="9"/>
  <c r="AX220" i="9"/>
  <c r="AW220" i="9"/>
  <c r="AV220" i="9"/>
  <c r="AU220" i="9"/>
  <c r="AT220" i="9"/>
  <c r="AS220" i="9"/>
  <c r="AR220" i="9"/>
  <c r="AQ220" i="9"/>
  <c r="AP220" i="9"/>
  <c r="AO220" i="9"/>
  <c r="AM216" i="9"/>
  <c r="AL216" i="9"/>
  <c r="AK216" i="9"/>
  <c r="AJ216" i="9"/>
  <c r="AI216" i="9"/>
  <c r="AH216" i="9"/>
  <c r="AG216" i="9"/>
  <c r="AF216" i="9"/>
  <c r="AE216" i="9"/>
  <c r="AD216" i="9"/>
  <c r="AC216" i="9"/>
  <c r="AB216" i="9"/>
  <c r="AA216" i="9"/>
  <c r="Z216" i="9"/>
  <c r="Y216" i="9"/>
  <c r="X216" i="9"/>
  <c r="W216" i="9"/>
  <c r="V216" i="9"/>
  <c r="U216" i="9"/>
  <c r="T216" i="9"/>
  <c r="S216" i="9"/>
  <c r="R216" i="9"/>
  <c r="Q216" i="9"/>
  <c r="P216" i="9"/>
  <c r="O216" i="9"/>
  <c r="N216" i="9"/>
  <c r="M216" i="9"/>
  <c r="L216" i="9"/>
  <c r="K216" i="9"/>
  <c r="J216" i="9"/>
  <c r="C216" i="9"/>
  <c r="H216" i="9" s="1"/>
  <c r="AM215" i="9"/>
  <c r="AL215" i="9"/>
  <c r="AK215" i="9"/>
  <c r="AJ215" i="9"/>
  <c r="AI215" i="9"/>
  <c r="AH215" i="9"/>
  <c r="AG215" i="9"/>
  <c r="AF215" i="9"/>
  <c r="AE215" i="9"/>
  <c r="AD215" i="9"/>
  <c r="AC215" i="9"/>
  <c r="AB215" i="9"/>
  <c r="AA215" i="9"/>
  <c r="Z215" i="9"/>
  <c r="Y215" i="9"/>
  <c r="X215" i="9"/>
  <c r="W215" i="9"/>
  <c r="V215" i="9"/>
  <c r="U215" i="9"/>
  <c r="T215" i="9"/>
  <c r="S215" i="9"/>
  <c r="R215" i="9"/>
  <c r="Q215" i="9"/>
  <c r="P215" i="9"/>
  <c r="O215" i="9"/>
  <c r="N215" i="9"/>
  <c r="M215" i="9"/>
  <c r="L215" i="9"/>
  <c r="K215" i="9"/>
  <c r="J215" i="9"/>
  <c r="C215" i="9"/>
  <c r="I215" i="9" s="1"/>
  <c r="AM214" i="9"/>
  <c r="AL214" i="9"/>
  <c r="AK214" i="9"/>
  <c r="AJ214" i="9"/>
  <c r="AI214" i="9"/>
  <c r="AH214" i="9"/>
  <c r="AG214" i="9"/>
  <c r="AF214" i="9"/>
  <c r="AE214" i="9"/>
  <c r="AD214" i="9"/>
  <c r="AC214" i="9"/>
  <c r="AB214" i="9"/>
  <c r="AA214" i="9"/>
  <c r="Z214" i="9"/>
  <c r="Y214" i="9"/>
  <c r="X214" i="9"/>
  <c r="W214" i="9"/>
  <c r="V214" i="9"/>
  <c r="U214" i="9"/>
  <c r="T214" i="9"/>
  <c r="S214" i="9"/>
  <c r="R214" i="9"/>
  <c r="Q214" i="9"/>
  <c r="P214" i="9"/>
  <c r="O214" i="9"/>
  <c r="N214" i="9"/>
  <c r="M214" i="9"/>
  <c r="L214" i="9"/>
  <c r="K214" i="9"/>
  <c r="J214" i="9"/>
  <c r="C214" i="9"/>
  <c r="AM213" i="9"/>
  <c r="AL213" i="9"/>
  <c r="AK213" i="9"/>
  <c r="AJ213" i="9"/>
  <c r="AI213" i="9"/>
  <c r="AH213" i="9"/>
  <c r="AG213" i="9"/>
  <c r="AF213" i="9"/>
  <c r="AE213" i="9"/>
  <c r="AD213" i="9"/>
  <c r="AC213" i="9"/>
  <c r="AB213" i="9"/>
  <c r="AA213" i="9"/>
  <c r="Z213" i="9"/>
  <c r="Y213" i="9"/>
  <c r="X213" i="9"/>
  <c r="W213" i="9"/>
  <c r="V213" i="9"/>
  <c r="U213" i="9"/>
  <c r="T213" i="9"/>
  <c r="S213" i="9"/>
  <c r="R213" i="9"/>
  <c r="Q213" i="9"/>
  <c r="P213" i="9"/>
  <c r="O213" i="9"/>
  <c r="N213" i="9"/>
  <c r="M213" i="9"/>
  <c r="L213" i="9"/>
  <c r="K213" i="9"/>
  <c r="J213" i="9"/>
  <c r="C213" i="9"/>
  <c r="I213" i="9" s="1"/>
  <c r="AM212" i="9"/>
  <c r="AL212" i="9"/>
  <c r="AK212" i="9"/>
  <c r="AJ212" i="9"/>
  <c r="AI212" i="9"/>
  <c r="AH212" i="9"/>
  <c r="AG212" i="9"/>
  <c r="AF212" i="9"/>
  <c r="AE212" i="9"/>
  <c r="AD212" i="9"/>
  <c r="AC212" i="9"/>
  <c r="AB212" i="9"/>
  <c r="AA212" i="9"/>
  <c r="Z212" i="9"/>
  <c r="Y212" i="9"/>
  <c r="X212" i="9"/>
  <c r="W212" i="9"/>
  <c r="V212" i="9"/>
  <c r="U212" i="9"/>
  <c r="T212" i="9"/>
  <c r="S212" i="9"/>
  <c r="R212" i="9"/>
  <c r="Q212" i="9"/>
  <c r="P212" i="9"/>
  <c r="O212" i="9"/>
  <c r="N212" i="9"/>
  <c r="M212" i="9"/>
  <c r="L212" i="9"/>
  <c r="K212" i="9"/>
  <c r="J212" i="9"/>
  <c r="C212" i="9"/>
  <c r="I212" i="9" s="1"/>
  <c r="AM211" i="9"/>
  <c r="AL211" i="9"/>
  <c r="AK211" i="9"/>
  <c r="AJ211" i="9"/>
  <c r="AI211" i="9"/>
  <c r="AH211" i="9"/>
  <c r="AG211" i="9"/>
  <c r="AF211" i="9"/>
  <c r="AE211" i="9"/>
  <c r="AD211" i="9"/>
  <c r="AC211" i="9"/>
  <c r="AB211" i="9"/>
  <c r="AA211" i="9"/>
  <c r="Z211" i="9"/>
  <c r="Y211" i="9"/>
  <c r="X211" i="9"/>
  <c r="W211" i="9"/>
  <c r="V211" i="9"/>
  <c r="U211" i="9"/>
  <c r="T211" i="9"/>
  <c r="S211" i="9"/>
  <c r="R211" i="9"/>
  <c r="Q211" i="9"/>
  <c r="P211" i="9"/>
  <c r="O211" i="9"/>
  <c r="N211" i="9"/>
  <c r="M211" i="9"/>
  <c r="L211" i="9"/>
  <c r="K211" i="9"/>
  <c r="J211" i="9"/>
  <c r="C211" i="9"/>
  <c r="I211" i="9" s="1"/>
  <c r="AM210" i="9"/>
  <c r="AL210" i="9"/>
  <c r="AK210" i="9"/>
  <c r="AJ210" i="9"/>
  <c r="AI210" i="9"/>
  <c r="AH210" i="9"/>
  <c r="AG210" i="9"/>
  <c r="AF210" i="9"/>
  <c r="AE210" i="9"/>
  <c r="AD210" i="9"/>
  <c r="AC210" i="9"/>
  <c r="AB210" i="9"/>
  <c r="AA210" i="9"/>
  <c r="Z210" i="9"/>
  <c r="Y210" i="9"/>
  <c r="X210" i="9"/>
  <c r="W210" i="9"/>
  <c r="V210" i="9"/>
  <c r="U210" i="9"/>
  <c r="T210" i="9"/>
  <c r="S210" i="9"/>
  <c r="R210" i="9"/>
  <c r="Q210" i="9"/>
  <c r="P210" i="9"/>
  <c r="O210" i="9"/>
  <c r="N210" i="9"/>
  <c r="M210" i="9"/>
  <c r="L210" i="9"/>
  <c r="K210" i="9"/>
  <c r="J210" i="9"/>
  <c r="C210" i="9"/>
  <c r="AM209" i="9"/>
  <c r="AL209" i="9"/>
  <c r="AK209" i="9"/>
  <c r="AJ209" i="9"/>
  <c r="AI209" i="9"/>
  <c r="AH209" i="9"/>
  <c r="AG209" i="9"/>
  <c r="AF209" i="9"/>
  <c r="AE209" i="9"/>
  <c r="AD209" i="9"/>
  <c r="AC209" i="9"/>
  <c r="AB209" i="9"/>
  <c r="AA209" i="9"/>
  <c r="Z209" i="9"/>
  <c r="Y209" i="9"/>
  <c r="X209" i="9"/>
  <c r="W209" i="9"/>
  <c r="V209" i="9"/>
  <c r="U209" i="9"/>
  <c r="T209" i="9"/>
  <c r="S209" i="9"/>
  <c r="R209" i="9"/>
  <c r="Q209" i="9"/>
  <c r="P209" i="9"/>
  <c r="O209" i="9"/>
  <c r="N209" i="9"/>
  <c r="M209" i="9"/>
  <c r="L209" i="9"/>
  <c r="K209" i="9"/>
  <c r="J209" i="9"/>
  <c r="C209" i="9"/>
  <c r="F209" i="9" s="1"/>
  <c r="AM208" i="9"/>
  <c r="AL208" i="9"/>
  <c r="AK208" i="9"/>
  <c r="AJ208" i="9"/>
  <c r="AI208" i="9"/>
  <c r="AH208" i="9"/>
  <c r="AG208" i="9"/>
  <c r="AF208" i="9"/>
  <c r="AE208" i="9"/>
  <c r="AD208" i="9"/>
  <c r="AC208" i="9"/>
  <c r="AB208" i="9"/>
  <c r="AA208" i="9"/>
  <c r="Z208" i="9"/>
  <c r="Y208" i="9"/>
  <c r="X208" i="9"/>
  <c r="W208" i="9"/>
  <c r="V208" i="9"/>
  <c r="U208" i="9"/>
  <c r="T208" i="9"/>
  <c r="S208" i="9"/>
  <c r="R208" i="9"/>
  <c r="Q208" i="9"/>
  <c r="P208" i="9"/>
  <c r="O208" i="9"/>
  <c r="N208" i="9"/>
  <c r="M208" i="9"/>
  <c r="L208" i="9"/>
  <c r="K208" i="9"/>
  <c r="J208" i="9"/>
  <c r="C208" i="9"/>
  <c r="H208" i="9" s="1"/>
  <c r="AM207" i="9"/>
  <c r="AL207" i="9"/>
  <c r="AK207" i="9"/>
  <c r="AJ207" i="9"/>
  <c r="AI207" i="9"/>
  <c r="AH207" i="9"/>
  <c r="AG207" i="9"/>
  <c r="AF207" i="9"/>
  <c r="AE207" i="9"/>
  <c r="AD207" i="9"/>
  <c r="AC207" i="9"/>
  <c r="AB207" i="9"/>
  <c r="AA207" i="9"/>
  <c r="Z207" i="9"/>
  <c r="Y207" i="9"/>
  <c r="X207" i="9"/>
  <c r="W207" i="9"/>
  <c r="V207" i="9"/>
  <c r="U207" i="9"/>
  <c r="T207" i="9"/>
  <c r="S207" i="9"/>
  <c r="R207" i="9"/>
  <c r="Q207" i="9"/>
  <c r="P207" i="9"/>
  <c r="O207" i="9"/>
  <c r="N207" i="9"/>
  <c r="M207" i="9"/>
  <c r="L207" i="9"/>
  <c r="K207" i="9"/>
  <c r="J207" i="9"/>
  <c r="C207" i="9"/>
  <c r="I207" i="9" s="1"/>
  <c r="AM206" i="9"/>
  <c r="AL206" i="9"/>
  <c r="AK206" i="9"/>
  <c r="AJ206" i="9"/>
  <c r="AI206" i="9"/>
  <c r="AH206" i="9"/>
  <c r="AG206" i="9"/>
  <c r="AF206" i="9"/>
  <c r="AE206" i="9"/>
  <c r="AD206" i="9"/>
  <c r="AC206" i="9"/>
  <c r="AB206" i="9"/>
  <c r="AA206" i="9"/>
  <c r="Z206" i="9"/>
  <c r="Y206" i="9"/>
  <c r="X206" i="9"/>
  <c r="W206" i="9"/>
  <c r="V206" i="9"/>
  <c r="U206" i="9"/>
  <c r="T206" i="9"/>
  <c r="S206" i="9"/>
  <c r="R206" i="9"/>
  <c r="Q206" i="9"/>
  <c r="P206" i="9"/>
  <c r="O206" i="9"/>
  <c r="N206" i="9"/>
  <c r="M206" i="9"/>
  <c r="L206" i="9"/>
  <c r="K206" i="9"/>
  <c r="J206" i="9"/>
  <c r="C206" i="9"/>
  <c r="AM205" i="9"/>
  <c r="AL205" i="9"/>
  <c r="AK205" i="9"/>
  <c r="AJ205" i="9"/>
  <c r="AI205" i="9"/>
  <c r="AH205" i="9"/>
  <c r="AG205" i="9"/>
  <c r="AF205" i="9"/>
  <c r="AE205" i="9"/>
  <c r="AD205" i="9"/>
  <c r="AC205" i="9"/>
  <c r="AB205" i="9"/>
  <c r="AA205" i="9"/>
  <c r="Z205" i="9"/>
  <c r="Y205" i="9"/>
  <c r="X205" i="9"/>
  <c r="W205" i="9"/>
  <c r="V205" i="9"/>
  <c r="U205" i="9"/>
  <c r="T205" i="9"/>
  <c r="S205" i="9"/>
  <c r="R205" i="9"/>
  <c r="Q205" i="9"/>
  <c r="P205" i="9"/>
  <c r="O205" i="9"/>
  <c r="N205" i="9"/>
  <c r="M205" i="9"/>
  <c r="L205" i="9"/>
  <c r="K205" i="9"/>
  <c r="J205" i="9"/>
  <c r="C205" i="9"/>
  <c r="I205" i="9" s="1"/>
  <c r="AM204" i="9"/>
  <c r="AL204" i="9"/>
  <c r="AK204" i="9"/>
  <c r="AJ204" i="9"/>
  <c r="AI204" i="9"/>
  <c r="AH204" i="9"/>
  <c r="AG204" i="9"/>
  <c r="AF204" i="9"/>
  <c r="AE204" i="9"/>
  <c r="AD204" i="9"/>
  <c r="AC204" i="9"/>
  <c r="AB204" i="9"/>
  <c r="AA204" i="9"/>
  <c r="Z204" i="9"/>
  <c r="Y204" i="9"/>
  <c r="X204" i="9"/>
  <c r="W204" i="9"/>
  <c r="V204" i="9"/>
  <c r="U204" i="9"/>
  <c r="T204" i="9"/>
  <c r="S204" i="9"/>
  <c r="R204" i="9"/>
  <c r="Q204" i="9"/>
  <c r="P204" i="9"/>
  <c r="O204" i="9"/>
  <c r="N204" i="9"/>
  <c r="M204" i="9"/>
  <c r="L204" i="9"/>
  <c r="K204" i="9"/>
  <c r="J204" i="9"/>
  <c r="C204" i="9"/>
  <c r="AM203" i="9"/>
  <c r="AL203" i="9"/>
  <c r="AK203" i="9"/>
  <c r="AJ203" i="9"/>
  <c r="AI203" i="9"/>
  <c r="AH203" i="9"/>
  <c r="AG203" i="9"/>
  <c r="AF203" i="9"/>
  <c r="AE203" i="9"/>
  <c r="AD203" i="9"/>
  <c r="AC203" i="9"/>
  <c r="AB203" i="9"/>
  <c r="AA203" i="9"/>
  <c r="Z203" i="9"/>
  <c r="Y203" i="9"/>
  <c r="X203" i="9"/>
  <c r="W203" i="9"/>
  <c r="V203" i="9"/>
  <c r="U203" i="9"/>
  <c r="T203" i="9"/>
  <c r="S203" i="9"/>
  <c r="R203" i="9"/>
  <c r="Q203" i="9"/>
  <c r="P203" i="9"/>
  <c r="O203" i="9"/>
  <c r="N203" i="9"/>
  <c r="M203" i="9"/>
  <c r="L203" i="9"/>
  <c r="K203" i="9"/>
  <c r="J203" i="9"/>
  <c r="C203" i="9"/>
  <c r="I203" i="9" s="1"/>
  <c r="AM202" i="9"/>
  <c r="AL202" i="9"/>
  <c r="AK202" i="9"/>
  <c r="AJ202" i="9"/>
  <c r="AI202" i="9"/>
  <c r="AH202" i="9"/>
  <c r="AG202" i="9"/>
  <c r="AF202" i="9"/>
  <c r="AE202" i="9"/>
  <c r="AD202" i="9"/>
  <c r="AC202" i="9"/>
  <c r="AB202" i="9"/>
  <c r="AA202" i="9"/>
  <c r="Z202" i="9"/>
  <c r="Y202" i="9"/>
  <c r="X202" i="9"/>
  <c r="W202" i="9"/>
  <c r="V202" i="9"/>
  <c r="U202" i="9"/>
  <c r="T202" i="9"/>
  <c r="S202" i="9"/>
  <c r="R202" i="9"/>
  <c r="Q202" i="9"/>
  <c r="P202" i="9"/>
  <c r="O202" i="9"/>
  <c r="N202" i="9"/>
  <c r="M202" i="9"/>
  <c r="L202" i="9"/>
  <c r="K202" i="9"/>
  <c r="J202" i="9"/>
  <c r="C202" i="9"/>
  <c r="D202" i="9" s="1"/>
  <c r="AM201" i="9"/>
  <c r="AL201" i="9"/>
  <c r="AK201" i="9"/>
  <c r="AJ201" i="9"/>
  <c r="AI201" i="9"/>
  <c r="AH201" i="9"/>
  <c r="AG201" i="9"/>
  <c r="AF201" i="9"/>
  <c r="AE201" i="9"/>
  <c r="AD201" i="9"/>
  <c r="AC201" i="9"/>
  <c r="AB201" i="9"/>
  <c r="AA201" i="9"/>
  <c r="Z201" i="9"/>
  <c r="Y201" i="9"/>
  <c r="X201" i="9"/>
  <c r="W201" i="9"/>
  <c r="V201" i="9"/>
  <c r="U201" i="9"/>
  <c r="T201" i="9"/>
  <c r="S201" i="9"/>
  <c r="R201" i="9"/>
  <c r="Q201" i="9"/>
  <c r="P201" i="9"/>
  <c r="O201" i="9"/>
  <c r="N201" i="9"/>
  <c r="M201" i="9"/>
  <c r="L201" i="9"/>
  <c r="K201" i="9"/>
  <c r="J201" i="9"/>
  <c r="C201" i="9"/>
  <c r="AM200" i="9"/>
  <c r="AL200" i="9"/>
  <c r="AK200" i="9"/>
  <c r="AJ200" i="9"/>
  <c r="AI200" i="9"/>
  <c r="AH200" i="9"/>
  <c r="AG200" i="9"/>
  <c r="AF200" i="9"/>
  <c r="AE200" i="9"/>
  <c r="AD200" i="9"/>
  <c r="AC200" i="9"/>
  <c r="AB200" i="9"/>
  <c r="AA200" i="9"/>
  <c r="Z200" i="9"/>
  <c r="Y200" i="9"/>
  <c r="X200" i="9"/>
  <c r="W200" i="9"/>
  <c r="V200" i="9"/>
  <c r="U200" i="9"/>
  <c r="T200" i="9"/>
  <c r="S200" i="9"/>
  <c r="R200" i="9"/>
  <c r="Q200" i="9"/>
  <c r="P200" i="9"/>
  <c r="O200" i="9"/>
  <c r="N200" i="9"/>
  <c r="M200" i="9"/>
  <c r="L200" i="9"/>
  <c r="K200" i="9"/>
  <c r="J200" i="9"/>
  <c r="C200" i="9"/>
  <c r="H200" i="9" s="1"/>
  <c r="AM199" i="9"/>
  <c r="AL199" i="9"/>
  <c r="AK199" i="9"/>
  <c r="AJ199" i="9"/>
  <c r="AI199" i="9"/>
  <c r="AH199" i="9"/>
  <c r="AG199" i="9"/>
  <c r="AF199" i="9"/>
  <c r="AE199" i="9"/>
  <c r="AD199" i="9"/>
  <c r="AC199" i="9"/>
  <c r="AB199" i="9"/>
  <c r="AA199" i="9"/>
  <c r="Z199" i="9"/>
  <c r="Y199" i="9"/>
  <c r="X199" i="9"/>
  <c r="W199" i="9"/>
  <c r="V199" i="9"/>
  <c r="U199" i="9"/>
  <c r="T199" i="9"/>
  <c r="S199" i="9"/>
  <c r="R199" i="9"/>
  <c r="Q199" i="9"/>
  <c r="P199" i="9"/>
  <c r="O199" i="9"/>
  <c r="N199" i="9"/>
  <c r="M199" i="9"/>
  <c r="L199" i="9"/>
  <c r="K199" i="9"/>
  <c r="J199" i="9"/>
  <c r="C199" i="9"/>
  <c r="I199" i="9" s="1"/>
  <c r="AM198" i="9"/>
  <c r="AL198" i="9"/>
  <c r="AK198" i="9"/>
  <c r="AJ198" i="9"/>
  <c r="AI198" i="9"/>
  <c r="AH198" i="9"/>
  <c r="AG198" i="9"/>
  <c r="AF198" i="9"/>
  <c r="AE198" i="9"/>
  <c r="AD198" i="9"/>
  <c r="AC198" i="9"/>
  <c r="AB198" i="9"/>
  <c r="AA198" i="9"/>
  <c r="Z198" i="9"/>
  <c r="Y198" i="9"/>
  <c r="X198" i="9"/>
  <c r="W198" i="9"/>
  <c r="V198" i="9"/>
  <c r="U198" i="9"/>
  <c r="T198" i="9"/>
  <c r="S198" i="9"/>
  <c r="R198" i="9"/>
  <c r="Q198" i="9"/>
  <c r="P198" i="9"/>
  <c r="O198" i="9"/>
  <c r="N198" i="9"/>
  <c r="M198" i="9"/>
  <c r="L198" i="9"/>
  <c r="K198" i="9"/>
  <c r="J198" i="9"/>
  <c r="C198" i="9"/>
  <c r="AM197" i="9"/>
  <c r="AL197" i="9"/>
  <c r="AK197" i="9"/>
  <c r="AJ197" i="9"/>
  <c r="AI197" i="9"/>
  <c r="AH197" i="9"/>
  <c r="AG197" i="9"/>
  <c r="AF197" i="9"/>
  <c r="AE197" i="9"/>
  <c r="AD197" i="9"/>
  <c r="AC197" i="9"/>
  <c r="AB197" i="9"/>
  <c r="AA197" i="9"/>
  <c r="Z197" i="9"/>
  <c r="Y197" i="9"/>
  <c r="X197" i="9"/>
  <c r="W197" i="9"/>
  <c r="V197" i="9"/>
  <c r="U197" i="9"/>
  <c r="T197" i="9"/>
  <c r="S197" i="9"/>
  <c r="R197" i="9"/>
  <c r="Q197" i="9"/>
  <c r="P197" i="9"/>
  <c r="O197" i="9"/>
  <c r="N197" i="9"/>
  <c r="M197" i="9"/>
  <c r="L197" i="9"/>
  <c r="K197" i="9"/>
  <c r="J197" i="9"/>
  <c r="C197" i="9"/>
  <c r="I197" i="9" s="1"/>
  <c r="AM196" i="9"/>
  <c r="AL196" i="9"/>
  <c r="AK196" i="9"/>
  <c r="AJ196" i="9"/>
  <c r="AI196" i="9"/>
  <c r="AH196" i="9"/>
  <c r="AG196" i="9"/>
  <c r="AF196" i="9"/>
  <c r="AE196" i="9"/>
  <c r="AD196" i="9"/>
  <c r="AC196" i="9"/>
  <c r="AB196" i="9"/>
  <c r="AA196" i="9"/>
  <c r="Z196" i="9"/>
  <c r="Y196" i="9"/>
  <c r="X196" i="9"/>
  <c r="W196" i="9"/>
  <c r="V196" i="9"/>
  <c r="U196" i="9"/>
  <c r="T196" i="9"/>
  <c r="S196" i="9"/>
  <c r="R196" i="9"/>
  <c r="Q196" i="9"/>
  <c r="P196" i="9"/>
  <c r="O196" i="9"/>
  <c r="N196" i="9"/>
  <c r="M196" i="9"/>
  <c r="L196" i="9"/>
  <c r="K196" i="9"/>
  <c r="J196" i="9"/>
  <c r="C196" i="9"/>
  <c r="I196" i="9" s="1"/>
  <c r="AM195" i="9"/>
  <c r="AL195" i="9"/>
  <c r="AK195" i="9"/>
  <c r="AJ195" i="9"/>
  <c r="AI195" i="9"/>
  <c r="AH195" i="9"/>
  <c r="AG195" i="9"/>
  <c r="AF195" i="9"/>
  <c r="AE195" i="9"/>
  <c r="AD195" i="9"/>
  <c r="AC195" i="9"/>
  <c r="AB195" i="9"/>
  <c r="AA195" i="9"/>
  <c r="Z195" i="9"/>
  <c r="Y195" i="9"/>
  <c r="X195" i="9"/>
  <c r="W195" i="9"/>
  <c r="V195" i="9"/>
  <c r="U195" i="9"/>
  <c r="T195" i="9"/>
  <c r="S195" i="9"/>
  <c r="R195" i="9"/>
  <c r="Q195" i="9"/>
  <c r="P195" i="9"/>
  <c r="O195" i="9"/>
  <c r="N195" i="9"/>
  <c r="M195" i="9"/>
  <c r="L195" i="9"/>
  <c r="K195" i="9"/>
  <c r="J195" i="9"/>
  <c r="C195" i="9"/>
  <c r="I195" i="9" s="1"/>
  <c r="AM194" i="9"/>
  <c r="AL194" i="9"/>
  <c r="AK194" i="9"/>
  <c r="AJ194" i="9"/>
  <c r="AI194" i="9"/>
  <c r="AH194" i="9"/>
  <c r="AG194" i="9"/>
  <c r="AF194" i="9"/>
  <c r="AE194" i="9"/>
  <c r="AD194" i="9"/>
  <c r="AC194" i="9"/>
  <c r="AB194" i="9"/>
  <c r="AA194" i="9"/>
  <c r="Z194" i="9"/>
  <c r="Y194" i="9"/>
  <c r="X194" i="9"/>
  <c r="W194" i="9"/>
  <c r="V194" i="9"/>
  <c r="U194" i="9"/>
  <c r="T194" i="9"/>
  <c r="S194" i="9"/>
  <c r="R194" i="9"/>
  <c r="Q194" i="9"/>
  <c r="P194" i="9"/>
  <c r="O194" i="9"/>
  <c r="N194" i="9"/>
  <c r="M194" i="9"/>
  <c r="L194" i="9"/>
  <c r="K194" i="9"/>
  <c r="J194" i="9"/>
  <c r="C194" i="9"/>
  <c r="D194" i="9" s="1"/>
  <c r="AM193" i="9"/>
  <c r="AL193" i="9"/>
  <c r="AK193" i="9"/>
  <c r="AJ193" i="9"/>
  <c r="AI193" i="9"/>
  <c r="AH193" i="9"/>
  <c r="AG193" i="9"/>
  <c r="AF193" i="9"/>
  <c r="AE193" i="9"/>
  <c r="AD193" i="9"/>
  <c r="AC193" i="9"/>
  <c r="AB193" i="9"/>
  <c r="AA193" i="9"/>
  <c r="Z193" i="9"/>
  <c r="Y193" i="9"/>
  <c r="X193" i="9"/>
  <c r="W193" i="9"/>
  <c r="V193" i="9"/>
  <c r="U193" i="9"/>
  <c r="T193" i="9"/>
  <c r="S193" i="9"/>
  <c r="R193" i="9"/>
  <c r="Q193" i="9"/>
  <c r="P193" i="9"/>
  <c r="O193" i="9"/>
  <c r="N193" i="9"/>
  <c r="M193" i="9"/>
  <c r="L193" i="9"/>
  <c r="K193" i="9"/>
  <c r="J193" i="9"/>
  <c r="C193" i="9"/>
  <c r="F193" i="9" s="1"/>
  <c r="AM192" i="9"/>
  <c r="AL192" i="9"/>
  <c r="AK192" i="9"/>
  <c r="AJ192" i="9"/>
  <c r="AI192" i="9"/>
  <c r="AH192" i="9"/>
  <c r="AG192" i="9"/>
  <c r="AF192" i="9"/>
  <c r="AE192" i="9"/>
  <c r="AD192" i="9"/>
  <c r="AC192" i="9"/>
  <c r="AB192" i="9"/>
  <c r="AA192" i="9"/>
  <c r="Z192" i="9"/>
  <c r="Y192" i="9"/>
  <c r="X192" i="9"/>
  <c r="W192" i="9"/>
  <c r="V192" i="9"/>
  <c r="U192" i="9"/>
  <c r="T192" i="9"/>
  <c r="S192" i="9"/>
  <c r="R192" i="9"/>
  <c r="Q192" i="9"/>
  <c r="P192" i="9"/>
  <c r="O192" i="9"/>
  <c r="N192" i="9"/>
  <c r="M192" i="9"/>
  <c r="L192" i="9"/>
  <c r="K192" i="9"/>
  <c r="J192" i="9"/>
  <c r="C192" i="9"/>
  <c r="AM191" i="9"/>
  <c r="AL191" i="9"/>
  <c r="AK191" i="9"/>
  <c r="AJ191" i="9"/>
  <c r="AI191" i="9"/>
  <c r="AH191" i="9"/>
  <c r="AG191" i="9"/>
  <c r="AF191" i="9"/>
  <c r="AE191" i="9"/>
  <c r="AD191" i="9"/>
  <c r="AC191" i="9"/>
  <c r="AB191" i="9"/>
  <c r="AA191" i="9"/>
  <c r="Z191" i="9"/>
  <c r="Y191" i="9"/>
  <c r="X191" i="9"/>
  <c r="W191" i="9"/>
  <c r="V191" i="9"/>
  <c r="U191" i="9"/>
  <c r="T191" i="9"/>
  <c r="S191" i="9"/>
  <c r="R191" i="9"/>
  <c r="Q191" i="9"/>
  <c r="P191" i="9"/>
  <c r="O191" i="9"/>
  <c r="N191" i="9"/>
  <c r="M191" i="9"/>
  <c r="L191" i="9"/>
  <c r="K191" i="9"/>
  <c r="J191" i="9"/>
  <c r="C191" i="9"/>
  <c r="AM190" i="9"/>
  <c r="AL190" i="9"/>
  <c r="AK190" i="9"/>
  <c r="AJ190" i="9"/>
  <c r="AI190" i="9"/>
  <c r="AH190" i="9"/>
  <c r="AG190" i="9"/>
  <c r="AF190" i="9"/>
  <c r="AE190" i="9"/>
  <c r="AD190" i="9"/>
  <c r="AC190" i="9"/>
  <c r="AB190" i="9"/>
  <c r="AA190" i="9"/>
  <c r="Z190" i="9"/>
  <c r="Y190" i="9"/>
  <c r="X190" i="9"/>
  <c r="W190" i="9"/>
  <c r="V190" i="9"/>
  <c r="U190" i="9"/>
  <c r="T190" i="9"/>
  <c r="S190" i="9"/>
  <c r="R190" i="9"/>
  <c r="Q190" i="9"/>
  <c r="P190" i="9"/>
  <c r="O190" i="9"/>
  <c r="N190" i="9"/>
  <c r="M190" i="9"/>
  <c r="L190" i="9"/>
  <c r="K190" i="9"/>
  <c r="J190" i="9"/>
  <c r="C190" i="9"/>
  <c r="AM189" i="9"/>
  <c r="AL189" i="9"/>
  <c r="AK189" i="9"/>
  <c r="AJ189" i="9"/>
  <c r="AI189" i="9"/>
  <c r="AH189" i="9"/>
  <c r="AG189" i="9"/>
  <c r="AF189" i="9"/>
  <c r="AE189" i="9"/>
  <c r="AD189" i="9"/>
  <c r="AC189" i="9"/>
  <c r="AB189" i="9"/>
  <c r="AA189" i="9"/>
  <c r="Z189" i="9"/>
  <c r="Y189" i="9"/>
  <c r="X189" i="9"/>
  <c r="W189" i="9"/>
  <c r="V189" i="9"/>
  <c r="U189" i="9"/>
  <c r="T189" i="9"/>
  <c r="S189" i="9"/>
  <c r="R189" i="9"/>
  <c r="Q189" i="9"/>
  <c r="P189" i="9"/>
  <c r="O189" i="9"/>
  <c r="N189" i="9"/>
  <c r="M189" i="9"/>
  <c r="L189" i="9"/>
  <c r="K189" i="9"/>
  <c r="J189" i="9"/>
  <c r="C189" i="9"/>
  <c r="AM188" i="9"/>
  <c r="AL188" i="9"/>
  <c r="AK188" i="9"/>
  <c r="AJ188" i="9"/>
  <c r="AI188" i="9"/>
  <c r="AH188" i="9"/>
  <c r="AG188" i="9"/>
  <c r="AF188" i="9"/>
  <c r="AE188" i="9"/>
  <c r="AD188" i="9"/>
  <c r="AC188" i="9"/>
  <c r="AB188" i="9"/>
  <c r="AA188" i="9"/>
  <c r="Z188" i="9"/>
  <c r="Y188" i="9"/>
  <c r="X188" i="9"/>
  <c r="W188" i="9"/>
  <c r="V188" i="9"/>
  <c r="U188" i="9"/>
  <c r="T188" i="9"/>
  <c r="S188" i="9"/>
  <c r="R188" i="9"/>
  <c r="Q188" i="9"/>
  <c r="P188" i="9"/>
  <c r="O188" i="9"/>
  <c r="N188" i="9"/>
  <c r="M188" i="9"/>
  <c r="L188" i="9"/>
  <c r="K188" i="9"/>
  <c r="J188" i="9"/>
  <c r="C188" i="9"/>
  <c r="AM187" i="9"/>
  <c r="AL187" i="9"/>
  <c r="AK187" i="9"/>
  <c r="AJ187" i="9"/>
  <c r="AI187" i="9"/>
  <c r="AH187" i="9"/>
  <c r="AG187" i="9"/>
  <c r="AF187" i="9"/>
  <c r="AE187" i="9"/>
  <c r="AD187" i="9"/>
  <c r="AC187" i="9"/>
  <c r="AB187" i="9"/>
  <c r="AA187" i="9"/>
  <c r="Z187" i="9"/>
  <c r="Y187" i="9"/>
  <c r="X187" i="9"/>
  <c r="W187" i="9"/>
  <c r="V187" i="9"/>
  <c r="U187" i="9"/>
  <c r="T187" i="9"/>
  <c r="S187" i="9"/>
  <c r="R187" i="9"/>
  <c r="Q187" i="9"/>
  <c r="P187" i="9"/>
  <c r="O187" i="9"/>
  <c r="N187" i="9"/>
  <c r="M187" i="9"/>
  <c r="L187" i="9"/>
  <c r="K187" i="9"/>
  <c r="J187" i="9"/>
  <c r="C187" i="9"/>
  <c r="I187" i="9" s="1"/>
  <c r="AM186" i="9"/>
  <c r="AL186" i="9"/>
  <c r="AK186" i="9"/>
  <c r="AJ186" i="9"/>
  <c r="AI186" i="9"/>
  <c r="AH186" i="9"/>
  <c r="AG186" i="9"/>
  <c r="AF186" i="9"/>
  <c r="AE186" i="9"/>
  <c r="AD186" i="9"/>
  <c r="AC186" i="9"/>
  <c r="AB186" i="9"/>
  <c r="AA186" i="9"/>
  <c r="Z186" i="9"/>
  <c r="Y186" i="9"/>
  <c r="X186" i="9"/>
  <c r="W186" i="9"/>
  <c r="V186" i="9"/>
  <c r="U186" i="9"/>
  <c r="T186" i="9"/>
  <c r="S186" i="9"/>
  <c r="R186" i="9"/>
  <c r="Q186" i="9"/>
  <c r="P186" i="9"/>
  <c r="O186" i="9"/>
  <c r="N186" i="9"/>
  <c r="M186" i="9"/>
  <c r="L186" i="9"/>
  <c r="K186" i="9"/>
  <c r="J186" i="9"/>
  <c r="C186" i="9"/>
  <c r="D186" i="9" s="1"/>
  <c r="AM185" i="9"/>
  <c r="AL185" i="9"/>
  <c r="AK185" i="9"/>
  <c r="AJ185" i="9"/>
  <c r="AI185" i="9"/>
  <c r="AH185" i="9"/>
  <c r="AG185" i="9"/>
  <c r="AF185" i="9"/>
  <c r="AE185" i="9"/>
  <c r="AD185" i="9"/>
  <c r="AC185" i="9"/>
  <c r="AB185" i="9"/>
  <c r="AA185" i="9"/>
  <c r="Z185" i="9"/>
  <c r="Y185" i="9"/>
  <c r="X185" i="9"/>
  <c r="W185" i="9"/>
  <c r="V185" i="9"/>
  <c r="U185" i="9"/>
  <c r="T185" i="9"/>
  <c r="S185" i="9"/>
  <c r="R185" i="9"/>
  <c r="Q185" i="9"/>
  <c r="P185" i="9"/>
  <c r="O185" i="9"/>
  <c r="N185" i="9"/>
  <c r="M185" i="9"/>
  <c r="L185" i="9"/>
  <c r="K185" i="9"/>
  <c r="J185" i="9"/>
  <c r="C185" i="9"/>
  <c r="AM184" i="9"/>
  <c r="AL184" i="9"/>
  <c r="AK184" i="9"/>
  <c r="AJ184" i="9"/>
  <c r="AI184" i="9"/>
  <c r="AH184" i="9"/>
  <c r="AG184" i="9"/>
  <c r="AF184" i="9"/>
  <c r="AE184" i="9"/>
  <c r="AD184" i="9"/>
  <c r="AC184" i="9"/>
  <c r="AB184" i="9"/>
  <c r="AA184" i="9"/>
  <c r="Z184" i="9"/>
  <c r="Y184" i="9"/>
  <c r="X184" i="9"/>
  <c r="W184" i="9"/>
  <c r="V184" i="9"/>
  <c r="U184" i="9"/>
  <c r="T184" i="9"/>
  <c r="S184" i="9"/>
  <c r="R184" i="9"/>
  <c r="Q184" i="9"/>
  <c r="P184" i="9"/>
  <c r="O184" i="9"/>
  <c r="N184" i="9"/>
  <c r="M184" i="9"/>
  <c r="L184" i="9"/>
  <c r="K184" i="9"/>
  <c r="J184" i="9"/>
  <c r="C184" i="9"/>
  <c r="H184" i="9" s="1"/>
  <c r="AM183" i="9"/>
  <c r="AL183" i="9"/>
  <c r="AK183" i="9"/>
  <c r="AJ183" i="9"/>
  <c r="AI183" i="9"/>
  <c r="AH183" i="9"/>
  <c r="AG183" i="9"/>
  <c r="AF183" i="9"/>
  <c r="AE183" i="9"/>
  <c r="AD183" i="9"/>
  <c r="AC183" i="9"/>
  <c r="AB183" i="9"/>
  <c r="AA183" i="9"/>
  <c r="Z183" i="9"/>
  <c r="Y183" i="9"/>
  <c r="X183" i="9"/>
  <c r="W183" i="9"/>
  <c r="V183" i="9"/>
  <c r="U183" i="9"/>
  <c r="T183" i="9"/>
  <c r="S183" i="9"/>
  <c r="R183" i="9"/>
  <c r="Q183" i="9"/>
  <c r="P183" i="9"/>
  <c r="O183" i="9"/>
  <c r="N183" i="9"/>
  <c r="M183" i="9"/>
  <c r="L183" i="9"/>
  <c r="K183" i="9"/>
  <c r="J183" i="9"/>
  <c r="C183" i="9"/>
  <c r="D183" i="9" s="1"/>
  <c r="AM182" i="9"/>
  <c r="AL182" i="9"/>
  <c r="AK182" i="9"/>
  <c r="AJ182" i="9"/>
  <c r="AI182" i="9"/>
  <c r="AH182" i="9"/>
  <c r="AG182" i="9"/>
  <c r="AF182" i="9"/>
  <c r="AE182" i="9"/>
  <c r="AD182" i="9"/>
  <c r="AC182" i="9"/>
  <c r="AB182" i="9"/>
  <c r="AA182" i="9"/>
  <c r="Z182" i="9"/>
  <c r="Y182" i="9"/>
  <c r="X182" i="9"/>
  <c r="W182" i="9"/>
  <c r="V182" i="9"/>
  <c r="U182" i="9"/>
  <c r="T182" i="9"/>
  <c r="S182" i="9"/>
  <c r="R182" i="9"/>
  <c r="Q182" i="9"/>
  <c r="P182" i="9"/>
  <c r="O182" i="9"/>
  <c r="N182" i="9"/>
  <c r="M182" i="9"/>
  <c r="L182" i="9"/>
  <c r="K182" i="9"/>
  <c r="J182" i="9"/>
  <c r="C182" i="9"/>
  <c r="D182" i="9" s="1"/>
  <c r="AM181" i="9"/>
  <c r="AL181" i="9"/>
  <c r="AK181" i="9"/>
  <c r="AJ181" i="9"/>
  <c r="AI181" i="9"/>
  <c r="AH181" i="9"/>
  <c r="AG181" i="9"/>
  <c r="AF181" i="9"/>
  <c r="AE181" i="9"/>
  <c r="AD181" i="9"/>
  <c r="AC181" i="9"/>
  <c r="AB181" i="9"/>
  <c r="AA181" i="9"/>
  <c r="Z181" i="9"/>
  <c r="Y181" i="9"/>
  <c r="X181" i="9"/>
  <c r="W181" i="9"/>
  <c r="V181" i="9"/>
  <c r="U181" i="9"/>
  <c r="T181" i="9"/>
  <c r="S181" i="9"/>
  <c r="R181" i="9"/>
  <c r="Q181" i="9"/>
  <c r="P181" i="9"/>
  <c r="O181" i="9"/>
  <c r="N181" i="9"/>
  <c r="M181" i="9"/>
  <c r="L181" i="9"/>
  <c r="K181" i="9"/>
  <c r="J181" i="9"/>
  <c r="C181" i="9"/>
  <c r="G181" i="9" s="1"/>
  <c r="AM180" i="9"/>
  <c r="AL180" i="9"/>
  <c r="AK180" i="9"/>
  <c r="AJ180" i="9"/>
  <c r="AI180" i="9"/>
  <c r="AH180" i="9"/>
  <c r="AG180" i="9"/>
  <c r="AF180" i="9"/>
  <c r="AE180" i="9"/>
  <c r="AD180" i="9"/>
  <c r="AC180" i="9"/>
  <c r="AB180" i="9"/>
  <c r="AA180" i="9"/>
  <c r="Z180" i="9"/>
  <c r="Y180" i="9"/>
  <c r="X180" i="9"/>
  <c r="W180" i="9"/>
  <c r="V180" i="9"/>
  <c r="U180" i="9"/>
  <c r="T180" i="9"/>
  <c r="S180" i="9"/>
  <c r="R180" i="9"/>
  <c r="Q180" i="9"/>
  <c r="P180" i="9"/>
  <c r="O180" i="9"/>
  <c r="N180" i="9"/>
  <c r="M180" i="9"/>
  <c r="L180" i="9"/>
  <c r="K180" i="9"/>
  <c r="J180" i="9"/>
  <c r="C180" i="9"/>
  <c r="F180" i="9" s="1"/>
  <c r="AM179" i="9"/>
  <c r="AL179" i="9"/>
  <c r="AK179" i="9"/>
  <c r="AJ179" i="9"/>
  <c r="AI179" i="9"/>
  <c r="AH179" i="9"/>
  <c r="AG179" i="9"/>
  <c r="AF179" i="9"/>
  <c r="AE179" i="9"/>
  <c r="AD179" i="9"/>
  <c r="AC179" i="9"/>
  <c r="AB179" i="9"/>
  <c r="AA179" i="9"/>
  <c r="Z179" i="9"/>
  <c r="Y179" i="9"/>
  <c r="X179" i="9"/>
  <c r="W179" i="9"/>
  <c r="V179" i="9"/>
  <c r="U179" i="9"/>
  <c r="T179" i="9"/>
  <c r="S179" i="9"/>
  <c r="R179" i="9"/>
  <c r="Q179" i="9"/>
  <c r="P179" i="9"/>
  <c r="O179" i="9"/>
  <c r="N179" i="9"/>
  <c r="M179" i="9"/>
  <c r="L179" i="9"/>
  <c r="K179" i="9"/>
  <c r="J179" i="9"/>
  <c r="C179" i="9"/>
  <c r="H179" i="9" s="1"/>
  <c r="AM178" i="9"/>
  <c r="AL178" i="9"/>
  <c r="AK178" i="9"/>
  <c r="AJ178" i="9"/>
  <c r="AI178" i="9"/>
  <c r="AH178" i="9"/>
  <c r="AG178" i="9"/>
  <c r="AF178" i="9"/>
  <c r="AE178" i="9"/>
  <c r="AD178" i="9"/>
  <c r="AC178" i="9"/>
  <c r="AB178" i="9"/>
  <c r="AA178" i="9"/>
  <c r="Z178" i="9"/>
  <c r="Y178" i="9"/>
  <c r="X178" i="9"/>
  <c r="W178" i="9"/>
  <c r="V178" i="9"/>
  <c r="U178" i="9"/>
  <c r="T178" i="9"/>
  <c r="S178" i="9"/>
  <c r="R178" i="9"/>
  <c r="Q178" i="9"/>
  <c r="P178" i="9"/>
  <c r="O178" i="9"/>
  <c r="N178" i="9"/>
  <c r="M178" i="9"/>
  <c r="L178" i="9"/>
  <c r="K178" i="9"/>
  <c r="J178" i="9"/>
  <c r="C178" i="9"/>
  <c r="AM177" i="9"/>
  <c r="AL177" i="9"/>
  <c r="AK177" i="9"/>
  <c r="AJ177" i="9"/>
  <c r="AI177" i="9"/>
  <c r="AH177" i="9"/>
  <c r="AG177" i="9"/>
  <c r="AF177" i="9"/>
  <c r="AE177" i="9"/>
  <c r="AD177" i="9"/>
  <c r="AC177" i="9"/>
  <c r="AB177" i="9"/>
  <c r="AA177" i="9"/>
  <c r="Z177" i="9"/>
  <c r="Y177" i="9"/>
  <c r="X177" i="9"/>
  <c r="W177" i="9"/>
  <c r="V177" i="9"/>
  <c r="U177" i="9"/>
  <c r="T177" i="9"/>
  <c r="S177" i="9"/>
  <c r="R177" i="9"/>
  <c r="Q177" i="9"/>
  <c r="P177" i="9"/>
  <c r="O177" i="9"/>
  <c r="N177" i="9"/>
  <c r="M177" i="9"/>
  <c r="L177" i="9"/>
  <c r="K177" i="9"/>
  <c r="J177" i="9"/>
  <c r="C177" i="9"/>
  <c r="D177" i="9" s="1"/>
  <c r="AM176" i="9"/>
  <c r="AL176" i="9"/>
  <c r="AK176" i="9"/>
  <c r="AJ176" i="9"/>
  <c r="AI176" i="9"/>
  <c r="AH176" i="9"/>
  <c r="AG176" i="9"/>
  <c r="AF176" i="9"/>
  <c r="AE176" i="9"/>
  <c r="AD176" i="9"/>
  <c r="AC176" i="9"/>
  <c r="AB176" i="9"/>
  <c r="AA176" i="9"/>
  <c r="Z176" i="9"/>
  <c r="Y176" i="9"/>
  <c r="X176" i="9"/>
  <c r="W176" i="9"/>
  <c r="V176" i="9"/>
  <c r="U176" i="9"/>
  <c r="T176" i="9"/>
  <c r="S176" i="9"/>
  <c r="R176" i="9"/>
  <c r="Q176" i="9"/>
  <c r="P176" i="9"/>
  <c r="O176" i="9"/>
  <c r="N176" i="9"/>
  <c r="M176" i="9"/>
  <c r="L176" i="9"/>
  <c r="K176" i="9"/>
  <c r="J176" i="9"/>
  <c r="C176" i="9"/>
  <c r="D176" i="9" s="1"/>
  <c r="AM175" i="9"/>
  <c r="AL175" i="9"/>
  <c r="AK175" i="9"/>
  <c r="AJ175" i="9"/>
  <c r="AI175" i="9"/>
  <c r="AH175" i="9"/>
  <c r="AG175" i="9"/>
  <c r="AF175" i="9"/>
  <c r="AE175" i="9"/>
  <c r="AD175" i="9"/>
  <c r="AC175" i="9"/>
  <c r="AB175" i="9"/>
  <c r="AA175" i="9"/>
  <c r="Z175" i="9"/>
  <c r="Y175" i="9"/>
  <c r="X175" i="9"/>
  <c r="W175" i="9"/>
  <c r="V175" i="9"/>
  <c r="U175" i="9"/>
  <c r="T175" i="9"/>
  <c r="S175" i="9"/>
  <c r="R175" i="9"/>
  <c r="Q175" i="9"/>
  <c r="P175" i="9"/>
  <c r="O175" i="9"/>
  <c r="N175" i="9"/>
  <c r="M175" i="9"/>
  <c r="L175" i="9"/>
  <c r="K175" i="9"/>
  <c r="J175" i="9"/>
  <c r="C175" i="9"/>
  <c r="G175" i="9" s="1"/>
  <c r="AM174" i="9"/>
  <c r="AL174" i="9"/>
  <c r="AK174" i="9"/>
  <c r="AJ174" i="9"/>
  <c r="AI174" i="9"/>
  <c r="AH174" i="9"/>
  <c r="AG174" i="9"/>
  <c r="AF174" i="9"/>
  <c r="AE174" i="9"/>
  <c r="AD174" i="9"/>
  <c r="AC174" i="9"/>
  <c r="AB174" i="9"/>
  <c r="AA174" i="9"/>
  <c r="Z174" i="9"/>
  <c r="Y174" i="9"/>
  <c r="X174" i="9"/>
  <c r="W174" i="9"/>
  <c r="V174" i="9"/>
  <c r="U174" i="9"/>
  <c r="T174" i="9"/>
  <c r="S174" i="9"/>
  <c r="R174" i="9"/>
  <c r="Q174" i="9"/>
  <c r="P174" i="9"/>
  <c r="O174" i="9"/>
  <c r="N174" i="9"/>
  <c r="M174" i="9"/>
  <c r="L174" i="9"/>
  <c r="K174" i="9"/>
  <c r="J174" i="9"/>
  <c r="C174" i="9"/>
  <c r="H174" i="9" s="1"/>
  <c r="AM173" i="9"/>
  <c r="AL173" i="9"/>
  <c r="AK173" i="9"/>
  <c r="AJ173" i="9"/>
  <c r="AI173" i="9"/>
  <c r="AH173" i="9"/>
  <c r="AG173" i="9"/>
  <c r="AF173" i="9"/>
  <c r="AE173" i="9"/>
  <c r="AD173" i="9"/>
  <c r="AC173" i="9"/>
  <c r="AB173" i="9"/>
  <c r="AA173" i="9"/>
  <c r="Z173" i="9"/>
  <c r="Y173" i="9"/>
  <c r="X173" i="9"/>
  <c r="W173" i="9"/>
  <c r="V173" i="9"/>
  <c r="U173" i="9"/>
  <c r="T173" i="9"/>
  <c r="S173" i="9"/>
  <c r="R173" i="9"/>
  <c r="Q173" i="9"/>
  <c r="P173" i="9"/>
  <c r="O173" i="9"/>
  <c r="N173" i="9"/>
  <c r="M173" i="9"/>
  <c r="L173" i="9"/>
  <c r="K173" i="9"/>
  <c r="J173" i="9"/>
  <c r="C173" i="9"/>
  <c r="AM172" i="9"/>
  <c r="AL172" i="9"/>
  <c r="AK172" i="9"/>
  <c r="AJ172" i="9"/>
  <c r="AI172" i="9"/>
  <c r="AH172" i="9"/>
  <c r="AG172" i="9"/>
  <c r="AF172" i="9"/>
  <c r="AE172" i="9"/>
  <c r="AD172" i="9"/>
  <c r="AC172" i="9"/>
  <c r="AB172" i="9"/>
  <c r="AA172" i="9"/>
  <c r="Z172" i="9"/>
  <c r="Y172" i="9"/>
  <c r="X172" i="9"/>
  <c r="W172" i="9"/>
  <c r="V172" i="9"/>
  <c r="U172" i="9"/>
  <c r="T172" i="9"/>
  <c r="S172" i="9"/>
  <c r="R172" i="9"/>
  <c r="Q172" i="9"/>
  <c r="P172" i="9"/>
  <c r="O172" i="9"/>
  <c r="N172" i="9"/>
  <c r="M172" i="9"/>
  <c r="L172" i="9"/>
  <c r="K172" i="9"/>
  <c r="J172" i="9"/>
  <c r="C172" i="9"/>
  <c r="I172" i="9" s="1"/>
  <c r="AM171" i="9"/>
  <c r="AL171" i="9"/>
  <c r="AK171" i="9"/>
  <c r="AJ171" i="9"/>
  <c r="AI171" i="9"/>
  <c r="AH171" i="9"/>
  <c r="AG171" i="9"/>
  <c r="AF171" i="9"/>
  <c r="AE171" i="9"/>
  <c r="AD171" i="9"/>
  <c r="AC171" i="9"/>
  <c r="AB171" i="9"/>
  <c r="AA171" i="9"/>
  <c r="Z171" i="9"/>
  <c r="Y171" i="9"/>
  <c r="X171" i="9"/>
  <c r="W171" i="9"/>
  <c r="V171" i="9"/>
  <c r="U171" i="9"/>
  <c r="T171" i="9"/>
  <c r="S171" i="9"/>
  <c r="R171" i="9"/>
  <c r="Q171" i="9"/>
  <c r="P171" i="9"/>
  <c r="O171" i="9"/>
  <c r="N171" i="9"/>
  <c r="M171" i="9"/>
  <c r="L171" i="9"/>
  <c r="K171" i="9"/>
  <c r="J171" i="9"/>
  <c r="C171" i="9"/>
  <c r="F171" i="9" s="1"/>
  <c r="AM170" i="9"/>
  <c r="AL170" i="9"/>
  <c r="AK170" i="9"/>
  <c r="AJ170" i="9"/>
  <c r="AI170" i="9"/>
  <c r="AH170" i="9"/>
  <c r="AG170" i="9"/>
  <c r="AF170" i="9"/>
  <c r="AE170" i="9"/>
  <c r="AD170" i="9"/>
  <c r="AC170" i="9"/>
  <c r="AB170" i="9"/>
  <c r="AA170" i="9"/>
  <c r="Z170" i="9"/>
  <c r="Y170" i="9"/>
  <c r="X170" i="9"/>
  <c r="W170" i="9"/>
  <c r="V170" i="9"/>
  <c r="U170" i="9"/>
  <c r="T170" i="9"/>
  <c r="S170" i="9"/>
  <c r="R170" i="9"/>
  <c r="Q170" i="9"/>
  <c r="P170" i="9"/>
  <c r="O170" i="9"/>
  <c r="N170" i="9"/>
  <c r="M170" i="9"/>
  <c r="L170" i="9"/>
  <c r="K170" i="9"/>
  <c r="J170" i="9"/>
  <c r="C170" i="9"/>
  <c r="H170" i="9" s="1"/>
  <c r="AM169" i="9"/>
  <c r="AL169" i="9"/>
  <c r="AK169" i="9"/>
  <c r="AJ169" i="9"/>
  <c r="AI169" i="9"/>
  <c r="AH169" i="9"/>
  <c r="AG169" i="9"/>
  <c r="AF169" i="9"/>
  <c r="AE169" i="9"/>
  <c r="AD169" i="9"/>
  <c r="AC169" i="9"/>
  <c r="AB169" i="9"/>
  <c r="AA169" i="9"/>
  <c r="Z169" i="9"/>
  <c r="Y169" i="9"/>
  <c r="X169" i="9"/>
  <c r="W169" i="9"/>
  <c r="V169" i="9"/>
  <c r="U169" i="9"/>
  <c r="T169" i="9"/>
  <c r="S169" i="9"/>
  <c r="R169" i="9"/>
  <c r="Q169" i="9"/>
  <c r="P169" i="9"/>
  <c r="O169" i="9"/>
  <c r="N169" i="9"/>
  <c r="M169" i="9"/>
  <c r="L169" i="9"/>
  <c r="K169" i="9"/>
  <c r="J169" i="9"/>
  <c r="C169" i="9"/>
  <c r="AM168" i="9"/>
  <c r="AL168" i="9"/>
  <c r="AK168" i="9"/>
  <c r="AJ168" i="9"/>
  <c r="AI168" i="9"/>
  <c r="AH168" i="9"/>
  <c r="AG168" i="9"/>
  <c r="AF168" i="9"/>
  <c r="AE168" i="9"/>
  <c r="AD168" i="9"/>
  <c r="AC168" i="9"/>
  <c r="AB168" i="9"/>
  <c r="AA168" i="9"/>
  <c r="Z168" i="9"/>
  <c r="Y168" i="9"/>
  <c r="X168" i="9"/>
  <c r="W168" i="9"/>
  <c r="V168" i="9"/>
  <c r="U168" i="9"/>
  <c r="T168" i="9"/>
  <c r="S168" i="9"/>
  <c r="R168" i="9"/>
  <c r="Q168" i="9"/>
  <c r="P168" i="9"/>
  <c r="O168" i="9"/>
  <c r="N168" i="9"/>
  <c r="M168" i="9"/>
  <c r="L168" i="9"/>
  <c r="K168" i="9"/>
  <c r="J168" i="9"/>
  <c r="C168" i="9"/>
  <c r="H168" i="9" s="1"/>
  <c r="AM167" i="9"/>
  <c r="AL167" i="9"/>
  <c r="AK167" i="9"/>
  <c r="AJ167" i="9"/>
  <c r="AI167" i="9"/>
  <c r="AH167" i="9"/>
  <c r="AG167" i="9"/>
  <c r="AF167" i="9"/>
  <c r="AE167" i="9"/>
  <c r="AD167" i="9"/>
  <c r="AC167" i="9"/>
  <c r="AB167" i="9"/>
  <c r="AA167" i="9"/>
  <c r="Z167" i="9"/>
  <c r="Y167" i="9"/>
  <c r="X167" i="9"/>
  <c r="W167" i="9"/>
  <c r="V167" i="9"/>
  <c r="U167" i="9"/>
  <c r="T167" i="9"/>
  <c r="S167" i="9"/>
  <c r="R167" i="9"/>
  <c r="Q167" i="9"/>
  <c r="P167" i="9"/>
  <c r="O167" i="9"/>
  <c r="N167" i="9"/>
  <c r="M167" i="9"/>
  <c r="L167" i="9"/>
  <c r="K167" i="9"/>
  <c r="J167" i="9"/>
  <c r="C167" i="9"/>
  <c r="I167" i="9" s="1"/>
  <c r="AM166" i="9"/>
  <c r="AL166" i="9"/>
  <c r="AK166" i="9"/>
  <c r="AJ166" i="9"/>
  <c r="AI166" i="9"/>
  <c r="AH166" i="9"/>
  <c r="AG166" i="9"/>
  <c r="AF166" i="9"/>
  <c r="AE166" i="9"/>
  <c r="AD166" i="9"/>
  <c r="AC166" i="9"/>
  <c r="AB166" i="9"/>
  <c r="AA166" i="9"/>
  <c r="Z166" i="9"/>
  <c r="Y166" i="9"/>
  <c r="X166" i="9"/>
  <c r="W166" i="9"/>
  <c r="V166" i="9"/>
  <c r="U166" i="9"/>
  <c r="T166" i="9"/>
  <c r="S166" i="9"/>
  <c r="R166" i="9"/>
  <c r="Q166" i="9"/>
  <c r="P166" i="9"/>
  <c r="O166" i="9"/>
  <c r="N166" i="9"/>
  <c r="M166" i="9"/>
  <c r="L166" i="9"/>
  <c r="K166" i="9"/>
  <c r="J166" i="9"/>
  <c r="C166" i="9"/>
  <c r="F166" i="9" s="1"/>
  <c r="AM165" i="9"/>
  <c r="AL165" i="9"/>
  <c r="AK165" i="9"/>
  <c r="AJ165" i="9"/>
  <c r="AI165" i="9"/>
  <c r="AH165" i="9"/>
  <c r="AG165" i="9"/>
  <c r="AF165" i="9"/>
  <c r="AE165" i="9"/>
  <c r="AD165" i="9"/>
  <c r="AC165" i="9"/>
  <c r="AB165" i="9"/>
  <c r="AA165" i="9"/>
  <c r="Z165" i="9"/>
  <c r="Y165" i="9"/>
  <c r="X165" i="9"/>
  <c r="W165" i="9"/>
  <c r="V165" i="9"/>
  <c r="U165" i="9"/>
  <c r="T165" i="9"/>
  <c r="S165" i="9"/>
  <c r="R165" i="9"/>
  <c r="Q165" i="9"/>
  <c r="P165" i="9"/>
  <c r="O165" i="9"/>
  <c r="N165" i="9"/>
  <c r="M165" i="9"/>
  <c r="L165" i="9"/>
  <c r="K165" i="9"/>
  <c r="J165" i="9"/>
  <c r="C165" i="9"/>
  <c r="G165" i="9" s="1"/>
  <c r="AM164" i="9"/>
  <c r="AL164" i="9"/>
  <c r="AK164" i="9"/>
  <c r="AJ164" i="9"/>
  <c r="AI164" i="9"/>
  <c r="AH164" i="9"/>
  <c r="AG164" i="9"/>
  <c r="AF164" i="9"/>
  <c r="AE164" i="9"/>
  <c r="AD164" i="9"/>
  <c r="AC164" i="9"/>
  <c r="AB164" i="9"/>
  <c r="AA164" i="9"/>
  <c r="Z164" i="9"/>
  <c r="Y164" i="9"/>
  <c r="X164" i="9"/>
  <c r="W164" i="9"/>
  <c r="V164" i="9"/>
  <c r="U164" i="9"/>
  <c r="T164" i="9"/>
  <c r="S164" i="9"/>
  <c r="R164" i="9"/>
  <c r="Q164" i="9"/>
  <c r="P164" i="9"/>
  <c r="O164" i="9"/>
  <c r="N164" i="9"/>
  <c r="M164" i="9"/>
  <c r="L164" i="9"/>
  <c r="K164" i="9"/>
  <c r="J164" i="9"/>
  <c r="C164" i="9"/>
  <c r="F164" i="9" s="1"/>
  <c r="AM163" i="9"/>
  <c r="AL163" i="9"/>
  <c r="AK163" i="9"/>
  <c r="AJ163" i="9"/>
  <c r="AI163" i="9"/>
  <c r="AH163" i="9"/>
  <c r="AG163" i="9"/>
  <c r="AF163" i="9"/>
  <c r="AE163" i="9"/>
  <c r="AD163" i="9"/>
  <c r="AC163" i="9"/>
  <c r="AB163" i="9"/>
  <c r="AA163" i="9"/>
  <c r="Z163" i="9"/>
  <c r="Y163" i="9"/>
  <c r="X163" i="9"/>
  <c r="W163" i="9"/>
  <c r="V163" i="9"/>
  <c r="U163" i="9"/>
  <c r="T163" i="9"/>
  <c r="S163" i="9"/>
  <c r="R163" i="9"/>
  <c r="Q163" i="9"/>
  <c r="P163" i="9"/>
  <c r="O163" i="9"/>
  <c r="N163" i="9"/>
  <c r="M163" i="9"/>
  <c r="L163" i="9"/>
  <c r="K163" i="9"/>
  <c r="J163" i="9"/>
  <c r="C163" i="9"/>
  <c r="I163" i="9" s="1"/>
  <c r="AM162" i="9"/>
  <c r="AL162" i="9"/>
  <c r="AK162" i="9"/>
  <c r="AJ162" i="9"/>
  <c r="AI162" i="9"/>
  <c r="AH162" i="9"/>
  <c r="AG162" i="9"/>
  <c r="AF162" i="9"/>
  <c r="AE162" i="9"/>
  <c r="AD162" i="9"/>
  <c r="AC162" i="9"/>
  <c r="AB162" i="9"/>
  <c r="AA162" i="9"/>
  <c r="Z162" i="9"/>
  <c r="Y162" i="9"/>
  <c r="X162" i="9"/>
  <c r="W162" i="9"/>
  <c r="V162" i="9"/>
  <c r="U162" i="9"/>
  <c r="T162" i="9"/>
  <c r="S162" i="9"/>
  <c r="R162" i="9"/>
  <c r="Q162" i="9"/>
  <c r="P162" i="9"/>
  <c r="O162" i="9"/>
  <c r="N162" i="9"/>
  <c r="M162" i="9"/>
  <c r="L162" i="9"/>
  <c r="K162" i="9"/>
  <c r="J162" i="9"/>
  <c r="C162" i="9"/>
  <c r="F162" i="9" s="1"/>
  <c r="AM161" i="9"/>
  <c r="AL161" i="9"/>
  <c r="AK161" i="9"/>
  <c r="AJ161" i="9"/>
  <c r="AI161" i="9"/>
  <c r="AH161" i="9"/>
  <c r="AG161" i="9"/>
  <c r="AF161" i="9"/>
  <c r="AE161" i="9"/>
  <c r="AD161" i="9"/>
  <c r="AC161" i="9"/>
  <c r="AB161" i="9"/>
  <c r="AA161" i="9"/>
  <c r="Z161" i="9"/>
  <c r="Y161" i="9"/>
  <c r="X161" i="9"/>
  <c r="W161" i="9"/>
  <c r="V161" i="9"/>
  <c r="U161" i="9"/>
  <c r="T161" i="9"/>
  <c r="S161" i="9"/>
  <c r="R161" i="9"/>
  <c r="Q161" i="9"/>
  <c r="P161" i="9"/>
  <c r="O161" i="9"/>
  <c r="N161" i="9"/>
  <c r="M161" i="9"/>
  <c r="L161" i="9"/>
  <c r="K161" i="9"/>
  <c r="J161" i="9"/>
  <c r="C161" i="9"/>
  <c r="AM160" i="9"/>
  <c r="AL160" i="9"/>
  <c r="AK160" i="9"/>
  <c r="AJ160" i="9"/>
  <c r="AI160" i="9"/>
  <c r="AH160" i="9"/>
  <c r="AG160" i="9"/>
  <c r="AF160" i="9"/>
  <c r="AE160" i="9"/>
  <c r="AD160" i="9"/>
  <c r="AC160" i="9"/>
  <c r="AB160" i="9"/>
  <c r="AA160" i="9"/>
  <c r="Z160" i="9"/>
  <c r="Y160" i="9"/>
  <c r="X160" i="9"/>
  <c r="W160" i="9"/>
  <c r="V160" i="9"/>
  <c r="U160" i="9"/>
  <c r="T160" i="9"/>
  <c r="S160" i="9"/>
  <c r="R160" i="9"/>
  <c r="Q160" i="9"/>
  <c r="P160" i="9"/>
  <c r="O160" i="9"/>
  <c r="N160" i="9"/>
  <c r="M160" i="9"/>
  <c r="L160" i="9"/>
  <c r="K160" i="9"/>
  <c r="J160" i="9"/>
  <c r="C160" i="9"/>
  <c r="D160" i="9" s="1"/>
  <c r="AM159" i="9"/>
  <c r="AL159" i="9"/>
  <c r="AK159" i="9"/>
  <c r="AJ159" i="9"/>
  <c r="AI159" i="9"/>
  <c r="AH159" i="9"/>
  <c r="AG159" i="9"/>
  <c r="AF159" i="9"/>
  <c r="AE159" i="9"/>
  <c r="AD159" i="9"/>
  <c r="AC159" i="9"/>
  <c r="AB159" i="9"/>
  <c r="AA159" i="9"/>
  <c r="Z159" i="9"/>
  <c r="Y159" i="9"/>
  <c r="X159" i="9"/>
  <c r="W159" i="9"/>
  <c r="V159" i="9"/>
  <c r="U159" i="9"/>
  <c r="T159" i="9"/>
  <c r="S159" i="9"/>
  <c r="R159" i="9"/>
  <c r="Q159" i="9"/>
  <c r="P159" i="9"/>
  <c r="O159" i="9"/>
  <c r="N159" i="9"/>
  <c r="M159" i="9"/>
  <c r="L159" i="9"/>
  <c r="K159" i="9"/>
  <c r="J159" i="9"/>
  <c r="C159" i="9"/>
  <c r="I159" i="9" s="1"/>
  <c r="AM158" i="9"/>
  <c r="AL158" i="9"/>
  <c r="AK158" i="9"/>
  <c r="AJ158" i="9"/>
  <c r="AI158" i="9"/>
  <c r="AH158" i="9"/>
  <c r="AG158" i="9"/>
  <c r="AF158" i="9"/>
  <c r="AE158" i="9"/>
  <c r="AD158" i="9"/>
  <c r="AC158" i="9"/>
  <c r="AB158" i="9"/>
  <c r="AA158" i="9"/>
  <c r="Z158" i="9"/>
  <c r="Y158" i="9"/>
  <c r="X158" i="9"/>
  <c r="W158" i="9"/>
  <c r="V158" i="9"/>
  <c r="U158" i="9"/>
  <c r="T158" i="9"/>
  <c r="S158" i="9"/>
  <c r="R158" i="9"/>
  <c r="Q158" i="9"/>
  <c r="P158" i="9"/>
  <c r="O158" i="9"/>
  <c r="N158" i="9"/>
  <c r="M158" i="9"/>
  <c r="L158" i="9"/>
  <c r="K158" i="9"/>
  <c r="J158" i="9"/>
  <c r="C158" i="9"/>
  <c r="F158" i="9" s="1"/>
  <c r="AM157" i="9"/>
  <c r="AL157" i="9"/>
  <c r="AK157" i="9"/>
  <c r="AJ157" i="9"/>
  <c r="AI157" i="9"/>
  <c r="AH157" i="9"/>
  <c r="AG157" i="9"/>
  <c r="AF157" i="9"/>
  <c r="AE157" i="9"/>
  <c r="AD157" i="9"/>
  <c r="AC157" i="9"/>
  <c r="AB157" i="9"/>
  <c r="AA157" i="9"/>
  <c r="Z157" i="9"/>
  <c r="Y157" i="9"/>
  <c r="X157" i="9"/>
  <c r="W157" i="9"/>
  <c r="V157" i="9"/>
  <c r="U157" i="9"/>
  <c r="T157" i="9"/>
  <c r="S157" i="9"/>
  <c r="R157" i="9"/>
  <c r="Q157" i="9"/>
  <c r="P157" i="9"/>
  <c r="O157" i="9"/>
  <c r="N157" i="9"/>
  <c r="M157" i="9"/>
  <c r="L157" i="9"/>
  <c r="K157" i="9"/>
  <c r="J157" i="9"/>
  <c r="C157" i="9"/>
  <c r="G157" i="9" s="1"/>
  <c r="AM156" i="9"/>
  <c r="AL156" i="9"/>
  <c r="AK156" i="9"/>
  <c r="AJ156" i="9"/>
  <c r="AI156" i="9"/>
  <c r="AH156" i="9"/>
  <c r="AG156" i="9"/>
  <c r="AF156" i="9"/>
  <c r="AE156" i="9"/>
  <c r="AD156" i="9"/>
  <c r="AC156" i="9"/>
  <c r="AB156" i="9"/>
  <c r="AA156" i="9"/>
  <c r="Z156" i="9"/>
  <c r="Y156" i="9"/>
  <c r="X156" i="9"/>
  <c r="W156" i="9"/>
  <c r="V156" i="9"/>
  <c r="U156" i="9"/>
  <c r="T156" i="9"/>
  <c r="S156" i="9"/>
  <c r="R156" i="9"/>
  <c r="Q156" i="9"/>
  <c r="P156" i="9"/>
  <c r="O156" i="9"/>
  <c r="N156" i="9"/>
  <c r="M156" i="9"/>
  <c r="L156" i="9"/>
  <c r="K156" i="9"/>
  <c r="J156" i="9"/>
  <c r="C156" i="9"/>
  <c r="AM155" i="9"/>
  <c r="AL155" i="9"/>
  <c r="AK155" i="9"/>
  <c r="AJ155" i="9"/>
  <c r="AI155" i="9"/>
  <c r="AH155" i="9"/>
  <c r="AG155" i="9"/>
  <c r="AF155" i="9"/>
  <c r="AE155" i="9"/>
  <c r="AD155" i="9"/>
  <c r="AC155" i="9"/>
  <c r="AB155" i="9"/>
  <c r="AA155" i="9"/>
  <c r="Z155" i="9"/>
  <c r="Y155" i="9"/>
  <c r="X155" i="9"/>
  <c r="W155" i="9"/>
  <c r="V155" i="9"/>
  <c r="U155" i="9"/>
  <c r="T155" i="9"/>
  <c r="S155" i="9"/>
  <c r="R155" i="9"/>
  <c r="Q155" i="9"/>
  <c r="P155" i="9"/>
  <c r="O155" i="9"/>
  <c r="N155" i="9"/>
  <c r="M155" i="9"/>
  <c r="L155" i="9"/>
  <c r="K155" i="9"/>
  <c r="J155" i="9"/>
  <c r="C155" i="9"/>
  <c r="AM154" i="9"/>
  <c r="AL154" i="9"/>
  <c r="AK154" i="9"/>
  <c r="AJ154" i="9"/>
  <c r="AI154" i="9"/>
  <c r="AH154" i="9"/>
  <c r="AG154" i="9"/>
  <c r="AF154" i="9"/>
  <c r="AE154" i="9"/>
  <c r="AD154" i="9"/>
  <c r="AC154" i="9"/>
  <c r="AB154" i="9"/>
  <c r="AA154" i="9"/>
  <c r="Z154" i="9"/>
  <c r="Y154" i="9"/>
  <c r="X154" i="9"/>
  <c r="W154" i="9"/>
  <c r="V154" i="9"/>
  <c r="U154" i="9"/>
  <c r="T154" i="9"/>
  <c r="S154" i="9"/>
  <c r="R154" i="9"/>
  <c r="Q154" i="9"/>
  <c r="P154" i="9"/>
  <c r="O154" i="9"/>
  <c r="N154" i="9"/>
  <c r="M154" i="9"/>
  <c r="L154" i="9"/>
  <c r="K154" i="9"/>
  <c r="J154" i="9"/>
  <c r="C154" i="9"/>
  <c r="F154" i="9" s="1"/>
  <c r="AM153" i="9"/>
  <c r="AL153" i="9"/>
  <c r="AK153" i="9"/>
  <c r="AJ153" i="9"/>
  <c r="AI153" i="9"/>
  <c r="AH153" i="9"/>
  <c r="AG153" i="9"/>
  <c r="AF153" i="9"/>
  <c r="AE153" i="9"/>
  <c r="AD153" i="9"/>
  <c r="AC153" i="9"/>
  <c r="AB153" i="9"/>
  <c r="AA153" i="9"/>
  <c r="Z153" i="9"/>
  <c r="Y153" i="9"/>
  <c r="X153" i="9"/>
  <c r="W153" i="9"/>
  <c r="V153" i="9"/>
  <c r="U153" i="9"/>
  <c r="T153" i="9"/>
  <c r="S153" i="9"/>
  <c r="R153" i="9"/>
  <c r="Q153" i="9"/>
  <c r="P153" i="9"/>
  <c r="O153" i="9"/>
  <c r="N153" i="9"/>
  <c r="M153" i="9"/>
  <c r="L153" i="9"/>
  <c r="K153" i="9"/>
  <c r="J153" i="9"/>
  <c r="C153" i="9"/>
  <c r="AM152" i="9"/>
  <c r="AL152" i="9"/>
  <c r="AK152" i="9"/>
  <c r="AJ152" i="9"/>
  <c r="AI152" i="9"/>
  <c r="AH152" i="9"/>
  <c r="AG152" i="9"/>
  <c r="AF152" i="9"/>
  <c r="AE152" i="9"/>
  <c r="AD152" i="9"/>
  <c r="AC152" i="9"/>
  <c r="AB152" i="9"/>
  <c r="AA152" i="9"/>
  <c r="Z152" i="9"/>
  <c r="Y152" i="9"/>
  <c r="X152" i="9"/>
  <c r="W152" i="9"/>
  <c r="V152" i="9"/>
  <c r="U152" i="9"/>
  <c r="T152" i="9"/>
  <c r="S152" i="9"/>
  <c r="R152" i="9"/>
  <c r="Q152" i="9"/>
  <c r="P152" i="9"/>
  <c r="O152" i="9"/>
  <c r="N152" i="9"/>
  <c r="M152" i="9"/>
  <c r="L152" i="9"/>
  <c r="K152" i="9"/>
  <c r="J152" i="9"/>
  <c r="C152" i="9"/>
  <c r="I152" i="9" s="1"/>
  <c r="AM151" i="9"/>
  <c r="AL151" i="9"/>
  <c r="AK151" i="9"/>
  <c r="AJ151" i="9"/>
  <c r="AI151" i="9"/>
  <c r="AH151" i="9"/>
  <c r="AG151" i="9"/>
  <c r="AF151" i="9"/>
  <c r="AE151" i="9"/>
  <c r="AD151" i="9"/>
  <c r="AC151" i="9"/>
  <c r="AB151" i="9"/>
  <c r="AA151" i="9"/>
  <c r="Z151" i="9"/>
  <c r="Y151" i="9"/>
  <c r="X151" i="9"/>
  <c r="W151" i="9"/>
  <c r="V151" i="9"/>
  <c r="U151" i="9"/>
  <c r="T151" i="9"/>
  <c r="S151" i="9"/>
  <c r="R151" i="9"/>
  <c r="Q151" i="9"/>
  <c r="P151" i="9"/>
  <c r="O151" i="9"/>
  <c r="N151" i="9"/>
  <c r="M151" i="9"/>
  <c r="L151" i="9"/>
  <c r="K151" i="9"/>
  <c r="J151" i="9"/>
  <c r="C151" i="9"/>
  <c r="I151" i="9" s="1"/>
  <c r="AM150" i="9"/>
  <c r="AL150" i="9"/>
  <c r="AK150" i="9"/>
  <c r="AJ150" i="9"/>
  <c r="AI150" i="9"/>
  <c r="AH150" i="9"/>
  <c r="AG150" i="9"/>
  <c r="AF150" i="9"/>
  <c r="AE150" i="9"/>
  <c r="AD150" i="9"/>
  <c r="AC150" i="9"/>
  <c r="AB150" i="9"/>
  <c r="AA150" i="9"/>
  <c r="Z150" i="9"/>
  <c r="Y150" i="9"/>
  <c r="X150" i="9"/>
  <c r="W150" i="9"/>
  <c r="V150" i="9"/>
  <c r="U150" i="9"/>
  <c r="T150" i="9"/>
  <c r="S150" i="9"/>
  <c r="R150" i="9"/>
  <c r="Q150" i="9"/>
  <c r="P150" i="9"/>
  <c r="O150" i="9"/>
  <c r="N150" i="9"/>
  <c r="M150" i="9"/>
  <c r="L150" i="9"/>
  <c r="K150" i="9"/>
  <c r="J150" i="9"/>
  <c r="C150" i="9"/>
  <c r="F150" i="9" s="1"/>
  <c r="AM149" i="9"/>
  <c r="AL149" i="9"/>
  <c r="AK149" i="9"/>
  <c r="AJ149" i="9"/>
  <c r="AI149" i="9"/>
  <c r="AH149" i="9"/>
  <c r="AG149" i="9"/>
  <c r="AF149" i="9"/>
  <c r="AE149" i="9"/>
  <c r="AD149" i="9"/>
  <c r="AC149" i="9"/>
  <c r="AB149" i="9"/>
  <c r="AA149" i="9"/>
  <c r="Z149" i="9"/>
  <c r="Y149" i="9"/>
  <c r="X149" i="9"/>
  <c r="W149" i="9"/>
  <c r="V149" i="9"/>
  <c r="U149" i="9"/>
  <c r="T149" i="9"/>
  <c r="S149" i="9"/>
  <c r="R149" i="9"/>
  <c r="Q149" i="9"/>
  <c r="P149" i="9"/>
  <c r="O149" i="9"/>
  <c r="N149" i="9"/>
  <c r="M149" i="9"/>
  <c r="L149" i="9"/>
  <c r="K149" i="9"/>
  <c r="J149" i="9"/>
  <c r="C149" i="9"/>
  <c r="I149" i="9" s="1"/>
  <c r="AM148" i="9"/>
  <c r="AL148" i="9"/>
  <c r="AK148" i="9"/>
  <c r="AJ148" i="9"/>
  <c r="AI148" i="9"/>
  <c r="AH148" i="9"/>
  <c r="AG148" i="9"/>
  <c r="AF148" i="9"/>
  <c r="AE148" i="9"/>
  <c r="AD148" i="9"/>
  <c r="AC148" i="9"/>
  <c r="AB148" i="9"/>
  <c r="AA148" i="9"/>
  <c r="Z148" i="9"/>
  <c r="Y148" i="9"/>
  <c r="X148" i="9"/>
  <c r="W148" i="9"/>
  <c r="V148" i="9"/>
  <c r="U148" i="9"/>
  <c r="T148" i="9"/>
  <c r="S148" i="9"/>
  <c r="R148" i="9"/>
  <c r="Q148" i="9"/>
  <c r="P148" i="9"/>
  <c r="O148" i="9"/>
  <c r="N148" i="9"/>
  <c r="M148" i="9"/>
  <c r="L148" i="9"/>
  <c r="K148" i="9"/>
  <c r="J148" i="9"/>
  <c r="C148" i="9"/>
  <c r="I148" i="9" s="1"/>
  <c r="AM147" i="9"/>
  <c r="AL147" i="9"/>
  <c r="AK147" i="9"/>
  <c r="AJ147" i="9"/>
  <c r="AI147" i="9"/>
  <c r="AH147" i="9"/>
  <c r="AG147" i="9"/>
  <c r="AF147" i="9"/>
  <c r="AE147" i="9"/>
  <c r="AD147" i="9"/>
  <c r="AC147" i="9"/>
  <c r="AB147" i="9"/>
  <c r="AA147" i="9"/>
  <c r="Z147" i="9"/>
  <c r="Y147" i="9"/>
  <c r="X147" i="9"/>
  <c r="W147" i="9"/>
  <c r="V147" i="9"/>
  <c r="U147" i="9"/>
  <c r="T147" i="9"/>
  <c r="S147" i="9"/>
  <c r="R147" i="9"/>
  <c r="Q147" i="9"/>
  <c r="P147" i="9"/>
  <c r="O147" i="9"/>
  <c r="N147" i="9"/>
  <c r="M147" i="9"/>
  <c r="L147" i="9"/>
  <c r="K147" i="9"/>
  <c r="J147" i="9"/>
  <c r="C147" i="9"/>
  <c r="I147" i="9" s="1"/>
  <c r="AM146" i="9"/>
  <c r="AL146" i="9"/>
  <c r="AK146" i="9"/>
  <c r="AJ146" i="9"/>
  <c r="AI146" i="9"/>
  <c r="AH146" i="9"/>
  <c r="AG146" i="9"/>
  <c r="AF146" i="9"/>
  <c r="AE146" i="9"/>
  <c r="AD146" i="9"/>
  <c r="AC146" i="9"/>
  <c r="AB146" i="9"/>
  <c r="AA146" i="9"/>
  <c r="Z146" i="9"/>
  <c r="Y146" i="9"/>
  <c r="X146" i="9"/>
  <c r="W146" i="9"/>
  <c r="V146" i="9"/>
  <c r="U146" i="9"/>
  <c r="T146" i="9"/>
  <c r="S146" i="9"/>
  <c r="R146" i="9"/>
  <c r="Q146" i="9"/>
  <c r="P146" i="9"/>
  <c r="O146" i="9"/>
  <c r="N146" i="9"/>
  <c r="M146" i="9"/>
  <c r="L146" i="9"/>
  <c r="K146" i="9"/>
  <c r="J146" i="9"/>
  <c r="C146" i="9"/>
  <c r="AM145" i="9"/>
  <c r="AL145" i="9"/>
  <c r="AK145" i="9"/>
  <c r="AJ145" i="9"/>
  <c r="AI145" i="9"/>
  <c r="AH145" i="9"/>
  <c r="AG145" i="9"/>
  <c r="AF145" i="9"/>
  <c r="AE145" i="9"/>
  <c r="AD145" i="9"/>
  <c r="AC145" i="9"/>
  <c r="AB145" i="9"/>
  <c r="AA145" i="9"/>
  <c r="Z145" i="9"/>
  <c r="Y145" i="9"/>
  <c r="X145" i="9"/>
  <c r="W145" i="9"/>
  <c r="V145" i="9"/>
  <c r="U145" i="9"/>
  <c r="T145" i="9"/>
  <c r="S145" i="9"/>
  <c r="R145" i="9"/>
  <c r="Q145" i="9"/>
  <c r="P145" i="9"/>
  <c r="O145" i="9"/>
  <c r="N145" i="9"/>
  <c r="M145" i="9"/>
  <c r="L145" i="9"/>
  <c r="K145" i="9"/>
  <c r="J145" i="9"/>
  <c r="C145" i="9"/>
  <c r="AM144" i="9"/>
  <c r="AL144" i="9"/>
  <c r="AK144" i="9"/>
  <c r="AJ144" i="9"/>
  <c r="AI144" i="9"/>
  <c r="AH144" i="9"/>
  <c r="AG144" i="9"/>
  <c r="AF144" i="9"/>
  <c r="AE144" i="9"/>
  <c r="AD144" i="9"/>
  <c r="AC144" i="9"/>
  <c r="AB144" i="9"/>
  <c r="AA144" i="9"/>
  <c r="Z144" i="9"/>
  <c r="Y144" i="9"/>
  <c r="X144" i="9"/>
  <c r="W144" i="9"/>
  <c r="V144" i="9"/>
  <c r="U144" i="9"/>
  <c r="T144" i="9"/>
  <c r="S144" i="9"/>
  <c r="R144" i="9"/>
  <c r="Q144" i="9"/>
  <c r="P144" i="9"/>
  <c r="O144" i="9"/>
  <c r="N144" i="9"/>
  <c r="M144" i="9"/>
  <c r="L144" i="9"/>
  <c r="K144" i="9"/>
  <c r="J144" i="9"/>
  <c r="C144" i="9"/>
  <c r="I144" i="9" s="1"/>
  <c r="AM143" i="9"/>
  <c r="AL143" i="9"/>
  <c r="AK143" i="9"/>
  <c r="AJ143" i="9"/>
  <c r="AI143" i="9"/>
  <c r="AH143" i="9"/>
  <c r="AG143" i="9"/>
  <c r="AF143" i="9"/>
  <c r="AE143" i="9"/>
  <c r="AD143" i="9"/>
  <c r="AC143" i="9"/>
  <c r="AB143" i="9"/>
  <c r="AA143" i="9"/>
  <c r="Z143" i="9"/>
  <c r="Y143" i="9"/>
  <c r="X143" i="9"/>
  <c r="W143" i="9"/>
  <c r="V143" i="9"/>
  <c r="U143" i="9"/>
  <c r="T143" i="9"/>
  <c r="S143" i="9"/>
  <c r="R143" i="9"/>
  <c r="Q143" i="9"/>
  <c r="P143" i="9"/>
  <c r="O143" i="9"/>
  <c r="N143" i="9"/>
  <c r="M143" i="9"/>
  <c r="L143" i="9"/>
  <c r="K143" i="9"/>
  <c r="J143" i="9"/>
  <c r="C143" i="9"/>
  <c r="D143" i="9" s="1"/>
  <c r="AM142" i="9"/>
  <c r="AL142" i="9"/>
  <c r="AK142" i="9"/>
  <c r="AJ142" i="9"/>
  <c r="AI142" i="9"/>
  <c r="AH142" i="9"/>
  <c r="AG142" i="9"/>
  <c r="AF142" i="9"/>
  <c r="AE142" i="9"/>
  <c r="AD142" i="9"/>
  <c r="AC142" i="9"/>
  <c r="AB142" i="9"/>
  <c r="AA142" i="9"/>
  <c r="Z142" i="9"/>
  <c r="Y142" i="9"/>
  <c r="X142" i="9"/>
  <c r="W142" i="9"/>
  <c r="V142" i="9"/>
  <c r="U142" i="9"/>
  <c r="T142" i="9"/>
  <c r="S142" i="9"/>
  <c r="R142" i="9"/>
  <c r="Q142" i="9"/>
  <c r="P142" i="9"/>
  <c r="O142" i="9"/>
  <c r="N142" i="9"/>
  <c r="M142" i="9"/>
  <c r="L142" i="9"/>
  <c r="K142" i="9"/>
  <c r="J142" i="9"/>
  <c r="C142" i="9"/>
  <c r="I142" i="9" s="1"/>
  <c r="AM141" i="9"/>
  <c r="AL141" i="9"/>
  <c r="AK141" i="9"/>
  <c r="AJ141" i="9"/>
  <c r="AI141" i="9"/>
  <c r="AH141" i="9"/>
  <c r="AG141" i="9"/>
  <c r="AF141" i="9"/>
  <c r="AE141" i="9"/>
  <c r="AD141" i="9"/>
  <c r="AC141" i="9"/>
  <c r="AB141" i="9"/>
  <c r="AA141" i="9"/>
  <c r="Z141" i="9"/>
  <c r="Y141" i="9"/>
  <c r="X141" i="9"/>
  <c r="W141" i="9"/>
  <c r="V141" i="9"/>
  <c r="U141" i="9"/>
  <c r="T141" i="9"/>
  <c r="S141" i="9"/>
  <c r="R141" i="9"/>
  <c r="Q141" i="9"/>
  <c r="P141" i="9"/>
  <c r="O141" i="9"/>
  <c r="N141" i="9"/>
  <c r="M141" i="9"/>
  <c r="L141" i="9"/>
  <c r="K141" i="9"/>
  <c r="J141" i="9"/>
  <c r="C141" i="9"/>
  <c r="AM140" i="9"/>
  <c r="AL140" i="9"/>
  <c r="AK140" i="9"/>
  <c r="AJ140" i="9"/>
  <c r="AI140" i="9"/>
  <c r="AH140" i="9"/>
  <c r="AG140" i="9"/>
  <c r="AF140" i="9"/>
  <c r="AE140" i="9"/>
  <c r="AD140" i="9"/>
  <c r="AC140" i="9"/>
  <c r="AB140" i="9"/>
  <c r="AA140" i="9"/>
  <c r="Z140" i="9"/>
  <c r="Y140" i="9"/>
  <c r="X140" i="9"/>
  <c r="W140" i="9"/>
  <c r="V140" i="9"/>
  <c r="U140" i="9"/>
  <c r="T140" i="9"/>
  <c r="S140" i="9"/>
  <c r="R140" i="9"/>
  <c r="Q140" i="9"/>
  <c r="P140" i="9"/>
  <c r="O140" i="9"/>
  <c r="N140" i="9"/>
  <c r="M140" i="9"/>
  <c r="L140" i="9"/>
  <c r="K140" i="9"/>
  <c r="J140" i="9"/>
  <c r="C140" i="9"/>
  <c r="I140" i="9" s="1"/>
  <c r="AM139" i="9"/>
  <c r="AL139" i="9"/>
  <c r="AK139" i="9"/>
  <c r="AJ139" i="9"/>
  <c r="AI139" i="9"/>
  <c r="AH139" i="9"/>
  <c r="AG139" i="9"/>
  <c r="AF139" i="9"/>
  <c r="AE139" i="9"/>
  <c r="AD139" i="9"/>
  <c r="AC139" i="9"/>
  <c r="AB139" i="9"/>
  <c r="AA139" i="9"/>
  <c r="Z139" i="9"/>
  <c r="Y139" i="9"/>
  <c r="X139" i="9"/>
  <c r="W139" i="9"/>
  <c r="V139" i="9"/>
  <c r="U139" i="9"/>
  <c r="T139" i="9"/>
  <c r="S139" i="9"/>
  <c r="R139" i="9"/>
  <c r="Q139" i="9"/>
  <c r="P139" i="9"/>
  <c r="O139" i="9"/>
  <c r="N139" i="9"/>
  <c r="M139" i="9"/>
  <c r="L139" i="9"/>
  <c r="K139" i="9"/>
  <c r="J139" i="9"/>
  <c r="C139" i="9"/>
  <c r="AM138" i="9"/>
  <c r="AL138" i="9"/>
  <c r="AK138" i="9"/>
  <c r="AJ138" i="9"/>
  <c r="AI138" i="9"/>
  <c r="AH138" i="9"/>
  <c r="AG138" i="9"/>
  <c r="AF138" i="9"/>
  <c r="AE138" i="9"/>
  <c r="AD138" i="9"/>
  <c r="AC138" i="9"/>
  <c r="AB138" i="9"/>
  <c r="AA138" i="9"/>
  <c r="Z138" i="9"/>
  <c r="Y138" i="9"/>
  <c r="X138" i="9"/>
  <c r="W138" i="9"/>
  <c r="V138" i="9"/>
  <c r="U138" i="9"/>
  <c r="T138" i="9"/>
  <c r="S138" i="9"/>
  <c r="R138" i="9"/>
  <c r="Q138" i="9"/>
  <c r="P138" i="9"/>
  <c r="O138" i="9"/>
  <c r="N138" i="9"/>
  <c r="M138" i="9"/>
  <c r="L138" i="9"/>
  <c r="K138" i="9"/>
  <c r="J138" i="9"/>
  <c r="C138" i="9"/>
  <c r="AM137" i="9"/>
  <c r="AL137" i="9"/>
  <c r="AK137" i="9"/>
  <c r="AJ137" i="9"/>
  <c r="AI137" i="9"/>
  <c r="AH137" i="9"/>
  <c r="AG137" i="9"/>
  <c r="AF137" i="9"/>
  <c r="AE137" i="9"/>
  <c r="AD137" i="9"/>
  <c r="AC137" i="9"/>
  <c r="AB137" i="9"/>
  <c r="AA137" i="9"/>
  <c r="Z137" i="9"/>
  <c r="Y137" i="9"/>
  <c r="X137" i="9"/>
  <c r="W137" i="9"/>
  <c r="V137" i="9"/>
  <c r="U137" i="9"/>
  <c r="T137" i="9"/>
  <c r="S137" i="9"/>
  <c r="R137" i="9"/>
  <c r="Q137" i="9"/>
  <c r="P137" i="9"/>
  <c r="O137" i="9"/>
  <c r="N137" i="9"/>
  <c r="M137" i="9"/>
  <c r="L137" i="9"/>
  <c r="K137" i="9"/>
  <c r="J137" i="9"/>
  <c r="C137" i="9"/>
  <c r="I137" i="9" s="1"/>
  <c r="AM136" i="9"/>
  <c r="AL136" i="9"/>
  <c r="AK136" i="9"/>
  <c r="AJ136" i="9"/>
  <c r="AI136" i="9"/>
  <c r="AH136" i="9"/>
  <c r="AG136" i="9"/>
  <c r="AF136" i="9"/>
  <c r="AE136" i="9"/>
  <c r="AD136" i="9"/>
  <c r="AC136" i="9"/>
  <c r="AB136" i="9"/>
  <c r="AA136" i="9"/>
  <c r="Z136" i="9"/>
  <c r="Y136" i="9"/>
  <c r="X136" i="9"/>
  <c r="W136" i="9"/>
  <c r="V136" i="9"/>
  <c r="U136" i="9"/>
  <c r="T136" i="9"/>
  <c r="S136" i="9"/>
  <c r="R136" i="9"/>
  <c r="Q136" i="9"/>
  <c r="P136" i="9"/>
  <c r="O136" i="9"/>
  <c r="N136" i="9"/>
  <c r="M136" i="9"/>
  <c r="L136" i="9"/>
  <c r="K136" i="9"/>
  <c r="J136" i="9"/>
  <c r="C136" i="9"/>
  <c r="I136" i="9" s="1"/>
  <c r="AM135" i="9"/>
  <c r="AL135" i="9"/>
  <c r="AK135" i="9"/>
  <c r="AJ135" i="9"/>
  <c r="AI135" i="9"/>
  <c r="AH135" i="9"/>
  <c r="AG135" i="9"/>
  <c r="AF135" i="9"/>
  <c r="AE135" i="9"/>
  <c r="AD135" i="9"/>
  <c r="AC135" i="9"/>
  <c r="AB135" i="9"/>
  <c r="AA135" i="9"/>
  <c r="Z135" i="9"/>
  <c r="Y135" i="9"/>
  <c r="X135" i="9"/>
  <c r="W135" i="9"/>
  <c r="V135" i="9"/>
  <c r="U135" i="9"/>
  <c r="T135" i="9"/>
  <c r="S135" i="9"/>
  <c r="R135" i="9"/>
  <c r="Q135" i="9"/>
  <c r="P135" i="9"/>
  <c r="O135" i="9"/>
  <c r="N135" i="9"/>
  <c r="M135" i="9"/>
  <c r="L135" i="9"/>
  <c r="K135" i="9"/>
  <c r="J135" i="9"/>
  <c r="C135" i="9"/>
  <c r="AM134" i="9"/>
  <c r="AL134" i="9"/>
  <c r="AK134" i="9"/>
  <c r="AJ134" i="9"/>
  <c r="AI134" i="9"/>
  <c r="AH134" i="9"/>
  <c r="AG134" i="9"/>
  <c r="AF134" i="9"/>
  <c r="AE134" i="9"/>
  <c r="AD134" i="9"/>
  <c r="AC134" i="9"/>
  <c r="AB134" i="9"/>
  <c r="AA134" i="9"/>
  <c r="Z134" i="9"/>
  <c r="Y134" i="9"/>
  <c r="X134" i="9"/>
  <c r="W134" i="9"/>
  <c r="V134" i="9"/>
  <c r="U134" i="9"/>
  <c r="T134" i="9"/>
  <c r="S134" i="9"/>
  <c r="R134" i="9"/>
  <c r="Q134" i="9"/>
  <c r="P134" i="9"/>
  <c r="O134" i="9"/>
  <c r="N134" i="9"/>
  <c r="M134" i="9"/>
  <c r="L134" i="9"/>
  <c r="K134" i="9"/>
  <c r="J134" i="9"/>
  <c r="C134" i="9"/>
  <c r="F134" i="9" s="1"/>
  <c r="AM133" i="9"/>
  <c r="AL133" i="9"/>
  <c r="AK133" i="9"/>
  <c r="AJ133" i="9"/>
  <c r="AI133" i="9"/>
  <c r="AH133" i="9"/>
  <c r="AG133" i="9"/>
  <c r="AF133" i="9"/>
  <c r="AE133" i="9"/>
  <c r="AD133" i="9"/>
  <c r="AC133" i="9"/>
  <c r="AB133" i="9"/>
  <c r="AA133" i="9"/>
  <c r="Z133" i="9"/>
  <c r="Y133" i="9"/>
  <c r="X133" i="9"/>
  <c r="W133" i="9"/>
  <c r="V133" i="9"/>
  <c r="U133" i="9"/>
  <c r="T133" i="9"/>
  <c r="S133" i="9"/>
  <c r="R133" i="9"/>
  <c r="Q133" i="9"/>
  <c r="P133" i="9"/>
  <c r="O133" i="9"/>
  <c r="N133" i="9"/>
  <c r="M133" i="9"/>
  <c r="L133" i="9"/>
  <c r="K133" i="9"/>
  <c r="J133" i="9"/>
  <c r="C133" i="9"/>
  <c r="AM132" i="9"/>
  <c r="AL132" i="9"/>
  <c r="AK132" i="9"/>
  <c r="AJ132" i="9"/>
  <c r="AI132" i="9"/>
  <c r="AH132" i="9"/>
  <c r="AG132" i="9"/>
  <c r="AF132" i="9"/>
  <c r="AE132" i="9"/>
  <c r="AD132" i="9"/>
  <c r="AC132" i="9"/>
  <c r="AB132" i="9"/>
  <c r="AA132" i="9"/>
  <c r="Z132" i="9"/>
  <c r="Y132" i="9"/>
  <c r="X132" i="9"/>
  <c r="W132" i="9"/>
  <c r="V132" i="9"/>
  <c r="U132" i="9"/>
  <c r="T132" i="9"/>
  <c r="S132" i="9"/>
  <c r="R132" i="9"/>
  <c r="Q132" i="9"/>
  <c r="P132" i="9"/>
  <c r="O132" i="9"/>
  <c r="N132" i="9"/>
  <c r="M132" i="9"/>
  <c r="L132" i="9"/>
  <c r="K132" i="9"/>
  <c r="J132" i="9"/>
  <c r="C132" i="9"/>
  <c r="AM131" i="9"/>
  <c r="AL131" i="9"/>
  <c r="AK131" i="9"/>
  <c r="AJ131" i="9"/>
  <c r="AI131" i="9"/>
  <c r="AH131" i="9"/>
  <c r="AG131" i="9"/>
  <c r="AF131" i="9"/>
  <c r="AE131" i="9"/>
  <c r="AD131" i="9"/>
  <c r="AC131" i="9"/>
  <c r="AB131" i="9"/>
  <c r="AA131" i="9"/>
  <c r="Z131" i="9"/>
  <c r="Y131" i="9"/>
  <c r="X131" i="9"/>
  <c r="W131" i="9"/>
  <c r="V131" i="9"/>
  <c r="U131" i="9"/>
  <c r="T131" i="9"/>
  <c r="S131" i="9"/>
  <c r="R131" i="9"/>
  <c r="Q131" i="9"/>
  <c r="P131" i="9"/>
  <c r="O131" i="9"/>
  <c r="N131" i="9"/>
  <c r="M131" i="9"/>
  <c r="L131" i="9"/>
  <c r="K131" i="9"/>
  <c r="J131" i="9"/>
  <c r="C131" i="9"/>
  <c r="D131" i="9" s="1"/>
  <c r="AM130" i="9"/>
  <c r="AL130" i="9"/>
  <c r="AK130" i="9"/>
  <c r="AJ130" i="9"/>
  <c r="AI130" i="9"/>
  <c r="AH130" i="9"/>
  <c r="AG130" i="9"/>
  <c r="AF130" i="9"/>
  <c r="AE130" i="9"/>
  <c r="AD130" i="9"/>
  <c r="AC130" i="9"/>
  <c r="AB130" i="9"/>
  <c r="AA130" i="9"/>
  <c r="Z130" i="9"/>
  <c r="Y130" i="9"/>
  <c r="X130" i="9"/>
  <c r="W130" i="9"/>
  <c r="V130" i="9"/>
  <c r="U130" i="9"/>
  <c r="T130" i="9"/>
  <c r="S130" i="9"/>
  <c r="R130" i="9"/>
  <c r="Q130" i="9"/>
  <c r="P130" i="9"/>
  <c r="O130" i="9"/>
  <c r="N130" i="9"/>
  <c r="M130" i="9"/>
  <c r="L130" i="9"/>
  <c r="K130" i="9"/>
  <c r="J130" i="9"/>
  <c r="C130" i="9"/>
  <c r="D130" i="9" s="1"/>
  <c r="AM129" i="9"/>
  <c r="AL129" i="9"/>
  <c r="AK129" i="9"/>
  <c r="AJ129" i="9"/>
  <c r="AI129" i="9"/>
  <c r="AH129" i="9"/>
  <c r="AG129" i="9"/>
  <c r="AF129" i="9"/>
  <c r="AE129" i="9"/>
  <c r="AD129" i="9"/>
  <c r="AC129" i="9"/>
  <c r="AB129" i="9"/>
  <c r="AA129" i="9"/>
  <c r="Z129" i="9"/>
  <c r="Y129" i="9"/>
  <c r="X129" i="9"/>
  <c r="W129" i="9"/>
  <c r="V129" i="9"/>
  <c r="U129" i="9"/>
  <c r="T129" i="9"/>
  <c r="S129" i="9"/>
  <c r="R129" i="9"/>
  <c r="Q129" i="9"/>
  <c r="P129" i="9"/>
  <c r="O129" i="9"/>
  <c r="N129" i="9"/>
  <c r="M129" i="9"/>
  <c r="L129" i="9"/>
  <c r="K129" i="9"/>
  <c r="J129" i="9"/>
  <c r="C129" i="9"/>
  <c r="G129" i="9" s="1"/>
  <c r="AM128" i="9"/>
  <c r="AL128" i="9"/>
  <c r="AK128" i="9"/>
  <c r="AJ128" i="9"/>
  <c r="AI128" i="9"/>
  <c r="AH128" i="9"/>
  <c r="AG128" i="9"/>
  <c r="AF128" i="9"/>
  <c r="AE128" i="9"/>
  <c r="AD128" i="9"/>
  <c r="AC128" i="9"/>
  <c r="AB128" i="9"/>
  <c r="AA128" i="9"/>
  <c r="Z128" i="9"/>
  <c r="Y128" i="9"/>
  <c r="X128" i="9"/>
  <c r="W128" i="9"/>
  <c r="V128" i="9"/>
  <c r="U128" i="9"/>
  <c r="T128" i="9"/>
  <c r="S128" i="9"/>
  <c r="R128" i="9"/>
  <c r="Q128" i="9"/>
  <c r="P128" i="9"/>
  <c r="O128" i="9"/>
  <c r="N128" i="9"/>
  <c r="M128" i="9"/>
  <c r="L128" i="9"/>
  <c r="K128" i="9"/>
  <c r="J128" i="9"/>
  <c r="C128" i="9"/>
  <c r="AM127" i="9"/>
  <c r="AL127" i="9"/>
  <c r="AK127" i="9"/>
  <c r="AJ127" i="9"/>
  <c r="AI127" i="9"/>
  <c r="AH127" i="9"/>
  <c r="AG127" i="9"/>
  <c r="AF127" i="9"/>
  <c r="AE127" i="9"/>
  <c r="AD127" i="9"/>
  <c r="AC127" i="9"/>
  <c r="AB127" i="9"/>
  <c r="AA127" i="9"/>
  <c r="Z127" i="9"/>
  <c r="Y127" i="9"/>
  <c r="X127" i="9"/>
  <c r="W127" i="9"/>
  <c r="V127" i="9"/>
  <c r="U127" i="9"/>
  <c r="T127" i="9"/>
  <c r="S127" i="9"/>
  <c r="R127" i="9"/>
  <c r="Q127" i="9"/>
  <c r="P127" i="9"/>
  <c r="O127" i="9"/>
  <c r="N127" i="9"/>
  <c r="M127" i="9"/>
  <c r="L127" i="9"/>
  <c r="K127" i="9"/>
  <c r="J127" i="9"/>
  <c r="C127" i="9"/>
  <c r="AM126" i="9"/>
  <c r="AL126" i="9"/>
  <c r="AK126" i="9"/>
  <c r="AJ126" i="9"/>
  <c r="AI126" i="9"/>
  <c r="AH126" i="9"/>
  <c r="AG126" i="9"/>
  <c r="AF126" i="9"/>
  <c r="AE126" i="9"/>
  <c r="AD126" i="9"/>
  <c r="AC126" i="9"/>
  <c r="AB126" i="9"/>
  <c r="AA126" i="9"/>
  <c r="Z126" i="9"/>
  <c r="Y126" i="9"/>
  <c r="X126" i="9"/>
  <c r="W126" i="9"/>
  <c r="V126" i="9"/>
  <c r="U126" i="9"/>
  <c r="T126" i="9"/>
  <c r="S126" i="9"/>
  <c r="R126" i="9"/>
  <c r="Q126" i="9"/>
  <c r="P126" i="9"/>
  <c r="O126" i="9"/>
  <c r="N126" i="9"/>
  <c r="M126" i="9"/>
  <c r="L126" i="9"/>
  <c r="K126" i="9"/>
  <c r="J126" i="9"/>
  <c r="C126" i="9"/>
  <c r="D126" i="9" s="1"/>
  <c r="AM125" i="9"/>
  <c r="AL125" i="9"/>
  <c r="AK125" i="9"/>
  <c r="AJ125" i="9"/>
  <c r="AI125" i="9"/>
  <c r="AH125" i="9"/>
  <c r="AG125" i="9"/>
  <c r="AF125" i="9"/>
  <c r="AE125" i="9"/>
  <c r="AD125" i="9"/>
  <c r="AC125" i="9"/>
  <c r="AB125" i="9"/>
  <c r="AA125" i="9"/>
  <c r="Z125" i="9"/>
  <c r="Y125" i="9"/>
  <c r="X125" i="9"/>
  <c r="W125" i="9"/>
  <c r="V125" i="9"/>
  <c r="U125" i="9"/>
  <c r="T125" i="9"/>
  <c r="S125" i="9"/>
  <c r="R125" i="9"/>
  <c r="Q125" i="9"/>
  <c r="P125" i="9"/>
  <c r="O125" i="9"/>
  <c r="N125" i="9"/>
  <c r="M125" i="9"/>
  <c r="L125" i="9"/>
  <c r="K125" i="9"/>
  <c r="J125" i="9"/>
  <c r="C125" i="9"/>
  <c r="G125" i="9" s="1"/>
  <c r="AM124" i="9"/>
  <c r="AL124" i="9"/>
  <c r="AK124" i="9"/>
  <c r="AJ124" i="9"/>
  <c r="AI124" i="9"/>
  <c r="AH124" i="9"/>
  <c r="AG124" i="9"/>
  <c r="AF124" i="9"/>
  <c r="AE124" i="9"/>
  <c r="AD124" i="9"/>
  <c r="AC124" i="9"/>
  <c r="AB124" i="9"/>
  <c r="AA124" i="9"/>
  <c r="Z124" i="9"/>
  <c r="Y124" i="9"/>
  <c r="X124" i="9"/>
  <c r="W124" i="9"/>
  <c r="V124" i="9"/>
  <c r="U124" i="9"/>
  <c r="T124" i="9"/>
  <c r="S124" i="9"/>
  <c r="R124" i="9"/>
  <c r="Q124" i="9"/>
  <c r="P124" i="9"/>
  <c r="O124" i="9"/>
  <c r="N124" i="9"/>
  <c r="M124" i="9"/>
  <c r="L124" i="9"/>
  <c r="K124" i="9"/>
  <c r="J124" i="9"/>
  <c r="C124" i="9"/>
  <c r="AM123" i="9"/>
  <c r="AL123" i="9"/>
  <c r="AK123" i="9"/>
  <c r="AJ123" i="9"/>
  <c r="AI123" i="9"/>
  <c r="AH123" i="9"/>
  <c r="AG123" i="9"/>
  <c r="AF123" i="9"/>
  <c r="AE123" i="9"/>
  <c r="AD123" i="9"/>
  <c r="AC123" i="9"/>
  <c r="AB123" i="9"/>
  <c r="AA123" i="9"/>
  <c r="Z123" i="9"/>
  <c r="Y123" i="9"/>
  <c r="X123" i="9"/>
  <c r="W123" i="9"/>
  <c r="V123" i="9"/>
  <c r="U123" i="9"/>
  <c r="T123" i="9"/>
  <c r="S123" i="9"/>
  <c r="R123" i="9"/>
  <c r="Q123" i="9"/>
  <c r="P123" i="9"/>
  <c r="O123" i="9"/>
  <c r="N123" i="9"/>
  <c r="M123" i="9"/>
  <c r="L123" i="9"/>
  <c r="K123" i="9"/>
  <c r="J123" i="9"/>
  <c r="C123" i="9"/>
  <c r="D123" i="9" s="1"/>
  <c r="AM122" i="9"/>
  <c r="AL122" i="9"/>
  <c r="AK122" i="9"/>
  <c r="AJ122" i="9"/>
  <c r="AI122" i="9"/>
  <c r="AH122" i="9"/>
  <c r="AG122" i="9"/>
  <c r="AF122" i="9"/>
  <c r="AE122" i="9"/>
  <c r="AD122" i="9"/>
  <c r="AC122" i="9"/>
  <c r="AB122" i="9"/>
  <c r="AA122" i="9"/>
  <c r="Z122" i="9"/>
  <c r="Y122" i="9"/>
  <c r="X122" i="9"/>
  <c r="W122" i="9"/>
  <c r="V122" i="9"/>
  <c r="U122" i="9"/>
  <c r="T122" i="9"/>
  <c r="S122" i="9"/>
  <c r="R122" i="9"/>
  <c r="Q122" i="9"/>
  <c r="P122" i="9"/>
  <c r="O122" i="9"/>
  <c r="N122" i="9"/>
  <c r="M122" i="9"/>
  <c r="L122" i="9"/>
  <c r="K122" i="9"/>
  <c r="J122" i="9"/>
  <c r="C122" i="9"/>
  <c r="D122" i="9" s="1"/>
  <c r="AM121" i="9"/>
  <c r="AL121" i="9"/>
  <c r="AK121" i="9"/>
  <c r="AJ121" i="9"/>
  <c r="AI121" i="9"/>
  <c r="AH121" i="9"/>
  <c r="AG121" i="9"/>
  <c r="AF121" i="9"/>
  <c r="AE121" i="9"/>
  <c r="AD121" i="9"/>
  <c r="AC121" i="9"/>
  <c r="AB121" i="9"/>
  <c r="AA121" i="9"/>
  <c r="Z121" i="9"/>
  <c r="Y121" i="9"/>
  <c r="X121" i="9"/>
  <c r="W121" i="9"/>
  <c r="V121" i="9"/>
  <c r="U121" i="9"/>
  <c r="T121" i="9"/>
  <c r="S121" i="9"/>
  <c r="R121" i="9"/>
  <c r="Q121" i="9"/>
  <c r="P121" i="9"/>
  <c r="O121" i="9"/>
  <c r="N121" i="9"/>
  <c r="M121" i="9"/>
  <c r="L121" i="9"/>
  <c r="K121" i="9"/>
  <c r="J121" i="9"/>
  <c r="C121" i="9"/>
  <c r="G121" i="9" s="1"/>
  <c r="AM120" i="9"/>
  <c r="AL120" i="9"/>
  <c r="AK120" i="9"/>
  <c r="AJ120" i="9"/>
  <c r="AI120" i="9"/>
  <c r="AH120" i="9"/>
  <c r="AG120" i="9"/>
  <c r="AF120" i="9"/>
  <c r="AE120" i="9"/>
  <c r="AD120" i="9"/>
  <c r="AC120" i="9"/>
  <c r="AB120" i="9"/>
  <c r="AA120" i="9"/>
  <c r="Z120" i="9"/>
  <c r="Y120" i="9"/>
  <c r="X120" i="9"/>
  <c r="W120" i="9"/>
  <c r="V120" i="9"/>
  <c r="U120" i="9"/>
  <c r="T120" i="9"/>
  <c r="S120" i="9"/>
  <c r="R120" i="9"/>
  <c r="Q120" i="9"/>
  <c r="P120" i="9"/>
  <c r="O120" i="9"/>
  <c r="N120" i="9"/>
  <c r="M120" i="9"/>
  <c r="L120" i="9"/>
  <c r="K120" i="9"/>
  <c r="J120" i="9"/>
  <c r="C120" i="9"/>
  <c r="AM119" i="9"/>
  <c r="AL119" i="9"/>
  <c r="AK119" i="9"/>
  <c r="AJ119" i="9"/>
  <c r="AI119" i="9"/>
  <c r="AH119" i="9"/>
  <c r="AG119" i="9"/>
  <c r="AF119" i="9"/>
  <c r="AE119" i="9"/>
  <c r="AD119" i="9"/>
  <c r="AC119" i="9"/>
  <c r="AB119" i="9"/>
  <c r="AA119" i="9"/>
  <c r="Z119" i="9"/>
  <c r="Y119" i="9"/>
  <c r="X119" i="9"/>
  <c r="W119" i="9"/>
  <c r="V119" i="9"/>
  <c r="U119" i="9"/>
  <c r="T119" i="9"/>
  <c r="S119" i="9"/>
  <c r="R119" i="9"/>
  <c r="Q119" i="9"/>
  <c r="P119" i="9"/>
  <c r="O119" i="9"/>
  <c r="N119" i="9"/>
  <c r="M119" i="9"/>
  <c r="L119" i="9"/>
  <c r="K119" i="9"/>
  <c r="J119" i="9"/>
  <c r="C119" i="9"/>
  <c r="AM118" i="9"/>
  <c r="AL118" i="9"/>
  <c r="AK118" i="9"/>
  <c r="AJ118" i="9"/>
  <c r="AI118" i="9"/>
  <c r="AH118" i="9"/>
  <c r="AG118" i="9"/>
  <c r="AF118" i="9"/>
  <c r="AE118" i="9"/>
  <c r="AD118" i="9"/>
  <c r="AC118" i="9"/>
  <c r="AB118" i="9"/>
  <c r="AA118" i="9"/>
  <c r="Z118" i="9"/>
  <c r="Y118" i="9"/>
  <c r="X118" i="9"/>
  <c r="W118" i="9"/>
  <c r="V118" i="9"/>
  <c r="U118" i="9"/>
  <c r="T118" i="9"/>
  <c r="S118" i="9"/>
  <c r="R118" i="9"/>
  <c r="Q118" i="9"/>
  <c r="P118" i="9"/>
  <c r="O118" i="9"/>
  <c r="N118" i="9"/>
  <c r="M118" i="9"/>
  <c r="L118" i="9"/>
  <c r="K118" i="9"/>
  <c r="J118" i="9"/>
  <c r="C118" i="9"/>
  <c r="D118" i="9" s="1"/>
  <c r="AM117" i="9"/>
  <c r="AL117" i="9"/>
  <c r="AK117" i="9"/>
  <c r="AJ117" i="9"/>
  <c r="AI117" i="9"/>
  <c r="AH117" i="9"/>
  <c r="AG117" i="9"/>
  <c r="AF117" i="9"/>
  <c r="AE117" i="9"/>
  <c r="AD117" i="9"/>
  <c r="AC117" i="9"/>
  <c r="AB117" i="9"/>
  <c r="AA117" i="9"/>
  <c r="Z117" i="9"/>
  <c r="Y117" i="9"/>
  <c r="X117" i="9"/>
  <c r="W117" i="9"/>
  <c r="V117" i="9"/>
  <c r="U117" i="9"/>
  <c r="T117" i="9"/>
  <c r="S117" i="9"/>
  <c r="R117" i="9"/>
  <c r="Q117" i="9"/>
  <c r="P117" i="9"/>
  <c r="O117" i="9"/>
  <c r="N117" i="9"/>
  <c r="M117" i="9"/>
  <c r="L117" i="9"/>
  <c r="K117" i="9"/>
  <c r="J117" i="9"/>
  <c r="C117" i="9"/>
  <c r="AM116" i="9"/>
  <c r="AL116" i="9"/>
  <c r="AK116" i="9"/>
  <c r="AJ116" i="9"/>
  <c r="AI116" i="9"/>
  <c r="AH116" i="9"/>
  <c r="AG116" i="9"/>
  <c r="AF116" i="9"/>
  <c r="AE116" i="9"/>
  <c r="AD116" i="9"/>
  <c r="AC116" i="9"/>
  <c r="AB116" i="9"/>
  <c r="AA116" i="9"/>
  <c r="Z116" i="9"/>
  <c r="Y116" i="9"/>
  <c r="X116" i="9"/>
  <c r="W116" i="9"/>
  <c r="V116" i="9"/>
  <c r="U116" i="9"/>
  <c r="T116" i="9"/>
  <c r="S116" i="9"/>
  <c r="R116" i="9"/>
  <c r="Q116" i="9"/>
  <c r="P116" i="9"/>
  <c r="O116" i="9"/>
  <c r="N116" i="9"/>
  <c r="M116" i="9"/>
  <c r="L116" i="9"/>
  <c r="K116" i="9"/>
  <c r="J116" i="9"/>
  <c r="C116" i="9"/>
  <c r="D116" i="9" s="1"/>
  <c r="AM115" i="9"/>
  <c r="AL115" i="9"/>
  <c r="AK115" i="9"/>
  <c r="AJ115" i="9"/>
  <c r="AI115" i="9"/>
  <c r="AH115" i="9"/>
  <c r="AG115" i="9"/>
  <c r="AF115" i="9"/>
  <c r="AE115" i="9"/>
  <c r="AD115" i="9"/>
  <c r="AC115" i="9"/>
  <c r="AB115" i="9"/>
  <c r="AA115" i="9"/>
  <c r="Z115" i="9"/>
  <c r="Y115" i="9"/>
  <c r="X115" i="9"/>
  <c r="W115" i="9"/>
  <c r="V115" i="9"/>
  <c r="U115" i="9"/>
  <c r="T115" i="9"/>
  <c r="S115" i="9"/>
  <c r="R115" i="9"/>
  <c r="Q115" i="9"/>
  <c r="P115" i="9"/>
  <c r="O115" i="9"/>
  <c r="N115" i="9"/>
  <c r="M115" i="9"/>
  <c r="L115" i="9"/>
  <c r="K115" i="9"/>
  <c r="J115" i="9"/>
  <c r="C115" i="9"/>
  <c r="D115" i="9" s="1"/>
  <c r="AM114" i="9"/>
  <c r="AL114" i="9"/>
  <c r="AK114" i="9"/>
  <c r="AJ114" i="9"/>
  <c r="AI114" i="9"/>
  <c r="AH114" i="9"/>
  <c r="AG114" i="9"/>
  <c r="AF114" i="9"/>
  <c r="AE114" i="9"/>
  <c r="AD114" i="9"/>
  <c r="AC114" i="9"/>
  <c r="AB114" i="9"/>
  <c r="AA114" i="9"/>
  <c r="Z114" i="9"/>
  <c r="Y114" i="9"/>
  <c r="X114" i="9"/>
  <c r="W114" i="9"/>
  <c r="V114" i="9"/>
  <c r="U114" i="9"/>
  <c r="T114" i="9"/>
  <c r="S114" i="9"/>
  <c r="R114" i="9"/>
  <c r="Q114" i="9"/>
  <c r="P114" i="9"/>
  <c r="O114" i="9"/>
  <c r="N114" i="9"/>
  <c r="M114" i="9"/>
  <c r="L114" i="9"/>
  <c r="K114" i="9"/>
  <c r="J114" i="9"/>
  <c r="C114" i="9"/>
  <c r="AM113" i="9"/>
  <c r="AL113" i="9"/>
  <c r="AK113" i="9"/>
  <c r="AJ113" i="9"/>
  <c r="AI113" i="9"/>
  <c r="AH113" i="9"/>
  <c r="AG113" i="9"/>
  <c r="AF113" i="9"/>
  <c r="AE113" i="9"/>
  <c r="AD113" i="9"/>
  <c r="AC113" i="9"/>
  <c r="AB113" i="9"/>
  <c r="AA113" i="9"/>
  <c r="Z113" i="9"/>
  <c r="Y113" i="9"/>
  <c r="X113" i="9"/>
  <c r="W113" i="9"/>
  <c r="V113" i="9"/>
  <c r="U113" i="9"/>
  <c r="T113" i="9"/>
  <c r="S113" i="9"/>
  <c r="R113" i="9"/>
  <c r="Q113" i="9"/>
  <c r="P113" i="9"/>
  <c r="O113" i="9"/>
  <c r="N113" i="9"/>
  <c r="M113" i="9"/>
  <c r="L113" i="9"/>
  <c r="K113" i="9"/>
  <c r="J113" i="9"/>
  <c r="C113" i="9"/>
  <c r="H113" i="9" s="1"/>
  <c r="AM112" i="9"/>
  <c r="AL112" i="9"/>
  <c r="AK112" i="9"/>
  <c r="AJ112" i="9"/>
  <c r="AI112" i="9"/>
  <c r="AH112" i="9"/>
  <c r="AG112" i="9"/>
  <c r="AF112" i="9"/>
  <c r="AE112" i="9"/>
  <c r="AD112" i="9"/>
  <c r="AC112" i="9"/>
  <c r="AB112" i="9"/>
  <c r="AA112" i="9"/>
  <c r="Z112" i="9"/>
  <c r="Y112" i="9"/>
  <c r="X112" i="9"/>
  <c r="W112" i="9"/>
  <c r="V112" i="9"/>
  <c r="U112" i="9"/>
  <c r="T112" i="9"/>
  <c r="S112" i="9"/>
  <c r="R112" i="9"/>
  <c r="Q112" i="9"/>
  <c r="P112" i="9"/>
  <c r="O112" i="9"/>
  <c r="N112" i="9"/>
  <c r="M112" i="9"/>
  <c r="L112" i="9"/>
  <c r="K112" i="9"/>
  <c r="J112" i="9"/>
  <c r="C112" i="9"/>
  <c r="AM111" i="9"/>
  <c r="AL111" i="9"/>
  <c r="AK111" i="9"/>
  <c r="AJ111" i="9"/>
  <c r="AI111" i="9"/>
  <c r="AH111" i="9"/>
  <c r="AG111" i="9"/>
  <c r="AF111" i="9"/>
  <c r="AE111" i="9"/>
  <c r="AD111" i="9"/>
  <c r="AC111" i="9"/>
  <c r="AB111" i="9"/>
  <c r="AA111" i="9"/>
  <c r="Z111" i="9"/>
  <c r="Y111" i="9"/>
  <c r="X111" i="9"/>
  <c r="W111" i="9"/>
  <c r="V111" i="9"/>
  <c r="U111" i="9"/>
  <c r="T111" i="9"/>
  <c r="S111" i="9"/>
  <c r="R111" i="9"/>
  <c r="Q111" i="9"/>
  <c r="P111" i="9"/>
  <c r="O111" i="9"/>
  <c r="N111" i="9"/>
  <c r="M111" i="9"/>
  <c r="L111" i="9"/>
  <c r="K111" i="9"/>
  <c r="J111" i="9"/>
  <c r="C111" i="9"/>
  <c r="AM110" i="9"/>
  <c r="AL110" i="9"/>
  <c r="AK110" i="9"/>
  <c r="AJ110" i="9"/>
  <c r="AI110" i="9"/>
  <c r="AH110" i="9"/>
  <c r="AG110" i="9"/>
  <c r="AF110" i="9"/>
  <c r="AE110" i="9"/>
  <c r="AD110" i="9"/>
  <c r="AC110" i="9"/>
  <c r="AB110" i="9"/>
  <c r="AA110" i="9"/>
  <c r="Z110" i="9"/>
  <c r="Y110" i="9"/>
  <c r="X110" i="9"/>
  <c r="W110" i="9"/>
  <c r="V110" i="9"/>
  <c r="U110" i="9"/>
  <c r="T110" i="9"/>
  <c r="S110" i="9"/>
  <c r="R110" i="9"/>
  <c r="Q110" i="9"/>
  <c r="P110" i="9"/>
  <c r="O110" i="9"/>
  <c r="N110" i="9"/>
  <c r="M110" i="9"/>
  <c r="L110" i="9"/>
  <c r="K110" i="9"/>
  <c r="J110" i="9"/>
  <c r="C110" i="9"/>
  <c r="D110" i="9" s="1"/>
  <c r="AM109" i="9"/>
  <c r="AL109" i="9"/>
  <c r="AK109" i="9"/>
  <c r="AJ109" i="9"/>
  <c r="AI109" i="9"/>
  <c r="AH109" i="9"/>
  <c r="AG109" i="9"/>
  <c r="AF109" i="9"/>
  <c r="AE109" i="9"/>
  <c r="AD109" i="9"/>
  <c r="AC109" i="9"/>
  <c r="AB109" i="9"/>
  <c r="AA109" i="9"/>
  <c r="Z109" i="9"/>
  <c r="Y109" i="9"/>
  <c r="X109" i="9"/>
  <c r="W109" i="9"/>
  <c r="V109" i="9"/>
  <c r="U109" i="9"/>
  <c r="T109" i="9"/>
  <c r="S109" i="9"/>
  <c r="R109" i="9"/>
  <c r="Q109" i="9"/>
  <c r="P109" i="9"/>
  <c r="O109" i="9"/>
  <c r="N109" i="9"/>
  <c r="M109" i="9"/>
  <c r="L109" i="9"/>
  <c r="K109" i="9"/>
  <c r="J109" i="9"/>
  <c r="C109" i="9"/>
  <c r="D109" i="9" s="1"/>
  <c r="AM108" i="9"/>
  <c r="AL108" i="9"/>
  <c r="AK108" i="9"/>
  <c r="AJ108" i="9"/>
  <c r="AI108" i="9"/>
  <c r="AH108" i="9"/>
  <c r="AG108" i="9"/>
  <c r="AF108" i="9"/>
  <c r="AE108" i="9"/>
  <c r="AD108" i="9"/>
  <c r="AC108" i="9"/>
  <c r="AB108" i="9"/>
  <c r="AA108" i="9"/>
  <c r="Z108" i="9"/>
  <c r="Y108" i="9"/>
  <c r="X108" i="9"/>
  <c r="W108" i="9"/>
  <c r="V108" i="9"/>
  <c r="U108" i="9"/>
  <c r="T108" i="9"/>
  <c r="S108" i="9"/>
  <c r="R108" i="9"/>
  <c r="Q108" i="9"/>
  <c r="P108" i="9"/>
  <c r="O108" i="9"/>
  <c r="N108" i="9"/>
  <c r="M108" i="9"/>
  <c r="L108" i="9"/>
  <c r="K108" i="9"/>
  <c r="J108" i="9"/>
  <c r="C108" i="9"/>
  <c r="G108" i="9" s="1"/>
  <c r="AM107" i="9"/>
  <c r="AL107" i="9"/>
  <c r="AK107" i="9"/>
  <c r="AJ107" i="9"/>
  <c r="AI107" i="9"/>
  <c r="AH107" i="9"/>
  <c r="AG107" i="9"/>
  <c r="AF107" i="9"/>
  <c r="AE107" i="9"/>
  <c r="AD107" i="9"/>
  <c r="AC107" i="9"/>
  <c r="AB107" i="9"/>
  <c r="AA107" i="9"/>
  <c r="Z107" i="9"/>
  <c r="Y107" i="9"/>
  <c r="X107" i="9"/>
  <c r="W107" i="9"/>
  <c r="V107" i="9"/>
  <c r="U107" i="9"/>
  <c r="T107" i="9"/>
  <c r="S107" i="9"/>
  <c r="R107" i="9"/>
  <c r="Q107" i="9"/>
  <c r="P107" i="9"/>
  <c r="O107" i="9"/>
  <c r="N107" i="9"/>
  <c r="M107" i="9"/>
  <c r="L107" i="9"/>
  <c r="K107" i="9"/>
  <c r="J107" i="9"/>
  <c r="C107" i="9"/>
  <c r="I107" i="9" s="1"/>
  <c r="AM106" i="9"/>
  <c r="AL106" i="9"/>
  <c r="AK106" i="9"/>
  <c r="AJ106" i="9"/>
  <c r="AI106" i="9"/>
  <c r="AH106" i="9"/>
  <c r="AG106" i="9"/>
  <c r="AF106" i="9"/>
  <c r="AE106" i="9"/>
  <c r="AD106" i="9"/>
  <c r="AC106" i="9"/>
  <c r="AB106" i="9"/>
  <c r="AA106" i="9"/>
  <c r="Z106" i="9"/>
  <c r="Y106" i="9"/>
  <c r="X106" i="9"/>
  <c r="W106" i="9"/>
  <c r="V106" i="9"/>
  <c r="U106" i="9"/>
  <c r="T106" i="9"/>
  <c r="S106" i="9"/>
  <c r="R106" i="9"/>
  <c r="Q106" i="9"/>
  <c r="P106" i="9"/>
  <c r="O106" i="9"/>
  <c r="N106" i="9"/>
  <c r="M106" i="9"/>
  <c r="L106" i="9"/>
  <c r="K106" i="9"/>
  <c r="J106" i="9"/>
  <c r="C106" i="9"/>
  <c r="I106" i="9" s="1"/>
  <c r="AM105" i="9"/>
  <c r="AL105" i="9"/>
  <c r="AK105" i="9"/>
  <c r="AJ105" i="9"/>
  <c r="AI105" i="9"/>
  <c r="AH105" i="9"/>
  <c r="AG105" i="9"/>
  <c r="AF105" i="9"/>
  <c r="AE105" i="9"/>
  <c r="AD105" i="9"/>
  <c r="AC105" i="9"/>
  <c r="AB105" i="9"/>
  <c r="AA105" i="9"/>
  <c r="Z105" i="9"/>
  <c r="Y105" i="9"/>
  <c r="X105" i="9"/>
  <c r="W105" i="9"/>
  <c r="V105" i="9"/>
  <c r="U105" i="9"/>
  <c r="T105" i="9"/>
  <c r="S105" i="9"/>
  <c r="R105" i="9"/>
  <c r="Q105" i="9"/>
  <c r="P105" i="9"/>
  <c r="O105" i="9"/>
  <c r="N105" i="9"/>
  <c r="M105" i="9"/>
  <c r="L105" i="9"/>
  <c r="K105" i="9"/>
  <c r="J105" i="9"/>
  <c r="C105" i="9"/>
  <c r="AM104" i="9"/>
  <c r="AL104" i="9"/>
  <c r="AK104" i="9"/>
  <c r="AJ104" i="9"/>
  <c r="AI104" i="9"/>
  <c r="AH104" i="9"/>
  <c r="AG104" i="9"/>
  <c r="AF104" i="9"/>
  <c r="AE104" i="9"/>
  <c r="AD104" i="9"/>
  <c r="AC104" i="9"/>
  <c r="AB104" i="9"/>
  <c r="AA104" i="9"/>
  <c r="Z104" i="9"/>
  <c r="Y104" i="9"/>
  <c r="X104" i="9"/>
  <c r="W104" i="9"/>
  <c r="V104" i="9"/>
  <c r="U104" i="9"/>
  <c r="T104" i="9"/>
  <c r="S104" i="9"/>
  <c r="R104" i="9"/>
  <c r="Q104" i="9"/>
  <c r="P104" i="9"/>
  <c r="O104" i="9"/>
  <c r="N104" i="9"/>
  <c r="M104" i="9"/>
  <c r="L104" i="9"/>
  <c r="K104" i="9"/>
  <c r="J104" i="9"/>
  <c r="C104" i="9"/>
  <c r="AM103" i="9"/>
  <c r="AL103" i="9"/>
  <c r="AK103" i="9"/>
  <c r="AJ103" i="9"/>
  <c r="AI103" i="9"/>
  <c r="AH103" i="9"/>
  <c r="AG103" i="9"/>
  <c r="AF103" i="9"/>
  <c r="AE103" i="9"/>
  <c r="AD103" i="9"/>
  <c r="AC103" i="9"/>
  <c r="AB103" i="9"/>
  <c r="AA103" i="9"/>
  <c r="Z103" i="9"/>
  <c r="Y103" i="9"/>
  <c r="X103" i="9"/>
  <c r="W103" i="9"/>
  <c r="V103" i="9"/>
  <c r="U103" i="9"/>
  <c r="T103" i="9"/>
  <c r="S103" i="9"/>
  <c r="R103" i="9"/>
  <c r="Q103" i="9"/>
  <c r="P103" i="9"/>
  <c r="O103" i="9"/>
  <c r="N103" i="9"/>
  <c r="M103" i="9"/>
  <c r="L103" i="9"/>
  <c r="K103" i="9"/>
  <c r="J103" i="9"/>
  <c r="C103" i="9"/>
  <c r="D103" i="9" s="1"/>
  <c r="AM102" i="9"/>
  <c r="AL102" i="9"/>
  <c r="AK102" i="9"/>
  <c r="AJ102" i="9"/>
  <c r="AI102" i="9"/>
  <c r="AH102" i="9"/>
  <c r="AG102" i="9"/>
  <c r="AF102" i="9"/>
  <c r="AE102" i="9"/>
  <c r="AD102" i="9"/>
  <c r="AC102" i="9"/>
  <c r="AB102" i="9"/>
  <c r="AA102" i="9"/>
  <c r="Z102" i="9"/>
  <c r="Y102" i="9"/>
  <c r="X102" i="9"/>
  <c r="W102" i="9"/>
  <c r="V102" i="9"/>
  <c r="U102" i="9"/>
  <c r="T102" i="9"/>
  <c r="S102" i="9"/>
  <c r="R102" i="9"/>
  <c r="Q102" i="9"/>
  <c r="P102" i="9"/>
  <c r="O102" i="9"/>
  <c r="N102" i="9"/>
  <c r="M102" i="9"/>
  <c r="L102" i="9"/>
  <c r="K102" i="9"/>
  <c r="J102" i="9"/>
  <c r="C102" i="9"/>
  <c r="AM101" i="9"/>
  <c r="AL101" i="9"/>
  <c r="AK101" i="9"/>
  <c r="AJ101" i="9"/>
  <c r="AI101" i="9"/>
  <c r="AH101" i="9"/>
  <c r="AG101" i="9"/>
  <c r="AF101" i="9"/>
  <c r="AE101" i="9"/>
  <c r="AD101" i="9"/>
  <c r="AC101" i="9"/>
  <c r="AB101" i="9"/>
  <c r="AA101" i="9"/>
  <c r="Z101" i="9"/>
  <c r="Y101" i="9"/>
  <c r="X101" i="9"/>
  <c r="W101" i="9"/>
  <c r="V101" i="9"/>
  <c r="U101" i="9"/>
  <c r="T101" i="9"/>
  <c r="S101" i="9"/>
  <c r="R101" i="9"/>
  <c r="Q101" i="9"/>
  <c r="P101" i="9"/>
  <c r="O101" i="9"/>
  <c r="N101" i="9"/>
  <c r="M101" i="9"/>
  <c r="L101" i="9"/>
  <c r="K101" i="9"/>
  <c r="J101" i="9"/>
  <c r="C101" i="9"/>
  <c r="AM100" i="9"/>
  <c r="AL100" i="9"/>
  <c r="AK100" i="9"/>
  <c r="AJ100" i="9"/>
  <c r="AI100" i="9"/>
  <c r="AH100" i="9"/>
  <c r="AG100" i="9"/>
  <c r="AF100" i="9"/>
  <c r="AE100" i="9"/>
  <c r="AD100" i="9"/>
  <c r="AC100" i="9"/>
  <c r="AB100" i="9"/>
  <c r="AA100" i="9"/>
  <c r="Z100" i="9"/>
  <c r="Y100" i="9"/>
  <c r="X100" i="9"/>
  <c r="W100" i="9"/>
  <c r="V100" i="9"/>
  <c r="U100" i="9"/>
  <c r="T100" i="9"/>
  <c r="S100" i="9"/>
  <c r="R100" i="9"/>
  <c r="Q100" i="9"/>
  <c r="P100" i="9"/>
  <c r="O100" i="9"/>
  <c r="N100" i="9"/>
  <c r="M100" i="9"/>
  <c r="L100" i="9"/>
  <c r="K100" i="9"/>
  <c r="J100" i="9"/>
  <c r="C100" i="9"/>
  <c r="D100" i="9" s="1"/>
  <c r="AM99" i="9"/>
  <c r="AL99" i="9"/>
  <c r="AK99" i="9"/>
  <c r="AJ99" i="9"/>
  <c r="AI99" i="9"/>
  <c r="AH99" i="9"/>
  <c r="AG99" i="9"/>
  <c r="AF99" i="9"/>
  <c r="AE99" i="9"/>
  <c r="AD99" i="9"/>
  <c r="AC99" i="9"/>
  <c r="AB99" i="9"/>
  <c r="AA99" i="9"/>
  <c r="Z99" i="9"/>
  <c r="Y99" i="9"/>
  <c r="X99" i="9"/>
  <c r="W99" i="9"/>
  <c r="V99" i="9"/>
  <c r="U99" i="9"/>
  <c r="T99" i="9"/>
  <c r="S99" i="9"/>
  <c r="R99" i="9"/>
  <c r="Q99" i="9"/>
  <c r="P99" i="9"/>
  <c r="O99" i="9"/>
  <c r="N99" i="9"/>
  <c r="M99" i="9"/>
  <c r="L99" i="9"/>
  <c r="K99" i="9"/>
  <c r="J99" i="9"/>
  <c r="C99" i="9"/>
  <c r="I99" i="9" s="1"/>
  <c r="AM98" i="9"/>
  <c r="AL98" i="9"/>
  <c r="AK98" i="9"/>
  <c r="AJ98" i="9"/>
  <c r="AI98" i="9"/>
  <c r="AH98" i="9"/>
  <c r="AG98" i="9"/>
  <c r="AF98" i="9"/>
  <c r="AE98" i="9"/>
  <c r="AD98" i="9"/>
  <c r="AC98" i="9"/>
  <c r="AB98" i="9"/>
  <c r="AA98" i="9"/>
  <c r="Z98" i="9"/>
  <c r="Y98" i="9"/>
  <c r="X98" i="9"/>
  <c r="W98" i="9"/>
  <c r="V98" i="9"/>
  <c r="U98" i="9"/>
  <c r="T98" i="9"/>
  <c r="S98" i="9"/>
  <c r="R98" i="9"/>
  <c r="Q98" i="9"/>
  <c r="P98" i="9"/>
  <c r="O98" i="9"/>
  <c r="N98" i="9"/>
  <c r="M98" i="9"/>
  <c r="L98" i="9"/>
  <c r="K98" i="9"/>
  <c r="J98" i="9"/>
  <c r="C98" i="9"/>
  <c r="I98" i="9" s="1"/>
  <c r="AM97" i="9"/>
  <c r="AL97" i="9"/>
  <c r="AK97" i="9"/>
  <c r="AJ97" i="9"/>
  <c r="AI97" i="9"/>
  <c r="AH97" i="9"/>
  <c r="AG97" i="9"/>
  <c r="AF97" i="9"/>
  <c r="AE97" i="9"/>
  <c r="AD97" i="9"/>
  <c r="AC97" i="9"/>
  <c r="AB97" i="9"/>
  <c r="AA97" i="9"/>
  <c r="Z97" i="9"/>
  <c r="Y97" i="9"/>
  <c r="X97" i="9"/>
  <c r="W97" i="9"/>
  <c r="V97" i="9"/>
  <c r="U97" i="9"/>
  <c r="T97" i="9"/>
  <c r="S97" i="9"/>
  <c r="R97" i="9"/>
  <c r="Q97" i="9"/>
  <c r="P97" i="9"/>
  <c r="O97" i="9"/>
  <c r="N97" i="9"/>
  <c r="M97" i="9"/>
  <c r="L97" i="9"/>
  <c r="K97" i="9"/>
  <c r="J97" i="9"/>
  <c r="C97" i="9"/>
  <c r="H97" i="9" s="1"/>
  <c r="AM96" i="9"/>
  <c r="AL96" i="9"/>
  <c r="AK96" i="9"/>
  <c r="AJ96" i="9"/>
  <c r="AI96" i="9"/>
  <c r="AH96" i="9"/>
  <c r="AG96" i="9"/>
  <c r="AF96" i="9"/>
  <c r="AE96" i="9"/>
  <c r="AD96" i="9"/>
  <c r="AC96" i="9"/>
  <c r="AB96" i="9"/>
  <c r="AA96" i="9"/>
  <c r="Z96" i="9"/>
  <c r="Y96" i="9"/>
  <c r="X96" i="9"/>
  <c r="W96" i="9"/>
  <c r="V96" i="9"/>
  <c r="U96" i="9"/>
  <c r="T96" i="9"/>
  <c r="S96" i="9"/>
  <c r="R96" i="9"/>
  <c r="Q96" i="9"/>
  <c r="P96" i="9"/>
  <c r="O96" i="9"/>
  <c r="N96" i="9"/>
  <c r="M96" i="9"/>
  <c r="L96" i="9"/>
  <c r="K96" i="9"/>
  <c r="J96" i="9"/>
  <c r="C96" i="9"/>
  <c r="D96" i="9" s="1"/>
  <c r="AM95" i="9"/>
  <c r="AL95" i="9"/>
  <c r="AK95" i="9"/>
  <c r="AJ95" i="9"/>
  <c r="AI95" i="9"/>
  <c r="AH95" i="9"/>
  <c r="AG95" i="9"/>
  <c r="AF95" i="9"/>
  <c r="AE95" i="9"/>
  <c r="AD95" i="9"/>
  <c r="AC95" i="9"/>
  <c r="AB95" i="9"/>
  <c r="AA95" i="9"/>
  <c r="Z95" i="9"/>
  <c r="Y95" i="9"/>
  <c r="X95" i="9"/>
  <c r="W95" i="9"/>
  <c r="V95" i="9"/>
  <c r="U95" i="9"/>
  <c r="T95" i="9"/>
  <c r="S95" i="9"/>
  <c r="R95" i="9"/>
  <c r="Q95" i="9"/>
  <c r="P95" i="9"/>
  <c r="O95" i="9"/>
  <c r="N95" i="9"/>
  <c r="M95" i="9"/>
  <c r="L95" i="9"/>
  <c r="K95" i="9"/>
  <c r="J95" i="9"/>
  <c r="C95" i="9"/>
  <c r="H95" i="9" s="1"/>
  <c r="AM94" i="9"/>
  <c r="AL94" i="9"/>
  <c r="AK94" i="9"/>
  <c r="AJ94" i="9"/>
  <c r="AI94" i="9"/>
  <c r="AH94" i="9"/>
  <c r="AG94" i="9"/>
  <c r="AF94" i="9"/>
  <c r="AE94" i="9"/>
  <c r="AD94" i="9"/>
  <c r="AC94" i="9"/>
  <c r="AB94" i="9"/>
  <c r="AA94" i="9"/>
  <c r="Z94" i="9"/>
  <c r="Y94" i="9"/>
  <c r="X94" i="9"/>
  <c r="W94" i="9"/>
  <c r="V94" i="9"/>
  <c r="U94" i="9"/>
  <c r="T94" i="9"/>
  <c r="S94" i="9"/>
  <c r="R94" i="9"/>
  <c r="Q94" i="9"/>
  <c r="P94" i="9"/>
  <c r="O94" i="9"/>
  <c r="N94" i="9"/>
  <c r="M94" i="9"/>
  <c r="L94" i="9"/>
  <c r="K94" i="9"/>
  <c r="J94" i="9"/>
  <c r="C94" i="9"/>
  <c r="AM93" i="9"/>
  <c r="AL93" i="9"/>
  <c r="AK93" i="9"/>
  <c r="AJ93" i="9"/>
  <c r="AI93" i="9"/>
  <c r="AH93" i="9"/>
  <c r="AG93" i="9"/>
  <c r="AF93" i="9"/>
  <c r="AE93" i="9"/>
  <c r="AD93" i="9"/>
  <c r="AC93" i="9"/>
  <c r="AB93" i="9"/>
  <c r="AA93" i="9"/>
  <c r="Z93" i="9"/>
  <c r="Y93" i="9"/>
  <c r="X93" i="9"/>
  <c r="W93" i="9"/>
  <c r="V93" i="9"/>
  <c r="U93" i="9"/>
  <c r="T93" i="9"/>
  <c r="S93" i="9"/>
  <c r="R93" i="9"/>
  <c r="Q93" i="9"/>
  <c r="P93" i="9"/>
  <c r="O93" i="9"/>
  <c r="N93" i="9"/>
  <c r="M93" i="9"/>
  <c r="L93" i="9"/>
  <c r="K93" i="9"/>
  <c r="J93" i="9"/>
  <c r="C93" i="9"/>
  <c r="D93" i="9" s="1"/>
  <c r="AM92" i="9"/>
  <c r="AL92" i="9"/>
  <c r="AK92" i="9"/>
  <c r="AJ92" i="9"/>
  <c r="AI92" i="9"/>
  <c r="AH92" i="9"/>
  <c r="AG92" i="9"/>
  <c r="AF92" i="9"/>
  <c r="AE92" i="9"/>
  <c r="AD92" i="9"/>
  <c r="AC92" i="9"/>
  <c r="AB92" i="9"/>
  <c r="AA92" i="9"/>
  <c r="Z92" i="9"/>
  <c r="Y92" i="9"/>
  <c r="X92" i="9"/>
  <c r="W92" i="9"/>
  <c r="V92" i="9"/>
  <c r="U92" i="9"/>
  <c r="T92" i="9"/>
  <c r="S92" i="9"/>
  <c r="R92" i="9"/>
  <c r="Q92" i="9"/>
  <c r="P92" i="9"/>
  <c r="O92" i="9"/>
  <c r="N92" i="9"/>
  <c r="M92" i="9"/>
  <c r="L92" i="9"/>
  <c r="K92" i="9"/>
  <c r="J92" i="9"/>
  <c r="C92" i="9"/>
  <c r="F92" i="9" s="1"/>
  <c r="AM91" i="9"/>
  <c r="AL91" i="9"/>
  <c r="AK91" i="9"/>
  <c r="AJ91" i="9"/>
  <c r="AI91" i="9"/>
  <c r="AH91" i="9"/>
  <c r="AG91" i="9"/>
  <c r="AF91" i="9"/>
  <c r="AE91" i="9"/>
  <c r="AD91" i="9"/>
  <c r="AC91" i="9"/>
  <c r="AB91" i="9"/>
  <c r="AA91" i="9"/>
  <c r="Z91" i="9"/>
  <c r="Y91" i="9"/>
  <c r="X91" i="9"/>
  <c r="W91" i="9"/>
  <c r="V91" i="9"/>
  <c r="U91" i="9"/>
  <c r="T91" i="9"/>
  <c r="S91" i="9"/>
  <c r="R91" i="9"/>
  <c r="Q91" i="9"/>
  <c r="P91" i="9"/>
  <c r="O91" i="9"/>
  <c r="N91" i="9"/>
  <c r="M91" i="9"/>
  <c r="L91" i="9"/>
  <c r="K91" i="9"/>
  <c r="J91" i="9"/>
  <c r="C91" i="9"/>
  <c r="I91" i="9" s="1"/>
  <c r="AM90" i="9"/>
  <c r="AL90" i="9"/>
  <c r="AK90" i="9"/>
  <c r="AJ90" i="9"/>
  <c r="AI90" i="9"/>
  <c r="AH90" i="9"/>
  <c r="AG90" i="9"/>
  <c r="AF90" i="9"/>
  <c r="AE90" i="9"/>
  <c r="AD90" i="9"/>
  <c r="AC90" i="9"/>
  <c r="AB90" i="9"/>
  <c r="AA90" i="9"/>
  <c r="Z90" i="9"/>
  <c r="Y90" i="9"/>
  <c r="X90" i="9"/>
  <c r="W90" i="9"/>
  <c r="V90" i="9"/>
  <c r="U90" i="9"/>
  <c r="T90" i="9"/>
  <c r="S90" i="9"/>
  <c r="R90" i="9"/>
  <c r="Q90" i="9"/>
  <c r="P90" i="9"/>
  <c r="O90" i="9"/>
  <c r="N90" i="9"/>
  <c r="M90" i="9"/>
  <c r="L90" i="9"/>
  <c r="K90" i="9"/>
  <c r="J90" i="9"/>
  <c r="C90" i="9"/>
  <c r="D90" i="9" s="1"/>
  <c r="AM89" i="9"/>
  <c r="AL89" i="9"/>
  <c r="AK89" i="9"/>
  <c r="AJ89" i="9"/>
  <c r="AI89" i="9"/>
  <c r="AH89" i="9"/>
  <c r="AG89" i="9"/>
  <c r="AF89" i="9"/>
  <c r="AE89" i="9"/>
  <c r="AD89" i="9"/>
  <c r="AC89" i="9"/>
  <c r="AB89" i="9"/>
  <c r="AA89" i="9"/>
  <c r="Z89" i="9"/>
  <c r="Y89" i="9"/>
  <c r="X89" i="9"/>
  <c r="W89" i="9"/>
  <c r="V89" i="9"/>
  <c r="U89" i="9"/>
  <c r="T89" i="9"/>
  <c r="S89" i="9"/>
  <c r="R89" i="9"/>
  <c r="Q89" i="9"/>
  <c r="P89" i="9"/>
  <c r="O89" i="9"/>
  <c r="N89" i="9"/>
  <c r="M89" i="9"/>
  <c r="L89" i="9"/>
  <c r="K89" i="9"/>
  <c r="J89" i="9"/>
  <c r="C89" i="9"/>
  <c r="D89" i="9" s="1"/>
  <c r="AM88" i="9"/>
  <c r="AL88" i="9"/>
  <c r="AK88" i="9"/>
  <c r="AJ88" i="9"/>
  <c r="AI88" i="9"/>
  <c r="AH88" i="9"/>
  <c r="AG88" i="9"/>
  <c r="AF88" i="9"/>
  <c r="AE88" i="9"/>
  <c r="AD88" i="9"/>
  <c r="AC88" i="9"/>
  <c r="AB88" i="9"/>
  <c r="AA88" i="9"/>
  <c r="Z88" i="9"/>
  <c r="Y88" i="9"/>
  <c r="X88" i="9"/>
  <c r="W88" i="9"/>
  <c r="V88" i="9"/>
  <c r="U88" i="9"/>
  <c r="T88" i="9"/>
  <c r="S88" i="9"/>
  <c r="R88" i="9"/>
  <c r="Q88" i="9"/>
  <c r="P88" i="9"/>
  <c r="O88" i="9"/>
  <c r="N88" i="9"/>
  <c r="M88" i="9"/>
  <c r="L88" i="9"/>
  <c r="K88" i="9"/>
  <c r="J88" i="9"/>
  <c r="C88" i="9"/>
  <c r="H88" i="9" s="1"/>
  <c r="AM87" i="9"/>
  <c r="AL87" i="9"/>
  <c r="AK87" i="9"/>
  <c r="AJ87" i="9"/>
  <c r="AI87" i="9"/>
  <c r="AH87" i="9"/>
  <c r="AG87" i="9"/>
  <c r="AF87" i="9"/>
  <c r="AE87" i="9"/>
  <c r="AD87" i="9"/>
  <c r="AC87" i="9"/>
  <c r="AB87" i="9"/>
  <c r="AA87" i="9"/>
  <c r="Z87" i="9"/>
  <c r="Y87" i="9"/>
  <c r="X87" i="9"/>
  <c r="W87" i="9"/>
  <c r="V87" i="9"/>
  <c r="U87" i="9"/>
  <c r="T87" i="9"/>
  <c r="S87" i="9"/>
  <c r="R87" i="9"/>
  <c r="Q87" i="9"/>
  <c r="P87" i="9"/>
  <c r="O87" i="9"/>
  <c r="N87" i="9"/>
  <c r="M87" i="9"/>
  <c r="L87" i="9"/>
  <c r="K87" i="9"/>
  <c r="J87" i="9"/>
  <c r="C87" i="9"/>
  <c r="D87" i="9" s="1"/>
  <c r="AM86" i="9"/>
  <c r="AL86" i="9"/>
  <c r="AK86" i="9"/>
  <c r="AJ86" i="9"/>
  <c r="AI86" i="9"/>
  <c r="AH86" i="9"/>
  <c r="AG86" i="9"/>
  <c r="AF86" i="9"/>
  <c r="AE86" i="9"/>
  <c r="AD86" i="9"/>
  <c r="AC86" i="9"/>
  <c r="AB86" i="9"/>
  <c r="AA86" i="9"/>
  <c r="Z86" i="9"/>
  <c r="Y86" i="9"/>
  <c r="X86" i="9"/>
  <c r="W86" i="9"/>
  <c r="V86" i="9"/>
  <c r="U86" i="9"/>
  <c r="T86" i="9"/>
  <c r="S86" i="9"/>
  <c r="R86" i="9"/>
  <c r="Q86" i="9"/>
  <c r="P86" i="9"/>
  <c r="O86" i="9"/>
  <c r="N86" i="9"/>
  <c r="M86" i="9"/>
  <c r="L86" i="9"/>
  <c r="K86" i="9"/>
  <c r="J86" i="9"/>
  <c r="C86" i="9"/>
  <c r="H86" i="9" s="1"/>
  <c r="AM85" i="9"/>
  <c r="AL85" i="9"/>
  <c r="AK85" i="9"/>
  <c r="AJ85" i="9"/>
  <c r="AI85" i="9"/>
  <c r="AH85" i="9"/>
  <c r="AG85" i="9"/>
  <c r="AF85" i="9"/>
  <c r="AE85" i="9"/>
  <c r="AD85" i="9"/>
  <c r="AC85" i="9"/>
  <c r="AB85" i="9"/>
  <c r="AA85" i="9"/>
  <c r="Z85" i="9"/>
  <c r="Y85" i="9"/>
  <c r="X85" i="9"/>
  <c r="W85" i="9"/>
  <c r="V85" i="9"/>
  <c r="U85" i="9"/>
  <c r="T85" i="9"/>
  <c r="S85" i="9"/>
  <c r="R85" i="9"/>
  <c r="Q85" i="9"/>
  <c r="P85" i="9"/>
  <c r="O85" i="9"/>
  <c r="N85" i="9"/>
  <c r="M85" i="9"/>
  <c r="L85" i="9"/>
  <c r="K85" i="9"/>
  <c r="J85" i="9"/>
  <c r="C85" i="9"/>
  <c r="F85" i="9" s="1"/>
  <c r="AM84" i="9"/>
  <c r="AL84" i="9"/>
  <c r="AK84" i="9"/>
  <c r="AJ84" i="9"/>
  <c r="AI84" i="9"/>
  <c r="AH84" i="9"/>
  <c r="AG84" i="9"/>
  <c r="AF84" i="9"/>
  <c r="AE84" i="9"/>
  <c r="AD84" i="9"/>
  <c r="AC84" i="9"/>
  <c r="AB84" i="9"/>
  <c r="AA84" i="9"/>
  <c r="Z84" i="9"/>
  <c r="Y84" i="9"/>
  <c r="X84" i="9"/>
  <c r="W84" i="9"/>
  <c r="V84" i="9"/>
  <c r="U84" i="9"/>
  <c r="T84" i="9"/>
  <c r="S84" i="9"/>
  <c r="R84" i="9"/>
  <c r="Q84" i="9"/>
  <c r="P84" i="9"/>
  <c r="O84" i="9"/>
  <c r="N84" i="9"/>
  <c r="M84" i="9"/>
  <c r="L84" i="9"/>
  <c r="K84" i="9"/>
  <c r="J84" i="9"/>
  <c r="C84" i="9"/>
  <c r="D84" i="9" s="1"/>
  <c r="AM83" i="9"/>
  <c r="AL83" i="9"/>
  <c r="AK83" i="9"/>
  <c r="AJ83" i="9"/>
  <c r="AI83" i="9"/>
  <c r="AH83" i="9"/>
  <c r="AG83" i="9"/>
  <c r="AF83" i="9"/>
  <c r="AE83" i="9"/>
  <c r="AD83" i="9"/>
  <c r="AC83" i="9"/>
  <c r="AB83" i="9"/>
  <c r="AA83" i="9"/>
  <c r="Z83" i="9"/>
  <c r="Y83" i="9"/>
  <c r="X83" i="9"/>
  <c r="W83" i="9"/>
  <c r="V83" i="9"/>
  <c r="U83" i="9"/>
  <c r="T83" i="9"/>
  <c r="S83" i="9"/>
  <c r="R83" i="9"/>
  <c r="Q83" i="9"/>
  <c r="P83" i="9"/>
  <c r="O83" i="9"/>
  <c r="N83" i="9"/>
  <c r="M83" i="9"/>
  <c r="L83" i="9"/>
  <c r="K83" i="9"/>
  <c r="J83" i="9"/>
  <c r="C83" i="9"/>
  <c r="D83" i="9" s="1"/>
  <c r="AM82" i="9"/>
  <c r="AL82" i="9"/>
  <c r="AK82" i="9"/>
  <c r="AJ82" i="9"/>
  <c r="AI82" i="9"/>
  <c r="AH82" i="9"/>
  <c r="AG82" i="9"/>
  <c r="AF82" i="9"/>
  <c r="AE82" i="9"/>
  <c r="AD82" i="9"/>
  <c r="AC82" i="9"/>
  <c r="AB82" i="9"/>
  <c r="AA82" i="9"/>
  <c r="Z82" i="9"/>
  <c r="Y82" i="9"/>
  <c r="X82" i="9"/>
  <c r="W82" i="9"/>
  <c r="V82" i="9"/>
  <c r="U82" i="9"/>
  <c r="T82" i="9"/>
  <c r="S82" i="9"/>
  <c r="R82" i="9"/>
  <c r="Q82" i="9"/>
  <c r="P82" i="9"/>
  <c r="O82" i="9"/>
  <c r="N82" i="9"/>
  <c r="M82" i="9"/>
  <c r="L82" i="9"/>
  <c r="K82" i="9"/>
  <c r="J82" i="9"/>
  <c r="C82" i="9"/>
  <c r="AM81" i="9"/>
  <c r="AL81" i="9"/>
  <c r="AK81" i="9"/>
  <c r="AJ81" i="9"/>
  <c r="AI81" i="9"/>
  <c r="AH81" i="9"/>
  <c r="AG81" i="9"/>
  <c r="AF81" i="9"/>
  <c r="AE81" i="9"/>
  <c r="AD81" i="9"/>
  <c r="AC81" i="9"/>
  <c r="AB81" i="9"/>
  <c r="AA81" i="9"/>
  <c r="Z81" i="9"/>
  <c r="Y81" i="9"/>
  <c r="X81" i="9"/>
  <c r="W81" i="9"/>
  <c r="V81" i="9"/>
  <c r="U81" i="9"/>
  <c r="T81" i="9"/>
  <c r="S81" i="9"/>
  <c r="R81" i="9"/>
  <c r="Q81" i="9"/>
  <c r="P81" i="9"/>
  <c r="O81" i="9"/>
  <c r="N81" i="9"/>
  <c r="M81" i="9"/>
  <c r="L81" i="9"/>
  <c r="K81" i="9"/>
  <c r="J81" i="9"/>
  <c r="C81" i="9"/>
  <c r="D81" i="9" s="1"/>
  <c r="AM80" i="9"/>
  <c r="AL80" i="9"/>
  <c r="AK80" i="9"/>
  <c r="AJ80" i="9"/>
  <c r="AI80" i="9"/>
  <c r="AH80" i="9"/>
  <c r="AG80" i="9"/>
  <c r="AF80" i="9"/>
  <c r="AE80" i="9"/>
  <c r="AD80" i="9"/>
  <c r="AC80" i="9"/>
  <c r="AB80" i="9"/>
  <c r="AA80" i="9"/>
  <c r="Z80" i="9"/>
  <c r="Y80" i="9"/>
  <c r="X80" i="9"/>
  <c r="W80" i="9"/>
  <c r="V80" i="9"/>
  <c r="U80" i="9"/>
  <c r="T80" i="9"/>
  <c r="S80" i="9"/>
  <c r="R80" i="9"/>
  <c r="Q80" i="9"/>
  <c r="P80" i="9"/>
  <c r="O80" i="9"/>
  <c r="N80" i="9"/>
  <c r="M80" i="9"/>
  <c r="L80" i="9"/>
  <c r="K80" i="9"/>
  <c r="J80" i="9"/>
  <c r="C80" i="9"/>
  <c r="I80" i="9" s="1"/>
  <c r="AM79" i="9"/>
  <c r="AL79" i="9"/>
  <c r="AK79" i="9"/>
  <c r="AJ79" i="9"/>
  <c r="AI79" i="9"/>
  <c r="AH79" i="9"/>
  <c r="AG79" i="9"/>
  <c r="AF79" i="9"/>
  <c r="AE79" i="9"/>
  <c r="AD79" i="9"/>
  <c r="AC79" i="9"/>
  <c r="AB79" i="9"/>
  <c r="AA79" i="9"/>
  <c r="Z79" i="9"/>
  <c r="Y79" i="9"/>
  <c r="X79" i="9"/>
  <c r="W79" i="9"/>
  <c r="V79" i="9"/>
  <c r="U79" i="9"/>
  <c r="T79" i="9"/>
  <c r="S79" i="9"/>
  <c r="R79" i="9"/>
  <c r="Q79" i="9"/>
  <c r="P79" i="9"/>
  <c r="O79" i="9"/>
  <c r="N79" i="9"/>
  <c r="M79" i="9"/>
  <c r="L79" i="9"/>
  <c r="K79" i="9"/>
  <c r="J79" i="9"/>
  <c r="C79" i="9"/>
  <c r="AM78" i="9"/>
  <c r="AL78" i="9"/>
  <c r="AK78" i="9"/>
  <c r="AJ78" i="9"/>
  <c r="AI78" i="9"/>
  <c r="AH78" i="9"/>
  <c r="AG78" i="9"/>
  <c r="AF78" i="9"/>
  <c r="AE78" i="9"/>
  <c r="AD78" i="9"/>
  <c r="AC78" i="9"/>
  <c r="AB78" i="9"/>
  <c r="AA78" i="9"/>
  <c r="Z78" i="9"/>
  <c r="Y78" i="9"/>
  <c r="X78" i="9"/>
  <c r="W78" i="9"/>
  <c r="V78" i="9"/>
  <c r="U78" i="9"/>
  <c r="T78" i="9"/>
  <c r="S78" i="9"/>
  <c r="R78" i="9"/>
  <c r="Q78" i="9"/>
  <c r="P78" i="9"/>
  <c r="O78" i="9"/>
  <c r="N78" i="9"/>
  <c r="M78" i="9"/>
  <c r="L78" i="9"/>
  <c r="K78" i="9"/>
  <c r="J78" i="9"/>
  <c r="C78" i="9"/>
  <c r="AM77" i="9"/>
  <c r="AL77" i="9"/>
  <c r="AK77" i="9"/>
  <c r="AJ77" i="9"/>
  <c r="AI77" i="9"/>
  <c r="AH77" i="9"/>
  <c r="AG77" i="9"/>
  <c r="AF77" i="9"/>
  <c r="AE77" i="9"/>
  <c r="AD77" i="9"/>
  <c r="AC77" i="9"/>
  <c r="AB77" i="9"/>
  <c r="AA77" i="9"/>
  <c r="Z77" i="9"/>
  <c r="Y77" i="9"/>
  <c r="X77" i="9"/>
  <c r="W77" i="9"/>
  <c r="V77" i="9"/>
  <c r="U77" i="9"/>
  <c r="T77" i="9"/>
  <c r="S77" i="9"/>
  <c r="R77" i="9"/>
  <c r="Q77" i="9"/>
  <c r="P77" i="9"/>
  <c r="O77" i="9"/>
  <c r="N77" i="9"/>
  <c r="M77" i="9"/>
  <c r="L77" i="9"/>
  <c r="K77" i="9"/>
  <c r="J77" i="9"/>
  <c r="C77" i="9"/>
  <c r="D77" i="9" s="1"/>
  <c r="AM76" i="9"/>
  <c r="AL76" i="9"/>
  <c r="AK76" i="9"/>
  <c r="AJ76" i="9"/>
  <c r="AI76" i="9"/>
  <c r="AH76" i="9"/>
  <c r="AG76" i="9"/>
  <c r="AF76" i="9"/>
  <c r="AE76" i="9"/>
  <c r="AD76" i="9"/>
  <c r="AC76" i="9"/>
  <c r="AB76" i="9"/>
  <c r="AA76" i="9"/>
  <c r="Z76" i="9"/>
  <c r="Y76" i="9"/>
  <c r="X76" i="9"/>
  <c r="W76" i="9"/>
  <c r="V76" i="9"/>
  <c r="U76" i="9"/>
  <c r="T76" i="9"/>
  <c r="S76" i="9"/>
  <c r="R76" i="9"/>
  <c r="Q76" i="9"/>
  <c r="P76" i="9"/>
  <c r="O76" i="9"/>
  <c r="N76" i="9"/>
  <c r="M76" i="9"/>
  <c r="L76" i="9"/>
  <c r="K76" i="9"/>
  <c r="J76" i="9"/>
  <c r="C76" i="9"/>
  <c r="AM75" i="9"/>
  <c r="AL75" i="9"/>
  <c r="AK75" i="9"/>
  <c r="AJ75" i="9"/>
  <c r="AI75" i="9"/>
  <c r="AH75" i="9"/>
  <c r="AG75" i="9"/>
  <c r="AF75" i="9"/>
  <c r="AE75" i="9"/>
  <c r="AD75" i="9"/>
  <c r="AC75" i="9"/>
  <c r="AB75" i="9"/>
  <c r="AA75" i="9"/>
  <c r="Z75" i="9"/>
  <c r="Y75" i="9"/>
  <c r="X75" i="9"/>
  <c r="W75" i="9"/>
  <c r="V75" i="9"/>
  <c r="U75" i="9"/>
  <c r="T75" i="9"/>
  <c r="S75" i="9"/>
  <c r="R75" i="9"/>
  <c r="Q75" i="9"/>
  <c r="P75" i="9"/>
  <c r="O75" i="9"/>
  <c r="N75" i="9"/>
  <c r="M75" i="9"/>
  <c r="L75" i="9"/>
  <c r="K75" i="9"/>
  <c r="J75" i="9"/>
  <c r="C75" i="9"/>
  <c r="D75" i="9" s="1"/>
  <c r="AM74" i="9"/>
  <c r="AL74" i="9"/>
  <c r="AK74" i="9"/>
  <c r="AJ74" i="9"/>
  <c r="AI74" i="9"/>
  <c r="AH74" i="9"/>
  <c r="AG74" i="9"/>
  <c r="AF74" i="9"/>
  <c r="AE74" i="9"/>
  <c r="AD74" i="9"/>
  <c r="AC74" i="9"/>
  <c r="AB74" i="9"/>
  <c r="AA74" i="9"/>
  <c r="Z74" i="9"/>
  <c r="Y74" i="9"/>
  <c r="X74" i="9"/>
  <c r="W74" i="9"/>
  <c r="V74" i="9"/>
  <c r="U74" i="9"/>
  <c r="T74" i="9"/>
  <c r="S74" i="9"/>
  <c r="R74" i="9"/>
  <c r="Q74" i="9"/>
  <c r="P74" i="9"/>
  <c r="O74" i="9"/>
  <c r="N74" i="9"/>
  <c r="M74" i="9"/>
  <c r="L74" i="9"/>
  <c r="K74" i="9"/>
  <c r="J74" i="9"/>
  <c r="C74" i="9"/>
  <c r="H74" i="9" s="1"/>
  <c r="AM73" i="9"/>
  <c r="AL73" i="9"/>
  <c r="AK73" i="9"/>
  <c r="AJ73" i="9"/>
  <c r="AI73" i="9"/>
  <c r="AH73" i="9"/>
  <c r="AG73" i="9"/>
  <c r="AF73" i="9"/>
  <c r="AE73" i="9"/>
  <c r="AD73" i="9"/>
  <c r="AC73" i="9"/>
  <c r="AB73" i="9"/>
  <c r="AA73" i="9"/>
  <c r="Z73" i="9"/>
  <c r="Y73" i="9"/>
  <c r="X73" i="9"/>
  <c r="W73" i="9"/>
  <c r="V73" i="9"/>
  <c r="U73" i="9"/>
  <c r="T73" i="9"/>
  <c r="S73" i="9"/>
  <c r="R73" i="9"/>
  <c r="Q73" i="9"/>
  <c r="P73" i="9"/>
  <c r="O73" i="9"/>
  <c r="N73" i="9"/>
  <c r="M73" i="9"/>
  <c r="L73" i="9"/>
  <c r="K73" i="9"/>
  <c r="J73" i="9"/>
  <c r="C73" i="9"/>
  <c r="AM72" i="9"/>
  <c r="AL72" i="9"/>
  <c r="AK72" i="9"/>
  <c r="AJ72" i="9"/>
  <c r="AI72" i="9"/>
  <c r="AH72" i="9"/>
  <c r="AG72" i="9"/>
  <c r="AF72" i="9"/>
  <c r="AE72" i="9"/>
  <c r="AD72" i="9"/>
  <c r="AC72" i="9"/>
  <c r="AB72" i="9"/>
  <c r="AA72" i="9"/>
  <c r="Z72" i="9"/>
  <c r="Y72" i="9"/>
  <c r="X72" i="9"/>
  <c r="W72" i="9"/>
  <c r="V72" i="9"/>
  <c r="U72" i="9"/>
  <c r="T72" i="9"/>
  <c r="S72" i="9"/>
  <c r="R72" i="9"/>
  <c r="Q72" i="9"/>
  <c r="P72" i="9"/>
  <c r="O72" i="9"/>
  <c r="N72" i="9"/>
  <c r="M72" i="9"/>
  <c r="L72" i="9"/>
  <c r="K72" i="9"/>
  <c r="J72" i="9"/>
  <c r="C72" i="9"/>
  <c r="AM71" i="9"/>
  <c r="AL71" i="9"/>
  <c r="AK71" i="9"/>
  <c r="AJ71" i="9"/>
  <c r="AI71" i="9"/>
  <c r="AH71" i="9"/>
  <c r="AG71" i="9"/>
  <c r="AF71" i="9"/>
  <c r="AE71" i="9"/>
  <c r="AD71" i="9"/>
  <c r="AC71" i="9"/>
  <c r="AB71" i="9"/>
  <c r="AA71" i="9"/>
  <c r="Z71" i="9"/>
  <c r="Y71" i="9"/>
  <c r="X71" i="9"/>
  <c r="W71" i="9"/>
  <c r="V71" i="9"/>
  <c r="U71" i="9"/>
  <c r="T71" i="9"/>
  <c r="S71" i="9"/>
  <c r="R71" i="9"/>
  <c r="Q71" i="9"/>
  <c r="P71" i="9"/>
  <c r="O71" i="9"/>
  <c r="N71" i="9"/>
  <c r="M71" i="9"/>
  <c r="L71" i="9"/>
  <c r="K71" i="9"/>
  <c r="J71" i="9"/>
  <c r="C71" i="9"/>
  <c r="D71" i="9" s="1"/>
  <c r="AM70" i="9"/>
  <c r="AL70" i="9"/>
  <c r="AK70" i="9"/>
  <c r="AJ70" i="9"/>
  <c r="AI70" i="9"/>
  <c r="AH70" i="9"/>
  <c r="AG70" i="9"/>
  <c r="AF70" i="9"/>
  <c r="AE70" i="9"/>
  <c r="AD70" i="9"/>
  <c r="AC70" i="9"/>
  <c r="AB70" i="9"/>
  <c r="AA70" i="9"/>
  <c r="Z70" i="9"/>
  <c r="Y70" i="9"/>
  <c r="X70" i="9"/>
  <c r="W70" i="9"/>
  <c r="V70" i="9"/>
  <c r="U70" i="9"/>
  <c r="T70" i="9"/>
  <c r="S70" i="9"/>
  <c r="R70" i="9"/>
  <c r="Q70" i="9"/>
  <c r="P70" i="9"/>
  <c r="O70" i="9"/>
  <c r="N70" i="9"/>
  <c r="M70" i="9"/>
  <c r="L70" i="9"/>
  <c r="K70" i="9"/>
  <c r="J70" i="9"/>
  <c r="C70" i="9"/>
  <c r="F70" i="9" s="1"/>
  <c r="AM69" i="9"/>
  <c r="AL69" i="9"/>
  <c r="AK69" i="9"/>
  <c r="AJ69" i="9"/>
  <c r="AI69" i="9"/>
  <c r="AH69" i="9"/>
  <c r="AG69" i="9"/>
  <c r="AF69" i="9"/>
  <c r="AE69" i="9"/>
  <c r="AD69" i="9"/>
  <c r="AC69" i="9"/>
  <c r="AB69" i="9"/>
  <c r="AA69" i="9"/>
  <c r="Z69" i="9"/>
  <c r="Y69" i="9"/>
  <c r="X69" i="9"/>
  <c r="W69" i="9"/>
  <c r="V69" i="9"/>
  <c r="U69" i="9"/>
  <c r="T69" i="9"/>
  <c r="S69" i="9"/>
  <c r="R69" i="9"/>
  <c r="Q69" i="9"/>
  <c r="P69" i="9"/>
  <c r="O69" i="9"/>
  <c r="N69" i="9"/>
  <c r="M69" i="9"/>
  <c r="L69" i="9"/>
  <c r="K69" i="9"/>
  <c r="J69" i="9"/>
  <c r="C69" i="9"/>
  <c r="D69" i="9" s="1"/>
  <c r="AM68" i="9"/>
  <c r="AL68" i="9"/>
  <c r="AK68" i="9"/>
  <c r="AJ68" i="9"/>
  <c r="AI68" i="9"/>
  <c r="AH68" i="9"/>
  <c r="AG68" i="9"/>
  <c r="AF68" i="9"/>
  <c r="AE68" i="9"/>
  <c r="AD68" i="9"/>
  <c r="AC68" i="9"/>
  <c r="AB68" i="9"/>
  <c r="AA68" i="9"/>
  <c r="Z68" i="9"/>
  <c r="Y68" i="9"/>
  <c r="X68" i="9"/>
  <c r="W68" i="9"/>
  <c r="V68" i="9"/>
  <c r="U68" i="9"/>
  <c r="T68" i="9"/>
  <c r="S68" i="9"/>
  <c r="R68" i="9"/>
  <c r="Q68" i="9"/>
  <c r="P68" i="9"/>
  <c r="O68" i="9"/>
  <c r="N68" i="9"/>
  <c r="M68" i="9"/>
  <c r="L68" i="9"/>
  <c r="K68" i="9"/>
  <c r="J68" i="9"/>
  <c r="C68" i="9"/>
  <c r="AM67" i="9"/>
  <c r="AL67" i="9"/>
  <c r="AK67" i="9"/>
  <c r="AJ67" i="9"/>
  <c r="AI67" i="9"/>
  <c r="AH67" i="9"/>
  <c r="AG67" i="9"/>
  <c r="AF67" i="9"/>
  <c r="AE67" i="9"/>
  <c r="AD67" i="9"/>
  <c r="AC67" i="9"/>
  <c r="AB67" i="9"/>
  <c r="AA67" i="9"/>
  <c r="Z67" i="9"/>
  <c r="Y67" i="9"/>
  <c r="X67" i="9"/>
  <c r="W67" i="9"/>
  <c r="V67" i="9"/>
  <c r="U67" i="9"/>
  <c r="T67" i="9"/>
  <c r="S67" i="9"/>
  <c r="R67" i="9"/>
  <c r="Q67" i="9"/>
  <c r="P67" i="9"/>
  <c r="O67" i="9"/>
  <c r="N67" i="9"/>
  <c r="M67" i="9"/>
  <c r="L67" i="9"/>
  <c r="K67" i="9"/>
  <c r="J67" i="9"/>
  <c r="C67" i="9"/>
  <c r="AM66" i="9"/>
  <c r="AL66" i="9"/>
  <c r="AK66" i="9"/>
  <c r="AJ66" i="9"/>
  <c r="AI66" i="9"/>
  <c r="AH66" i="9"/>
  <c r="AG66" i="9"/>
  <c r="AF66" i="9"/>
  <c r="AE66" i="9"/>
  <c r="AD66" i="9"/>
  <c r="AC66" i="9"/>
  <c r="AB66" i="9"/>
  <c r="AA66" i="9"/>
  <c r="Z66" i="9"/>
  <c r="Y66" i="9"/>
  <c r="X66" i="9"/>
  <c r="W66" i="9"/>
  <c r="V66" i="9"/>
  <c r="U66" i="9"/>
  <c r="T66" i="9"/>
  <c r="S66" i="9"/>
  <c r="R66" i="9"/>
  <c r="Q66" i="9"/>
  <c r="P66" i="9"/>
  <c r="O66" i="9"/>
  <c r="N66" i="9"/>
  <c r="M66" i="9"/>
  <c r="L66" i="9"/>
  <c r="K66" i="9"/>
  <c r="J66" i="9"/>
  <c r="C66" i="9"/>
  <c r="H66" i="9" s="1"/>
  <c r="AM65" i="9"/>
  <c r="AL65" i="9"/>
  <c r="AK65" i="9"/>
  <c r="AJ65" i="9"/>
  <c r="AI65" i="9"/>
  <c r="AH65" i="9"/>
  <c r="AG65" i="9"/>
  <c r="AF65" i="9"/>
  <c r="AE65" i="9"/>
  <c r="AD65" i="9"/>
  <c r="AC65" i="9"/>
  <c r="AB65" i="9"/>
  <c r="AA65" i="9"/>
  <c r="Z65" i="9"/>
  <c r="Y65" i="9"/>
  <c r="X65" i="9"/>
  <c r="W65" i="9"/>
  <c r="V65" i="9"/>
  <c r="U65" i="9"/>
  <c r="T65" i="9"/>
  <c r="S65" i="9"/>
  <c r="R65" i="9"/>
  <c r="Q65" i="9"/>
  <c r="P65" i="9"/>
  <c r="O65" i="9"/>
  <c r="N65" i="9"/>
  <c r="M65" i="9"/>
  <c r="L65" i="9"/>
  <c r="K65" i="9"/>
  <c r="J65" i="9"/>
  <c r="C65" i="9"/>
  <c r="D65" i="9" s="1"/>
  <c r="AM64" i="9"/>
  <c r="AL64" i="9"/>
  <c r="AK64" i="9"/>
  <c r="AJ64" i="9"/>
  <c r="AI64" i="9"/>
  <c r="AH64" i="9"/>
  <c r="AG64" i="9"/>
  <c r="AF64" i="9"/>
  <c r="AE64" i="9"/>
  <c r="AD64" i="9"/>
  <c r="AC64" i="9"/>
  <c r="AB64" i="9"/>
  <c r="AA64" i="9"/>
  <c r="Z64" i="9"/>
  <c r="Y64" i="9"/>
  <c r="X64" i="9"/>
  <c r="W64" i="9"/>
  <c r="V64" i="9"/>
  <c r="U64" i="9"/>
  <c r="T64" i="9"/>
  <c r="S64" i="9"/>
  <c r="R64" i="9"/>
  <c r="Q64" i="9"/>
  <c r="P64" i="9"/>
  <c r="O64" i="9"/>
  <c r="N64" i="9"/>
  <c r="M64" i="9"/>
  <c r="L64" i="9"/>
  <c r="K64" i="9"/>
  <c r="J64" i="9"/>
  <c r="C64" i="9"/>
  <c r="H64" i="9" s="1"/>
  <c r="AM63" i="9"/>
  <c r="AL63" i="9"/>
  <c r="AK63" i="9"/>
  <c r="AJ63" i="9"/>
  <c r="AI63" i="9"/>
  <c r="AH63" i="9"/>
  <c r="AG63" i="9"/>
  <c r="AF63" i="9"/>
  <c r="AE63" i="9"/>
  <c r="AD63" i="9"/>
  <c r="AC63" i="9"/>
  <c r="AB63" i="9"/>
  <c r="AA63" i="9"/>
  <c r="Z63" i="9"/>
  <c r="Y63" i="9"/>
  <c r="X63" i="9"/>
  <c r="W63" i="9"/>
  <c r="V63" i="9"/>
  <c r="U63" i="9"/>
  <c r="T63" i="9"/>
  <c r="S63" i="9"/>
  <c r="R63" i="9"/>
  <c r="Q63" i="9"/>
  <c r="P63" i="9"/>
  <c r="O63" i="9"/>
  <c r="N63" i="9"/>
  <c r="M63" i="9"/>
  <c r="L63" i="9"/>
  <c r="K63" i="9"/>
  <c r="J63" i="9"/>
  <c r="C63" i="9"/>
  <c r="I63" i="9" s="1"/>
  <c r="AM62" i="9"/>
  <c r="AL62" i="9"/>
  <c r="AK62" i="9"/>
  <c r="AJ62" i="9"/>
  <c r="AI62" i="9"/>
  <c r="AH62" i="9"/>
  <c r="AG62" i="9"/>
  <c r="AF62" i="9"/>
  <c r="AE62" i="9"/>
  <c r="AD62" i="9"/>
  <c r="AC62" i="9"/>
  <c r="AB62" i="9"/>
  <c r="AA62" i="9"/>
  <c r="Z62" i="9"/>
  <c r="Y62" i="9"/>
  <c r="X62" i="9"/>
  <c r="W62" i="9"/>
  <c r="V62" i="9"/>
  <c r="U62" i="9"/>
  <c r="T62" i="9"/>
  <c r="S62" i="9"/>
  <c r="R62" i="9"/>
  <c r="Q62" i="9"/>
  <c r="P62" i="9"/>
  <c r="O62" i="9"/>
  <c r="N62" i="9"/>
  <c r="M62" i="9"/>
  <c r="L62" i="9"/>
  <c r="K62" i="9"/>
  <c r="J62" i="9"/>
  <c r="C62" i="9"/>
  <c r="AM61" i="9"/>
  <c r="AL61" i="9"/>
  <c r="AK61" i="9"/>
  <c r="AJ61" i="9"/>
  <c r="AI61" i="9"/>
  <c r="AH61" i="9"/>
  <c r="AG61" i="9"/>
  <c r="AF61" i="9"/>
  <c r="AE61" i="9"/>
  <c r="AD61" i="9"/>
  <c r="AC61" i="9"/>
  <c r="AB61" i="9"/>
  <c r="AA61" i="9"/>
  <c r="Z61" i="9"/>
  <c r="Y61" i="9"/>
  <c r="X61" i="9"/>
  <c r="W61" i="9"/>
  <c r="V61" i="9"/>
  <c r="U61" i="9"/>
  <c r="T61" i="9"/>
  <c r="S61" i="9"/>
  <c r="R61" i="9"/>
  <c r="Q61" i="9"/>
  <c r="P61" i="9"/>
  <c r="O61" i="9"/>
  <c r="N61" i="9"/>
  <c r="M61" i="9"/>
  <c r="L61" i="9"/>
  <c r="K61" i="9"/>
  <c r="J61" i="9"/>
  <c r="C61" i="9"/>
  <c r="AM60" i="9"/>
  <c r="AL60" i="9"/>
  <c r="AK60" i="9"/>
  <c r="AJ60" i="9"/>
  <c r="AI60" i="9"/>
  <c r="AH60" i="9"/>
  <c r="AG60" i="9"/>
  <c r="AF60" i="9"/>
  <c r="AE60" i="9"/>
  <c r="AD60" i="9"/>
  <c r="AC60" i="9"/>
  <c r="AB60" i="9"/>
  <c r="AA60" i="9"/>
  <c r="Z60" i="9"/>
  <c r="Y60" i="9"/>
  <c r="X60" i="9"/>
  <c r="W60" i="9"/>
  <c r="V60" i="9"/>
  <c r="U60" i="9"/>
  <c r="T60" i="9"/>
  <c r="S60" i="9"/>
  <c r="R60" i="9"/>
  <c r="Q60" i="9"/>
  <c r="P60" i="9"/>
  <c r="O60" i="9"/>
  <c r="N60" i="9"/>
  <c r="M60" i="9"/>
  <c r="L60" i="9"/>
  <c r="K60" i="9"/>
  <c r="J60" i="9"/>
  <c r="C60" i="9"/>
  <c r="I60" i="9" s="1"/>
  <c r="AM59" i="9"/>
  <c r="AL59" i="9"/>
  <c r="AK59" i="9"/>
  <c r="AJ59" i="9"/>
  <c r="AI59" i="9"/>
  <c r="AH59" i="9"/>
  <c r="AG59" i="9"/>
  <c r="AF59" i="9"/>
  <c r="AE59" i="9"/>
  <c r="AD59" i="9"/>
  <c r="AC59" i="9"/>
  <c r="AB59" i="9"/>
  <c r="AA59" i="9"/>
  <c r="Z59" i="9"/>
  <c r="Y59" i="9"/>
  <c r="X59" i="9"/>
  <c r="W59" i="9"/>
  <c r="V59" i="9"/>
  <c r="U59" i="9"/>
  <c r="T59" i="9"/>
  <c r="S59" i="9"/>
  <c r="R59" i="9"/>
  <c r="Q59" i="9"/>
  <c r="P59" i="9"/>
  <c r="O59" i="9"/>
  <c r="N59" i="9"/>
  <c r="M59" i="9"/>
  <c r="L59" i="9"/>
  <c r="K59" i="9"/>
  <c r="J59" i="9"/>
  <c r="C59" i="9"/>
  <c r="I59" i="9" s="1"/>
  <c r="AM58" i="9"/>
  <c r="AL58" i="9"/>
  <c r="AK58" i="9"/>
  <c r="AJ58" i="9"/>
  <c r="AI58" i="9"/>
  <c r="AH58" i="9"/>
  <c r="AG58" i="9"/>
  <c r="AF58" i="9"/>
  <c r="AE58" i="9"/>
  <c r="AD58" i="9"/>
  <c r="AC58" i="9"/>
  <c r="AB58" i="9"/>
  <c r="AA58" i="9"/>
  <c r="Z58" i="9"/>
  <c r="Y58" i="9"/>
  <c r="X58" i="9"/>
  <c r="W58" i="9"/>
  <c r="V58" i="9"/>
  <c r="U58" i="9"/>
  <c r="T58" i="9"/>
  <c r="S58" i="9"/>
  <c r="R58" i="9"/>
  <c r="Q58" i="9"/>
  <c r="P58" i="9"/>
  <c r="O58" i="9"/>
  <c r="N58" i="9"/>
  <c r="M58" i="9"/>
  <c r="L58" i="9"/>
  <c r="K58" i="9"/>
  <c r="J58" i="9"/>
  <c r="C58" i="9"/>
  <c r="F58" i="9" s="1"/>
  <c r="AM57" i="9"/>
  <c r="AL57" i="9"/>
  <c r="AK57" i="9"/>
  <c r="AJ57" i="9"/>
  <c r="AI57" i="9"/>
  <c r="AH57" i="9"/>
  <c r="AG57" i="9"/>
  <c r="AF57" i="9"/>
  <c r="AE57" i="9"/>
  <c r="AD57" i="9"/>
  <c r="AC57" i="9"/>
  <c r="AB57" i="9"/>
  <c r="AA57" i="9"/>
  <c r="Z57" i="9"/>
  <c r="Y57" i="9"/>
  <c r="X57" i="9"/>
  <c r="W57" i="9"/>
  <c r="V57" i="9"/>
  <c r="U57" i="9"/>
  <c r="T57" i="9"/>
  <c r="S57" i="9"/>
  <c r="R57" i="9"/>
  <c r="Q57" i="9"/>
  <c r="P57" i="9"/>
  <c r="O57" i="9"/>
  <c r="N57" i="9"/>
  <c r="M57" i="9"/>
  <c r="L57" i="9"/>
  <c r="K57" i="9"/>
  <c r="J57" i="9"/>
  <c r="C57" i="9"/>
  <c r="F57" i="9" s="1"/>
  <c r="AM56" i="9"/>
  <c r="AL56" i="9"/>
  <c r="AK56" i="9"/>
  <c r="AJ56" i="9"/>
  <c r="AI56" i="9"/>
  <c r="AH56" i="9"/>
  <c r="AG56" i="9"/>
  <c r="AF56" i="9"/>
  <c r="AE56" i="9"/>
  <c r="AD56" i="9"/>
  <c r="AC56" i="9"/>
  <c r="AB56" i="9"/>
  <c r="AA56" i="9"/>
  <c r="Z56" i="9"/>
  <c r="Y56" i="9"/>
  <c r="X56" i="9"/>
  <c r="W56" i="9"/>
  <c r="V56" i="9"/>
  <c r="U56" i="9"/>
  <c r="T56" i="9"/>
  <c r="S56" i="9"/>
  <c r="R56" i="9"/>
  <c r="Q56" i="9"/>
  <c r="P56" i="9"/>
  <c r="O56" i="9"/>
  <c r="N56" i="9"/>
  <c r="M56" i="9"/>
  <c r="L56" i="9"/>
  <c r="K56" i="9"/>
  <c r="J56" i="9"/>
  <c r="C56" i="9"/>
  <c r="AM55" i="9"/>
  <c r="AL55" i="9"/>
  <c r="AK55" i="9"/>
  <c r="AJ55" i="9"/>
  <c r="AI55" i="9"/>
  <c r="AH55" i="9"/>
  <c r="AG55" i="9"/>
  <c r="AF55" i="9"/>
  <c r="AE55" i="9"/>
  <c r="AD55" i="9"/>
  <c r="AC55" i="9"/>
  <c r="AB55" i="9"/>
  <c r="AA55" i="9"/>
  <c r="Z55" i="9"/>
  <c r="Y55" i="9"/>
  <c r="X55" i="9"/>
  <c r="W55" i="9"/>
  <c r="V55" i="9"/>
  <c r="U55" i="9"/>
  <c r="T55" i="9"/>
  <c r="S55" i="9"/>
  <c r="R55" i="9"/>
  <c r="Q55" i="9"/>
  <c r="P55" i="9"/>
  <c r="O55" i="9"/>
  <c r="N55" i="9"/>
  <c r="M55" i="9"/>
  <c r="L55" i="9"/>
  <c r="K55" i="9"/>
  <c r="J55" i="9"/>
  <c r="C55" i="9"/>
  <c r="F55" i="9" s="1"/>
  <c r="AM54" i="9"/>
  <c r="AL54" i="9"/>
  <c r="AK54" i="9"/>
  <c r="AJ54" i="9"/>
  <c r="AI54" i="9"/>
  <c r="AH54" i="9"/>
  <c r="AG54" i="9"/>
  <c r="AF54" i="9"/>
  <c r="AE54" i="9"/>
  <c r="AD54" i="9"/>
  <c r="AC54" i="9"/>
  <c r="AB54" i="9"/>
  <c r="AA54" i="9"/>
  <c r="Z54" i="9"/>
  <c r="Y54" i="9"/>
  <c r="X54" i="9"/>
  <c r="W54" i="9"/>
  <c r="V54" i="9"/>
  <c r="U54" i="9"/>
  <c r="T54" i="9"/>
  <c r="S54" i="9"/>
  <c r="R54" i="9"/>
  <c r="Q54" i="9"/>
  <c r="P54" i="9"/>
  <c r="O54" i="9"/>
  <c r="N54" i="9"/>
  <c r="M54" i="9"/>
  <c r="L54" i="9"/>
  <c r="K54" i="9"/>
  <c r="J54" i="9"/>
  <c r="C54" i="9"/>
  <c r="I54" i="9" s="1"/>
  <c r="AM53" i="9"/>
  <c r="AL53" i="9"/>
  <c r="AK53" i="9"/>
  <c r="AJ53" i="9"/>
  <c r="AI53" i="9"/>
  <c r="AH53" i="9"/>
  <c r="AG53" i="9"/>
  <c r="AF53" i="9"/>
  <c r="AE53" i="9"/>
  <c r="AD53" i="9"/>
  <c r="AC53" i="9"/>
  <c r="AB53" i="9"/>
  <c r="AA53" i="9"/>
  <c r="Z53" i="9"/>
  <c r="Y53" i="9"/>
  <c r="X53" i="9"/>
  <c r="W53" i="9"/>
  <c r="V53" i="9"/>
  <c r="U53" i="9"/>
  <c r="T53" i="9"/>
  <c r="S53" i="9"/>
  <c r="R53" i="9"/>
  <c r="Q53" i="9"/>
  <c r="P53" i="9"/>
  <c r="O53" i="9"/>
  <c r="N53" i="9"/>
  <c r="M53" i="9"/>
  <c r="L53" i="9"/>
  <c r="K53" i="9"/>
  <c r="J53" i="9"/>
  <c r="C53" i="9"/>
  <c r="I53" i="9" s="1"/>
  <c r="AM52" i="9"/>
  <c r="AL52" i="9"/>
  <c r="AK52" i="9"/>
  <c r="AJ52" i="9"/>
  <c r="AI52" i="9"/>
  <c r="AH52" i="9"/>
  <c r="AG52" i="9"/>
  <c r="AF52" i="9"/>
  <c r="AE52" i="9"/>
  <c r="AD52" i="9"/>
  <c r="AC52" i="9"/>
  <c r="AB52" i="9"/>
  <c r="AA52" i="9"/>
  <c r="Z52" i="9"/>
  <c r="Y52" i="9"/>
  <c r="X52" i="9"/>
  <c r="W52" i="9"/>
  <c r="V52" i="9"/>
  <c r="U52" i="9"/>
  <c r="T52" i="9"/>
  <c r="S52" i="9"/>
  <c r="R52" i="9"/>
  <c r="Q52" i="9"/>
  <c r="P52" i="9"/>
  <c r="O52" i="9"/>
  <c r="N52" i="9"/>
  <c r="M52" i="9"/>
  <c r="L52" i="9"/>
  <c r="K52" i="9"/>
  <c r="J52" i="9"/>
  <c r="C52" i="9"/>
  <c r="D52" i="9" s="1"/>
  <c r="AM51" i="9"/>
  <c r="AL51" i="9"/>
  <c r="AK51" i="9"/>
  <c r="AJ51" i="9"/>
  <c r="AI51" i="9"/>
  <c r="AH51" i="9"/>
  <c r="AG51" i="9"/>
  <c r="AF51" i="9"/>
  <c r="AE51" i="9"/>
  <c r="AD51" i="9"/>
  <c r="AC51" i="9"/>
  <c r="AB51" i="9"/>
  <c r="AA51" i="9"/>
  <c r="Z51" i="9"/>
  <c r="Y51" i="9"/>
  <c r="X51" i="9"/>
  <c r="W51" i="9"/>
  <c r="V51" i="9"/>
  <c r="U51" i="9"/>
  <c r="T51" i="9"/>
  <c r="S51" i="9"/>
  <c r="R51" i="9"/>
  <c r="Q51" i="9"/>
  <c r="P51" i="9"/>
  <c r="O51" i="9"/>
  <c r="N51" i="9"/>
  <c r="M51" i="9"/>
  <c r="L51" i="9"/>
  <c r="K51" i="9"/>
  <c r="J51" i="9"/>
  <c r="C51" i="9"/>
  <c r="I51" i="9" s="1"/>
  <c r="AM50" i="9"/>
  <c r="AL50" i="9"/>
  <c r="AK50" i="9"/>
  <c r="AJ50" i="9"/>
  <c r="AI50" i="9"/>
  <c r="AH50" i="9"/>
  <c r="AG50" i="9"/>
  <c r="AF50" i="9"/>
  <c r="AE50" i="9"/>
  <c r="AD50" i="9"/>
  <c r="AC50" i="9"/>
  <c r="AB50" i="9"/>
  <c r="AA50" i="9"/>
  <c r="Z50" i="9"/>
  <c r="Y50" i="9"/>
  <c r="X50" i="9"/>
  <c r="W50" i="9"/>
  <c r="V50" i="9"/>
  <c r="U50" i="9"/>
  <c r="T50" i="9"/>
  <c r="S50" i="9"/>
  <c r="R50" i="9"/>
  <c r="Q50" i="9"/>
  <c r="P50" i="9"/>
  <c r="O50" i="9"/>
  <c r="N50" i="9"/>
  <c r="M50" i="9"/>
  <c r="L50" i="9"/>
  <c r="K50" i="9"/>
  <c r="J50" i="9"/>
  <c r="C50" i="9"/>
  <c r="F50" i="9" s="1"/>
  <c r="AM49" i="9"/>
  <c r="AL49" i="9"/>
  <c r="AK49" i="9"/>
  <c r="AJ49" i="9"/>
  <c r="AI49" i="9"/>
  <c r="AH49" i="9"/>
  <c r="AG49" i="9"/>
  <c r="AF49" i="9"/>
  <c r="AE49" i="9"/>
  <c r="AD49" i="9"/>
  <c r="AC49" i="9"/>
  <c r="AB49" i="9"/>
  <c r="AA49" i="9"/>
  <c r="Z49" i="9"/>
  <c r="Y49" i="9"/>
  <c r="X49" i="9"/>
  <c r="W49" i="9"/>
  <c r="V49" i="9"/>
  <c r="U49" i="9"/>
  <c r="T49" i="9"/>
  <c r="S49" i="9"/>
  <c r="R49" i="9"/>
  <c r="Q49" i="9"/>
  <c r="P49" i="9"/>
  <c r="O49" i="9"/>
  <c r="N49" i="9"/>
  <c r="M49" i="9"/>
  <c r="L49" i="9"/>
  <c r="K49" i="9"/>
  <c r="J49" i="9"/>
  <c r="C49" i="9"/>
  <c r="F49" i="9" s="1"/>
  <c r="AM48" i="9"/>
  <c r="AL48" i="9"/>
  <c r="AK48" i="9"/>
  <c r="AJ48" i="9"/>
  <c r="AI48" i="9"/>
  <c r="AH48" i="9"/>
  <c r="AG48" i="9"/>
  <c r="AF48" i="9"/>
  <c r="AE48" i="9"/>
  <c r="AD48" i="9"/>
  <c r="AC48" i="9"/>
  <c r="AB48" i="9"/>
  <c r="AA48" i="9"/>
  <c r="Z48" i="9"/>
  <c r="Y48" i="9"/>
  <c r="X48" i="9"/>
  <c r="W48" i="9"/>
  <c r="V48" i="9"/>
  <c r="U48" i="9"/>
  <c r="T48" i="9"/>
  <c r="S48" i="9"/>
  <c r="R48" i="9"/>
  <c r="Q48" i="9"/>
  <c r="P48" i="9"/>
  <c r="O48" i="9"/>
  <c r="N48" i="9"/>
  <c r="M48" i="9"/>
  <c r="L48" i="9"/>
  <c r="K48" i="9"/>
  <c r="J48" i="9"/>
  <c r="C48" i="9"/>
  <c r="I48" i="9" s="1"/>
  <c r="AM47" i="9"/>
  <c r="AL47" i="9"/>
  <c r="AK47" i="9"/>
  <c r="AJ47" i="9"/>
  <c r="AI47" i="9"/>
  <c r="AH47" i="9"/>
  <c r="AG47" i="9"/>
  <c r="AF47" i="9"/>
  <c r="AE47" i="9"/>
  <c r="AD47" i="9"/>
  <c r="AC47" i="9"/>
  <c r="AB47" i="9"/>
  <c r="AA47" i="9"/>
  <c r="Z47" i="9"/>
  <c r="Y47" i="9"/>
  <c r="X47" i="9"/>
  <c r="W47" i="9"/>
  <c r="V47" i="9"/>
  <c r="U47" i="9"/>
  <c r="T47" i="9"/>
  <c r="S47" i="9"/>
  <c r="R47" i="9"/>
  <c r="Q47" i="9"/>
  <c r="P47" i="9"/>
  <c r="O47" i="9"/>
  <c r="N47" i="9"/>
  <c r="M47" i="9"/>
  <c r="L47" i="9"/>
  <c r="K47" i="9"/>
  <c r="J47" i="9"/>
  <c r="C47" i="9"/>
  <c r="H47" i="9" s="1"/>
  <c r="AM46" i="9"/>
  <c r="AL46" i="9"/>
  <c r="AK46" i="9"/>
  <c r="AJ46" i="9"/>
  <c r="AI46" i="9"/>
  <c r="AH46" i="9"/>
  <c r="AG46" i="9"/>
  <c r="AF46" i="9"/>
  <c r="AE46" i="9"/>
  <c r="AD46" i="9"/>
  <c r="AC46" i="9"/>
  <c r="AB46" i="9"/>
  <c r="AA46" i="9"/>
  <c r="Z46" i="9"/>
  <c r="Y46" i="9"/>
  <c r="X46" i="9"/>
  <c r="W46" i="9"/>
  <c r="V46" i="9"/>
  <c r="U46" i="9"/>
  <c r="T46" i="9"/>
  <c r="S46" i="9"/>
  <c r="R46" i="9"/>
  <c r="Q46" i="9"/>
  <c r="P46" i="9"/>
  <c r="O46" i="9"/>
  <c r="N46" i="9"/>
  <c r="M46" i="9"/>
  <c r="L46" i="9"/>
  <c r="K46" i="9"/>
  <c r="J46" i="9"/>
  <c r="C46" i="9"/>
  <c r="I46" i="9" s="1"/>
  <c r="AM45" i="9"/>
  <c r="AL45" i="9"/>
  <c r="AK45" i="9"/>
  <c r="AJ45" i="9"/>
  <c r="AI45" i="9"/>
  <c r="AH45" i="9"/>
  <c r="AG45" i="9"/>
  <c r="AF45" i="9"/>
  <c r="AE45" i="9"/>
  <c r="AD45" i="9"/>
  <c r="AC45" i="9"/>
  <c r="AB45" i="9"/>
  <c r="AA45" i="9"/>
  <c r="Z45" i="9"/>
  <c r="Y45" i="9"/>
  <c r="X45" i="9"/>
  <c r="W45" i="9"/>
  <c r="V45" i="9"/>
  <c r="U45" i="9"/>
  <c r="T45" i="9"/>
  <c r="S45" i="9"/>
  <c r="R45" i="9"/>
  <c r="Q45" i="9"/>
  <c r="P45" i="9"/>
  <c r="O45" i="9"/>
  <c r="N45" i="9"/>
  <c r="M45" i="9"/>
  <c r="L45" i="9"/>
  <c r="K45" i="9"/>
  <c r="J45" i="9"/>
  <c r="C45" i="9"/>
  <c r="I45" i="9" s="1"/>
  <c r="AM44" i="9"/>
  <c r="AL44" i="9"/>
  <c r="AK44" i="9"/>
  <c r="AJ44" i="9"/>
  <c r="AI44" i="9"/>
  <c r="AH44" i="9"/>
  <c r="AG44" i="9"/>
  <c r="AF44" i="9"/>
  <c r="AE44" i="9"/>
  <c r="AD44" i="9"/>
  <c r="AC44" i="9"/>
  <c r="AB44" i="9"/>
  <c r="AA44" i="9"/>
  <c r="Z44" i="9"/>
  <c r="Y44" i="9"/>
  <c r="X44" i="9"/>
  <c r="W44" i="9"/>
  <c r="V44" i="9"/>
  <c r="U44" i="9"/>
  <c r="T44" i="9"/>
  <c r="S44" i="9"/>
  <c r="R44" i="9"/>
  <c r="Q44" i="9"/>
  <c r="P44" i="9"/>
  <c r="O44" i="9"/>
  <c r="N44" i="9"/>
  <c r="M44" i="9"/>
  <c r="L44" i="9"/>
  <c r="K44" i="9"/>
  <c r="J44" i="9"/>
  <c r="C44" i="9"/>
  <c r="I44" i="9" s="1"/>
  <c r="AM43" i="9"/>
  <c r="AL43" i="9"/>
  <c r="AK43" i="9"/>
  <c r="AJ43" i="9"/>
  <c r="AI43" i="9"/>
  <c r="AH43" i="9"/>
  <c r="AG43" i="9"/>
  <c r="AF43" i="9"/>
  <c r="AE43" i="9"/>
  <c r="AD43" i="9"/>
  <c r="AC43" i="9"/>
  <c r="AB43" i="9"/>
  <c r="AA43" i="9"/>
  <c r="Z43" i="9"/>
  <c r="Y43" i="9"/>
  <c r="X43" i="9"/>
  <c r="W43" i="9"/>
  <c r="V43" i="9"/>
  <c r="U43" i="9"/>
  <c r="T43" i="9"/>
  <c r="S43" i="9"/>
  <c r="R43" i="9"/>
  <c r="Q43" i="9"/>
  <c r="P43" i="9"/>
  <c r="O43" i="9"/>
  <c r="N43" i="9"/>
  <c r="M43" i="9"/>
  <c r="L43" i="9"/>
  <c r="K43" i="9"/>
  <c r="J43" i="9"/>
  <c r="C43" i="9"/>
  <c r="I43" i="9" s="1"/>
  <c r="AM42" i="9"/>
  <c r="AL42" i="9"/>
  <c r="AK42" i="9"/>
  <c r="AJ42" i="9"/>
  <c r="AI42" i="9"/>
  <c r="AH42" i="9"/>
  <c r="AG42" i="9"/>
  <c r="AF42" i="9"/>
  <c r="AE42" i="9"/>
  <c r="AD42" i="9"/>
  <c r="AC42" i="9"/>
  <c r="AB42" i="9"/>
  <c r="AA42" i="9"/>
  <c r="Z42" i="9"/>
  <c r="Y42" i="9"/>
  <c r="X42" i="9"/>
  <c r="W42" i="9"/>
  <c r="V42" i="9"/>
  <c r="U42" i="9"/>
  <c r="T42" i="9"/>
  <c r="S42" i="9"/>
  <c r="R42" i="9"/>
  <c r="Q42" i="9"/>
  <c r="P42" i="9"/>
  <c r="O42" i="9"/>
  <c r="N42" i="9"/>
  <c r="M42" i="9"/>
  <c r="L42" i="9"/>
  <c r="K42" i="9"/>
  <c r="J42" i="9"/>
  <c r="C42" i="9"/>
  <c r="F42" i="9" s="1"/>
  <c r="AM41" i="9"/>
  <c r="AL41" i="9"/>
  <c r="AK41" i="9"/>
  <c r="AJ41" i="9"/>
  <c r="AI41" i="9"/>
  <c r="AH41" i="9"/>
  <c r="AG41" i="9"/>
  <c r="AF41" i="9"/>
  <c r="AE41" i="9"/>
  <c r="AD41" i="9"/>
  <c r="AC41" i="9"/>
  <c r="AB41" i="9"/>
  <c r="AA41" i="9"/>
  <c r="Z41" i="9"/>
  <c r="Y41" i="9"/>
  <c r="X41" i="9"/>
  <c r="W41" i="9"/>
  <c r="V41" i="9"/>
  <c r="U41" i="9"/>
  <c r="T41" i="9"/>
  <c r="S41" i="9"/>
  <c r="R41" i="9"/>
  <c r="Q41" i="9"/>
  <c r="P41" i="9"/>
  <c r="O41" i="9"/>
  <c r="N41" i="9"/>
  <c r="M41" i="9"/>
  <c r="L41" i="9"/>
  <c r="K41" i="9"/>
  <c r="J41" i="9"/>
  <c r="C41" i="9"/>
  <c r="F41" i="9" s="1"/>
  <c r="AM40" i="9"/>
  <c r="AL40" i="9"/>
  <c r="AK40" i="9"/>
  <c r="AJ40" i="9"/>
  <c r="AI40" i="9"/>
  <c r="AH40" i="9"/>
  <c r="AG40" i="9"/>
  <c r="AF40" i="9"/>
  <c r="AE40" i="9"/>
  <c r="AD40" i="9"/>
  <c r="AC40" i="9"/>
  <c r="AB40" i="9"/>
  <c r="AA40" i="9"/>
  <c r="Z40" i="9"/>
  <c r="Y40" i="9"/>
  <c r="X40" i="9"/>
  <c r="W40" i="9"/>
  <c r="V40" i="9"/>
  <c r="U40" i="9"/>
  <c r="T40" i="9"/>
  <c r="S40" i="9"/>
  <c r="R40" i="9"/>
  <c r="Q40" i="9"/>
  <c r="P40" i="9"/>
  <c r="O40" i="9"/>
  <c r="N40" i="9"/>
  <c r="M40" i="9"/>
  <c r="L40" i="9"/>
  <c r="K40" i="9"/>
  <c r="J40" i="9"/>
  <c r="C40" i="9"/>
  <c r="F40" i="9" s="1"/>
  <c r="AM39" i="9"/>
  <c r="AL39" i="9"/>
  <c r="AK39" i="9"/>
  <c r="AJ39" i="9"/>
  <c r="AI39" i="9"/>
  <c r="AH39" i="9"/>
  <c r="AG39" i="9"/>
  <c r="AF39" i="9"/>
  <c r="AE39" i="9"/>
  <c r="AD39" i="9"/>
  <c r="AC39" i="9"/>
  <c r="AB39" i="9"/>
  <c r="AA39" i="9"/>
  <c r="Z39" i="9"/>
  <c r="Y39" i="9"/>
  <c r="X39" i="9"/>
  <c r="W39" i="9"/>
  <c r="V39" i="9"/>
  <c r="U39" i="9"/>
  <c r="T39" i="9"/>
  <c r="S39" i="9"/>
  <c r="R39" i="9"/>
  <c r="Q39" i="9"/>
  <c r="P39" i="9"/>
  <c r="O39" i="9"/>
  <c r="N39" i="9"/>
  <c r="M39" i="9"/>
  <c r="L39" i="9"/>
  <c r="K39" i="9"/>
  <c r="J39" i="9"/>
  <c r="C39" i="9"/>
  <c r="H39" i="9" s="1"/>
  <c r="AM38" i="9"/>
  <c r="AL38" i="9"/>
  <c r="AK38" i="9"/>
  <c r="AJ38" i="9"/>
  <c r="AI38" i="9"/>
  <c r="AH38" i="9"/>
  <c r="AG38" i="9"/>
  <c r="AF38" i="9"/>
  <c r="AE38" i="9"/>
  <c r="AD38" i="9"/>
  <c r="AC38" i="9"/>
  <c r="AB38" i="9"/>
  <c r="AA38" i="9"/>
  <c r="Z38" i="9"/>
  <c r="Y38" i="9"/>
  <c r="X38" i="9"/>
  <c r="W38" i="9"/>
  <c r="V38" i="9"/>
  <c r="U38" i="9"/>
  <c r="T38" i="9"/>
  <c r="S38" i="9"/>
  <c r="R38" i="9"/>
  <c r="Q38" i="9"/>
  <c r="P38" i="9"/>
  <c r="O38" i="9"/>
  <c r="N38" i="9"/>
  <c r="M38" i="9"/>
  <c r="L38" i="9"/>
  <c r="K38" i="9"/>
  <c r="J38" i="9"/>
  <c r="C38" i="9"/>
  <c r="I38" i="9" s="1"/>
  <c r="AM37" i="9"/>
  <c r="AL37" i="9"/>
  <c r="AK37" i="9"/>
  <c r="AJ37" i="9"/>
  <c r="AI37" i="9"/>
  <c r="AH37" i="9"/>
  <c r="AG37" i="9"/>
  <c r="AF37" i="9"/>
  <c r="AE37" i="9"/>
  <c r="AD37" i="9"/>
  <c r="AC37" i="9"/>
  <c r="AB37" i="9"/>
  <c r="AA37" i="9"/>
  <c r="Z37" i="9"/>
  <c r="Y37" i="9"/>
  <c r="X37" i="9"/>
  <c r="W37" i="9"/>
  <c r="V37" i="9"/>
  <c r="U37" i="9"/>
  <c r="T37" i="9"/>
  <c r="S37" i="9"/>
  <c r="R37" i="9"/>
  <c r="Q37" i="9"/>
  <c r="P37" i="9"/>
  <c r="O37" i="9"/>
  <c r="N37" i="9"/>
  <c r="M37" i="9"/>
  <c r="L37" i="9"/>
  <c r="K37" i="9"/>
  <c r="J37" i="9"/>
  <c r="C37" i="9"/>
  <c r="I37" i="9" s="1"/>
  <c r="AM36" i="9"/>
  <c r="AL36" i="9"/>
  <c r="AK36" i="9"/>
  <c r="AJ36" i="9"/>
  <c r="AI36" i="9"/>
  <c r="AH36" i="9"/>
  <c r="AG36" i="9"/>
  <c r="AF36" i="9"/>
  <c r="AE36" i="9"/>
  <c r="AD36" i="9"/>
  <c r="AC36" i="9"/>
  <c r="AB36" i="9"/>
  <c r="AA36" i="9"/>
  <c r="Z36" i="9"/>
  <c r="Y36" i="9"/>
  <c r="X36" i="9"/>
  <c r="W36" i="9"/>
  <c r="V36" i="9"/>
  <c r="U36" i="9"/>
  <c r="T36" i="9"/>
  <c r="S36" i="9"/>
  <c r="R36" i="9"/>
  <c r="Q36" i="9"/>
  <c r="P36" i="9"/>
  <c r="O36" i="9"/>
  <c r="N36" i="9"/>
  <c r="M36" i="9"/>
  <c r="L36" i="9"/>
  <c r="K36" i="9"/>
  <c r="J36" i="9"/>
  <c r="C36" i="9"/>
  <c r="H36" i="9" s="1"/>
  <c r="AM35" i="9"/>
  <c r="AL35" i="9"/>
  <c r="AK35" i="9"/>
  <c r="AJ35" i="9"/>
  <c r="AI35" i="9"/>
  <c r="AH35" i="9"/>
  <c r="AG35" i="9"/>
  <c r="AF35" i="9"/>
  <c r="AE35" i="9"/>
  <c r="AD35" i="9"/>
  <c r="AC35" i="9"/>
  <c r="AB35" i="9"/>
  <c r="AA35" i="9"/>
  <c r="Z35" i="9"/>
  <c r="Y35" i="9"/>
  <c r="X35" i="9"/>
  <c r="W35" i="9"/>
  <c r="V35" i="9"/>
  <c r="U35" i="9"/>
  <c r="T35" i="9"/>
  <c r="S35" i="9"/>
  <c r="R35" i="9"/>
  <c r="Q35" i="9"/>
  <c r="P35" i="9"/>
  <c r="O35" i="9"/>
  <c r="N35" i="9"/>
  <c r="M35" i="9"/>
  <c r="L35" i="9"/>
  <c r="K35" i="9"/>
  <c r="J35" i="9"/>
  <c r="C35" i="9"/>
  <c r="I35" i="9" s="1"/>
  <c r="AM34" i="9"/>
  <c r="AL34" i="9"/>
  <c r="AK34" i="9"/>
  <c r="AJ34" i="9"/>
  <c r="AI34" i="9"/>
  <c r="AH34" i="9"/>
  <c r="AG34" i="9"/>
  <c r="AF34" i="9"/>
  <c r="AE34" i="9"/>
  <c r="AD34" i="9"/>
  <c r="AC34" i="9"/>
  <c r="AB34" i="9"/>
  <c r="AA34" i="9"/>
  <c r="Z34" i="9"/>
  <c r="Y34" i="9"/>
  <c r="X34" i="9"/>
  <c r="W34" i="9"/>
  <c r="V34" i="9"/>
  <c r="U34" i="9"/>
  <c r="T34" i="9"/>
  <c r="S34" i="9"/>
  <c r="R34" i="9"/>
  <c r="Q34" i="9"/>
  <c r="P34" i="9"/>
  <c r="O34" i="9"/>
  <c r="N34" i="9"/>
  <c r="M34" i="9"/>
  <c r="L34" i="9"/>
  <c r="K34" i="9"/>
  <c r="J34" i="9"/>
  <c r="C34" i="9"/>
  <c r="F34" i="9" s="1"/>
  <c r="AM33" i="9"/>
  <c r="AL33" i="9"/>
  <c r="AK33" i="9"/>
  <c r="AJ33" i="9"/>
  <c r="AI33" i="9"/>
  <c r="AH33" i="9"/>
  <c r="AG33" i="9"/>
  <c r="AF33" i="9"/>
  <c r="AE33" i="9"/>
  <c r="AD33" i="9"/>
  <c r="AC33" i="9"/>
  <c r="AB33" i="9"/>
  <c r="AA33" i="9"/>
  <c r="Z33" i="9"/>
  <c r="Y33" i="9"/>
  <c r="X33" i="9"/>
  <c r="W33" i="9"/>
  <c r="V33" i="9"/>
  <c r="U33" i="9"/>
  <c r="T33" i="9"/>
  <c r="S33" i="9"/>
  <c r="R33" i="9"/>
  <c r="Q33" i="9"/>
  <c r="P33" i="9"/>
  <c r="O33" i="9"/>
  <c r="N33" i="9"/>
  <c r="M33" i="9"/>
  <c r="L33" i="9"/>
  <c r="K33" i="9"/>
  <c r="J33" i="9"/>
  <c r="C33" i="9"/>
  <c r="F33" i="9" s="1"/>
  <c r="AM32" i="9"/>
  <c r="AL32" i="9"/>
  <c r="AK32" i="9"/>
  <c r="AJ32" i="9"/>
  <c r="AI32" i="9"/>
  <c r="AH32" i="9"/>
  <c r="AG32" i="9"/>
  <c r="AF32" i="9"/>
  <c r="AE32" i="9"/>
  <c r="AD32" i="9"/>
  <c r="AC32" i="9"/>
  <c r="AB32" i="9"/>
  <c r="AA32" i="9"/>
  <c r="Z32" i="9"/>
  <c r="Y32" i="9"/>
  <c r="X32" i="9"/>
  <c r="W32" i="9"/>
  <c r="V32" i="9"/>
  <c r="U32" i="9"/>
  <c r="T32" i="9"/>
  <c r="S32" i="9"/>
  <c r="R32" i="9"/>
  <c r="Q32" i="9"/>
  <c r="P32" i="9"/>
  <c r="O32" i="9"/>
  <c r="N32" i="9"/>
  <c r="M32" i="9"/>
  <c r="L32" i="9"/>
  <c r="K32" i="9"/>
  <c r="J32" i="9"/>
  <c r="C32" i="9"/>
  <c r="I32" i="9" s="1"/>
  <c r="AM31" i="9"/>
  <c r="AL31" i="9"/>
  <c r="AK31" i="9"/>
  <c r="AJ31" i="9"/>
  <c r="AI31" i="9"/>
  <c r="AH31" i="9"/>
  <c r="AG31" i="9"/>
  <c r="AF31" i="9"/>
  <c r="AE31" i="9"/>
  <c r="AD31" i="9"/>
  <c r="AC31" i="9"/>
  <c r="AB31" i="9"/>
  <c r="AA31" i="9"/>
  <c r="Z31" i="9"/>
  <c r="Y31" i="9"/>
  <c r="X31" i="9"/>
  <c r="W31" i="9"/>
  <c r="V31" i="9"/>
  <c r="U31" i="9"/>
  <c r="T31" i="9"/>
  <c r="S31" i="9"/>
  <c r="R31" i="9"/>
  <c r="Q31" i="9"/>
  <c r="P31" i="9"/>
  <c r="O31" i="9"/>
  <c r="N31" i="9"/>
  <c r="M31" i="9"/>
  <c r="L31" i="9"/>
  <c r="K31" i="9"/>
  <c r="J31" i="9"/>
  <c r="C31" i="9"/>
  <c r="I31" i="9" s="1"/>
  <c r="AM30" i="9"/>
  <c r="AL30" i="9"/>
  <c r="AK30" i="9"/>
  <c r="AJ30" i="9"/>
  <c r="AI30" i="9"/>
  <c r="AH30" i="9"/>
  <c r="AG30" i="9"/>
  <c r="AF30" i="9"/>
  <c r="AE30" i="9"/>
  <c r="AD30" i="9"/>
  <c r="AC30" i="9"/>
  <c r="AB30" i="9"/>
  <c r="AA30" i="9"/>
  <c r="Z30" i="9"/>
  <c r="Y30" i="9"/>
  <c r="X30" i="9"/>
  <c r="W30" i="9"/>
  <c r="V30" i="9"/>
  <c r="U30" i="9"/>
  <c r="T30" i="9"/>
  <c r="S30" i="9"/>
  <c r="R30" i="9"/>
  <c r="Q30" i="9"/>
  <c r="P30" i="9"/>
  <c r="O30" i="9"/>
  <c r="N30" i="9"/>
  <c r="M30" i="9"/>
  <c r="L30" i="9"/>
  <c r="K30" i="9"/>
  <c r="J30" i="9"/>
  <c r="C30" i="9"/>
  <c r="I30" i="9" s="1"/>
  <c r="AM29" i="9"/>
  <c r="AL29" i="9"/>
  <c r="AK29" i="9"/>
  <c r="AJ29" i="9"/>
  <c r="AI29" i="9"/>
  <c r="AH29" i="9"/>
  <c r="AG29" i="9"/>
  <c r="AF29" i="9"/>
  <c r="AE29" i="9"/>
  <c r="AD29" i="9"/>
  <c r="AC29" i="9"/>
  <c r="AB29" i="9"/>
  <c r="AA29" i="9"/>
  <c r="Z29" i="9"/>
  <c r="Y29" i="9"/>
  <c r="X29" i="9"/>
  <c r="W29" i="9"/>
  <c r="V29" i="9"/>
  <c r="U29" i="9"/>
  <c r="T29" i="9"/>
  <c r="S29" i="9"/>
  <c r="R29" i="9"/>
  <c r="Q29" i="9"/>
  <c r="P29" i="9"/>
  <c r="O29" i="9"/>
  <c r="N29" i="9"/>
  <c r="M29" i="9"/>
  <c r="L29" i="9"/>
  <c r="K29" i="9"/>
  <c r="J29" i="9"/>
  <c r="C29" i="9"/>
  <c r="I29" i="9" s="1"/>
  <c r="AM28" i="9"/>
  <c r="AL28" i="9"/>
  <c r="AK28" i="9"/>
  <c r="AJ28" i="9"/>
  <c r="AI28" i="9"/>
  <c r="AH28" i="9"/>
  <c r="AG28" i="9"/>
  <c r="AF28" i="9"/>
  <c r="AE28" i="9"/>
  <c r="AD28" i="9"/>
  <c r="AC28" i="9"/>
  <c r="AB28" i="9"/>
  <c r="AA28" i="9"/>
  <c r="Z28" i="9"/>
  <c r="Y28" i="9"/>
  <c r="X28" i="9"/>
  <c r="W28" i="9"/>
  <c r="V28" i="9"/>
  <c r="U28" i="9"/>
  <c r="T28" i="9"/>
  <c r="S28" i="9"/>
  <c r="R28" i="9"/>
  <c r="Q28" i="9"/>
  <c r="P28" i="9"/>
  <c r="O28" i="9"/>
  <c r="N28" i="9"/>
  <c r="M28" i="9"/>
  <c r="L28" i="9"/>
  <c r="K28" i="9"/>
  <c r="J28" i="9"/>
  <c r="C28" i="9"/>
  <c r="H28" i="9" s="1"/>
  <c r="AM27" i="9"/>
  <c r="AL27" i="9"/>
  <c r="AK27" i="9"/>
  <c r="AJ27" i="9"/>
  <c r="AI27" i="9"/>
  <c r="AH27" i="9"/>
  <c r="AG27" i="9"/>
  <c r="AF27" i="9"/>
  <c r="AE27" i="9"/>
  <c r="AD27" i="9"/>
  <c r="AC27" i="9"/>
  <c r="AB27" i="9"/>
  <c r="AA27" i="9"/>
  <c r="Z27" i="9"/>
  <c r="Y27" i="9"/>
  <c r="X27" i="9"/>
  <c r="W27" i="9"/>
  <c r="V27" i="9"/>
  <c r="U27" i="9"/>
  <c r="T27" i="9"/>
  <c r="S27" i="9"/>
  <c r="R27" i="9"/>
  <c r="Q27" i="9"/>
  <c r="P27" i="9"/>
  <c r="O27" i="9"/>
  <c r="N27" i="9"/>
  <c r="M27" i="9"/>
  <c r="L27" i="9"/>
  <c r="K27" i="9"/>
  <c r="J27" i="9"/>
  <c r="C27" i="9"/>
  <c r="I27" i="9" s="1"/>
  <c r="AM26" i="9"/>
  <c r="AL26" i="9"/>
  <c r="AK26" i="9"/>
  <c r="AJ26" i="9"/>
  <c r="AI26" i="9"/>
  <c r="AH26" i="9"/>
  <c r="AG26" i="9"/>
  <c r="AF26" i="9"/>
  <c r="AE26" i="9"/>
  <c r="AD26" i="9"/>
  <c r="AC26" i="9"/>
  <c r="AB26" i="9"/>
  <c r="AA26" i="9"/>
  <c r="Z26" i="9"/>
  <c r="Y26" i="9"/>
  <c r="X26" i="9"/>
  <c r="W26" i="9"/>
  <c r="V26" i="9"/>
  <c r="U26" i="9"/>
  <c r="T26" i="9"/>
  <c r="S26" i="9"/>
  <c r="R26" i="9"/>
  <c r="Q26" i="9"/>
  <c r="P26" i="9"/>
  <c r="O26" i="9"/>
  <c r="N26" i="9"/>
  <c r="M26" i="9"/>
  <c r="L26" i="9"/>
  <c r="K26" i="9"/>
  <c r="J26" i="9"/>
  <c r="C26" i="9"/>
  <c r="D26" i="9" s="1"/>
  <c r="AM25" i="9"/>
  <c r="AL25" i="9"/>
  <c r="AK25" i="9"/>
  <c r="AJ25" i="9"/>
  <c r="AI25" i="9"/>
  <c r="AH25" i="9"/>
  <c r="AG25" i="9"/>
  <c r="AF25" i="9"/>
  <c r="AE25" i="9"/>
  <c r="AD25" i="9"/>
  <c r="AC25" i="9"/>
  <c r="AB25" i="9"/>
  <c r="AA25" i="9"/>
  <c r="Z25" i="9"/>
  <c r="Y25" i="9"/>
  <c r="X25" i="9"/>
  <c r="W25" i="9"/>
  <c r="V25" i="9"/>
  <c r="U25" i="9"/>
  <c r="T25" i="9"/>
  <c r="S25" i="9"/>
  <c r="R25" i="9"/>
  <c r="Q25" i="9"/>
  <c r="P25" i="9"/>
  <c r="O25" i="9"/>
  <c r="N25" i="9"/>
  <c r="M25" i="9"/>
  <c r="L25" i="9"/>
  <c r="K25" i="9"/>
  <c r="J25" i="9"/>
  <c r="C25" i="9"/>
  <c r="F25" i="9" s="1"/>
  <c r="AM24" i="9"/>
  <c r="AL24" i="9"/>
  <c r="AK24" i="9"/>
  <c r="AJ24" i="9"/>
  <c r="AI24" i="9"/>
  <c r="AH24" i="9"/>
  <c r="AG24" i="9"/>
  <c r="AF24" i="9"/>
  <c r="AE24" i="9"/>
  <c r="AD24" i="9"/>
  <c r="AC24" i="9"/>
  <c r="AB24" i="9"/>
  <c r="AA24" i="9"/>
  <c r="Z24" i="9"/>
  <c r="Y24" i="9"/>
  <c r="X24" i="9"/>
  <c r="W24" i="9"/>
  <c r="V24" i="9"/>
  <c r="U24" i="9"/>
  <c r="T24" i="9"/>
  <c r="S24" i="9"/>
  <c r="R24" i="9"/>
  <c r="Q24" i="9"/>
  <c r="P24" i="9"/>
  <c r="O24" i="9"/>
  <c r="N24" i="9"/>
  <c r="M24" i="9"/>
  <c r="L24" i="9"/>
  <c r="K24" i="9"/>
  <c r="J24" i="9"/>
  <c r="C24" i="9"/>
  <c r="I24" i="9" s="1"/>
  <c r="AM23" i="9"/>
  <c r="AL23" i="9"/>
  <c r="AK23" i="9"/>
  <c r="AJ23" i="9"/>
  <c r="AI23" i="9"/>
  <c r="AH23" i="9"/>
  <c r="AG23" i="9"/>
  <c r="AF23" i="9"/>
  <c r="AE23" i="9"/>
  <c r="AD23" i="9"/>
  <c r="AC23" i="9"/>
  <c r="AB23" i="9"/>
  <c r="AA23" i="9"/>
  <c r="Z23" i="9"/>
  <c r="Y23" i="9"/>
  <c r="X23" i="9"/>
  <c r="W23" i="9"/>
  <c r="V23" i="9"/>
  <c r="U23" i="9"/>
  <c r="T23" i="9"/>
  <c r="S23" i="9"/>
  <c r="R23" i="9"/>
  <c r="Q23" i="9"/>
  <c r="P23" i="9"/>
  <c r="O23" i="9"/>
  <c r="N23" i="9"/>
  <c r="M23" i="9"/>
  <c r="L23" i="9"/>
  <c r="K23" i="9"/>
  <c r="J23" i="9"/>
  <c r="C23" i="9"/>
  <c r="I23" i="9" s="1"/>
  <c r="AM22" i="9"/>
  <c r="AL22" i="9"/>
  <c r="AK22" i="9"/>
  <c r="AJ22" i="9"/>
  <c r="AI22" i="9"/>
  <c r="AH22" i="9"/>
  <c r="AG22" i="9"/>
  <c r="AF22" i="9"/>
  <c r="AE22" i="9"/>
  <c r="AD22" i="9"/>
  <c r="AC22" i="9"/>
  <c r="AB22" i="9"/>
  <c r="AA22" i="9"/>
  <c r="Z22" i="9"/>
  <c r="Y22" i="9"/>
  <c r="X22" i="9"/>
  <c r="W22" i="9"/>
  <c r="V22" i="9"/>
  <c r="U22" i="9"/>
  <c r="T22" i="9"/>
  <c r="S22" i="9"/>
  <c r="R22" i="9"/>
  <c r="Q22" i="9"/>
  <c r="P22" i="9"/>
  <c r="O22" i="9"/>
  <c r="N22" i="9"/>
  <c r="M22" i="9"/>
  <c r="L22" i="9"/>
  <c r="K22" i="9"/>
  <c r="J22" i="9"/>
  <c r="C22" i="9"/>
  <c r="I22" i="9" s="1"/>
  <c r="AM21" i="9"/>
  <c r="AL21" i="9"/>
  <c r="AK21" i="9"/>
  <c r="AJ21" i="9"/>
  <c r="AI21" i="9"/>
  <c r="AH21" i="9"/>
  <c r="AG21" i="9"/>
  <c r="AF21" i="9"/>
  <c r="AE21" i="9"/>
  <c r="AD21" i="9"/>
  <c r="AC21" i="9"/>
  <c r="AB21" i="9"/>
  <c r="AA21" i="9"/>
  <c r="Z21" i="9"/>
  <c r="Y21" i="9"/>
  <c r="X21" i="9"/>
  <c r="W21" i="9"/>
  <c r="V21" i="9"/>
  <c r="U21" i="9"/>
  <c r="T21" i="9"/>
  <c r="S21" i="9"/>
  <c r="R21" i="9"/>
  <c r="Q21" i="9"/>
  <c r="P21" i="9"/>
  <c r="O21" i="9"/>
  <c r="N21" i="9"/>
  <c r="M21" i="9"/>
  <c r="L21" i="9"/>
  <c r="K21" i="9"/>
  <c r="J21" i="9"/>
  <c r="C21" i="9"/>
  <c r="D21" i="9" s="1"/>
  <c r="AM20" i="9"/>
  <c r="AL20" i="9"/>
  <c r="AK20" i="9"/>
  <c r="AJ20" i="9"/>
  <c r="AI20" i="9"/>
  <c r="AH20" i="9"/>
  <c r="AG20" i="9"/>
  <c r="AF20" i="9"/>
  <c r="AE20" i="9"/>
  <c r="AD20" i="9"/>
  <c r="AC20" i="9"/>
  <c r="AB20" i="9"/>
  <c r="AA20" i="9"/>
  <c r="Z20" i="9"/>
  <c r="Y20" i="9"/>
  <c r="X20" i="9"/>
  <c r="W20" i="9"/>
  <c r="V20" i="9"/>
  <c r="U20" i="9"/>
  <c r="T20" i="9"/>
  <c r="S20" i="9"/>
  <c r="R20" i="9"/>
  <c r="Q20" i="9"/>
  <c r="P20" i="9"/>
  <c r="O20" i="9"/>
  <c r="N20" i="9"/>
  <c r="M20" i="9"/>
  <c r="L20" i="9"/>
  <c r="K20" i="9"/>
  <c r="J20" i="9"/>
  <c r="C20" i="9"/>
  <c r="I20" i="9" s="1"/>
  <c r="AM19" i="9"/>
  <c r="AL19" i="9"/>
  <c r="AK19" i="9"/>
  <c r="AJ19" i="9"/>
  <c r="AI19" i="9"/>
  <c r="AH19" i="9"/>
  <c r="AG19" i="9"/>
  <c r="AF19" i="9"/>
  <c r="AE19" i="9"/>
  <c r="AD19" i="9"/>
  <c r="AC19" i="9"/>
  <c r="AB19" i="9"/>
  <c r="AA19" i="9"/>
  <c r="Z19" i="9"/>
  <c r="Y19" i="9"/>
  <c r="X19" i="9"/>
  <c r="W19" i="9"/>
  <c r="V19" i="9"/>
  <c r="U19" i="9"/>
  <c r="T19" i="9"/>
  <c r="S19" i="9"/>
  <c r="R19" i="9"/>
  <c r="Q19" i="9"/>
  <c r="P19" i="9"/>
  <c r="O19" i="9"/>
  <c r="N19" i="9"/>
  <c r="M19" i="9"/>
  <c r="L19" i="9"/>
  <c r="K19" i="9"/>
  <c r="J19" i="9"/>
  <c r="C19" i="9"/>
  <c r="I19" i="9" s="1"/>
  <c r="AM18" i="9"/>
  <c r="AL18" i="9"/>
  <c r="AK18" i="9"/>
  <c r="AJ18" i="9"/>
  <c r="AI18" i="9"/>
  <c r="AH18" i="9"/>
  <c r="AG18" i="9"/>
  <c r="AF18" i="9"/>
  <c r="AE18" i="9"/>
  <c r="AD18" i="9"/>
  <c r="AC18" i="9"/>
  <c r="AB18" i="9"/>
  <c r="AA18" i="9"/>
  <c r="Z18" i="9"/>
  <c r="Y18" i="9"/>
  <c r="X18" i="9"/>
  <c r="W18" i="9"/>
  <c r="V18" i="9"/>
  <c r="U18" i="9"/>
  <c r="T18" i="9"/>
  <c r="S18" i="9"/>
  <c r="R18" i="9"/>
  <c r="Q18" i="9"/>
  <c r="P18" i="9"/>
  <c r="O18" i="9"/>
  <c r="N18" i="9"/>
  <c r="M18" i="9"/>
  <c r="L18" i="9"/>
  <c r="K18" i="9"/>
  <c r="J18" i="9"/>
  <c r="C18" i="9"/>
  <c r="D18" i="9" s="1"/>
  <c r="AM17" i="9"/>
  <c r="AL17" i="9"/>
  <c r="AK17" i="9"/>
  <c r="AJ17" i="9"/>
  <c r="AI17" i="9"/>
  <c r="AH17" i="9"/>
  <c r="AG17" i="9"/>
  <c r="AF17" i="9"/>
  <c r="AE17" i="9"/>
  <c r="AD17" i="9"/>
  <c r="AC17" i="9"/>
  <c r="AB17" i="9"/>
  <c r="AA17" i="9"/>
  <c r="Z17" i="9"/>
  <c r="Y17" i="9"/>
  <c r="X17" i="9"/>
  <c r="W17" i="9"/>
  <c r="V17" i="9"/>
  <c r="U17" i="9"/>
  <c r="T17" i="9"/>
  <c r="S17" i="9"/>
  <c r="R17" i="9"/>
  <c r="Q17" i="9"/>
  <c r="P17" i="9"/>
  <c r="O17" i="9"/>
  <c r="N17" i="9"/>
  <c r="M17" i="9"/>
  <c r="L17" i="9"/>
  <c r="K17" i="9"/>
  <c r="J17" i="9"/>
  <c r="C17" i="9"/>
  <c r="F17" i="9" s="1"/>
  <c r="AM16" i="9"/>
  <c r="AL16" i="9"/>
  <c r="AK16" i="9"/>
  <c r="AJ16" i="9"/>
  <c r="AI16" i="9"/>
  <c r="AH16" i="9"/>
  <c r="AG16" i="9"/>
  <c r="AF16" i="9"/>
  <c r="AE16" i="9"/>
  <c r="AD16" i="9"/>
  <c r="AC16" i="9"/>
  <c r="AB16" i="9"/>
  <c r="AA16" i="9"/>
  <c r="Z16" i="9"/>
  <c r="Y16" i="9"/>
  <c r="X16" i="9"/>
  <c r="W16" i="9"/>
  <c r="V16" i="9"/>
  <c r="U16" i="9"/>
  <c r="T16" i="9"/>
  <c r="S16" i="9"/>
  <c r="R16" i="9"/>
  <c r="Q16" i="9"/>
  <c r="P16" i="9"/>
  <c r="O16" i="9"/>
  <c r="N16" i="9"/>
  <c r="M16" i="9"/>
  <c r="L16" i="9"/>
  <c r="K16" i="9"/>
  <c r="J16" i="9"/>
  <c r="C16" i="9"/>
  <c r="I16" i="9" s="1"/>
  <c r="AM15" i="9"/>
  <c r="AL15" i="9"/>
  <c r="AK15" i="9"/>
  <c r="AJ15" i="9"/>
  <c r="AI15" i="9"/>
  <c r="AH15" i="9"/>
  <c r="AG15" i="9"/>
  <c r="AF15" i="9"/>
  <c r="AE15" i="9"/>
  <c r="AD15" i="9"/>
  <c r="AC15" i="9"/>
  <c r="AB15" i="9"/>
  <c r="AA15" i="9"/>
  <c r="Z15" i="9"/>
  <c r="Y15" i="9"/>
  <c r="X15" i="9"/>
  <c r="W15" i="9"/>
  <c r="V15" i="9"/>
  <c r="U15" i="9"/>
  <c r="T15" i="9"/>
  <c r="S15" i="9"/>
  <c r="R15" i="9"/>
  <c r="Q15" i="9"/>
  <c r="P15" i="9"/>
  <c r="O15" i="9"/>
  <c r="N15" i="9"/>
  <c r="M15" i="9"/>
  <c r="L15" i="9"/>
  <c r="K15" i="9"/>
  <c r="J15" i="9"/>
  <c r="C15" i="9"/>
  <c r="D15" i="9" s="1"/>
  <c r="AM14" i="9"/>
  <c r="AL14" i="9"/>
  <c r="AK14" i="9"/>
  <c r="AJ14" i="9"/>
  <c r="AI14" i="9"/>
  <c r="AH14" i="9"/>
  <c r="AG14" i="9"/>
  <c r="AF14" i="9"/>
  <c r="AE14" i="9"/>
  <c r="AD14" i="9"/>
  <c r="AC14" i="9"/>
  <c r="AB14" i="9"/>
  <c r="AA14" i="9"/>
  <c r="Z14" i="9"/>
  <c r="Y14" i="9"/>
  <c r="X14" i="9"/>
  <c r="W14" i="9"/>
  <c r="V14" i="9"/>
  <c r="U14" i="9"/>
  <c r="T14" i="9"/>
  <c r="S14" i="9"/>
  <c r="R14" i="9"/>
  <c r="Q14" i="9"/>
  <c r="P14" i="9"/>
  <c r="O14" i="9"/>
  <c r="N14" i="9"/>
  <c r="M14" i="9"/>
  <c r="L14" i="9"/>
  <c r="K14" i="9"/>
  <c r="J14" i="9"/>
  <c r="C14" i="9"/>
  <c r="I14" i="9" s="1"/>
  <c r="AM13" i="9"/>
  <c r="AL13" i="9"/>
  <c r="AK13" i="9"/>
  <c r="AJ13" i="9"/>
  <c r="AI13" i="9"/>
  <c r="AH13" i="9"/>
  <c r="AG13" i="9"/>
  <c r="AF13" i="9"/>
  <c r="AE13" i="9"/>
  <c r="AD13" i="9"/>
  <c r="AC13" i="9"/>
  <c r="AB13" i="9"/>
  <c r="AA13" i="9"/>
  <c r="Z13" i="9"/>
  <c r="Y13" i="9"/>
  <c r="X13" i="9"/>
  <c r="W13" i="9"/>
  <c r="V13" i="9"/>
  <c r="U13" i="9"/>
  <c r="T13" i="9"/>
  <c r="S13" i="9"/>
  <c r="R13" i="9"/>
  <c r="Q13" i="9"/>
  <c r="P13" i="9"/>
  <c r="O13" i="9"/>
  <c r="N13" i="9"/>
  <c r="M13" i="9"/>
  <c r="L13" i="9"/>
  <c r="K13" i="9"/>
  <c r="J13" i="9"/>
  <c r="C13" i="9"/>
  <c r="I13" i="9" s="1"/>
  <c r="AM12" i="9"/>
  <c r="AL12" i="9"/>
  <c r="AK12" i="9"/>
  <c r="AJ12" i="9"/>
  <c r="AI12" i="9"/>
  <c r="AH12" i="9"/>
  <c r="AG12" i="9"/>
  <c r="AF12" i="9"/>
  <c r="AE12" i="9"/>
  <c r="AD12" i="9"/>
  <c r="AC12" i="9"/>
  <c r="AB12" i="9"/>
  <c r="AA12" i="9"/>
  <c r="Z12" i="9"/>
  <c r="Y12" i="9"/>
  <c r="X12" i="9"/>
  <c r="W12" i="9"/>
  <c r="V12" i="9"/>
  <c r="U12" i="9"/>
  <c r="T12" i="9"/>
  <c r="S12" i="9"/>
  <c r="R12" i="9"/>
  <c r="Q12" i="9"/>
  <c r="P12" i="9"/>
  <c r="O12" i="9"/>
  <c r="N12" i="9"/>
  <c r="M12" i="9"/>
  <c r="L12" i="9"/>
  <c r="K12" i="9"/>
  <c r="J12" i="9"/>
  <c r="C12" i="9"/>
  <c r="I12" i="9" s="1"/>
  <c r="AM11" i="9"/>
  <c r="AL11" i="9"/>
  <c r="AK11" i="9"/>
  <c r="AJ11" i="9"/>
  <c r="AI11" i="9"/>
  <c r="AH11" i="9"/>
  <c r="AG11" i="9"/>
  <c r="AF11" i="9"/>
  <c r="AE11" i="9"/>
  <c r="AD11" i="9"/>
  <c r="AC11" i="9"/>
  <c r="AB11" i="9"/>
  <c r="AA11" i="9"/>
  <c r="Z11" i="9"/>
  <c r="Y11" i="9"/>
  <c r="X11" i="9"/>
  <c r="W11" i="9"/>
  <c r="V11" i="9"/>
  <c r="U11" i="9"/>
  <c r="T11" i="9"/>
  <c r="S11" i="9"/>
  <c r="R11" i="9"/>
  <c r="Q11" i="9"/>
  <c r="P11" i="9"/>
  <c r="O11" i="9"/>
  <c r="N11" i="9"/>
  <c r="M11" i="9"/>
  <c r="L11" i="9"/>
  <c r="K11" i="9"/>
  <c r="J11" i="9"/>
  <c r="C11" i="9"/>
  <c r="I11" i="9" s="1"/>
  <c r="AM10" i="9"/>
  <c r="AL10" i="9"/>
  <c r="AK10" i="9"/>
  <c r="AJ10" i="9"/>
  <c r="AI10" i="9"/>
  <c r="AH10" i="9"/>
  <c r="AG10" i="9"/>
  <c r="AF10" i="9"/>
  <c r="AE10" i="9"/>
  <c r="AD10" i="9"/>
  <c r="AC10" i="9"/>
  <c r="AB10" i="9"/>
  <c r="AA10" i="9"/>
  <c r="Z10" i="9"/>
  <c r="Y10" i="9"/>
  <c r="X10" i="9"/>
  <c r="W10" i="9"/>
  <c r="V10" i="9"/>
  <c r="U10" i="9"/>
  <c r="T10" i="9"/>
  <c r="S10" i="9"/>
  <c r="R10" i="9"/>
  <c r="Q10" i="9"/>
  <c r="P10" i="9"/>
  <c r="O10" i="9"/>
  <c r="N10" i="9"/>
  <c r="M10" i="9"/>
  <c r="L10" i="9"/>
  <c r="K10" i="9"/>
  <c r="J10" i="9"/>
  <c r="C10" i="9"/>
  <c r="D10" i="9" s="1"/>
  <c r="AM9" i="9"/>
  <c r="AL9" i="9"/>
  <c r="AK9" i="9"/>
  <c r="AJ9" i="9"/>
  <c r="AI9" i="9"/>
  <c r="AH9" i="9"/>
  <c r="AG9" i="9"/>
  <c r="AF9" i="9"/>
  <c r="AE9" i="9"/>
  <c r="AD9" i="9"/>
  <c r="AC9" i="9"/>
  <c r="AB9" i="9"/>
  <c r="AA9" i="9"/>
  <c r="Z9" i="9"/>
  <c r="Y9" i="9"/>
  <c r="X9" i="9"/>
  <c r="W9" i="9"/>
  <c r="V9" i="9"/>
  <c r="U9" i="9"/>
  <c r="T9" i="9"/>
  <c r="S9" i="9"/>
  <c r="R9" i="9"/>
  <c r="Q9" i="9"/>
  <c r="P9" i="9"/>
  <c r="O9" i="9"/>
  <c r="N9" i="9"/>
  <c r="M9" i="9"/>
  <c r="L9" i="9"/>
  <c r="K9" i="9"/>
  <c r="J9" i="9"/>
  <c r="C9" i="9"/>
  <c r="F9" i="9" s="1"/>
  <c r="AM8" i="9"/>
  <c r="AM7" i="9" s="1"/>
  <c r="J8" i="9"/>
  <c r="J7" i="9" s="1"/>
  <c r="AL7" i="9"/>
  <c r="M4" i="17" l="1"/>
  <c r="N4" i="17" s="1"/>
  <c r="O4" i="17" s="1"/>
  <c r="O9" i="17" s="1"/>
  <c r="AR34" i="25"/>
  <c r="AR36" i="25" s="1"/>
  <c r="AS32" i="25"/>
  <c r="G163" i="9"/>
  <c r="F136" i="9"/>
  <c r="I150" i="9"/>
  <c r="D151" i="9"/>
  <c r="H152" i="9"/>
  <c r="F186" i="9"/>
  <c r="D20" i="9"/>
  <c r="H129" i="9"/>
  <c r="I17" i="9"/>
  <c r="I157" i="9"/>
  <c r="D158" i="9"/>
  <c r="F187" i="9"/>
  <c r="D181" i="9"/>
  <c r="H19" i="9"/>
  <c r="D40" i="9"/>
  <c r="I50" i="9"/>
  <c r="H40" i="9"/>
  <c r="I74" i="9"/>
  <c r="D168" i="9"/>
  <c r="D171" i="9"/>
  <c r="G170" i="9"/>
  <c r="I174" i="9"/>
  <c r="F123" i="9"/>
  <c r="I194" i="9"/>
  <c r="D167" i="9"/>
  <c r="G172" i="9"/>
  <c r="H194" i="9"/>
  <c r="D140" i="9"/>
  <c r="F172" i="9"/>
  <c r="D174" i="9"/>
  <c r="F216" i="9"/>
  <c r="I168" i="9"/>
  <c r="F19" i="9"/>
  <c r="F48" i="9"/>
  <c r="F74" i="9"/>
  <c r="H84" i="9"/>
  <c r="F109" i="9"/>
  <c r="I110" i="9"/>
  <c r="I216" i="9"/>
  <c r="F23" i="9"/>
  <c r="AP102" i="9"/>
  <c r="I166" i="9"/>
  <c r="H211" i="9"/>
  <c r="H11" i="9"/>
  <c r="H121" i="9"/>
  <c r="G158" i="9"/>
  <c r="D175" i="9"/>
  <c r="H199" i="9"/>
  <c r="D200" i="9"/>
  <c r="D12" i="9"/>
  <c r="H31" i="9"/>
  <c r="D32" i="9"/>
  <c r="F69" i="9"/>
  <c r="D70" i="9"/>
  <c r="F142" i="9"/>
  <c r="G143" i="9"/>
  <c r="H158" i="9"/>
  <c r="I200" i="9"/>
  <c r="I158" i="9"/>
  <c r="D159" i="9"/>
  <c r="I193" i="9"/>
  <c r="D196" i="9"/>
  <c r="H26" i="9"/>
  <c r="H89" i="9"/>
  <c r="AQ120" i="9"/>
  <c r="H136" i="9"/>
  <c r="G166" i="9"/>
  <c r="D23" i="9"/>
  <c r="H166" i="9"/>
  <c r="D16" i="9"/>
  <c r="H48" i="9"/>
  <c r="AT67" i="9"/>
  <c r="H69" i="9"/>
  <c r="I95" i="9"/>
  <c r="H96" i="9"/>
  <c r="D97" i="9"/>
  <c r="BA119" i="9"/>
  <c r="D147" i="9"/>
  <c r="I179" i="9"/>
  <c r="D180" i="9"/>
  <c r="D195" i="9"/>
  <c r="D205" i="9"/>
  <c r="AW211" i="9"/>
  <c r="F16" i="9"/>
  <c r="I69" i="9"/>
  <c r="F97" i="9"/>
  <c r="AS131" i="9"/>
  <c r="G147" i="9"/>
  <c r="AP179" i="9"/>
  <c r="G180" i="9"/>
  <c r="H195" i="9"/>
  <c r="AZ211" i="9"/>
  <c r="AP170" i="9"/>
  <c r="I180" i="9"/>
  <c r="F196" i="9"/>
  <c r="D197" i="9"/>
  <c r="AT198" i="9"/>
  <c r="BA199" i="9"/>
  <c r="F200" i="9"/>
  <c r="H202" i="9"/>
  <c r="AU91" i="9"/>
  <c r="AW10" i="9"/>
  <c r="F12" i="9"/>
  <c r="AX17" i="9"/>
  <c r="F20" i="9"/>
  <c r="H23" i="9"/>
  <c r="I26" i="9"/>
  <c r="H27" i="9"/>
  <c r="D28" i="9"/>
  <c r="H32" i="9"/>
  <c r="F81" i="9"/>
  <c r="I84" i="9"/>
  <c r="I85" i="9"/>
  <c r="I89" i="9"/>
  <c r="F90" i="9"/>
  <c r="I97" i="9"/>
  <c r="D98" i="9"/>
  <c r="F99" i="9"/>
  <c r="G109" i="9"/>
  <c r="I121" i="9"/>
  <c r="H122" i="9"/>
  <c r="I125" i="9"/>
  <c r="F126" i="9"/>
  <c r="F140" i="9"/>
  <c r="H143" i="9"/>
  <c r="H175" i="9"/>
  <c r="F181" i="9"/>
  <c r="I28" i="9"/>
  <c r="H81" i="9"/>
  <c r="BA85" i="9"/>
  <c r="AW89" i="9"/>
  <c r="H90" i="9"/>
  <c r="I109" i="9"/>
  <c r="I122" i="9"/>
  <c r="H126" i="9"/>
  <c r="H181" i="9"/>
  <c r="H16" i="9"/>
  <c r="AQ81" i="9"/>
  <c r="AR133" i="9"/>
  <c r="G162" i="9"/>
  <c r="I181" i="9"/>
  <c r="F182" i="9"/>
  <c r="D193" i="9"/>
  <c r="D209" i="9"/>
  <c r="D211" i="9"/>
  <c r="AZ39" i="9"/>
  <c r="AS38" i="9"/>
  <c r="D48" i="9"/>
  <c r="I77" i="9"/>
  <c r="AU123" i="9"/>
  <c r="I154" i="9"/>
  <c r="H162" i="9"/>
  <c r="F163" i="9"/>
  <c r="AU163" i="9"/>
  <c r="D166" i="9"/>
  <c r="H193" i="9"/>
  <c r="H209" i="9"/>
  <c r="F211" i="9"/>
  <c r="AT21" i="9"/>
  <c r="AP9" i="9"/>
  <c r="AT13" i="9"/>
  <c r="AP25" i="9"/>
  <c r="H35" i="9"/>
  <c r="AW56" i="9"/>
  <c r="AV57" i="9"/>
  <c r="H58" i="9"/>
  <c r="AX58" i="9"/>
  <c r="AX60" i="9"/>
  <c r="G103" i="9"/>
  <c r="F107" i="9"/>
  <c r="G118" i="9"/>
  <c r="AT127" i="9"/>
  <c r="AY129" i="9"/>
  <c r="G130" i="9"/>
  <c r="AS133" i="9"/>
  <c r="G134" i="9"/>
  <c r="AY147" i="9"/>
  <c r="AZ159" i="9"/>
  <c r="I164" i="9"/>
  <c r="H171" i="9"/>
  <c r="AY180" i="9"/>
  <c r="F203" i="9"/>
  <c r="AW203" i="9"/>
  <c r="F208" i="9"/>
  <c r="AR26" i="9"/>
  <c r="AU12" i="9"/>
  <c r="AT34" i="9"/>
  <c r="F47" i="9"/>
  <c r="AW51" i="9"/>
  <c r="I58" i="9"/>
  <c r="H59" i="9"/>
  <c r="D60" i="9"/>
  <c r="D63" i="9"/>
  <c r="H65" i="9"/>
  <c r="D66" i="9"/>
  <c r="AP97" i="9"/>
  <c r="H99" i="9"/>
  <c r="F100" i="9"/>
  <c r="H103" i="9"/>
  <c r="G107" i="9"/>
  <c r="H108" i="9"/>
  <c r="AP113" i="9"/>
  <c r="AQ116" i="9"/>
  <c r="H118" i="9"/>
  <c r="H130" i="9"/>
  <c r="I134" i="9"/>
  <c r="F137" i="9"/>
  <c r="F144" i="9"/>
  <c r="BA146" i="9"/>
  <c r="H148" i="9"/>
  <c r="G150" i="9"/>
  <c r="G154" i="9"/>
  <c r="AQ157" i="9"/>
  <c r="D162" i="9"/>
  <c r="I171" i="9"/>
  <c r="D172" i="9"/>
  <c r="H203" i="9"/>
  <c r="AV204" i="9"/>
  <c r="AU205" i="9"/>
  <c r="I208" i="9"/>
  <c r="AO34" i="9"/>
  <c r="AS30" i="9"/>
  <c r="I47" i="9"/>
  <c r="F60" i="9"/>
  <c r="F66" i="9"/>
  <c r="AT100" i="9"/>
  <c r="AX102" i="9"/>
  <c r="I103" i="9"/>
  <c r="AW104" i="9"/>
  <c r="I108" i="9"/>
  <c r="I118" i="9"/>
  <c r="H137" i="9"/>
  <c r="H144" i="9"/>
  <c r="BA145" i="9"/>
  <c r="AR153" i="9"/>
  <c r="AR173" i="9"/>
  <c r="AR15" i="9"/>
  <c r="AT29" i="9"/>
  <c r="AX33" i="9"/>
  <c r="H44" i="9"/>
  <c r="H50" i="9"/>
  <c r="AX50" i="9"/>
  <c r="H60" i="9"/>
  <c r="I66" i="9"/>
  <c r="AW67" i="9"/>
  <c r="D74" i="9"/>
  <c r="F77" i="9"/>
  <c r="I83" i="9"/>
  <c r="F84" i="9"/>
  <c r="I113" i="9"/>
  <c r="AQ113" i="9"/>
  <c r="AX114" i="9"/>
  <c r="F122" i="9"/>
  <c r="AS145" i="9"/>
  <c r="AT172" i="9"/>
  <c r="AU197" i="9"/>
  <c r="AY17" i="9"/>
  <c r="AU28" i="9"/>
  <c r="AV36" i="9"/>
  <c r="BA38" i="9"/>
  <c r="AV49" i="9"/>
  <c r="BA73" i="9"/>
  <c r="H77" i="9"/>
  <c r="AW96" i="9"/>
  <c r="BA104" i="9"/>
  <c r="H109" i="9"/>
  <c r="G122" i="9"/>
  <c r="AT123" i="9"/>
  <c r="AZ153" i="9"/>
  <c r="I162" i="9"/>
  <c r="D163" i="9"/>
  <c r="AZ167" i="9"/>
  <c r="F168" i="9"/>
  <c r="D170" i="9"/>
  <c r="H172" i="9"/>
  <c r="AZ173" i="9"/>
  <c r="G174" i="9"/>
  <c r="AZ181" i="9"/>
  <c r="H182" i="9"/>
  <c r="D184" i="9"/>
  <c r="I186" i="9"/>
  <c r="D187" i="9"/>
  <c r="F195" i="9"/>
  <c r="AO195" i="9"/>
  <c r="F212" i="9"/>
  <c r="D213" i="9"/>
  <c r="AP33" i="9"/>
  <c r="AW48" i="9"/>
  <c r="AQ74" i="9"/>
  <c r="AY86" i="9"/>
  <c r="AU92" i="9"/>
  <c r="AZ148" i="9"/>
  <c r="BA177" i="9"/>
  <c r="AS182" i="9"/>
  <c r="AU10" i="9"/>
  <c r="AS14" i="9"/>
  <c r="AW18" i="9"/>
  <c r="AT19" i="9"/>
  <c r="AO26" i="9"/>
  <c r="F28" i="9"/>
  <c r="F32" i="9"/>
  <c r="I34" i="9"/>
  <c r="F35" i="9"/>
  <c r="AW40" i="9"/>
  <c r="I57" i="9"/>
  <c r="D58" i="9"/>
  <c r="AU69" i="9"/>
  <c r="AT70" i="9"/>
  <c r="I90" i="9"/>
  <c r="H91" i="9"/>
  <c r="AZ101" i="9"/>
  <c r="F103" i="9"/>
  <c r="D107" i="9"/>
  <c r="F118" i="9"/>
  <c r="AU119" i="9"/>
  <c r="BA124" i="9"/>
  <c r="G126" i="9"/>
  <c r="I129" i="9"/>
  <c r="F130" i="9"/>
  <c r="BA160" i="9"/>
  <c r="H163" i="9"/>
  <c r="D164" i="9"/>
  <c r="G171" i="9"/>
  <c r="I175" i="9"/>
  <c r="F176" i="9"/>
  <c r="H180" i="9"/>
  <c r="I202" i="9"/>
  <c r="D203" i="9"/>
  <c r="H207" i="9"/>
  <c r="D208" i="9"/>
  <c r="AX89" i="9"/>
  <c r="AW200" i="9"/>
  <c r="AZ200" i="9"/>
  <c r="AR200" i="9"/>
  <c r="I204" i="9"/>
  <c r="F204" i="9"/>
  <c r="D204" i="9"/>
  <c r="AY11" i="9"/>
  <c r="AS22" i="9"/>
  <c r="AU34" i="9"/>
  <c r="H75" i="9"/>
  <c r="D76" i="9"/>
  <c r="I76" i="9"/>
  <c r="H76" i="9"/>
  <c r="D210" i="9"/>
  <c r="I210" i="9"/>
  <c r="H210" i="9"/>
  <c r="F210" i="9"/>
  <c r="H12" i="9"/>
  <c r="AO18" i="9"/>
  <c r="BA30" i="9"/>
  <c r="I33" i="9"/>
  <c r="BA35" i="9"/>
  <c r="F36" i="9"/>
  <c r="AY38" i="9"/>
  <c r="AV41" i="9"/>
  <c r="H42" i="9"/>
  <c r="AX42" i="9"/>
  <c r="AW43" i="9"/>
  <c r="AT50" i="9"/>
  <c r="H51" i="9"/>
  <c r="AT58" i="9"/>
  <c r="AY59" i="9"/>
  <c r="I61" i="9"/>
  <c r="H61" i="9"/>
  <c r="F61" i="9"/>
  <c r="D61" i="9"/>
  <c r="AV62" i="9"/>
  <c r="AR65" i="9"/>
  <c r="AP67" i="9"/>
  <c r="AP74" i="9"/>
  <c r="AZ74" i="9"/>
  <c r="I75" i="9"/>
  <c r="F76" i="9"/>
  <c r="H82" i="9"/>
  <c r="I82" i="9"/>
  <c r="F82" i="9"/>
  <c r="AW88" i="9"/>
  <c r="H104" i="9"/>
  <c r="G104" i="9"/>
  <c r="F104" i="9"/>
  <c r="D104" i="9"/>
  <c r="I104" i="9"/>
  <c r="AT131" i="9"/>
  <c r="G185" i="9"/>
  <c r="I185" i="9"/>
  <c r="H185" i="9"/>
  <c r="F185" i="9"/>
  <c r="D185" i="9"/>
  <c r="AT190" i="9"/>
  <c r="AS190" i="9"/>
  <c r="AZ208" i="9"/>
  <c r="I191" i="9"/>
  <c r="H191" i="9"/>
  <c r="D24" i="9"/>
  <c r="AY27" i="9"/>
  <c r="D36" i="9"/>
  <c r="I41" i="9"/>
  <c r="I52" i="9"/>
  <c r="H52" i="9"/>
  <c r="F52" i="9"/>
  <c r="AX9" i="9"/>
  <c r="BA12" i="9"/>
  <c r="AX25" i="9"/>
  <c r="AZ29" i="9"/>
  <c r="AV33" i="9"/>
  <c r="AT35" i="9"/>
  <c r="I36" i="9"/>
  <c r="AY37" i="9"/>
  <c r="D39" i="9"/>
  <c r="I42" i="9"/>
  <c r="F43" i="9"/>
  <c r="AT59" i="9"/>
  <c r="AU61" i="9"/>
  <c r="AS64" i="9"/>
  <c r="D68" i="9"/>
  <c r="I68" i="9"/>
  <c r="H68" i="9"/>
  <c r="F68" i="9"/>
  <c r="AX74" i="9"/>
  <c r="AR80" i="9"/>
  <c r="AZ80" i="9"/>
  <c r="AR81" i="9"/>
  <c r="D82" i="9"/>
  <c r="AV92" i="9"/>
  <c r="D114" i="9"/>
  <c r="I114" i="9"/>
  <c r="H114" i="9"/>
  <c r="G114" i="9"/>
  <c r="F114" i="9"/>
  <c r="AR120" i="9"/>
  <c r="I156" i="9"/>
  <c r="F156" i="9"/>
  <c r="D156" i="9"/>
  <c r="AV163" i="9"/>
  <c r="I178" i="9"/>
  <c r="H178" i="9"/>
  <c r="F178" i="9"/>
  <c r="D178" i="9"/>
  <c r="AW195" i="9"/>
  <c r="BA20" i="9"/>
  <c r="G117" i="9"/>
  <c r="I117" i="9"/>
  <c r="H117" i="9"/>
  <c r="AW16" i="9"/>
  <c r="AX41" i="9"/>
  <c r="D42" i="9"/>
  <c r="AT11" i="9"/>
  <c r="AP18" i="9"/>
  <c r="AU23" i="9"/>
  <c r="AT27" i="9"/>
  <c r="I9" i="9"/>
  <c r="AY14" i="9"/>
  <c r="F15" i="9"/>
  <c r="I18" i="9"/>
  <c r="AX23" i="9"/>
  <c r="H24" i="9"/>
  <c r="BA28" i="9"/>
  <c r="AY30" i="9"/>
  <c r="AV9" i="9"/>
  <c r="H10" i="9"/>
  <c r="AX10" i="9"/>
  <c r="AO10" i="9"/>
  <c r="H15" i="9"/>
  <c r="AZ18" i="9"/>
  <c r="AV19" i="9"/>
  <c r="AV20" i="9"/>
  <c r="AU20" i="9"/>
  <c r="AW24" i="9"/>
  <c r="AV25" i="9"/>
  <c r="D31" i="9"/>
  <c r="D34" i="9"/>
  <c r="BA36" i="9"/>
  <c r="AZ37" i="9"/>
  <c r="AW38" i="9"/>
  <c r="F39" i="9"/>
  <c r="AT42" i="9"/>
  <c r="H43" i="9"/>
  <c r="D44" i="9"/>
  <c r="AU58" i="9"/>
  <c r="BA94" i="9"/>
  <c r="AX96" i="9"/>
  <c r="AO103" i="9"/>
  <c r="AY103" i="9"/>
  <c r="AQ103" i="9"/>
  <c r="AU110" i="9"/>
  <c r="AV118" i="9"/>
  <c r="AU142" i="9"/>
  <c r="AR178" i="9"/>
  <c r="AW216" i="9"/>
  <c r="AZ216" i="9"/>
  <c r="AT31" i="9"/>
  <c r="AY70" i="9"/>
  <c r="F127" i="9"/>
  <c r="D127" i="9"/>
  <c r="AV17" i="9"/>
  <c r="AU26" i="9"/>
  <c r="AX31" i="9"/>
  <c r="AX45" i="9"/>
  <c r="F51" i="9"/>
  <c r="H18" i="9"/>
  <c r="AX21" i="9"/>
  <c r="F24" i="9"/>
  <c r="AZ13" i="9"/>
  <c r="I25" i="9"/>
  <c r="AW32" i="9"/>
  <c r="I10" i="9"/>
  <c r="AT14" i="9"/>
  <c r="I15" i="9"/>
  <c r="AW26" i="9"/>
  <c r="AX30" i="9"/>
  <c r="F31" i="9"/>
  <c r="H34" i="9"/>
  <c r="AX34" i="9"/>
  <c r="I39" i="9"/>
  <c r="BA43" i="9"/>
  <c r="F44" i="9"/>
  <c r="AY46" i="9"/>
  <c r="AX53" i="9"/>
  <c r="AQ62" i="9"/>
  <c r="AT63" i="9"/>
  <c r="AU71" i="9"/>
  <c r="AU77" i="9"/>
  <c r="AV77" i="9"/>
  <c r="H87" i="9"/>
  <c r="I87" i="9"/>
  <c r="F87" i="9"/>
  <c r="AP90" i="9"/>
  <c r="BA91" i="9"/>
  <c r="AV91" i="9"/>
  <c r="AT91" i="9"/>
  <c r="AZ93" i="9"/>
  <c r="BA149" i="9"/>
  <c r="AW155" i="9"/>
  <c r="AV155" i="9"/>
  <c r="AP165" i="9"/>
  <c r="AW180" i="9"/>
  <c r="AO11" i="9"/>
  <c r="AX13" i="9"/>
  <c r="AW27" i="9"/>
  <c r="AT43" i="9"/>
  <c r="AO68" i="9"/>
  <c r="AQ70" i="9"/>
  <c r="AP89" i="9"/>
  <c r="AV89" i="9"/>
  <c r="AQ150" i="9"/>
  <c r="AY150" i="9"/>
  <c r="F201" i="9"/>
  <c r="I201" i="9"/>
  <c r="H201" i="9"/>
  <c r="D201" i="9"/>
  <c r="AZ10" i="9"/>
  <c r="AU15" i="9"/>
  <c r="AU18" i="9"/>
  <c r="AX29" i="9"/>
  <c r="AZ31" i="9"/>
  <c r="AW34" i="9"/>
  <c r="AX37" i="9"/>
  <c r="AW39" i="9"/>
  <c r="AQ40" i="9"/>
  <c r="AU42" i="9"/>
  <c r="AY45" i="9"/>
  <c r="AU47" i="9"/>
  <c r="F11" i="9"/>
  <c r="AV12" i="9"/>
  <c r="AX15" i="9"/>
  <c r="AP17" i="9"/>
  <c r="AY19" i="9"/>
  <c r="AZ21" i="9"/>
  <c r="AY22" i="9"/>
  <c r="AZ26" i="9"/>
  <c r="F27" i="9"/>
  <c r="AV28" i="9"/>
  <c r="AY34" i="9"/>
  <c r="AW35" i="9"/>
  <c r="AX39" i="9"/>
  <c r="AY40" i="9"/>
  <c r="BA44" i="9"/>
  <c r="AZ45" i="9"/>
  <c r="AW46" i="9"/>
  <c r="AX47" i="9"/>
  <c r="I49" i="9"/>
  <c r="AX49" i="9"/>
  <c r="D50" i="9"/>
  <c r="AV52" i="9"/>
  <c r="H55" i="9"/>
  <c r="I55" i="9"/>
  <c r="I56" i="9"/>
  <c r="H56" i="9"/>
  <c r="F56" i="9"/>
  <c r="D56" i="9"/>
  <c r="D73" i="9"/>
  <c r="H73" i="9"/>
  <c r="F73" i="9"/>
  <c r="AT85" i="9"/>
  <c r="AQ87" i="9"/>
  <c r="AZ88" i="9"/>
  <c r="I101" i="9"/>
  <c r="D101" i="9"/>
  <c r="H192" i="9"/>
  <c r="I192" i="9"/>
  <c r="F192" i="9"/>
  <c r="D192" i="9"/>
  <c r="AY201" i="9"/>
  <c r="F59" i="9"/>
  <c r="AS61" i="9"/>
  <c r="F65" i="9"/>
  <c r="AP71" i="9"/>
  <c r="AY80" i="9"/>
  <c r="H85" i="9"/>
  <c r="AR85" i="9"/>
  <c r="F89" i="9"/>
  <c r="AY95" i="9"/>
  <c r="BA95" i="9"/>
  <c r="AS100" i="9"/>
  <c r="AR116" i="9"/>
  <c r="AZ124" i="9"/>
  <c r="H125" i="9"/>
  <c r="AO125" i="9"/>
  <c r="BA127" i="9"/>
  <c r="AP129" i="9"/>
  <c r="D136" i="9"/>
  <c r="AY138" i="9"/>
  <c r="D144" i="9"/>
  <c r="AW147" i="9"/>
  <c r="AX150" i="9"/>
  <c r="AY152" i="9"/>
  <c r="AS153" i="9"/>
  <c r="AT160" i="9"/>
  <c r="AY164" i="9"/>
  <c r="AV169" i="9"/>
  <c r="AU172" i="9"/>
  <c r="AP185" i="9"/>
  <c r="AY193" i="9"/>
  <c r="AZ196" i="9"/>
  <c r="AZ207" i="9"/>
  <c r="AO211" i="9"/>
  <c r="AU213" i="9"/>
  <c r="AX95" i="9"/>
  <c r="AP106" i="9"/>
  <c r="AV111" i="9"/>
  <c r="BA116" i="9"/>
  <c r="AT118" i="9"/>
  <c r="AW118" i="9"/>
  <c r="AY128" i="9"/>
  <c r="BA131" i="9"/>
  <c r="AP134" i="9"/>
  <c r="AT148" i="9"/>
  <c r="AZ152" i="9"/>
  <c r="AU160" i="9"/>
  <c r="AP164" i="9"/>
  <c r="AV165" i="9"/>
  <c r="AQ174" i="9"/>
  <c r="AU176" i="9"/>
  <c r="AO180" i="9"/>
  <c r="AX194" i="9"/>
  <c r="AX202" i="9"/>
  <c r="BA206" i="9"/>
  <c r="BA207" i="9"/>
  <c r="AW208" i="9"/>
  <c r="AV212" i="9"/>
  <c r="F96" i="9"/>
  <c r="AY100" i="9"/>
  <c r="AV100" i="9"/>
  <c r="AZ104" i="9"/>
  <c r="AU105" i="9"/>
  <c r="AX118" i="9"/>
  <c r="AP125" i="9"/>
  <c r="AQ128" i="9"/>
  <c r="AZ164" i="9"/>
  <c r="AX165" i="9"/>
  <c r="AV176" i="9"/>
  <c r="AR181" i="9"/>
  <c r="AQ186" i="9"/>
  <c r="AV195" i="9"/>
  <c r="AU204" i="9"/>
  <c r="AT205" i="9"/>
  <c r="AT206" i="9"/>
  <c r="AT211" i="9"/>
  <c r="D212" i="9"/>
  <c r="AV44" i="9"/>
  <c r="AY51" i="9"/>
  <c r="AY54" i="9"/>
  <c r="AT62" i="9"/>
  <c r="AR64" i="9"/>
  <c r="AQ65" i="9"/>
  <c r="BA68" i="9"/>
  <c r="AR73" i="9"/>
  <c r="AP75" i="9"/>
  <c r="AZ92" i="9"/>
  <c r="AQ94" i="9"/>
  <c r="I96" i="9"/>
  <c r="AP96" i="9"/>
  <c r="F98" i="9"/>
  <c r="AU104" i="9"/>
  <c r="H107" i="9"/>
  <c r="AZ123" i="9"/>
  <c r="BA123" i="9"/>
  <c r="AQ124" i="9"/>
  <c r="I126" i="9"/>
  <c r="AS127" i="9"/>
  <c r="I130" i="9"/>
  <c r="H140" i="9"/>
  <c r="G142" i="9"/>
  <c r="AW144" i="9"/>
  <c r="AX146" i="9"/>
  <c r="H147" i="9"/>
  <c r="G151" i="9"/>
  <c r="AP158" i="9"/>
  <c r="F159" i="9"/>
  <c r="AW162" i="9"/>
  <c r="F167" i="9"/>
  <c r="I170" i="9"/>
  <c r="AX170" i="9"/>
  <c r="G176" i="9"/>
  <c r="AZ177" i="9"/>
  <c r="AZ180" i="9"/>
  <c r="AR182" i="9"/>
  <c r="H187" i="9"/>
  <c r="AV196" i="9"/>
  <c r="I209" i="9"/>
  <c r="BA211" i="9"/>
  <c r="AR216" i="9"/>
  <c r="AU50" i="9"/>
  <c r="AT51" i="9"/>
  <c r="AY53" i="9"/>
  <c r="AU55" i="9"/>
  <c r="AP60" i="9"/>
  <c r="AQ66" i="9"/>
  <c r="I71" i="9"/>
  <c r="AS71" i="9"/>
  <c r="H83" i="9"/>
  <c r="AO83" i="9"/>
  <c r="AW85" i="9"/>
  <c r="AR87" i="9"/>
  <c r="AY88" i="9"/>
  <c r="AX90" i="9"/>
  <c r="AO91" i="9"/>
  <c r="AO96" i="9"/>
  <c r="AY96" i="9"/>
  <c r="H98" i="9"/>
  <c r="BA100" i="9"/>
  <c r="BA102" i="9"/>
  <c r="AR105" i="9"/>
  <c r="D108" i="9"/>
  <c r="AW114" i="9"/>
  <c r="AP118" i="9"/>
  <c r="AR124" i="9"/>
  <c r="AV133" i="9"/>
  <c r="AU133" i="9"/>
  <c r="AQ147" i="9"/>
  <c r="D148" i="9"/>
  <c r="H151" i="9"/>
  <c r="D152" i="9"/>
  <c r="G159" i="9"/>
  <c r="AR159" i="9"/>
  <c r="G167" i="9"/>
  <c r="BA169" i="9"/>
  <c r="BA172" i="9"/>
  <c r="AY173" i="9"/>
  <c r="AW181" i="9"/>
  <c r="AR184" i="9"/>
  <c r="BA190" i="9"/>
  <c r="AT195" i="9"/>
  <c r="AS199" i="9"/>
  <c r="AQ201" i="9"/>
  <c r="BA52" i="9"/>
  <c r="AZ53" i="9"/>
  <c r="AW54" i="9"/>
  <c r="AX55" i="9"/>
  <c r="AX57" i="9"/>
  <c r="AO67" i="9"/>
  <c r="AX68" i="9"/>
  <c r="AQ73" i="9"/>
  <c r="AU78" i="9"/>
  <c r="AS80" i="9"/>
  <c r="AQ82" i="9"/>
  <c r="AX83" i="9"/>
  <c r="AW84" i="9"/>
  <c r="AW91" i="9"/>
  <c r="AT92" i="9"/>
  <c r="AZ94" i="9"/>
  <c r="AP95" i="9"/>
  <c r="D99" i="9"/>
  <c r="F108" i="9"/>
  <c r="AW111" i="9"/>
  <c r="BA115" i="9"/>
  <c r="AO121" i="9"/>
  <c r="AZ127" i="9"/>
  <c r="AU127" i="9"/>
  <c r="AR132" i="9"/>
  <c r="AP138" i="9"/>
  <c r="F148" i="9"/>
  <c r="AZ149" i="9"/>
  <c r="F152" i="9"/>
  <c r="AT152" i="9"/>
  <c r="H159" i="9"/>
  <c r="H167" i="9"/>
  <c r="AW167" i="9"/>
  <c r="AS173" i="9"/>
  <c r="AZ185" i="9"/>
  <c r="AU185" i="9"/>
  <c r="AY198" i="9"/>
  <c r="AX210" i="9"/>
  <c r="AT214" i="9"/>
  <c r="AW59" i="9"/>
  <c r="BA61" i="9"/>
  <c r="AT72" i="9"/>
  <c r="AY73" i="9"/>
  <c r="AX88" i="9"/>
  <c r="AU93" i="9"/>
  <c r="AY94" i="9"/>
  <c r="AZ95" i="9"/>
  <c r="AY102" i="9"/>
  <c r="AQ106" i="9"/>
  <c r="AZ108" i="9"/>
  <c r="AU118" i="9"/>
  <c r="AX129" i="9"/>
  <c r="BA132" i="9"/>
  <c r="AQ143" i="9"/>
  <c r="AU152" i="9"/>
  <c r="AW158" i="9"/>
  <c r="BA164" i="9"/>
  <c r="AP174" i="9"/>
  <c r="AS177" i="9"/>
  <c r="AQ178" i="9"/>
  <c r="AY179" i="9"/>
  <c r="AT181" i="9"/>
  <c r="AW185" i="9"/>
  <c r="AR192" i="9"/>
  <c r="BA195" i="9"/>
  <c r="AZ197" i="9"/>
  <c r="AX198" i="9"/>
  <c r="AX207" i="9"/>
  <c r="AR208" i="9"/>
  <c r="AU210" i="9"/>
  <c r="H9" i="9"/>
  <c r="AO9" i="9"/>
  <c r="AW9" i="9"/>
  <c r="F10" i="9"/>
  <c r="AV10" i="9"/>
  <c r="D11" i="9"/>
  <c r="AU11" i="9"/>
  <c r="AT12" i="9"/>
  <c r="AS13" i="9"/>
  <c r="BA13" i="9"/>
  <c r="AR14" i="9"/>
  <c r="AZ14" i="9"/>
  <c r="AQ15" i="9"/>
  <c r="AY15" i="9"/>
  <c r="AP16" i="9"/>
  <c r="AX16" i="9"/>
  <c r="H17" i="9"/>
  <c r="AO17" i="9"/>
  <c r="AW17" i="9"/>
  <c r="F18" i="9"/>
  <c r="AV18" i="9"/>
  <c r="D19" i="9"/>
  <c r="AU19" i="9"/>
  <c r="AT20" i="9"/>
  <c r="AS21" i="9"/>
  <c r="BA21" i="9"/>
  <c r="AR22" i="9"/>
  <c r="AZ22" i="9"/>
  <c r="AQ23" i="9"/>
  <c r="AY23" i="9"/>
  <c r="AP24" i="9"/>
  <c r="AX24" i="9"/>
  <c r="H25" i="9"/>
  <c r="AO25" i="9"/>
  <c r="AW25" i="9"/>
  <c r="F26" i="9"/>
  <c r="AV26" i="9"/>
  <c r="D27" i="9"/>
  <c r="AU27" i="9"/>
  <c r="AT28" i="9"/>
  <c r="AS29" i="9"/>
  <c r="BA29" i="9"/>
  <c r="AR30" i="9"/>
  <c r="AZ30" i="9"/>
  <c r="AQ31" i="9"/>
  <c r="AY31" i="9"/>
  <c r="AP32" i="9"/>
  <c r="AX32" i="9"/>
  <c r="H33" i="9"/>
  <c r="AO33" i="9"/>
  <c r="AW33" i="9"/>
  <c r="AV34" i="9"/>
  <c r="D35" i="9"/>
  <c r="AU35" i="9"/>
  <c r="AT36" i="9"/>
  <c r="AS37" i="9"/>
  <c r="BA37" i="9"/>
  <c r="AR38" i="9"/>
  <c r="AZ38" i="9"/>
  <c r="AQ39" i="9"/>
  <c r="AY39" i="9"/>
  <c r="I40" i="9"/>
  <c r="AP40" i="9"/>
  <c r="AX40" i="9"/>
  <c r="H41" i="9"/>
  <c r="AO41" i="9"/>
  <c r="AW41" i="9"/>
  <c r="AV42" i="9"/>
  <c r="D43" i="9"/>
  <c r="AU43" i="9"/>
  <c r="AT44" i="9"/>
  <c r="AS45" i="9"/>
  <c r="BA45" i="9"/>
  <c r="AR46" i="9"/>
  <c r="AZ46" i="9"/>
  <c r="AQ47" i="9"/>
  <c r="AY47" i="9"/>
  <c r="AP48" i="9"/>
  <c r="AX48" i="9"/>
  <c r="H49" i="9"/>
  <c r="AO49" i="9"/>
  <c r="AW49" i="9"/>
  <c r="AV50" i="9"/>
  <c r="D51" i="9"/>
  <c r="AU51" i="9"/>
  <c r="AT52" i="9"/>
  <c r="AS53" i="9"/>
  <c r="BA53" i="9"/>
  <c r="AR54" i="9"/>
  <c r="AZ54" i="9"/>
  <c r="AQ55" i="9"/>
  <c r="AY55" i="9"/>
  <c r="AP56" i="9"/>
  <c r="AX56" i="9"/>
  <c r="H57" i="9"/>
  <c r="AO57" i="9"/>
  <c r="AW57" i="9"/>
  <c r="AV58" i="9"/>
  <c r="D59" i="9"/>
  <c r="AU59" i="9"/>
  <c r="AV60" i="9"/>
  <c r="AR61" i="9"/>
  <c r="AZ62" i="9"/>
  <c r="AR62" i="9"/>
  <c r="AX62" i="9"/>
  <c r="AP62" i="9"/>
  <c r="AW62" i="9"/>
  <c r="AO62" i="9"/>
  <c r="BA62" i="9"/>
  <c r="AS62" i="9"/>
  <c r="AU62" i="9"/>
  <c r="AU63" i="9"/>
  <c r="AW64" i="9"/>
  <c r="AV65" i="9"/>
  <c r="AV66" i="9"/>
  <c r="AT66" i="9"/>
  <c r="BA66" i="9"/>
  <c r="AS66" i="9"/>
  <c r="AW66" i="9"/>
  <c r="AO66" i="9"/>
  <c r="AR66" i="9"/>
  <c r="AU67" i="9"/>
  <c r="BA67" i="9"/>
  <c r="AS67" i="9"/>
  <c r="AZ67" i="9"/>
  <c r="AR67" i="9"/>
  <c r="AV67" i="9"/>
  <c r="AQ67" i="9"/>
  <c r="I70" i="9"/>
  <c r="H70" i="9"/>
  <c r="AX72" i="9"/>
  <c r="AP72" i="9"/>
  <c r="AW72" i="9"/>
  <c r="AO72" i="9"/>
  <c r="AU72" i="9"/>
  <c r="AZ72" i="9"/>
  <c r="AZ73" i="9"/>
  <c r="AY74" i="9"/>
  <c r="AY75" i="9"/>
  <c r="AV78" i="9"/>
  <c r="AZ81" i="9"/>
  <c r="AU84" i="9"/>
  <c r="AQ86" i="9"/>
  <c r="AV90" i="9"/>
  <c r="AU90" i="9"/>
  <c r="AT93" i="9"/>
  <c r="AS93" i="9"/>
  <c r="AR93" i="9"/>
  <c r="BA93" i="9"/>
  <c r="AQ16" i="9"/>
  <c r="AU36" i="9"/>
  <c r="AR39" i="9"/>
  <c r="AP41" i="9"/>
  <c r="AO42" i="9"/>
  <c r="AW42" i="9"/>
  <c r="AV43" i="9"/>
  <c r="AU44" i="9"/>
  <c r="AT45" i="9"/>
  <c r="AS46" i="9"/>
  <c r="BA46" i="9"/>
  <c r="AR47" i="9"/>
  <c r="AZ47" i="9"/>
  <c r="AQ48" i="9"/>
  <c r="AY48" i="9"/>
  <c r="AP49" i="9"/>
  <c r="AO50" i="9"/>
  <c r="AW50" i="9"/>
  <c r="AV51" i="9"/>
  <c r="AU52" i="9"/>
  <c r="AT53" i="9"/>
  <c r="AS54" i="9"/>
  <c r="BA54" i="9"/>
  <c r="AR55" i="9"/>
  <c r="AZ55" i="9"/>
  <c r="AQ56" i="9"/>
  <c r="AY56" i="9"/>
  <c r="AP57" i="9"/>
  <c r="AO58" i="9"/>
  <c r="AW58" i="9"/>
  <c r="AV59" i="9"/>
  <c r="AW60" i="9"/>
  <c r="AX63" i="9"/>
  <c r="AZ64" i="9"/>
  <c r="AY65" i="9"/>
  <c r="AU66" i="9"/>
  <c r="AP68" i="9"/>
  <c r="BA72" i="9"/>
  <c r="AX79" i="9"/>
  <c r="AP79" i="9"/>
  <c r="AU79" i="9"/>
  <c r="AP83" i="9"/>
  <c r="BA109" i="9"/>
  <c r="AQ109" i="9"/>
  <c r="AO109" i="9"/>
  <c r="AR31" i="9"/>
  <c r="AY32" i="9"/>
  <c r="AQ9" i="9"/>
  <c r="AU13" i="9"/>
  <c r="AR16" i="9"/>
  <c r="AQ17" i="9"/>
  <c r="AW19" i="9"/>
  <c r="AS23" i="9"/>
  <c r="AZ24" i="9"/>
  <c r="AQ25" i="9"/>
  <c r="AU29" i="9"/>
  <c r="AT30" i="9"/>
  <c r="BA31" i="9"/>
  <c r="AU37" i="9"/>
  <c r="AT38" i="9"/>
  <c r="BA39" i="9"/>
  <c r="AR40" i="9"/>
  <c r="AZ40" i="9"/>
  <c r="AQ41" i="9"/>
  <c r="AY41" i="9"/>
  <c r="AP42" i="9"/>
  <c r="AO43" i="9"/>
  <c r="D45" i="9"/>
  <c r="AU45" i="9"/>
  <c r="AT46" i="9"/>
  <c r="AS47" i="9"/>
  <c r="BA47" i="9"/>
  <c r="AR48" i="9"/>
  <c r="AZ48" i="9"/>
  <c r="AQ49" i="9"/>
  <c r="AY49" i="9"/>
  <c r="AP50" i="9"/>
  <c r="AO51" i="9"/>
  <c r="D53" i="9"/>
  <c r="AU53" i="9"/>
  <c r="AT54" i="9"/>
  <c r="AS55" i="9"/>
  <c r="BA55" i="9"/>
  <c r="AR56" i="9"/>
  <c r="AZ56" i="9"/>
  <c r="AQ57" i="9"/>
  <c r="AY57" i="9"/>
  <c r="AP58" i="9"/>
  <c r="AO59" i="9"/>
  <c r="AV61" i="9"/>
  <c r="AY62" i="9"/>
  <c r="BA63" i="9"/>
  <c r="BA64" i="9"/>
  <c r="AZ65" i="9"/>
  <c r="AX66" i="9"/>
  <c r="AZ68" i="9"/>
  <c r="AS68" i="9"/>
  <c r="AO69" i="9"/>
  <c r="AY71" i="9"/>
  <c r="AT71" i="9"/>
  <c r="AX76" i="9"/>
  <c r="AP76" i="9"/>
  <c r="AU83" i="9"/>
  <c r="AW83" i="9"/>
  <c r="AT84" i="9"/>
  <c r="AO85" i="9"/>
  <c r="AR86" i="9"/>
  <c r="AZ86" i="9"/>
  <c r="H145" i="9"/>
  <c r="G145" i="9"/>
  <c r="D145" i="9"/>
  <c r="I145" i="9"/>
  <c r="F145" i="9"/>
  <c r="F146" i="9"/>
  <c r="D146" i="9"/>
  <c r="H146" i="9"/>
  <c r="I146" i="9"/>
  <c r="G146" i="9"/>
  <c r="K8" i="9"/>
  <c r="AV11" i="9"/>
  <c r="BA14" i="9"/>
  <c r="AV35" i="9"/>
  <c r="AT37" i="9"/>
  <c r="AP10" i="9"/>
  <c r="D13" i="9"/>
  <c r="BA15" i="9"/>
  <c r="AZ16" i="9"/>
  <c r="AX18" i="9"/>
  <c r="AO19" i="9"/>
  <c r="AT22" i="9"/>
  <c r="AP26" i="9"/>
  <c r="AO27" i="9"/>
  <c r="AS31" i="9"/>
  <c r="AR32" i="9"/>
  <c r="AQ33" i="9"/>
  <c r="AP34" i="9"/>
  <c r="AO35" i="9"/>
  <c r="AS39" i="9"/>
  <c r="AR9" i="9"/>
  <c r="AZ9" i="9"/>
  <c r="AQ10" i="9"/>
  <c r="AY10" i="9"/>
  <c r="AP11" i="9"/>
  <c r="AX11" i="9"/>
  <c r="AO12" i="9"/>
  <c r="AW12" i="9"/>
  <c r="F13" i="9"/>
  <c r="AV13" i="9"/>
  <c r="D14" i="9"/>
  <c r="AU14" i="9"/>
  <c r="AT15" i="9"/>
  <c r="AS16" i="9"/>
  <c r="BA16" i="9"/>
  <c r="AR17" i="9"/>
  <c r="AZ17" i="9"/>
  <c r="AQ18" i="9"/>
  <c r="AY18" i="9"/>
  <c r="AP19" i="9"/>
  <c r="AX19" i="9"/>
  <c r="H20" i="9"/>
  <c r="AO20" i="9"/>
  <c r="AW20" i="9"/>
  <c r="F21" i="9"/>
  <c r="AV21" i="9"/>
  <c r="D22" i="9"/>
  <c r="AU22" i="9"/>
  <c r="AT23" i="9"/>
  <c r="AS24" i="9"/>
  <c r="BA24" i="9"/>
  <c r="AR25" i="9"/>
  <c r="AZ25" i="9"/>
  <c r="AQ26" i="9"/>
  <c r="AY26" i="9"/>
  <c r="AP27" i="9"/>
  <c r="AX27" i="9"/>
  <c r="AO28" i="9"/>
  <c r="AW28" i="9"/>
  <c r="F29" i="9"/>
  <c r="AV29" i="9"/>
  <c r="D30" i="9"/>
  <c r="AU30" i="9"/>
  <c r="AS32" i="9"/>
  <c r="BA32" i="9"/>
  <c r="AR33" i="9"/>
  <c r="AZ33" i="9"/>
  <c r="AQ34" i="9"/>
  <c r="AP35" i="9"/>
  <c r="AX35" i="9"/>
  <c r="AO36" i="9"/>
  <c r="AW36" i="9"/>
  <c r="F37" i="9"/>
  <c r="AV37" i="9"/>
  <c r="D38" i="9"/>
  <c r="AU38" i="9"/>
  <c r="AT39" i="9"/>
  <c r="AS40" i="9"/>
  <c r="BA40" i="9"/>
  <c r="AR41" i="9"/>
  <c r="AZ41" i="9"/>
  <c r="AQ42" i="9"/>
  <c r="AY42" i="9"/>
  <c r="AP43" i="9"/>
  <c r="AX43" i="9"/>
  <c r="AO44" i="9"/>
  <c r="AW44" i="9"/>
  <c r="F45" i="9"/>
  <c r="AV45" i="9"/>
  <c r="D46" i="9"/>
  <c r="AU46" i="9"/>
  <c r="AT47" i="9"/>
  <c r="AS48" i="9"/>
  <c r="BA48" i="9"/>
  <c r="AR49" i="9"/>
  <c r="AZ49" i="9"/>
  <c r="AQ50" i="9"/>
  <c r="AY50" i="9"/>
  <c r="AP51" i="9"/>
  <c r="AX51" i="9"/>
  <c r="AO52" i="9"/>
  <c r="AW52" i="9"/>
  <c r="F53" i="9"/>
  <c r="AV53" i="9"/>
  <c r="D54" i="9"/>
  <c r="AU54" i="9"/>
  <c r="AT55" i="9"/>
  <c r="AS56" i="9"/>
  <c r="BA56" i="9"/>
  <c r="AR57" i="9"/>
  <c r="AZ57" i="9"/>
  <c r="AQ58" i="9"/>
  <c r="AY58" i="9"/>
  <c r="AP59" i="9"/>
  <c r="AX59" i="9"/>
  <c r="AO60" i="9"/>
  <c r="BA60" i="9"/>
  <c r="AW61" i="9"/>
  <c r="BA65" i="9"/>
  <c r="AY66" i="9"/>
  <c r="AX67" i="9"/>
  <c r="AV68" i="9"/>
  <c r="AR69" i="9"/>
  <c r="AZ70" i="9"/>
  <c r="AR70" i="9"/>
  <c r="AX70" i="9"/>
  <c r="AP70" i="9"/>
  <c r="AW70" i="9"/>
  <c r="AO70" i="9"/>
  <c r="BA70" i="9"/>
  <c r="BB70" i="9" s="1"/>
  <c r="AS70" i="9"/>
  <c r="AU70" i="9"/>
  <c r="AO75" i="9"/>
  <c r="AO76" i="9"/>
  <c r="AY77" i="9"/>
  <c r="I78" i="9"/>
  <c r="H78" i="9"/>
  <c r="F78" i="9"/>
  <c r="AT78" i="9"/>
  <c r="AX80" i="9"/>
  <c r="AP80" i="9"/>
  <c r="AW80" i="9"/>
  <c r="AO80" i="9"/>
  <c r="AV80" i="9"/>
  <c r="AU80" i="9"/>
  <c r="AT80" i="9"/>
  <c r="BA80" i="9"/>
  <c r="AP82" i="9"/>
  <c r="AP85" i="9"/>
  <c r="AO97" i="9"/>
  <c r="AZ107" i="9"/>
  <c r="AQ107" i="9"/>
  <c r="AO107" i="9"/>
  <c r="AR23" i="9"/>
  <c r="AV27" i="9"/>
  <c r="AQ32" i="9"/>
  <c r="AY9" i="9"/>
  <c r="AW11" i="9"/>
  <c r="AU21" i="9"/>
  <c r="BA23" i="9"/>
  <c r="AR24" i="9"/>
  <c r="AY25" i="9"/>
  <c r="AX26" i="9"/>
  <c r="D29" i="9"/>
  <c r="AZ32" i="9"/>
  <c r="AY33" i="9"/>
  <c r="D37" i="9"/>
  <c r="AS9" i="9"/>
  <c r="BA9" i="9"/>
  <c r="AR10" i="9"/>
  <c r="AQ11" i="9"/>
  <c r="AP12" i="9"/>
  <c r="AX12" i="9"/>
  <c r="H13" i="9"/>
  <c r="AO13" i="9"/>
  <c r="AW13" i="9"/>
  <c r="F14" i="9"/>
  <c r="AV14" i="9"/>
  <c r="AT16" i="9"/>
  <c r="AS17" i="9"/>
  <c r="BA17" i="9"/>
  <c r="BB17" i="9" s="1"/>
  <c r="AR18" i="9"/>
  <c r="AQ19" i="9"/>
  <c r="AP20" i="9"/>
  <c r="AX20" i="9"/>
  <c r="H21" i="9"/>
  <c r="AO21" i="9"/>
  <c r="AW21" i="9"/>
  <c r="F22" i="9"/>
  <c r="AV22" i="9"/>
  <c r="AT24" i="9"/>
  <c r="AS25" i="9"/>
  <c r="BA25" i="9"/>
  <c r="AQ27" i="9"/>
  <c r="AP28" i="9"/>
  <c r="AX28" i="9"/>
  <c r="H29" i="9"/>
  <c r="AO29" i="9"/>
  <c r="AW29" i="9"/>
  <c r="F30" i="9"/>
  <c r="AV30" i="9"/>
  <c r="AU31" i="9"/>
  <c r="AT32" i="9"/>
  <c r="AS33" i="9"/>
  <c r="BA33" i="9"/>
  <c r="AR34" i="9"/>
  <c r="AZ34" i="9"/>
  <c r="AQ35" i="9"/>
  <c r="AY35" i="9"/>
  <c r="AP36" i="9"/>
  <c r="AX36" i="9"/>
  <c r="H37" i="9"/>
  <c r="AO37" i="9"/>
  <c r="AW37" i="9"/>
  <c r="F38" i="9"/>
  <c r="AV38" i="9"/>
  <c r="AU39" i="9"/>
  <c r="AT40" i="9"/>
  <c r="AS41" i="9"/>
  <c r="BA41" i="9"/>
  <c r="AR42" i="9"/>
  <c r="AZ42" i="9"/>
  <c r="AQ43" i="9"/>
  <c r="AY43" i="9"/>
  <c r="AP44" i="9"/>
  <c r="AX44" i="9"/>
  <c r="H45" i="9"/>
  <c r="AO45" i="9"/>
  <c r="AW45" i="9"/>
  <c r="F46" i="9"/>
  <c r="AV46" i="9"/>
  <c r="D47" i="9"/>
  <c r="AT48" i="9"/>
  <c r="AS49" i="9"/>
  <c r="BA49" i="9"/>
  <c r="AR50" i="9"/>
  <c r="AZ50" i="9"/>
  <c r="AQ51" i="9"/>
  <c r="AP52" i="9"/>
  <c r="AX52" i="9"/>
  <c r="H53" i="9"/>
  <c r="AO53" i="9"/>
  <c r="AW53" i="9"/>
  <c r="F54" i="9"/>
  <c r="AV54" i="9"/>
  <c r="D55" i="9"/>
  <c r="AT56" i="9"/>
  <c r="AS57" i="9"/>
  <c r="BA57" i="9"/>
  <c r="AR58" i="9"/>
  <c r="AZ58" i="9"/>
  <c r="AQ59" i="9"/>
  <c r="AZ61" i="9"/>
  <c r="H63" i="9"/>
  <c r="F63" i="9"/>
  <c r="I64" i="9"/>
  <c r="F64" i="9"/>
  <c r="D64" i="9"/>
  <c r="AO64" i="9"/>
  <c r="AZ66" i="9"/>
  <c r="AY67" i="9"/>
  <c r="AT68" i="9"/>
  <c r="AW68" i="9"/>
  <c r="AY69" i="9"/>
  <c r="AV70" i="9"/>
  <c r="AX71" i="9"/>
  <c r="BA71" i="9"/>
  <c r="AV76" i="9"/>
  <c r="BA77" i="9"/>
  <c r="D78" i="9"/>
  <c r="AZ85" i="9"/>
  <c r="AW87" i="9"/>
  <c r="AO87" i="9"/>
  <c r="AV87" i="9"/>
  <c r="AT87" i="9"/>
  <c r="AZ87" i="9"/>
  <c r="AY87" i="9"/>
  <c r="AX87" i="9"/>
  <c r="AU87" i="9"/>
  <c r="AS87" i="9"/>
  <c r="BA87" i="9"/>
  <c r="AP87" i="9"/>
  <c r="F88" i="9"/>
  <c r="D88" i="9"/>
  <c r="I88" i="9"/>
  <c r="AT88" i="9"/>
  <c r="AP88" i="9"/>
  <c r="AO88" i="9"/>
  <c r="AX98" i="9"/>
  <c r="AW98" i="9"/>
  <c r="AV98" i="9"/>
  <c r="AU98" i="9"/>
  <c r="AP98" i="9"/>
  <c r="AO98" i="9"/>
  <c r="AV99" i="9"/>
  <c r="AT110" i="9"/>
  <c r="AZ110" i="9"/>
  <c r="AR110" i="9"/>
  <c r="AY110" i="9"/>
  <c r="AO110" i="9"/>
  <c r="AX110" i="9"/>
  <c r="AW110" i="9"/>
  <c r="AV110" i="9"/>
  <c r="AS110" i="9"/>
  <c r="AP110" i="9"/>
  <c r="BA110" i="9"/>
  <c r="AQ110" i="9"/>
  <c r="AW117" i="9"/>
  <c r="AP117" i="9"/>
  <c r="AZ117" i="9"/>
  <c r="AY117" i="9"/>
  <c r="AX117" i="9"/>
  <c r="AO117" i="9"/>
  <c r="BA22" i="9"/>
  <c r="AQ24" i="9"/>
  <c r="AS15" i="9"/>
  <c r="AT9" i="9"/>
  <c r="AS10" i="9"/>
  <c r="BA10" i="9"/>
  <c r="AR11" i="9"/>
  <c r="AZ11" i="9"/>
  <c r="AQ12" i="9"/>
  <c r="AY12" i="9"/>
  <c r="AP13" i="9"/>
  <c r="H14" i="9"/>
  <c r="AO14" i="9"/>
  <c r="AW14" i="9"/>
  <c r="AV15" i="9"/>
  <c r="AU16" i="9"/>
  <c r="AT17" i="9"/>
  <c r="AS18" i="9"/>
  <c r="BA18" i="9"/>
  <c r="AR19" i="9"/>
  <c r="AZ19" i="9"/>
  <c r="AQ20" i="9"/>
  <c r="AY20" i="9"/>
  <c r="I21" i="9"/>
  <c r="AP21" i="9"/>
  <c r="H22" i="9"/>
  <c r="AO22" i="9"/>
  <c r="AW22" i="9"/>
  <c r="AV23" i="9"/>
  <c r="AU24" i="9"/>
  <c r="AT25" i="9"/>
  <c r="AS26" i="9"/>
  <c r="BA26" i="9"/>
  <c r="AR27" i="9"/>
  <c r="AZ27" i="9"/>
  <c r="AQ28" i="9"/>
  <c r="AY28" i="9"/>
  <c r="AP29" i="9"/>
  <c r="H30" i="9"/>
  <c r="AO30" i="9"/>
  <c r="AW30" i="9"/>
  <c r="AV31" i="9"/>
  <c r="AU32" i="9"/>
  <c r="AT33" i="9"/>
  <c r="AS34" i="9"/>
  <c r="BA34" i="9"/>
  <c r="AR35" i="9"/>
  <c r="AZ35" i="9"/>
  <c r="AQ36" i="9"/>
  <c r="AY36" i="9"/>
  <c r="AP37" i="9"/>
  <c r="H38" i="9"/>
  <c r="AO38" i="9"/>
  <c r="AV39" i="9"/>
  <c r="AU40" i="9"/>
  <c r="AT41" i="9"/>
  <c r="AS42" i="9"/>
  <c r="BA42" i="9"/>
  <c r="AR43" i="9"/>
  <c r="AZ43" i="9"/>
  <c r="AQ44" i="9"/>
  <c r="AY44" i="9"/>
  <c r="AP45" i="9"/>
  <c r="H46" i="9"/>
  <c r="AO46" i="9"/>
  <c r="AV47" i="9"/>
  <c r="AU48" i="9"/>
  <c r="AT49" i="9"/>
  <c r="AS50" i="9"/>
  <c r="BA50" i="9"/>
  <c r="AR51" i="9"/>
  <c r="AZ51" i="9"/>
  <c r="AQ52" i="9"/>
  <c r="AY52" i="9"/>
  <c r="AP53" i="9"/>
  <c r="H54" i="9"/>
  <c r="AO54" i="9"/>
  <c r="AV55" i="9"/>
  <c r="AU56" i="9"/>
  <c r="AT57" i="9"/>
  <c r="AS58" i="9"/>
  <c r="BA58" i="9"/>
  <c r="AR59" i="9"/>
  <c r="AZ59" i="9"/>
  <c r="AZ60" i="9"/>
  <c r="AY60" i="9"/>
  <c r="AQ60" i="9"/>
  <c r="AU60" i="9"/>
  <c r="AR60" i="9"/>
  <c r="I62" i="9"/>
  <c r="H62" i="9"/>
  <c r="AP63" i="9"/>
  <c r="D67" i="9"/>
  <c r="F67" i="9"/>
  <c r="BA69" i="9"/>
  <c r="AS69" i="9"/>
  <c r="AV69" i="9"/>
  <c r="AR72" i="9"/>
  <c r="AU75" i="9"/>
  <c r="AT75" i="9"/>
  <c r="BA75" i="9"/>
  <c r="AS75" i="9"/>
  <c r="AZ75" i="9"/>
  <c r="AR75" i="9"/>
  <c r="AV75" i="9"/>
  <c r="AQ75" i="9"/>
  <c r="AZ76" i="9"/>
  <c r="AW76" i="9"/>
  <c r="AZ78" i="9"/>
  <c r="AS79" i="9"/>
  <c r="AV82" i="9"/>
  <c r="AU82" i="9"/>
  <c r="AT82" i="9"/>
  <c r="BA82" i="9"/>
  <c r="AS82" i="9"/>
  <c r="AZ82" i="9"/>
  <c r="AR82" i="9"/>
  <c r="AW82" i="9"/>
  <c r="AO82" i="9"/>
  <c r="AX82" i="9"/>
  <c r="AX84" i="9"/>
  <c r="AP84" i="9"/>
  <c r="AZ112" i="9"/>
  <c r="AU112" i="9"/>
  <c r="AT112" i="9"/>
  <c r="AY16" i="9"/>
  <c r="D9" i="9"/>
  <c r="AU9" i="9"/>
  <c r="AT10" i="9"/>
  <c r="AS11" i="9"/>
  <c r="BA11" i="9"/>
  <c r="AR12" i="9"/>
  <c r="AZ12" i="9"/>
  <c r="AQ13" i="9"/>
  <c r="AY13" i="9"/>
  <c r="AP14" i="9"/>
  <c r="AX14" i="9"/>
  <c r="AO15" i="9"/>
  <c r="AW15" i="9"/>
  <c r="AV16" i="9"/>
  <c r="D17" i="9"/>
  <c r="AU17" i="9"/>
  <c r="AT18" i="9"/>
  <c r="AS19" i="9"/>
  <c r="BA19" i="9"/>
  <c r="AR20" i="9"/>
  <c r="AZ20" i="9"/>
  <c r="AQ21" i="9"/>
  <c r="AY21" i="9"/>
  <c r="AP22" i="9"/>
  <c r="AX22" i="9"/>
  <c r="AO23" i="9"/>
  <c r="AW23" i="9"/>
  <c r="AV24" i="9"/>
  <c r="D25" i="9"/>
  <c r="AU25" i="9"/>
  <c r="AT26" i="9"/>
  <c r="AS27" i="9"/>
  <c r="BA27" i="9"/>
  <c r="AR28" i="9"/>
  <c r="AZ28" i="9"/>
  <c r="AQ29" i="9"/>
  <c r="AY29" i="9"/>
  <c r="AP30" i="9"/>
  <c r="AO31" i="9"/>
  <c r="AW31" i="9"/>
  <c r="AV32" i="9"/>
  <c r="D33" i="9"/>
  <c r="AU33" i="9"/>
  <c r="AS35" i="9"/>
  <c r="AR36" i="9"/>
  <c r="AZ36" i="9"/>
  <c r="AQ37" i="9"/>
  <c r="AP38" i="9"/>
  <c r="AX38" i="9"/>
  <c r="AO39" i="9"/>
  <c r="AV40" i="9"/>
  <c r="D41" i="9"/>
  <c r="AU41" i="9"/>
  <c r="AS43" i="9"/>
  <c r="AR44" i="9"/>
  <c r="AZ44" i="9"/>
  <c r="AQ45" i="9"/>
  <c r="AP46" i="9"/>
  <c r="AX46" i="9"/>
  <c r="AO47" i="9"/>
  <c r="AW47" i="9"/>
  <c r="AV48" i="9"/>
  <c r="D49" i="9"/>
  <c r="AU49" i="9"/>
  <c r="AS51" i="9"/>
  <c r="BA51" i="9"/>
  <c r="AR52" i="9"/>
  <c r="AZ52" i="9"/>
  <c r="AQ53" i="9"/>
  <c r="AP54" i="9"/>
  <c r="AX54" i="9"/>
  <c r="AO55" i="9"/>
  <c r="AW55" i="9"/>
  <c r="AV56" i="9"/>
  <c r="D57" i="9"/>
  <c r="AU57" i="9"/>
  <c r="AS59" i="9"/>
  <c r="BA59" i="9"/>
  <c r="AS60" i="9"/>
  <c r="D62" i="9"/>
  <c r="AS63" i="9"/>
  <c r="AV64" i="9"/>
  <c r="AP66" i="9"/>
  <c r="H67" i="9"/>
  <c r="AW69" i="9"/>
  <c r="I72" i="9"/>
  <c r="H72" i="9"/>
  <c r="F72" i="9"/>
  <c r="D72" i="9"/>
  <c r="AS72" i="9"/>
  <c r="AW73" i="9"/>
  <c r="AO73" i="9"/>
  <c r="AV73" i="9"/>
  <c r="AU73" i="9"/>
  <c r="AT73" i="9"/>
  <c r="AX73" i="9"/>
  <c r="AP73" i="9"/>
  <c r="AS73" i="9"/>
  <c r="AV74" i="9"/>
  <c r="AU74" i="9"/>
  <c r="AT74" i="9"/>
  <c r="BA74" i="9"/>
  <c r="AS74" i="9"/>
  <c r="AW74" i="9"/>
  <c r="AO74" i="9"/>
  <c r="AR74" i="9"/>
  <c r="AW75" i="9"/>
  <c r="I79" i="9"/>
  <c r="H79" i="9"/>
  <c r="F79" i="9"/>
  <c r="D79" i="9"/>
  <c r="AT79" i="9"/>
  <c r="AY82" i="9"/>
  <c r="AO84" i="9"/>
  <c r="AV86" i="9"/>
  <c r="AW99" i="9"/>
  <c r="AT99" i="9"/>
  <c r="AO99" i="9"/>
  <c r="AV101" i="9"/>
  <c r="AT101" i="9"/>
  <c r="AS101" i="9"/>
  <c r="AR101" i="9"/>
  <c r="BA101" i="9"/>
  <c r="AU101" i="9"/>
  <c r="AZ15" i="9"/>
  <c r="AZ23" i="9"/>
  <c r="AY24" i="9"/>
  <c r="AS12" i="9"/>
  <c r="AR13" i="9"/>
  <c r="AQ14" i="9"/>
  <c r="AP15" i="9"/>
  <c r="AO16" i="9"/>
  <c r="AS20" i="9"/>
  <c r="AR21" i="9"/>
  <c r="AQ22" i="9"/>
  <c r="AP23" i="9"/>
  <c r="AO24" i="9"/>
  <c r="AS28" i="9"/>
  <c r="AR29" i="9"/>
  <c r="AQ30" i="9"/>
  <c r="AP31" i="9"/>
  <c r="AO32" i="9"/>
  <c r="AS36" i="9"/>
  <c r="AR37" i="9"/>
  <c r="AQ38" i="9"/>
  <c r="AP39" i="9"/>
  <c r="AO40" i="9"/>
  <c r="AS44" i="9"/>
  <c r="AR45" i="9"/>
  <c r="AQ46" i="9"/>
  <c r="AP47" i="9"/>
  <c r="AO48" i="9"/>
  <c r="AS52" i="9"/>
  <c r="AR53" i="9"/>
  <c r="AQ54" i="9"/>
  <c r="AP55" i="9"/>
  <c r="AO56" i="9"/>
  <c r="AT60" i="9"/>
  <c r="AO61" i="9"/>
  <c r="F62" i="9"/>
  <c r="AY63" i="9"/>
  <c r="AX64" i="9"/>
  <c r="AP64" i="9"/>
  <c r="AT64" i="9"/>
  <c r="AW65" i="9"/>
  <c r="AO65" i="9"/>
  <c r="AU65" i="9"/>
  <c r="AT65" i="9"/>
  <c r="AX65" i="9"/>
  <c r="AP65" i="9"/>
  <c r="AS65" i="9"/>
  <c r="I67" i="9"/>
  <c r="AZ69" i="9"/>
  <c r="H71" i="9"/>
  <c r="F71" i="9"/>
  <c r="AV72" i="9"/>
  <c r="AX75" i="9"/>
  <c r="AT76" i="9"/>
  <c r="AW77" i="9"/>
  <c r="AO77" i="9"/>
  <c r="AY79" i="9"/>
  <c r="BA79" i="9"/>
  <c r="AW81" i="9"/>
  <c r="AO81" i="9"/>
  <c r="AV81" i="9"/>
  <c r="AU81" i="9"/>
  <c r="AT81" i="9"/>
  <c r="BA81" i="9"/>
  <c r="AS81" i="9"/>
  <c r="AX81" i="9"/>
  <c r="AP81" i="9"/>
  <c r="AY81" i="9"/>
  <c r="AV84" i="9"/>
  <c r="AT61" i="9"/>
  <c r="AR63" i="9"/>
  <c r="AZ63" i="9"/>
  <c r="AQ64" i="9"/>
  <c r="AY64" i="9"/>
  <c r="I65" i="9"/>
  <c r="AU68" i="9"/>
  <c r="AT69" i="9"/>
  <c r="AR71" i="9"/>
  <c r="AZ71" i="9"/>
  <c r="AQ72" i="9"/>
  <c r="AY72" i="9"/>
  <c r="I73" i="9"/>
  <c r="F75" i="9"/>
  <c r="AU76" i="9"/>
  <c r="AT77" i="9"/>
  <c r="AS78" i="9"/>
  <c r="BA78" i="9"/>
  <c r="AR79" i="9"/>
  <c r="AZ79" i="9"/>
  <c r="AQ80" i="9"/>
  <c r="I81" i="9"/>
  <c r="F83" i="9"/>
  <c r="AV83" i="9"/>
  <c r="D85" i="9"/>
  <c r="AX85" i="9"/>
  <c r="AT86" i="9"/>
  <c r="AU89" i="9"/>
  <c r="AT89" i="9"/>
  <c r="BA89" i="9"/>
  <c r="AS89" i="9"/>
  <c r="AZ89" i="9"/>
  <c r="AR89" i="9"/>
  <c r="AQ89" i="9"/>
  <c r="AO90" i="9"/>
  <c r="F91" i="9"/>
  <c r="AR96" i="9"/>
  <c r="I100" i="9"/>
  <c r="H100" i="9"/>
  <c r="AY101" i="9"/>
  <c r="AW103" i="9"/>
  <c r="AY104" i="9"/>
  <c r="H106" i="9"/>
  <c r="G106" i="9"/>
  <c r="F106" i="9"/>
  <c r="D106" i="9"/>
  <c r="BA112" i="9"/>
  <c r="AY112" i="9"/>
  <c r="AV121" i="9"/>
  <c r="AU121" i="9"/>
  <c r="AT121" i="9"/>
  <c r="BA121" i="9"/>
  <c r="AS121" i="9"/>
  <c r="AZ121" i="9"/>
  <c r="AR121" i="9"/>
  <c r="AY121" i="9"/>
  <c r="AX121" i="9"/>
  <c r="AW121" i="9"/>
  <c r="AQ121" i="9"/>
  <c r="AP121" i="9"/>
  <c r="AX122" i="9"/>
  <c r="AP122" i="9"/>
  <c r="AW122" i="9"/>
  <c r="AV122" i="9"/>
  <c r="AU122" i="9"/>
  <c r="AO122" i="9"/>
  <c r="BA128" i="9"/>
  <c r="AZ132" i="9"/>
  <c r="AX141" i="9"/>
  <c r="AW141" i="9"/>
  <c r="AT90" i="9"/>
  <c r="AU97" i="9"/>
  <c r="AT97" i="9"/>
  <c r="BA97" i="9"/>
  <c r="AS97" i="9"/>
  <c r="AZ97" i="9"/>
  <c r="AR97" i="9"/>
  <c r="AQ97" i="9"/>
  <c r="AW106" i="9"/>
  <c r="AO106" i="9"/>
  <c r="AV106" i="9"/>
  <c r="AU106" i="9"/>
  <c r="AT106" i="9"/>
  <c r="AZ106" i="9"/>
  <c r="AR106" i="9"/>
  <c r="AS106" i="9"/>
  <c r="AO108" i="9"/>
  <c r="AX126" i="9"/>
  <c r="AP126" i="9"/>
  <c r="AW126" i="9"/>
  <c r="AV126" i="9"/>
  <c r="AU126" i="9"/>
  <c r="AO126" i="9"/>
  <c r="AZ140" i="9"/>
  <c r="AQ140" i="9"/>
  <c r="AO140" i="9"/>
  <c r="AQ83" i="9"/>
  <c r="AY83" i="9"/>
  <c r="AY85" i="9"/>
  <c r="AZ90" i="9"/>
  <c r="AX92" i="9"/>
  <c r="AP92" i="9"/>
  <c r="BA92" i="9"/>
  <c r="AV97" i="9"/>
  <c r="H102" i="9"/>
  <c r="G102" i="9"/>
  <c r="F102" i="9"/>
  <c r="D102" i="9"/>
  <c r="AX104" i="9"/>
  <c r="AP104" i="9"/>
  <c r="AV104" i="9"/>
  <c r="I105" i="9"/>
  <c r="H105" i="9"/>
  <c r="G105" i="9"/>
  <c r="D105" i="9"/>
  <c r="AX106" i="9"/>
  <c r="AQ108" i="9"/>
  <c r="I111" i="9"/>
  <c r="H111" i="9"/>
  <c r="G111" i="9"/>
  <c r="D111" i="9"/>
  <c r="AV113" i="9"/>
  <c r="AU113" i="9"/>
  <c r="AT113" i="9"/>
  <c r="AZ113" i="9"/>
  <c r="AO113" i="9"/>
  <c r="AY113" i="9"/>
  <c r="AX113" i="9"/>
  <c r="AW113" i="9"/>
  <c r="AR113" i="9"/>
  <c r="AS113" i="9"/>
  <c r="AU136" i="9"/>
  <c r="AT136" i="9"/>
  <c r="AP175" i="9"/>
  <c r="AW175" i="9"/>
  <c r="AO203" i="9"/>
  <c r="AP61" i="9"/>
  <c r="AX61" i="9"/>
  <c r="AV63" i="9"/>
  <c r="AU64" i="9"/>
  <c r="AQ68" i="9"/>
  <c r="AY68" i="9"/>
  <c r="AP69" i="9"/>
  <c r="AX69" i="9"/>
  <c r="AV71" i="9"/>
  <c r="AQ76" i="9"/>
  <c r="AY76" i="9"/>
  <c r="AP77" i="9"/>
  <c r="AX77" i="9"/>
  <c r="AO78" i="9"/>
  <c r="AW78" i="9"/>
  <c r="AV79" i="9"/>
  <c r="D80" i="9"/>
  <c r="AR83" i="9"/>
  <c r="AZ83" i="9"/>
  <c r="AZ84" i="9"/>
  <c r="AQ84" i="9"/>
  <c r="AY84" i="9"/>
  <c r="AS85" i="9"/>
  <c r="I86" i="9"/>
  <c r="D86" i="9"/>
  <c r="BA86" i="9"/>
  <c r="AV88" i="9"/>
  <c r="AU88" i="9"/>
  <c r="BA88" i="9"/>
  <c r="AS88" i="9"/>
  <c r="AQ88" i="9"/>
  <c r="AY89" i="9"/>
  <c r="AW90" i="9"/>
  <c r="I94" i="9"/>
  <c r="H94" i="9"/>
  <c r="F94" i="9"/>
  <c r="D94" i="9"/>
  <c r="AR94" i="9"/>
  <c r="AQ95" i="9"/>
  <c r="AZ96" i="9"/>
  <c r="AW97" i="9"/>
  <c r="AT98" i="9"/>
  <c r="AZ99" i="9"/>
  <c r="AU99" i="9"/>
  <c r="AZ100" i="9"/>
  <c r="I102" i="9"/>
  <c r="AQ102" i="9"/>
  <c r="F105" i="9"/>
  <c r="AS105" i="9"/>
  <c r="AY106" i="9"/>
  <c r="AX107" i="9"/>
  <c r="AU107" i="9"/>
  <c r="AT107" i="9"/>
  <c r="AS107" i="9"/>
  <c r="BA107" i="9"/>
  <c r="AR107" i="9"/>
  <c r="AY107" i="9"/>
  <c r="AP107" i="9"/>
  <c r="AV107" i="9"/>
  <c r="AV108" i="9"/>
  <c r="AU108" i="9"/>
  <c r="AT108" i="9"/>
  <c r="AS108" i="9"/>
  <c r="BA108" i="9"/>
  <c r="AR108" i="9"/>
  <c r="AY108" i="9"/>
  <c r="AP108" i="9"/>
  <c r="AW108" i="9"/>
  <c r="AV109" i="9"/>
  <c r="AT109" i="9"/>
  <c r="AW109" i="9"/>
  <c r="AU109" i="9"/>
  <c r="AS109" i="9"/>
  <c r="AR109" i="9"/>
  <c r="AZ109" i="9"/>
  <c r="AP109" i="9"/>
  <c r="AX109" i="9"/>
  <c r="F111" i="9"/>
  <c r="BA113" i="9"/>
  <c r="AZ119" i="9"/>
  <c r="I120" i="9"/>
  <c r="H120" i="9"/>
  <c r="G120" i="9"/>
  <c r="F120" i="9"/>
  <c r="D120" i="9"/>
  <c r="AV139" i="9"/>
  <c r="AT139" i="9"/>
  <c r="AV175" i="9"/>
  <c r="AQ61" i="9"/>
  <c r="AY61" i="9"/>
  <c r="AO63" i="9"/>
  <c r="AW63" i="9"/>
  <c r="AR68" i="9"/>
  <c r="AQ69" i="9"/>
  <c r="AO71" i="9"/>
  <c r="AW71" i="9"/>
  <c r="AR76" i="9"/>
  <c r="AQ77" i="9"/>
  <c r="AP78" i="9"/>
  <c r="AX78" i="9"/>
  <c r="AO79" i="9"/>
  <c r="AW79" i="9"/>
  <c r="F80" i="9"/>
  <c r="AS83" i="9"/>
  <c r="BA83" i="9"/>
  <c r="AR84" i="9"/>
  <c r="BA84" i="9"/>
  <c r="F86" i="9"/>
  <c r="AR88" i="9"/>
  <c r="I93" i="9"/>
  <c r="H93" i="9"/>
  <c r="F93" i="9"/>
  <c r="AX94" i="9"/>
  <c r="AP94" i="9"/>
  <c r="AW94" i="9"/>
  <c r="AO94" i="9"/>
  <c r="AV94" i="9"/>
  <c r="AU94" i="9"/>
  <c r="AS94" i="9"/>
  <c r="AW95" i="9"/>
  <c r="AO95" i="9"/>
  <c r="AV95" i="9"/>
  <c r="AU95" i="9"/>
  <c r="AT95" i="9"/>
  <c r="AR95" i="9"/>
  <c r="AX97" i="9"/>
  <c r="AW100" i="9"/>
  <c r="AO100" i="9"/>
  <c r="AU100" i="9"/>
  <c r="AW102" i="9"/>
  <c r="AO102" i="9"/>
  <c r="AV102" i="9"/>
  <c r="AU102" i="9"/>
  <c r="AT102" i="9"/>
  <c r="AZ102" i="9"/>
  <c r="AR102" i="9"/>
  <c r="AS102" i="9"/>
  <c r="AY105" i="9"/>
  <c r="BA106" i="9"/>
  <c r="AW107" i="9"/>
  <c r="AX108" i="9"/>
  <c r="AY109" i="9"/>
  <c r="AQ134" i="9"/>
  <c r="BA135" i="9"/>
  <c r="AY135" i="9"/>
  <c r="AS76" i="9"/>
  <c r="BA76" i="9"/>
  <c r="AR77" i="9"/>
  <c r="AZ77" i="9"/>
  <c r="AQ78" i="9"/>
  <c r="AY78" i="9"/>
  <c r="H80" i="9"/>
  <c r="AT83" i="9"/>
  <c r="AS84" i="9"/>
  <c r="AU85" i="9"/>
  <c r="AO89" i="9"/>
  <c r="I92" i="9"/>
  <c r="H92" i="9"/>
  <c r="AT94" i="9"/>
  <c r="AS95" i="9"/>
  <c r="AY97" i="9"/>
  <c r="BA99" i="9"/>
  <c r="AO104" i="9"/>
  <c r="AV105" i="9"/>
  <c r="AT105" i="9"/>
  <c r="AZ105" i="9"/>
  <c r="AV114" i="9"/>
  <c r="AW115" i="9"/>
  <c r="AO115" i="9"/>
  <c r="AV115" i="9"/>
  <c r="AU115" i="9"/>
  <c r="AT115" i="9"/>
  <c r="AS115" i="9"/>
  <c r="I131" i="9"/>
  <c r="H131" i="9"/>
  <c r="G131" i="9"/>
  <c r="F131" i="9"/>
  <c r="BA134" i="9"/>
  <c r="AT142" i="9"/>
  <c r="AZ142" i="9"/>
  <c r="AR142" i="9"/>
  <c r="AW142" i="9"/>
  <c r="AO142" i="9"/>
  <c r="AP142" i="9"/>
  <c r="BA142" i="9"/>
  <c r="AY142" i="9"/>
  <c r="AX142" i="9"/>
  <c r="AV142" i="9"/>
  <c r="AQ142" i="9"/>
  <c r="AS142" i="9"/>
  <c r="AQ63" i="9"/>
  <c r="AQ71" i="9"/>
  <c r="AS77" i="9"/>
  <c r="AR78" i="9"/>
  <c r="AQ79" i="9"/>
  <c r="AX86" i="9"/>
  <c r="AP86" i="9"/>
  <c r="AW86" i="9"/>
  <c r="AO86" i="9"/>
  <c r="AU86" i="9"/>
  <c r="AS86" i="9"/>
  <c r="D91" i="9"/>
  <c r="D92" i="9"/>
  <c r="AS92" i="9"/>
  <c r="AY93" i="9"/>
  <c r="AV96" i="9"/>
  <c r="AU96" i="9"/>
  <c r="AT96" i="9"/>
  <c r="BA96" i="9"/>
  <c r="AS96" i="9"/>
  <c r="AQ96" i="9"/>
  <c r="AX99" i="9"/>
  <c r="AP99" i="9"/>
  <c r="AU103" i="9"/>
  <c r="AT103" i="9"/>
  <c r="BA103" i="9"/>
  <c r="AS103" i="9"/>
  <c r="AZ103" i="9"/>
  <c r="AR103" i="9"/>
  <c r="AX103" i="9"/>
  <c r="AP103" i="9"/>
  <c r="AV103" i="9"/>
  <c r="AT104" i="9"/>
  <c r="BA105" i="9"/>
  <c r="AU111" i="9"/>
  <c r="AS111" i="9"/>
  <c r="AO111" i="9"/>
  <c r="BA111" i="9"/>
  <c r="AR112" i="9"/>
  <c r="AZ128" i="9"/>
  <c r="AY132" i="9"/>
  <c r="I115" i="9"/>
  <c r="H115" i="9"/>
  <c r="I116" i="9"/>
  <c r="H116" i="9"/>
  <c r="G116" i="9"/>
  <c r="F116" i="9"/>
  <c r="AW119" i="9"/>
  <c r="AO119" i="9"/>
  <c r="AV119" i="9"/>
  <c r="AX130" i="9"/>
  <c r="AP130" i="9"/>
  <c r="I135" i="9"/>
  <c r="F135" i="9"/>
  <c r="H135" i="9"/>
  <c r="G135" i="9"/>
  <c r="AR137" i="9"/>
  <c r="AZ137" i="9"/>
  <c r="AO137" i="9"/>
  <c r="AW123" i="9"/>
  <c r="AO123" i="9"/>
  <c r="AV123" i="9"/>
  <c r="AO129" i="9"/>
  <c r="AZ131" i="9"/>
  <c r="AU131" i="9"/>
  <c r="D135" i="9"/>
  <c r="AP137" i="9"/>
  <c r="AO143" i="9"/>
  <c r="AY157" i="9"/>
  <c r="AP157" i="9"/>
  <c r="BA157" i="9"/>
  <c r="AV85" i="9"/>
  <c r="AQ90" i="9"/>
  <c r="AY90" i="9"/>
  <c r="AP91" i="9"/>
  <c r="AX91" i="9"/>
  <c r="AO92" i="9"/>
  <c r="AW92" i="9"/>
  <c r="AV93" i="9"/>
  <c r="AQ98" i="9"/>
  <c r="AY98" i="9"/>
  <c r="F101" i="9"/>
  <c r="I112" i="9"/>
  <c r="H112" i="9"/>
  <c r="G112" i="9"/>
  <c r="AO114" i="9"/>
  <c r="F115" i="9"/>
  <c r="AX116" i="9"/>
  <c r="AP116" i="9"/>
  <c r="AW116" i="9"/>
  <c r="AO116" i="9"/>
  <c r="AV116" i="9"/>
  <c r="AU116" i="9"/>
  <c r="AS116" i="9"/>
  <c r="I119" i="9"/>
  <c r="H119" i="9"/>
  <c r="AX120" i="9"/>
  <c r="AP120" i="9"/>
  <c r="AW120" i="9"/>
  <c r="AO120" i="9"/>
  <c r="AV120" i="9"/>
  <c r="AU120" i="9"/>
  <c r="AT120" i="9"/>
  <c r="AS120" i="9"/>
  <c r="AT122" i="9"/>
  <c r="I124" i="9"/>
  <c r="H124" i="9"/>
  <c r="G124" i="9"/>
  <c r="F124" i="9"/>
  <c r="D124" i="9"/>
  <c r="AV125" i="9"/>
  <c r="AU125" i="9"/>
  <c r="AT125" i="9"/>
  <c r="BA125" i="9"/>
  <c r="AS125" i="9"/>
  <c r="AZ125" i="9"/>
  <c r="AR125" i="9"/>
  <c r="AQ125" i="9"/>
  <c r="AW127" i="9"/>
  <c r="AO127" i="9"/>
  <c r="AV127" i="9"/>
  <c r="AO130" i="9"/>
  <c r="BA137" i="9"/>
  <c r="AX138" i="9"/>
  <c r="G141" i="9"/>
  <c r="D141" i="9"/>
  <c r="I141" i="9"/>
  <c r="H141" i="9"/>
  <c r="F141" i="9"/>
  <c r="AR144" i="9"/>
  <c r="AZ157" i="9"/>
  <c r="AU168" i="9"/>
  <c r="AT168" i="9"/>
  <c r="AP168" i="9"/>
  <c r="AX168" i="9"/>
  <c r="AR90" i="9"/>
  <c r="AQ91" i="9"/>
  <c r="AY91" i="9"/>
  <c r="AO93" i="9"/>
  <c r="AW93" i="9"/>
  <c r="D95" i="9"/>
  <c r="AR98" i="9"/>
  <c r="AZ98" i="9"/>
  <c r="AQ99" i="9"/>
  <c r="AY99" i="9"/>
  <c r="AP100" i="9"/>
  <c r="AX100" i="9"/>
  <c r="H101" i="9"/>
  <c r="AO101" i="9"/>
  <c r="AW101" i="9"/>
  <c r="AQ104" i="9"/>
  <c r="AO105" i="9"/>
  <c r="AW105" i="9"/>
  <c r="F110" i="9"/>
  <c r="D112" i="9"/>
  <c r="AQ112" i="9"/>
  <c r="AP114" i="9"/>
  <c r="G115" i="9"/>
  <c r="AT116" i="9"/>
  <c r="AV117" i="9"/>
  <c r="AU117" i="9"/>
  <c r="AT117" i="9"/>
  <c r="BA117" i="9"/>
  <c r="AS117" i="9"/>
  <c r="AQ117" i="9"/>
  <c r="D119" i="9"/>
  <c r="AY120" i="9"/>
  <c r="AX124" i="9"/>
  <c r="AP124" i="9"/>
  <c r="AW124" i="9"/>
  <c r="AO124" i="9"/>
  <c r="AV124" i="9"/>
  <c r="AU124" i="9"/>
  <c r="AT124" i="9"/>
  <c r="AS124" i="9"/>
  <c r="AW125" i="9"/>
  <c r="AT126" i="9"/>
  <c r="I128" i="9"/>
  <c r="H128" i="9"/>
  <c r="G128" i="9"/>
  <c r="F128" i="9"/>
  <c r="D128" i="9"/>
  <c r="AR128" i="9"/>
  <c r="AV129" i="9"/>
  <c r="AU129" i="9"/>
  <c r="AT129" i="9"/>
  <c r="BA129" i="9"/>
  <c r="AS129" i="9"/>
  <c r="AZ129" i="9"/>
  <c r="AR129" i="9"/>
  <c r="AQ129" i="9"/>
  <c r="AU130" i="9"/>
  <c r="AW131" i="9"/>
  <c r="AO131" i="9"/>
  <c r="AV131" i="9"/>
  <c r="AQ132" i="9"/>
  <c r="AP133" i="9"/>
  <c r="BA133" i="9"/>
  <c r="AO133" i="9"/>
  <c r="AZ133" i="9"/>
  <c r="AX133" i="9"/>
  <c r="AW133" i="9"/>
  <c r="AX137" i="9"/>
  <c r="D138" i="9"/>
  <c r="H138" i="9"/>
  <c r="I138" i="9"/>
  <c r="G138" i="9"/>
  <c r="F138" i="9"/>
  <c r="AR145" i="9"/>
  <c r="AP145" i="9"/>
  <c r="AZ145" i="9"/>
  <c r="AW151" i="9"/>
  <c r="AV151" i="9"/>
  <c r="AO151" i="9"/>
  <c r="AX161" i="9"/>
  <c r="AV161" i="9"/>
  <c r="AT183" i="9"/>
  <c r="AQ183" i="9"/>
  <c r="BA183" i="9"/>
  <c r="AP183" i="9"/>
  <c r="AY183" i="9"/>
  <c r="AX183" i="9"/>
  <c r="AV183" i="9"/>
  <c r="AS90" i="9"/>
  <c r="BA90" i="9"/>
  <c r="AR91" i="9"/>
  <c r="AZ91" i="9"/>
  <c r="AQ92" i="9"/>
  <c r="AY92" i="9"/>
  <c r="AP93" i="9"/>
  <c r="AX93" i="9"/>
  <c r="F95" i="9"/>
  <c r="AS98" i="9"/>
  <c r="BA98" i="9"/>
  <c r="AR99" i="9"/>
  <c r="AQ100" i="9"/>
  <c r="AP101" i="9"/>
  <c r="AX101" i="9"/>
  <c r="AR104" i="9"/>
  <c r="AP105" i="9"/>
  <c r="AX105" i="9"/>
  <c r="G110" i="9"/>
  <c r="AZ111" i="9"/>
  <c r="AR111" i="9"/>
  <c r="AY111" i="9"/>
  <c r="AQ111" i="9"/>
  <c r="AX111" i="9"/>
  <c r="AP111" i="9"/>
  <c r="AT111" i="9"/>
  <c r="F112" i="9"/>
  <c r="G113" i="9"/>
  <c r="F113" i="9"/>
  <c r="D113" i="9"/>
  <c r="AT114" i="9"/>
  <c r="BA114" i="9"/>
  <c r="AS114" i="9"/>
  <c r="AZ114" i="9"/>
  <c r="AR114" i="9"/>
  <c r="AY114" i="9"/>
  <c r="AQ114" i="9"/>
  <c r="AU114" i="9"/>
  <c r="AZ115" i="9"/>
  <c r="AY116" i="9"/>
  <c r="AR117" i="9"/>
  <c r="AO118" i="9"/>
  <c r="F119" i="9"/>
  <c r="AS119" i="9"/>
  <c r="AZ120" i="9"/>
  <c r="I123" i="9"/>
  <c r="H123" i="9"/>
  <c r="G123" i="9"/>
  <c r="AY124" i="9"/>
  <c r="AX125" i="9"/>
  <c r="AX128" i="9"/>
  <c r="AP128" i="9"/>
  <c r="AW128" i="9"/>
  <c r="AO128" i="9"/>
  <c r="AV128" i="9"/>
  <c r="AU128" i="9"/>
  <c r="AT128" i="9"/>
  <c r="AS128" i="9"/>
  <c r="AW129" i="9"/>
  <c r="AT130" i="9"/>
  <c r="AV130" i="9"/>
  <c r="I132" i="9"/>
  <c r="H132" i="9"/>
  <c r="G132" i="9"/>
  <c r="F132" i="9"/>
  <c r="D132" i="9"/>
  <c r="AV135" i="9"/>
  <c r="AQ138" i="9"/>
  <c r="AS141" i="9"/>
  <c r="AV146" i="9"/>
  <c r="AQ146" i="9"/>
  <c r="AP146" i="9"/>
  <c r="AY146" i="9"/>
  <c r="AW148" i="9"/>
  <c r="I155" i="9"/>
  <c r="H155" i="9"/>
  <c r="G155" i="9"/>
  <c r="F155" i="9"/>
  <c r="D155" i="9"/>
  <c r="AQ85" i="9"/>
  <c r="AS91" i="9"/>
  <c r="AR92" i="9"/>
  <c r="AQ93" i="9"/>
  <c r="AS99" i="9"/>
  <c r="AR100" i="9"/>
  <c r="AQ101" i="9"/>
  <c r="AS104" i="9"/>
  <c r="AQ105" i="9"/>
  <c r="H110" i="9"/>
  <c r="AX112" i="9"/>
  <c r="AP112" i="9"/>
  <c r="AW112" i="9"/>
  <c r="AO112" i="9"/>
  <c r="AV112" i="9"/>
  <c r="AS112" i="9"/>
  <c r="AZ116" i="9"/>
  <c r="G119" i="9"/>
  <c r="AT119" i="9"/>
  <c r="BA120" i="9"/>
  <c r="AS123" i="9"/>
  <c r="AY125" i="9"/>
  <c r="I127" i="9"/>
  <c r="H127" i="9"/>
  <c r="G127" i="9"/>
  <c r="AW130" i="9"/>
  <c r="AX132" i="9"/>
  <c r="AP132" i="9"/>
  <c r="AW132" i="9"/>
  <c r="AO132" i="9"/>
  <c r="AV132" i="9"/>
  <c r="AU132" i="9"/>
  <c r="AT132" i="9"/>
  <c r="AS132" i="9"/>
  <c r="AT135" i="9"/>
  <c r="AR141" i="9"/>
  <c r="BA154" i="9"/>
  <c r="AS154" i="9"/>
  <c r="AZ154" i="9"/>
  <c r="AR154" i="9"/>
  <c r="AX154" i="9"/>
  <c r="AW154" i="9"/>
  <c r="AV154" i="9"/>
  <c r="AU154" i="9"/>
  <c r="AT154" i="9"/>
  <c r="AY154" i="9"/>
  <c r="AO154" i="9"/>
  <c r="AP154" i="9"/>
  <c r="AQ154" i="9"/>
  <c r="AW135" i="9"/>
  <c r="AX136" i="9"/>
  <c r="AP136" i="9"/>
  <c r="AV136" i="9"/>
  <c r="BA136" i="9"/>
  <c r="AS136" i="9"/>
  <c r="AR136" i="9"/>
  <c r="AV138" i="9"/>
  <c r="AZ139" i="9"/>
  <c r="AR139" i="9"/>
  <c r="AX139" i="9"/>
  <c r="AP139" i="9"/>
  <c r="AU139" i="9"/>
  <c r="AS139" i="9"/>
  <c r="AU141" i="9"/>
  <c r="AZ144" i="9"/>
  <c r="AU148" i="9"/>
  <c r="AW149" i="9"/>
  <c r="AO149" i="9"/>
  <c r="AU149" i="9"/>
  <c r="AX149" i="9"/>
  <c r="AT151" i="9"/>
  <c r="AP156" i="9"/>
  <c r="BA156" i="9"/>
  <c r="AZ156" i="9"/>
  <c r="AX156" i="9"/>
  <c r="AU156" i="9"/>
  <c r="AR156" i="9"/>
  <c r="AQ161" i="9"/>
  <c r="AX166" i="9"/>
  <c r="AP166" i="9"/>
  <c r="AQ170" i="9"/>
  <c r="AX175" i="9"/>
  <c r="AQ179" i="9"/>
  <c r="AT134" i="9"/>
  <c r="AZ134" i="9"/>
  <c r="AR134" i="9"/>
  <c r="AW134" i="9"/>
  <c r="AO134" i="9"/>
  <c r="AS134" i="9"/>
  <c r="AO135" i="9"/>
  <c r="AW136" i="9"/>
  <c r="AV137" i="9"/>
  <c r="BA138" i="9"/>
  <c r="BB138" i="9" s="1"/>
  <c r="AW139" i="9"/>
  <c r="AX140" i="9"/>
  <c r="AP140" i="9"/>
  <c r="AV140" i="9"/>
  <c r="BA140" i="9"/>
  <c r="AS140" i="9"/>
  <c r="AR140" i="9"/>
  <c r="AZ141" i="9"/>
  <c r="BA143" i="9"/>
  <c r="AZ143" i="9"/>
  <c r="AR143" i="9"/>
  <c r="AX143" i="9"/>
  <c r="AP143" i="9"/>
  <c r="AU143" i="9"/>
  <c r="AS143" i="9"/>
  <c r="AO144" i="9"/>
  <c r="I153" i="9"/>
  <c r="H153" i="9"/>
  <c r="G153" i="9"/>
  <c r="F153" i="9"/>
  <c r="D153" i="9"/>
  <c r="AX157" i="9"/>
  <c r="AO159" i="9"/>
  <c r="AX162" i="9"/>
  <c r="AT162" i="9"/>
  <c r="AO162" i="9"/>
  <c r="AU167" i="9"/>
  <c r="AT167" i="9"/>
  <c r="AR167" i="9"/>
  <c r="AO167" i="9"/>
  <c r="AV167" i="9"/>
  <c r="AV171" i="9"/>
  <c r="AR171" i="9"/>
  <c r="AQ118" i="9"/>
  <c r="AY118" i="9"/>
  <c r="AQ122" i="9"/>
  <c r="AY122" i="9"/>
  <c r="AQ126" i="9"/>
  <c r="AY126" i="9"/>
  <c r="AQ130" i="9"/>
  <c r="AY130" i="9"/>
  <c r="G133" i="9"/>
  <c r="D133" i="9"/>
  <c r="AU134" i="9"/>
  <c r="AQ135" i="9"/>
  <c r="AY136" i="9"/>
  <c r="AS137" i="9"/>
  <c r="I139" i="9"/>
  <c r="F139" i="9"/>
  <c r="AY139" i="9"/>
  <c r="AT140" i="9"/>
  <c r="AO141" i="9"/>
  <c r="BA141" i="9"/>
  <c r="AT143" i="9"/>
  <c r="AO147" i="9"/>
  <c r="H149" i="9"/>
  <c r="G149" i="9"/>
  <c r="D149" i="9"/>
  <c r="AP150" i="9"/>
  <c r="AV153" i="9"/>
  <c r="AP162" i="9"/>
  <c r="AR169" i="9"/>
  <c r="AO171" i="9"/>
  <c r="AP115" i="9"/>
  <c r="AX115" i="9"/>
  <c r="D117" i="9"/>
  <c r="AR118" i="9"/>
  <c r="AZ118" i="9"/>
  <c r="AP119" i="9"/>
  <c r="AX119" i="9"/>
  <c r="D121" i="9"/>
  <c r="AR122" i="9"/>
  <c r="AZ122" i="9"/>
  <c r="AP123" i="9"/>
  <c r="AX123" i="9"/>
  <c r="D125" i="9"/>
  <c r="AR126" i="9"/>
  <c r="AZ126" i="9"/>
  <c r="AP127" i="9"/>
  <c r="AX127" i="9"/>
  <c r="D129" i="9"/>
  <c r="AR130" i="9"/>
  <c r="AZ130" i="9"/>
  <c r="AP131" i="9"/>
  <c r="AX131" i="9"/>
  <c r="F133" i="9"/>
  <c r="AV134" i="9"/>
  <c r="AZ135" i="9"/>
  <c r="AR135" i="9"/>
  <c r="AX135" i="9"/>
  <c r="AP135" i="9"/>
  <c r="AU135" i="9"/>
  <c r="AS135" i="9"/>
  <c r="AZ136" i="9"/>
  <c r="AU137" i="9"/>
  <c r="D139" i="9"/>
  <c r="BA139" i="9"/>
  <c r="AU140" i="9"/>
  <c r="AP141" i="9"/>
  <c r="D142" i="9"/>
  <c r="H142" i="9"/>
  <c r="AV143" i="9"/>
  <c r="AY144" i="9"/>
  <c r="AT144" i="9"/>
  <c r="AV145" i="9"/>
  <c r="AU146" i="9"/>
  <c r="AT146" i="9"/>
  <c r="AZ146" i="9"/>
  <c r="AR146" i="9"/>
  <c r="AW146" i="9"/>
  <c r="AO146" i="9"/>
  <c r="AS146" i="9"/>
  <c r="AO148" i="9"/>
  <c r="F149" i="9"/>
  <c r="AP149" i="9"/>
  <c r="BA151" i="9"/>
  <c r="AX153" i="9"/>
  <c r="AP153" i="9"/>
  <c r="AW153" i="9"/>
  <c r="AO153" i="9"/>
  <c r="AU153" i="9"/>
  <c r="BA153" i="9"/>
  <c r="AT155" i="9"/>
  <c r="AR155" i="9"/>
  <c r="AS156" i="9"/>
  <c r="H160" i="9"/>
  <c r="G160" i="9"/>
  <c r="I160" i="9"/>
  <c r="F160" i="9"/>
  <c r="AZ160" i="9"/>
  <c r="AY162" i="9"/>
  <c r="AR163" i="9"/>
  <c r="AO163" i="9"/>
  <c r="AZ163" i="9"/>
  <c r="AW163" i="9"/>
  <c r="AT163" i="9"/>
  <c r="AR164" i="9"/>
  <c r="AQ166" i="9"/>
  <c r="I169" i="9"/>
  <c r="H169" i="9"/>
  <c r="F169" i="9"/>
  <c r="D169" i="9"/>
  <c r="G169" i="9"/>
  <c r="AP186" i="9"/>
  <c r="AQ115" i="9"/>
  <c r="AY115" i="9"/>
  <c r="F117" i="9"/>
  <c r="AS118" i="9"/>
  <c r="BA118" i="9"/>
  <c r="AQ119" i="9"/>
  <c r="AY119" i="9"/>
  <c r="F121" i="9"/>
  <c r="AS122" i="9"/>
  <c r="BA122" i="9"/>
  <c r="AQ123" i="9"/>
  <c r="AY123" i="9"/>
  <c r="F125" i="9"/>
  <c r="AS126" i="9"/>
  <c r="BA126" i="9"/>
  <c r="AQ127" i="9"/>
  <c r="AY127" i="9"/>
  <c r="F129" i="9"/>
  <c r="AS130" i="9"/>
  <c r="BA130" i="9"/>
  <c r="AQ131" i="9"/>
  <c r="AY131" i="9"/>
  <c r="H133" i="9"/>
  <c r="AX134" i="9"/>
  <c r="AO136" i="9"/>
  <c r="AW137" i="9"/>
  <c r="AT138" i="9"/>
  <c r="AZ138" i="9"/>
  <c r="AR138" i="9"/>
  <c r="AW138" i="9"/>
  <c r="AO138" i="9"/>
  <c r="AS138" i="9"/>
  <c r="G139" i="9"/>
  <c r="AO139" i="9"/>
  <c r="AW140" i="9"/>
  <c r="AV141" i="9"/>
  <c r="AW143" i="9"/>
  <c r="AU144" i="9"/>
  <c r="AW145" i="9"/>
  <c r="AO145" i="9"/>
  <c r="AU145" i="9"/>
  <c r="BA147" i="9"/>
  <c r="AS147" i="9"/>
  <c r="AZ147" i="9"/>
  <c r="AR147" i="9"/>
  <c r="AX147" i="9"/>
  <c r="AP147" i="9"/>
  <c r="AU147" i="9"/>
  <c r="AT147" i="9"/>
  <c r="AR148" i="9"/>
  <c r="AR149" i="9"/>
  <c r="AU150" i="9"/>
  <c r="AT150" i="9"/>
  <c r="BA150" i="9"/>
  <c r="AS150" i="9"/>
  <c r="AZ150" i="9"/>
  <c r="AR150" i="9"/>
  <c r="AW150" i="9"/>
  <c r="AO150" i="9"/>
  <c r="AV150" i="9"/>
  <c r="AT156" i="9"/>
  <c r="AV158" i="9"/>
  <c r="AW159" i="9"/>
  <c r="AS164" i="9"/>
  <c r="AZ165" i="9"/>
  <c r="AS165" i="9"/>
  <c r="AR115" i="9"/>
  <c r="AR119" i="9"/>
  <c r="AR123" i="9"/>
  <c r="AR127" i="9"/>
  <c r="AR131" i="9"/>
  <c r="I133" i="9"/>
  <c r="D134" i="9"/>
  <c r="H134" i="9"/>
  <c r="AY134" i="9"/>
  <c r="AQ136" i="9"/>
  <c r="G137" i="9"/>
  <c r="D137" i="9"/>
  <c r="AU138" i="9"/>
  <c r="H139" i="9"/>
  <c r="AQ139" i="9"/>
  <c r="AY140" i="9"/>
  <c r="I143" i="9"/>
  <c r="F143" i="9"/>
  <c r="AY143" i="9"/>
  <c r="AX145" i="9"/>
  <c r="AV147" i="9"/>
  <c r="AY148" i="9"/>
  <c r="AV149" i="9"/>
  <c r="AS149" i="9"/>
  <c r="AY156" i="9"/>
  <c r="H165" i="9"/>
  <c r="F165" i="9"/>
  <c r="D165" i="9"/>
  <c r="I165" i="9"/>
  <c r="AX184" i="9"/>
  <c r="AP184" i="9"/>
  <c r="AV184" i="9"/>
  <c r="AU184" i="9"/>
  <c r="BA184" i="9"/>
  <c r="AO184" i="9"/>
  <c r="AZ184" i="9"/>
  <c r="AY184" i="9"/>
  <c r="AW184" i="9"/>
  <c r="AT184" i="9"/>
  <c r="AS184" i="9"/>
  <c r="AQ184" i="9"/>
  <c r="AQ133" i="9"/>
  <c r="AY133" i="9"/>
  <c r="AQ137" i="9"/>
  <c r="AY137" i="9"/>
  <c r="AQ141" i="9"/>
  <c r="AY141" i="9"/>
  <c r="AS144" i="9"/>
  <c r="BA144" i="9"/>
  <c r="AQ145" i="9"/>
  <c r="AY145" i="9"/>
  <c r="F147" i="9"/>
  <c r="AS148" i="9"/>
  <c r="BA148" i="9"/>
  <c r="AQ149" i="9"/>
  <c r="AY149" i="9"/>
  <c r="H150" i="9"/>
  <c r="F151" i="9"/>
  <c r="AU151" i="9"/>
  <c r="AS152" i="9"/>
  <c r="BA152" i="9"/>
  <c r="AQ153" i="9"/>
  <c r="AY153" i="9"/>
  <c r="H154" i="9"/>
  <c r="AS155" i="9"/>
  <c r="AU155" i="9"/>
  <c r="H157" i="9"/>
  <c r="F157" i="9"/>
  <c r="D157" i="9"/>
  <c r="AT158" i="9"/>
  <c r="AX160" i="9"/>
  <c r="AS161" i="9"/>
  <c r="BA163" i="9"/>
  <c r="BA165" i="9"/>
  <c r="AY166" i="9"/>
  <c r="BA167" i="9"/>
  <c r="AZ168" i="9"/>
  <c r="AO175" i="9"/>
  <c r="AT177" i="9"/>
  <c r="AZ178" i="9"/>
  <c r="AY181" i="9"/>
  <c r="AT133" i="9"/>
  <c r="G136" i="9"/>
  <c r="AT137" i="9"/>
  <c r="G140" i="9"/>
  <c r="AT141" i="9"/>
  <c r="G144" i="9"/>
  <c r="AV144" i="9"/>
  <c r="AT145" i="9"/>
  <c r="G148" i="9"/>
  <c r="AV148" i="9"/>
  <c r="AT149" i="9"/>
  <c r="AP151" i="9"/>
  <c r="AX151" i="9"/>
  <c r="G152" i="9"/>
  <c r="AV152" i="9"/>
  <c r="AT153" i="9"/>
  <c r="AZ155" i="9"/>
  <c r="AW157" i="9"/>
  <c r="AO157" i="9"/>
  <c r="AU157" i="9"/>
  <c r="AT157" i="9"/>
  <c r="AR157" i="9"/>
  <c r="AX158" i="9"/>
  <c r="BA159" i="9"/>
  <c r="AT159" i="9"/>
  <c r="AP160" i="9"/>
  <c r="AY161" i="9"/>
  <c r="AU162" i="9"/>
  <c r="BA162" i="9"/>
  <c r="AS162" i="9"/>
  <c r="AZ162" i="9"/>
  <c r="AR162" i="9"/>
  <c r="AQ162" i="9"/>
  <c r="AW164" i="9"/>
  <c r="AO164" i="9"/>
  <c r="AV164" i="9"/>
  <c r="AT164" i="9"/>
  <c r="AR165" i="9"/>
  <c r="AS169" i="9"/>
  <c r="AW170" i="9"/>
  <c r="AO170" i="9"/>
  <c r="AV170" i="9"/>
  <c r="AU170" i="9"/>
  <c r="BA170" i="9"/>
  <c r="AS170" i="9"/>
  <c r="AZ170" i="9"/>
  <c r="AR170" i="9"/>
  <c r="AT170" i="9"/>
  <c r="AZ175" i="9"/>
  <c r="AW177" i="9"/>
  <c r="AO177" i="9"/>
  <c r="AW179" i="9"/>
  <c r="AO179" i="9"/>
  <c r="AV179" i="9"/>
  <c r="AU179" i="9"/>
  <c r="AT179" i="9"/>
  <c r="BA179" i="9"/>
  <c r="AS179" i="9"/>
  <c r="AZ179" i="9"/>
  <c r="AR179" i="9"/>
  <c r="AX179" i="9"/>
  <c r="AT180" i="9"/>
  <c r="AU186" i="9"/>
  <c r="BA186" i="9"/>
  <c r="AS186" i="9"/>
  <c r="AZ186" i="9"/>
  <c r="AR186" i="9"/>
  <c r="AO186" i="9"/>
  <c r="AY186" i="9"/>
  <c r="AX186" i="9"/>
  <c r="AW186" i="9"/>
  <c r="AV186" i="9"/>
  <c r="AT186" i="9"/>
  <c r="AZ191" i="9"/>
  <c r="AS191" i="9"/>
  <c r="AR191" i="9"/>
  <c r="AP193" i="9"/>
  <c r="AQ151" i="9"/>
  <c r="AY151" i="9"/>
  <c r="AO152" i="9"/>
  <c r="AW152" i="9"/>
  <c r="AS157" i="9"/>
  <c r="AY158" i="9"/>
  <c r="AU159" i="9"/>
  <c r="AR160" i="9"/>
  <c r="H161" i="9"/>
  <c r="F161" i="9"/>
  <c r="D161" i="9"/>
  <c r="AZ161" i="9"/>
  <c r="AU164" i="9"/>
  <c r="AY165" i="9"/>
  <c r="AY169" i="9"/>
  <c r="AU171" i="9"/>
  <c r="AW174" i="9"/>
  <c r="AO174" i="9"/>
  <c r="AV174" i="9"/>
  <c r="AU174" i="9"/>
  <c r="AT174" i="9"/>
  <c r="BA174" i="9"/>
  <c r="AS174" i="9"/>
  <c r="AZ174" i="9"/>
  <c r="AR174" i="9"/>
  <c r="AX174" i="9"/>
  <c r="AU175" i="9"/>
  <c r="AV187" i="9"/>
  <c r="AU187" i="9"/>
  <c r="AS187" i="9"/>
  <c r="AO187" i="9"/>
  <c r="AV188" i="9"/>
  <c r="AU188" i="9"/>
  <c r="AR188" i="9"/>
  <c r="AQ193" i="9"/>
  <c r="BA215" i="9"/>
  <c r="AS215" i="9"/>
  <c r="AP144" i="9"/>
  <c r="AX144" i="9"/>
  <c r="AP148" i="9"/>
  <c r="AX148" i="9"/>
  <c r="D150" i="9"/>
  <c r="AR151" i="9"/>
  <c r="AZ151" i="9"/>
  <c r="AP152" i="9"/>
  <c r="AX152" i="9"/>
  <c r="D154" i="9"/>
  <c r="AO155" i="9"/>
  <c r="H156" i="9"/>
  <c r="G156" i="9"/>
  <c r="AV157" i="9"/>
  <c r="AO158" i="9"/>
  <c r="AV159" i="9"/>
  <c r="AY160" i="9"/>
  <c r="AS160" i="9"/>
  <c r="G161" i="9"/>
  <c r="AP161" i="9"/>
  <c r="BA161" i="9"/>
  <c r="AV162" i="9"/>
  <c r="AX164" i="9"/>
  <c r="AX169" i="9"/>
  <c r="AP169" i="9"/>
  <c r="AU169" i="9"/>
  <c r="AT169" i="9"/>
  <c r="AZ169" i="9"/>
  <c r="AY170" i="9"/>
  <c r="AT171" i="9"/>
  <c r="AZ171" i="9"/>
  <c r="AW171" i="9"/>
  <c r="AZ172" i="9"/>
  <c r="I173" i="9"/>
  <c r="H173" i="9"/>
  <c r="G173" i="9"/>
  <c r="F173" i="9"/>
  <c r="D173" i="9"/>
  <c r="AY174" i="9"/>
  <c r="AT182" i="9"/>
  <c r="H183" i="9"/>
  <c r="I183" i="9"/>
  <c r="G183" i="9"/>
  <c r="F183" i="9"/>
  <c r="AV209" i="9"/>
  <c r="AU209" i="9"/>
  <c r="AT209" i="9"/>
  <c r="BA209" i="9"/>
  <c r="AS209" i="9"/>
  <c r="AZ209" i="9"/>
  <c r="AR209" i="9"/>
  <c r="AX209" i="9"/>
  <c r="AP209" i="9"/>
  <c r="AW209" i="9"/>
  <c r="AO209" i="9"/>
  <c r="AY209" i="9"/>
  <c r="AQ209" i="9"/>
  <c r="AQ144" i="9"/>
  <c r="AQ148" i="9"/>
  <c r="AS151" i="9"/>
  <c r="AQ152" i="9"/>
  <c r="I161" i="9"/>
  <c r="H164" i="9"/>
  <c r="G164" i="9"/>
  <c r="AW166" i="9"/>
  <c r="AO166" i="9"/>
  <c r="AV166" i="9"/>
  <c r="AU166" i="9"/>
  <c r="BA166" i="9"/>
  <c r="AS166" i="9"/>
  <c r="AZ166" i="9"/>
  <c r="AR166" i="9"/>
  <c r="AT166" i="9"/>
  <c r="AO181" i="9"/>
  <c r="BA182" i="9"/>
  <c r="AP182" i="9"/>
  <c r="AZ182" i="9"/>
  <c r="AO182" i="9"/>
  <c r="AX182" i="9"/>
  <c r="AW182" i="9"/>
  <c r="AV182" i="9"/>
  <c r="AU182" i="9"/>
  <c r="BA187" i="9"/>
  <c r="I190" i="9"/>
  <c r="H190" i="9"/>
  <c r="F190" i="9"/>
  <c r="D190" i="9"/>
  <c r="AR152" i="9"/>
  <c r="BA155" i="9"/>
  <c r="AU158" i="9"/>
  <c r="BA158" i="9"/>
  <c r="AS158" i="9"/>
  <c r="AZ158" i="9"/>
  <c r="AR158" i="9"/>
  <c r="AQ158" i="9"/>
  <c r="AW161" i="9"/>
  <c r="AO161" i="9"/>
  <c r="AU161" i="9"/>
  <c r="AT161" i="9"/>
  <c r="AR161" i="9"/>
  <c r="BA168" i="9"/>
  <c r="AX172" i="9"/>
  <c r="AP172" i="9"/>
  <c r="AX173" i="9"/>
  <c r="AP173" i="9"/>
  <c r="AV173" i="9"/>
  <c r="AU173" i="9"/>
  <c r="AT173" i="9"/>
  <c r="BA173" i="9"/>
  <c r="AT176" i="9"/>
  <c r="I177" i="9"/>
  <c r="H177" i="9"/>
  <c r="G177" i="9"/>
  <c r="F177" i="9"/>
  <c r="AX178" i="9"/>
  <c r="AP178" i="9"/>
  <c r="AW178" i="9"/>
  <c r="AO178" i="9"/>
  <c r="AV178" i="9"/>
  <c r="AU178" i="9"/>
  <c r="AT178" i="9"/>
  <c r="BA178" i="9"/>
  <c r="AS178" i="9"/>
  <c r="AY178" i="9"/>
  <c r="AP181" i="9"/>
  <c r="I188" i="9"/>
  <c r="H188" i="9"/>
  <c r="F188" i="9"/>
  <c r="D188" i="9"/>
  <c r="AZ189" i="9"/>
  <c r="AR189" i="9"/>
  <c r="AY189" i="9"/>
  <c r="AQ189" i="9"/>
  <c r="AX189" i="9"/>
  <c r="AP189" i="9"/>
  <c r="AW189" i="9"/>
  <c r="AO189" i="9"/>
  <c r="AV189" i="9"/>
  <c r="BA189" i="9"/>
  <c r="AS189" i="9"/>
  <c r="AU189" i="9"/>
  <c r="AT189" i="9"/>
  <c r="AP155" i="9"/>
  <c r="AX155" i="9"/>
  <c r="AV156" i="9"/>
  <c r="AP159" i="9"/>
  <c r="AX159" i="9"/>
  <c r="AV160" i="9"/>
  <c r="AP163" i="9"/>
  <c r="AX163" i="9"/>
  <c r="AT165" i="9"/>
  <c r="AP167" i="9"/>
  <c r="AX167" i="9"/>
  <c r="G168" i="9"/>
  <c r="AV168" i="9"/>
  <c r="AP171" i="9"/>
  <c r="AX171" i="9"/>
  <c r="AV172" i="9"/>
  <c r="AQ175" i="9"/>
  <c r="AY175" i="9"/>
  <c r="H176" i="9"/>
  <c r="AO176" i="9"/>
  <c r="AW176" i="9"/>
  <c r="AU177" i="9"/>
  <c r="AP180" i="9"/>
  <c r="AV181" i="9"/>
  <c r="BA181" i="9"/>
  <c r="AS181" i="9"/>
  <c r="AQ181" i="9"/>
  <c r="AX185" i="9"/>
  <c r="AY190" i="9"/>
  <c r="AQ192" i="9"/>
  <c r="AV193" i="9"/>
  <c r="AU193" i="9"/>
  <c r="AT193" i="9"/>
  <c r="BA193" i="9"/>
  <c r="AS193" i="9"/>
  <c r="AZ193" i="9"/>
  <c r="AR193" i="9"/>
  <c r="AW193" i="9"/>
  <c r="AO193" i="9"/>
  <c r="AX193" i="9"/>
  <c r="AT194" i="9"/>
  <c r="BA198" i="9"/>
  <c r="AX199" i="9"/>
  <c r="AV201" i="9"/>
  <c r="AU201" i="9"/>
  <c r="AT201" i="9"/>
  <c r="BA201" i="9"/>
  <c r="AS201" i="9"/>
  <c r="AZ201" i="9"/>
  <c r="AR201" i="9"/>
  <c r="AX201" i="9"/>
  <c r="AP201" i="9"/>
  <c r="AW201" i="9"/>
  <c r="AO201" i="9"/>
  <c r="AT203" i="9"/>
  <c r="AW210" i="9"/>
  <c r="AP210" i="9"/>
  <c r="AQ155" i="9"/>
  <c r="AY155" i="9"/>
  <c r="AO156" i="9"/>
  <c r="AW156" i="9"/>
  <c r="AQ159" i="9"/>
  <c r="AY159" i="9"/>
  <c r="AO160" i="9"/>
  <c r="AW160" i="9"/>
  <c r="AQ163" i="9"/>
  <c r="AY163" i="9"/>
  <c r="AU165" i="9"/>
  <c r="AQ167" i="9"/>
  <c r="AY167" i="9"/>
  <c r="AO168" i="9"/>
  <c r="AW168" i="9"/>
  <c r="AQ171" i="9"/>
  <c r="AY171" i="9"/>
  <c r="AO172" i="9"/>
  <c r="AW172" i="9"/>
  <c r="AR175" i="9"/>
  <c r="I176" i="9"/>
  <c r="AP176" i="9"/>
  <c r="AX176" i="9"/>
  <c r="AV177" i="9"/>
  <c r="AX180" i="9"/>
  <c r="AU180" i="9"/>
  <c r="AQ180" i="9"/>
  <c r="BA180" i="9"/>
  <c r="AY185" i="9"/>
  <c r="AW190" i="9"/>
  <c r="AU196" i="9"/>
  <c r="AT197" i="9"/>
  <c r="AZ199" i="9"/>
  <c r="AW202" i="9"/>
  <c r="AP202" i="9"/>
  <c r="AZ203" i="9"/>
  <c r="AS175" i="9"/>
  <c r="BA175" i="9"/>
  <c r="AQ176" i="9"/>
  <c r="AY176" i="9"/>
  <c r="AR180" i="9"/>
  <c r="AO185" i="9"/>
  <c r="BA188" i="9"/>
  <c r="AX190" i="9"/>
  <c r="AP190" i="9"/>
  <c r="AW192" i="9"/>
  <c r="AO192" i="9"/>
  <c r="AV192" i="9"/>
  <c r="AU192" i="9"/>
  <c r="AT192" i="9"/>
  <c r="BA192" i="9"/>
  <c r="AS192" i="9"/>
  <c r="AX192" i="9"/>
  <c r="AP192" i="9"/>
  <c r="AY192" i="9"/>
  <c r="BA203" i="9"/>
  <c r="BA212" i="9"/>
  <c r="I214" i="9"/>
  <c r="H214" i="9"/>
  <c r="F214" i="9"/>
  <c r="D214" i="9"/>
  <c r="AQ156" i="9"/>
  <c r="AS159" i="9"/>
  <c r="AQ160" i="9"/>
  <c r="AS163" i="9"/>
  <c r="AQ164" i="9"/>
  <c r="AO165" i="9"/>
  <c r="AW165" i="9"/>
  <c r="AS167" i="9"/>
  <c r="AQ168" i="9"/>
  <c r="AY168" i="9"/>
  <c r="AO169" i="9"/>
  <c r="AW169" i="9"/>
  <c r="F170" i="9"/>
  <c r="AS171" i="9"/>
  <c r="BA171" i="9"/>
  <c r="AQ172" i="9"/>
  <c r="AY172" i="9"/>
  <c r="AO173" i="9"/>
  <c r="AW173" i="9"/>
  <c r="F174" i="9"/>
  <c r="AT175" i="9"/>
  <c r="AR176" i="9"/>
  <c r="AZ176" i="9"/>
  <c r="AP177" i="9"/>
  <c r="AX177" i="9"/>
  <c r="G178" i="9"/>
  <c r="D179" i="9"/>
  <c r="AS180" i="9"/>
  <c r="AU181" i="9"/>
  <c r="G182" i="9"/>
  <c r="AZ183" i="9"/>
  <c r="AR183" i="9"/>
  <c r="AW183" i="9"/>
  <c r="AO183" i="9"/>
  <c r="AS183" i="9"/>
  <c r="I184" i="9"/>
  <c r="F184" i="9"/>
  <c r="AT187" i="9"/>
  <c r="AW188" i="9"/>
  <c r="AO188" i="9"/>
  <c r="AT188" i="9"/>
  <c r="AZ188" i="9"/>
  <c r="AZ192" i="9"/>
  <c r="AW194" i="9"/>
  <c r="AP194" i="9"/>
  <c r="AZ195" i="9"/>
  <c r="AU202" i="9"/>
  <c r="BA204" i="9"/>
  <c r="I206" i="9"/>
  <c r="H206" i="9"/>
  <c r="F206" i="9"/>
  <c r="D206" i="9"/>
  <c r="AZ212" i="9"/>
  <c r="AZ213" i="9"/>
  <c r="AY214" i="9"/>
  <c r="AR168" i="9"/>
  <c r="AR172" i="9"/>
  <c r="AS176" i="9"/>
  <c r="BA176" i="9"/>
  <c r="AQ177" i="9"/>
  <c r="AY177" i="9"/>
  <c r="G179" i="9"/>
  <c r="AV185" i="9"/>
  <c r="AT185" i="9"/>
  <c r="BA185" i="9"/>
  <c r="AS185" i="9"/>
  <c r="AQ185" i="9"/>
  <c r="AZ187" i="9"/>
  <c r="I189" i="9"/>
  <c r="H189" i="9"/>
  <c r="F189" i="9"/>
  <c r="AX191" i="9"/>
  <c r="AZ204" i="9"/>
  <c r="AZ205" i="9"/>
  <c r="AY206" i="9"/>
  <c r="AS207" i="9"/>
  <c r="AX214" i="9"/>
  <c r="AX215" i="9"/>
  <c r="AQ165" i="9"/>
  <c r="AS168" i="9"/>
  <c r="AQ169" i="9"/>
  <c r="AS172" i="9"/>
  <c r="AQ173" i="9"/>
  <c r="AR177" i="9"/>
  <c r="AV180" i="9"/>
  <c r="AX181" i="9"/>
  <c r="I182" i="9"/>
  <c r="AU183" i="9"/>
  <c r="G184" i="9"/>
  <c r="AR185" i="9"/>
  <c r="H186" i="9"/>
  <c r="AX187" i="9"/>
  <c r="AP187" i="9"/>
  <c r="AW187" i="9"/>
  <c r="D189" i="9"/>
  <c r="AO191" i="9"/>
  <c r="BA191" i="9"/>
  <c r="AU194" i="9"/>
  <c r="BA196" i="9"/>
  <c r="I198" i="9"/>
  <c r="H198" i="9"/>
  <c r="F198" i="9"/>
  <c r="D198" i="9"/>
  <c r="AV203" i="9"/>
  <c r="AX206" i="9"/>
  <c r="AR190" i="9"/>
  <c r="AZ190" i="9"/>
  <c r="AQ191" i="9"/>
  <c r="AY191" i="9"/>
  <c r="F194" i="9"/>
  <c r="AV194" i="9"/>
  <c r="AU195" i="9"/>
  <c r="AT196" i="9"/>
  <c r="AS197" i="9"/>
  <c r="BA197" i="9"/>
  <c r="AR198" i="9"/>
  <c r="AZ198" i="9"/>
  <c r="AQ199" i="9"/>
  <c r="AY199" i="9"/>
  <c r="AP200" i="9"/>
  <c r="AX200" i="9"/>
  <c r="F202" i="9"/>
  <c r="AV202" i="9"/>
  <c r="AU203" i="9"/>
  <c r="AT204" i="9"/>
  <c r="AS205" i="9"/>
  <c r="BA205" i="9"/>
  <c r="AR206" i="9"/>
  <c r="AZ206" i="9"/>
  <c r="AQ207" i="9"/>
  <c r="AY207" i="9"/>
  <c r="AP208" i="9"/>
  <c r="AX208" i="9"/>
  <c r="AV210" i="9"/>
  <c r="AU211" i="9"/>
  <c r="AT212" i="9"/>
  <c r="AS213" i="9"/>
  <c r="BA213" i="9"/>
  <c r="AR214" i="9"/>
  <c r="AZ214" i="9"/>
  <c r="AQ215" i="9"/>
  <c r="AY215" i="9"/>
  <c r="AP216" i="9"/>
  <c r="AX216" i="9"/>
  <c r="AO194" i="9"/>
  <c r="AS198" i="9"/>
  <c r="AR199" i="9"/>
  <c r="AQ200" i="9"/>
  <c r="AY200" i="9"/>
  <c r="AO202" i="9"/>
  <c r="AS206" i="9"/>
  <c r="AR207" i="9"/>
  <c r="AQ208" i="9"/>
  <c r="AY208" i="9"/>
  <c r="AO210" i="9"/>
  <c r="AV211" i="9"/>
  <c r="AU212" i="9"/>
  <c r="AT213" i="9"/>
  <c r="AS214" i="9"/>
  <c r="BA214" i="9"/>
  <c r="AR215" i="9"/>
  <c r="AZ215" i="9"/>
  <c r="AQ216" i="9"/>
  <c r="AY216" i="9"/>
  <c r="AU190" i="9"/>
  <c r="AT191" i="9"/>
  <c r="AQ194" i="9"/>
  <c r="AY194" i="9"/>
  <c r="AP195" i="9"/>
  <c r="AX195" i="9"/>
  <c r="H196" i="9"/>
  <c r="AO196" i="9"/>
  <c r="AW196" i="9"/>
  <c r="F197" i="9"/>
  <c r="AV197" i="9"/>
  <c r="AU198" i="9"/>
  <c r="AT199" i="9"/>
  <c r="AS200" i="9"/>
  <c r="BA200" i="9"/>
  <c r="AQ202" i="9"/>
  <c r="AY202" i="9"/>
  <c r="AP203" i="9"/>
  <c r="AX203" i="9"/>
  <c r="H204" i="9"/>
  <c r="AO204" i="9"/>
  <c r="AW204" i="9"/>
  <c r="F205" i="9"/>
  <c r="AV205" i="9"/>
  <c r="AU206" i="9"/>
  <c r="AT207" i="9"/>
  <c r="AS208" i="9"/>
  <c r="BA208" i="9"/>
  <c r="AQ210" i="9"/>
  <c r="AY210" i="9"/>
  <c r="AP211" i="9"/>
  <c r="AX211" i="9"/>
  <c r="H212" i="9"/>
  <c r="AO212" i="9"/>
  <c r="AW212" i="9"/>
  <c r="F213" i="9"/>
  <c r="AV213" i="9"/>
  <c r="AU214" i="9"/>
  <c r="AT215" i="9"/>
  <c r="AS216" i="9"/>
  <c r="BA216" i="9"/>
  <c r="AQ182" i="9"/>
  <c r="AY182" i="9"/>
  <c r="AQ187" i="9"/>
  <c r="AY187" i="9"/>
  <c r="AP188" i="9"/>
  <c r="AX188" i="9"/>
  <c r="AV190" i="9"/>
  <c r="D191" i="9"/>
  <c r="AU191" i="9"/>
  <c r="AR194" i="9"/>
  <c r="AZ194" i="9"/>
  <c r="AQ195" i="9"/>
  <c r="AY195" i="9"/>
  <c r="AP196" i="9"/>
  <c r="AX196" i="9"/>
  <c r="H197" i="9"/>
  <c r="AO197" i="9"/>
  <c r="AW197" i="9"/>
  <c r="AV198" i="9"/>
  <c r="D199" i="9"/>
  <c r="AU199" i="9"/>
  <c r="AT200" i="9"/>
  <c r="AR202" i="9"/>
  <c r="AZ202" i="9"/>
  <c r="AQ203" i="9"/>
  <c r="AY203" i="9"/>
  <c r="AP204" i="9"/>
  <c r="AX204" i="9"/>
  <c r="H205" i="9"/>
  <c r="AO205" i="9"/>
  <c r="AW205" i="9"/>
  <c r="AV206" i="9"/>
  <c r="D207" i="9"/>
  <c r="AU207" i="9"/>
  <c r="AT208" i="9"/>
  <c r="AR210" i="9"/>
  <c r="AZ210" i="9"/>
  <c r="AQ211" i="9"/>
  <c r="AY211" i="9"/>
  <c r="AP212" i="9"/>
  <c r="AX212" i="9"/>
  <c r="H213" i="9"/>
  <c r="AO213" i="9"/>
  <c r="AW213" i="9"/>
  <c r="AV214" i="9"/>
  <c r="D215" i="9"/>
  <c r="AU215" i="9"/>
  <c r="AT216" i="9"/>
  <c r="AR187" i="9"/>
  <c r="AQ188" i="9"/>
  <c r="AY188" i="9"/>
  <c r="AO190" i="9"/>
  <c r="F191" i="9"/>
  <c r="AV191" i="9"/>
  <c r="AS194" i="9"/>
  <c r="BA194" i="9"/>
  <c r="AR195" i="9"/>
  <c r="AQ196" i="9"/>
  <c r="AY196" i="9"/>
  <c r="AP197" i="9"/>
  <c r="AX197" i="9"/>
  <c r="AO198" i="9"/>
  <c r="AW198" i="9"/>
  <c r="F199" i="9"/>
  <c r="AV199" i="9"/>
  <c r="AU200" i="9"/>
  <c r="AS202" i="9"/>
  <c r="BA202" i="9"/>
  <c r="AR203" i="9"/>
  <c r="AQ204" i="9"/>
  <c r="AY204" i="9"/>
  <c r="AP205" i="9"/>
  <c r="AX205" i="9"/>
  <c r="AO206" i="9"/>
  <c r="AW206" i="9"/>
  <c r="F207" i="9"/>
  <c r="AV207" i="9"/>
  <c r="AU208" i="9"/>
  <c r="AS210" i="9"/>
  <c r="BA210" i="9"/>
  <c r="AR211" i="9"/>
  <c r="AQ212" i="9"/>
  <c r="AY212" i="9"/>
  <c r="AP213" i="9"/>
  <c r="AX213" i="9"/>
  <c r="AO214" i="9"/>
  <c r="AW214" i="9"/>
  <c r="F215" i="9"/>
  <c r="AV215" i="9"/>
  <c r="D216" i="9"/>
  <c r="AU216" i="9"/>
  <c r="AW191" i="9"/>
  <c r="AS195" i="9"/>
  <c r="AR196" i="9"/>
  <c r="AQ197" i="9"/>
  <c r="AY197" i="9"/>
  <c r="AP198" i="9"/>
  <c r="AO199" i="9"/>
  <c r="AW199" i="9"/>
  <c r="AV200" i="9"/>
  <c r="AT202" i="9"/>
  <c r="AS203" i="9"/>
  <c r="AR204" i="9"/>
  <c r="AQ205" i="9"/>
  <c r="AY205" i="9"/>
  <c r="AP206" i="9"/>
  <c r="AO207" i="9"/>
  <c r="AW207" i="9"/>
  <c r="AV208" i="9"/>
  <c r="AT210" i="9"/>
  <c r="AS211" i="9"/>
  <c r="AR212" i="9"/>
  <c r="AQ213" i="9"/>
  <c r="AY213" i="9"/>
  <c r="AP214" i="9"/>
  <c r="H215" i="9"/>
  <c r="AO215" i="9"/>
  <c r="AW215" i="9"/>
  <c r="AV216" i="9"/>
  <c r="AS188" i="9"/>
  <c r="AQ190" i="9"/>
  <c r="AP191" i="9"/>
  <c r="AS196" i="9"/>
  <c r="AR197" i="9"/>
  <c r="AQ198" i="9"/>
  <c r="AP199" i="9"/>
  <c r="AO200" i="9"/>
  <c r="AS204" i="9"/>
  <c r="AR205" i="9"/>
  <c r="AQ206" i="9"/>
  <c r="AP207" i="9"/>
  <c r="AO208" i="9"/>
  <c r="AS212" i="9"/>
  <c r="AR213" i="9"/>
  <c r="AQ214" i="9"/>
  <c r="AP215" i="9"/>
  <c r="AO216" i="9"/>
  <c r="BB25" i="9" l="1"/>
  <c r="BB10" i="9"/>
  <c r="BB52" i="9"/>
  <c r="BB131" i="9"/>
  <c r="BB172" i="9"/>
  <c r="M3" i="17"/>
  <c r="BB166" i="9"/>
  <c r="BB90" i="9"/>
  <c r="BB81" i="9"/>
  <c r="BB190" i="9"/>
  <c r="BB113" i="9"/>
  <c r="BB207" i="9"/>
  <c r="BB177" i="9"/>
  <c r="BB38" i="9"/>
  <c r="BB143" i="9"/>
  <c r="BB127" i="9"/>
  <c r="BB195" i="9"/>
  <c r="BB147" i="9"/>
  <c r="BB106" i="9"/>
  <c r="BB30" i="9"/>
  <c r="BB61" i="9"/>
  <c r="BB102" i="9"/>
  <c r="BB164" i="9"/>
  <c r="BB68" i="9"/>
  <c r="BB161" i="9"/>
  <c r="BB36" i="9"/>
  <c r="BB62" i="9"/>
  <c r="BB160" i="9"/>
  <c r="BB157" i="9"/>
  <c r="BB128" i="9"/>
  <c r="BB149" i="9"/>
  <c r="BB103" i="9"/>
  <c r="BB174" i="9"/>
  <c r="BB119" i="9"/>
  <c r="BB199" i="9"/>
  <c r="BB178" i="9"/>
  <c r="BB120" i="9"/>
  <c r="BB27" i="9"/>
  <c r="BB35" i="9"/>
  <c r="BB23" i="9"/>
  <c r="BB150" i="9"/>
  <c r="BB91" i="9"/>
  <c r="BB20" i="9"/>
  <c r="BB40" i="9"/>
  <c r="BB73" i="9"/>
  <c r="BB44" i="9"/>
  <c r="BB211" i="9"/>
  <c r="BB145" i="9"/>
  <c r="BB85" i="9"/>
  <c r="BB104" i="9"/>
  <c r="BB74" i="9"/>
  <c r="BB28" i="9"/>
  <c r="BB206" i="9"/>
  <c r="BB186" i="9"/>
  <c r="BB123" i="9"/>
  <c r="BB146" i="9"/>
  <c r="BB41" i="9"/>
  <c r="BB194" i="9"/>
  <c r="BB95" i="9"/>
  <c r="BB50" i="9"/>
  <c r="BB65" i="9"/>
  <c r="BB33" i="9"/>
  <c r="BB18" i="9"/>
  <c r="BB31" i="9"/>
  <c r="BB169" i="9"/>
  <c r="BB201" i="9"/>
  <c r="BB100" i="9"/>
  <c r="BB26" i="9"/>
  <c r="BB51" i="9"/>
  <c r="BB15" i="9"/>
  <c r="BB210" i="9"/>
  <c r="BB118" i="9"/>
  <c r="BB140" i="9"/>
  <c r="BB48" i="9"/>
  <c r="BB179" i="9"/>
  <c r="BB56" i="9"/>
  <c r="BB55" i="9"/>
  <c r="BB11" i="9"/>
  <c r="BB115" i="9"/>
  <c r="BB132" i="9"/>
  <c r="BB86" i="9"/>
  <c r="BB19" i="9"/>
  <c r="BB12" i="9"/>
  <c r="BB116" i="9"/>
  <c r="BB59" i="9"/>
  <c r="BB122" i="9"/>
  <c r="BB84" i="9"/>
  <c r="BB49" i="9"/>
  <c r="BB16" i="9"/>
  <c r="BB124" i="9"/>
  <c r="BB87" i="9"/>
  <c r="BB192" i="9"/>
  <c r="BB188" i="9"/>
  <c r="BB170" i="9"/>
  <c r="BB108" i="9"/>
  <c r="BB216" i="9"/>
  <c r="BB34" i="9"/>
  <c r="BB43" i="9"/>
  <c r="BB193" i="9"/>
  <c r="BB110" i="9"/>
  <c r="BB189" i="9"/>
  <c r="BB158" i="9"/>
  <c r="BB162" i="9"/>
  <c r="BB117" i="9"/>
  <c r="BB96" i="9"/>
  <c r="BB152" i="9"/>
  <c r="BB155" i="9"/>
  <c r="BB107" i="9"/>
  <c r="BB39" i="9"/>
  <c r="BB67" i="9"/>
  <c r="BB94" i="9"/>
  <c r="BB89" i="9"/>
  <c r="AP217" i="9"/>
  <c r="BB200" i="9"/>
  <c r="BB197" i="9"/>
  <c r="BB196" i="9"/>
  <c r="BB109" i="9"/>
  <c r="BB202" i="9"/>
  <c r="BB191" i="9"/>
  <c r="BB76" i="9"/>
  <c r="BB82" i="9"/>
  <c r="BB58" i="9"/>
  <c r="BB42" i="9"/>
  <c r="AX217" i="9"/>
  <c r="BB47" i="9"/>
  <c r="BB180" i="9"/>
  <c r="BB129" i="9"/>
  <c r="BB57" i="9"/>
  <c r="BB66" i="9"/>
  <c r="AV217" i="9"/>
  <c r="BB181" i="9"/>
  <c r="BB215" i="9"/>
  <c r="BB136" i="9"/>
  <c r="BB133" i="9"/>
  <c r="BB22" i="9"/>
  <c r="BB80" i="9"/>
  <c r="BB24" i="9"/>
  <c r="BB14" i="9"/>
  <c r="BB29" i="9"/>
  <c r="BB21" i="9"/>
  <c r="BB13" i="9"/>
  <c r="AO217" i="9"/>
  <c r="BB208" i="9"/>
  <c r="BB214" i="9"/>
  <c r="BB185" i="9"/>
  <c r="BB175" i="9"/>
  <c r="BB165" i="9"/>
  <c r="BB184" i="9"/>
  <c r="BB141" i="9"/>
  <c r="BB154" i="9"/>
  <c r="BB111" i="9"/>
  <c r="BB79" i="9"/>
  <c r="BA217" i="9"/>
  <c r="BB9" i="9"/>
  <c r="BB45" i="9"/>
  <c r="BB37" i="9"/>
  <c r="BB205" i="9"/>
  <c r="BB204" i="9"/>
  <c r="BB173" i="9"/>
  <c r="BB168" i="9"/>
  <c r="BB159" i="9"/>
  <c r="BB163" i="9"/>
  <c r="BB144" i="9"/>
  <c r="BB130" i="9"/>
  <c r="BB151" i="9"/>
  <c r="BB88" i="9"/>
  <c r="BB92" i="9"/>
  <c r="BB121" i="9"/>
  <c r="BB69" i="9"/>
  <c r="AS217" i="9"/>
  <c r="BB32" i="9"/>
  <c r="L8" i="9"/>
  <c r="K7" i="9"/>
  <c r="AQ217" i="9"/>
  <c r="BB46" i="9"/>
  <c r="BB53" i="9"/>
  <c r="BB171" i="9"/>
  <c r="BB183" i="9"/>
  <c r="BB137" i="9"/>
  <c r="BB134" i="9"/>
  <c r="BB99" i="9"/>
  <c r="BB97" i="9"/>
  <c r="BB187" i="9"/>
  <c r="BB182" i="9"/>
  <c r="BB153" i="9"/>
  <c r="BB98" i="9"/>
  <c r="BB125" i="9"/>
  <c r="BB142" i="9"/>
  <c r="BB78" i="9"/>
  <c r="BB75" i="9"/>
  <c r="BB148" i="9"/>
  <c r="BB139" i="9"/>
  <c r="BB156" i="9"/>
  <c r="BB105" i="9"/>
  <c r="BB135" i="9"/>
  <c r="BB83" i="9"/>
  <c r="BB101" i="9"/>
  <c r="AT217" i="9"/>
  <c r="BB77" i="9"/>
  <c r="AY217" i="9"/>
  <c r="AZ217" i="9"/>
  <c r="BB64" i="9"/>
  <c r="BB93" i="9"/>
  <c r="BB212" i="9"/>
  <c r="AU217" i="9"/>
  <c r="BB60" i="9"/>
  <c r="AR217" i="9"/>
  <c r="BB63" i="9"/>
  <c r="BB72" i="9"/>
  <c r="BB54" i="9"/>
  <c r="BB213" i="9"/>
  <c r="BB176" i="9"/>
  <c r="BB203" i="9"/>
  <c r="BB198" i="9"/>
  <c r="BB209" i="9"/>
  <c r="BB167" i="9"/>
  <c r="BB126" i="9"/>
  <c r="BB114" i="9"/>
  <c r="BB112" i="9"/>
  <c r="BB71" i="9"/>
  <c r="AW217" i="9"/>
  <c r="N3" i="17" l="1"/>
  <c r="O3" i="17"/>
  <c r="BB217" i="9"/>
  <c r="L7" i="9"/>
  <c r="M8" i="9"/>
  <c r="O5" i="17" l="1"/>
  <c r="P5" i="17" s="1"/>
  <c r="M7" i="9"/>
  <c r="N8" i="9"/>
  <c r="N7" i="9" l="1"/>
  <c r="O8" i="9"/>
  <c r="O7" i="9" l="1"/>
  <c r="P8" i="9"/>
  <c r="Q8" i="9" l="1"/>
  <c r="P7" i="9"/>
  <c r="Q7" i="9" l="1"/>
  <c r="R8" i="9"/>
  <c r="S8" i="9" l="1"/>
  <c r="R7" i="9"/>
  <c r="S7" i="9" l="1"/>
  <c r="T8" i="9"/>
  <c r="T7" i="9" l="1"/>
  <c r="U8" i="9"/>
  <c r="U7" i="9" l="1"/>
  <c r="V8" i="9"/>
  <c r="V7" i="9" l="1"/>
  <c r="W8" i="9"/>
  <c r="W7" i="9" l="1"/>
  <c r="X8" i="9"/>
  <c r="Y8" i="9" l="1"/>
  <c r="X7" i="9"/>
  <c r="Y7" i="9" l="1"/>
  <c r="Z8" i="9"/>
  <c r="Z7" i="9" l="1"/>
  <c r="AA8" i="9"/>
  <c r="AB8" i="9" l="1"/>
  <c r="AA7" i="9"/>
  <c r="AB7" i="9" l="1"/>
  <c r="AC8" i="9"/>
  <c r="AC7" i="9" l="1"/>
  <c r="AD8" i="9"/>
  <c r="AD7" i="9" l="1"/>
  <c r="AE8" i="9"/>
  <c r="AE7" i="9" l="1"/>
  <c r="AF8" i="9"/>
  <c r="AG8" i="9" l="1"/>
  <c r="AF7" i="9"/>
  <c r="AG7" i="9" l="1"/>
  <c r="AH8" i="9"/>
  <c r="AH7" i="9" l="1"/>
  <c r="AI8" i="9"/>
  <c r="AJ8" i="9" l="1"/>
  <c r="AI7" i="9"/>
  <c r="AJ7" i="9" l="1"/>
  <c r="AK8" i="9"/>
  <c r="AK7" i="9" s="1"/>
  <c r="C7" i="5" l="1"/>
  <c r="C8" i="5"/>
  <c r="C9" i="5"/>
  <c r="C10" i="5"/>
  <c r="C11" i="5"/>
  <c r="C12" i="5"/>
  <c r="C13" i="5"/>
  <c r="C14" i="5"/>
  <c r="C15" i="5"/>
  <c r="C16" i="5"/>
  <c r="C17" i="5"/>
  <c r="C18" i="5"/>
  <c r="C19" i="5"/>
  <c r="C20" i="5"/>
  <c r="C21" i="5"/>
  <c r="C22" i="5"/>
  <c r="C23" i="5"/>
  <c r="C24" i="5"/>
  <c r="C26" i="5"/>
  <c r="C27" i="5"/>
  <c r="C28" i="5"/>
  <c r="C29" i="5"/>
  <c r="C30" i="5"/>
  <c r="D7" i="5"/>
  <c r="E7" i="5"/>
  <c r="F7" i="5"/>
  <c r="G7" i="5"/>
  <c r="K7" i="5"/>
  <c r="N7" i="5"/>
  <c r="O7" i="5"/>
  <c r="P7" i="5"/>
  <c r="Q7" i="5"/>
  <c r="T7" i="5"/>
  <c r="W7" i="5"/>
  <c r="AH7" i="5"/>
  <c r="AI7" i="5"/>
  <c r="AJ7" i="5"/>
  <c r="AK7" i="5"/>
  <c r="AL7" i="5"/>
  <c r="D8" i="5"/>
  <c r="E8" i="5"/>
  <c r="F8" i="5"/>
  <c r="G8" i="5"/>
  <c r="K8" i="5"/>
  <c r="L8" i="5"/>
  <c r="M8" i="5"/>
  <c r="N8" i="5"/>
  <c r="O8" i="5"/>
  <c r="P8" i="5"/>
  <c r="Q8" i="5"/>
  <c r="T8" i="5"/>
  <c r="AH8" i="5"/>
  <c r="AI8" i="5"/>
  <c r="AJ8" i="5"/>
  <c r="AK8" i="5"/>
  <c r="AL8" i="5"/>
  <c r="D9" i="5"/>
  <c r="E9" i="5"/>
  <c r="F9" i="5"/>
  <c r="G9" i="5"/>
  <c r="K9" i="5"/>
  <c r="L9" i="5"/>
  <c r="M9" i="5"/>
  <c r="N9" i="5"/>
  <c r="O9" i="5"/>
  <c r="P9" i="5"/>
  <c r="Q9" i="5"/>
  <c r="T9" i="5"/>
  <c r="AH9" i="5"/>
  <c r="AI9" i="5"/>
  <c r="AJ9" i="5"/>
  <c r="AK9" i="5"/>
  <c r="AL9" i="5"/>
  <c r="D10" i="5"/>
  <c r="E10" i="5"/>
  <c r="F10" i="5"/>
  <c r="G10" i="5"/>
  <c r="K10" i="5"/>
  <c r="L10" i="5"/>
  <c r="M10" i="5"/>
  <c r="N10" i="5"/>
  <c r="O10" i="5"/>
  <c r="P10" i="5"/>
  <c r="Q10" i="5"/>
  <c r="T10" i="5"/>
  <c r="AH10" i="5"/>
  <c r="AI10" i="5"/>
  <c r="AJ10" i="5"/>
  <c r="AK10" i="5"/>
  <c r="AL10" i="5"/>
  <c r="D11" i="5"/>
  <c r="E11" i="5"/>
  <c r="F11" i="5"/>
  <c r="G11" i="5"/>
  <c r="K11" i="5"/>
  <c r="L11" i="5"/>
  <c r="M11" i="5"/>
  <c r="N11" i="5"/>
  <c r="O11" i="5"/>
  <c r="P11" i="5"/>
  <c r="Q11" i="5"/>
  <c r="T11" i="5"/>
  <c r="AH11" i="5"/>
  <c r="AI11" i="5"/>
  <c r="AJ11" i="5"/>
  <c r="AK11" i="5"/>
  <c r="AL11" i="5"/>
  <c r="D12" i="5"/>
  <c r="E12" i="5"/>
  <c r="F12" i="5"/>
  <c r="G12" i="5"/>
  <c r="K12" i="5"/>
  <c r="L12" i="5"/>
  <c r="M12" i="5"/>
  <c r="N12" i="5"/>
  <c r="O12" i="5"/>
  <c r="P12" i="5"/>
  <c r="Q12" i="5"/>
  <c r="T12" i="5"/>
  <c r="AH12" i="5"/>
  <c r="AI12" i="5"/>
  <c r="AJ12" i="5"/>
  <c r="AK12" i="5"/>
  <c r="AL12" i="5"/>
  <c r="D13" i="5"/>
  <c r="E13" i="5"/>
  <c r="F13" i="5"/>
  <c r="G13" i="5"/>
  <c r="K13" i="5"/>
  <c r="L13" i="5"/>
  <c r="M13" i="5"/>
  <c r="N13" i="5"/>
  <c r="O13" i="5"/>
  <c r="P13" i="5"/>
  <c r="Q13" i="5"/>
  <c r="T13" i="5"/>
  <c r="AH13" i="5"/>
  <c r="AI13" i="5"/>
  <c r="AJ13" i="5"/>
  <c r="AK13" i="5"/>
  <c r="AL13" i="5"/>
  <c r="D14" i="5"/>
  <c r="E14" i="5"/>
  <c r="F14" i="5"/>
  <c r="G14" i="5"/>
  <c r="K14" i="5"/>
  <c r="L14" i="5"/>
  <c r="M14" i="5"/>
  <c r="N14" i="5"/>
  <c r="O14" i="5"/>
  <c r="P14" i="5"/>
  <c r="Q14" i="5"/>
  <c r="T14" i="5"/>
  <c r="AH14" i="5"/>
  <c r="AI14" i="5"/>
  <c r="AJ14" i="5"/>
  <c r="AK14" i="5"/>
  <c r="AL14" i="5"/>
  <c r="D15" i="5"/>
  <c r="E15" i="5"/>
  <c r="F15" i="5"/>
  <c r="G15" i="5"/>
  <c r="K15" i="5"/>
  <c r="N15" i="5"/>
  <c r="O15" i="5"/>
  <c r="P15" i="5"/>
  <c r="Q15" i="5"/>
  <c r="T15" i="5"/>
  <c r="W15" i="5"/>
  <c r="AA15" i="5"/>
  <c r="AH15" i="5"/>
  <c r="AI15" i="5"/>
  <c r="AJ15" i="5"/>
  <c r="AK15" i="5"/>
  <c r="AL15" i="5"/>
  <c r="D16" i="5"/>
  <c r="E16" i="5"/>
  <c r="F16" i="5"/>
  <c r="G16" i="5"/>
  <c r="K16" i="5"/>
  <c r="M16" i="5"/>
  <c r="N16" i="5"/>
  <c r="O16" i="5"/>
  <c r="P16" i="5"/>
  <c r="Q16" i="5"/>
  <c r="T16" i="5"/>
  <c r="AH16" i="5"/>
  <c r="AI16" i="5"/>
  <c r="AJ16" i="5"/>
  <c r="AK16" i="5"/>
  <c r="AL16" i="5"/>
  <c r="D17" i="5"/>
  <c r="E17" i="5"/>
  <c r="F17" i="5"/>
  <c r="G17" i="5"/>
  <c r="K17" i="5"/>
  <c r="L17" i="5"/>
  <c r="M17" i="5"/>
  <c r="N17" i="5"/>
  <c r="O17" i="5"/>
  <c r="P17" i="5"/>
  <c r="Q17" i="5"/>
  <c r="T17" i="5"/>
  <c r="AH17" i="5"/>
  <c r="AI17" i="5"/>
  <c r="AJ17" i="5"/>
  <c r="AK17" i="5"/>
  <c r="AL17" i="5"/>
  <c r="D18" i="5"/>
  <c r="E18" i="5"/>
  <c r="F18" i="5"/>
  <c r="G18" i="5"/>
  <c r="K18" i="5"/>
  <c r="N18" i="5"/>
  <c r="O18" i="5"/>
  <c r="Q18" i="5"/>
  <c r="T18" i="5"/>
  <c r="W18" i="5"/>
  <c r="Y18" i="5"/>
  <c r="Z18" i="5"/>
  <c r="AA18" i="5"/>
  <c r="AH18" i="5"/>
  <c r="AI18" i="5"/>
  <c r="AJ18" i="5"/>
  <c r="AK18" i="5"/>
  <c r="AL18" i="5"/>
  <c r="D19" i="5"/>
  <c r="E19" i="5"/>
  <c r="F19" i="5"/>
  <c r="G19" i="5"/>
  <c r="K19" i="5"/>
  <c r="N19" i="5"/>
  <c r="O19" i="5"/>
  <c r="P19" i="5"/>
  <c r="Q19" i="5"/>
  <c r="T19" i="5"/>
  <c r="W19" i="5"/>
  <c r="AH19" i="5"/>
  <c r="AI19" i="5"/>
  <c r="AJ19" i="5"/>
  <c r="AK19" i="5"/>
  <c r="AL19" i="5"/>
  <c r="D20" i="5"/>
  <c r="E20" i="5"/>
  <c r="F20" i="5"/>
  <c r="G20" i="5"/>
  <c r="K20" i="5"/>
  <c r="N20" i="5"/>
  <c r="O20" i="5"/>
  <c r="P20" i="5"/>
  <c r="Q20" i="5"/>
  <c r="T20" i="5"/>
  <c r="W20" i="5"/>
  <c r="AH20" i="5"/>
  <c r="AI20" i="5"/>
  <c r="AJ20" i="5"/>
  <c r="AK20" i="5"/>
  <c r="AL20" i="5"/>
  <c r="D21" i="5"/>
  <c r="E21" i="5"/>
  <c r="F21" i="5"/>
  <c r="G21" i="5"/>
  <c r="K21" i="5"/>
  <c r="N21" i="5"/>
  <c r="T21" i="5"/>
  <c r="W21" i="5"/>
  <c r="Y21" i="5"/>
  <c r="Z21" i="5"/>
  <c r="AA21" i="5"/>
  <c r="AH21" i="5"/>
  <c r="AI21" i="5"/>
  <c r="AJ21" i="5"/>
  <c r="AK21" i="5"/>
  <c r="AL21" i="5"/>
  <c r="D22" i="5"/>
  <c r="E22" i="5"/>
  <c r="F22" i="5"/>
  <c r="G22" i="5"/>
  <c r="K22" i="5"/>
  <c r="N22" i="5"/>
  <c r="T22" i="5"/>
  <c r="W22" i="5"/>
  <c r="Y22" i="5"/>
  <c r="Z22" i="5"/>
  <c r="AA22" i="5"/>
  <c r="AH22" i="5"/>
  <c r="AI22" i="5"/>
  <c r="AJ22" i="5"/>
  <c r="AK22" i="5"/>
  <c r="AL22" i="5"/>
  <c r="D23" i="5"/>
  <c r="E23" i="5"/>
  <c r="F23" i="5"/>
  <c r="G23" i="5"/>
  <c r="K23" i="5"/>
  <c r="M23" i="5"/>
  <c r="N23" i="5"/>
  <c r="O23" i="5"/>
  <c r="P23" i="5"/>
  <c r="Q23" i="5"/>
  <c r="T23" i="5"/>
  <c r="AH23" i="5"/>
  <c r="AI23" i="5"/>
  <c r="AJ23" i="5"/>
  <c r="AK23" i="5"/>
  <c r="AL23" i="5"/>
  <c r="D24" i="5"/>
  <c r="E24" i="5"/>
  <c r="F24" i="5"/>
  <c r="G24" i="5"/>
  <c r="K24" i="5"/>
  <c r="M24" i="5"/>
  <c r="N24" i="5"/>
  <c r="O24" i="5"/>
  <c r="P24" i="5"/>
  <c r="Q24" i="5"/>
  <c r="T24" i="5"/>
  <c r="AH24" i="5"/>
  <c r="AI24" i="5"/>
  <c r="AJ24" i="5"/>
  <c r="AK24" i="5"/>
  <c r="AL24" i="5"/>
  <c r="E25" i="5"/>
  <c r="K25" i="5"/>
  <c r="S25" i="5"/>
  <c r="T25" i="5"/>
  <c r="U25" i="5"/>
  <c r="V25" i="5"/>
  <c r="W25" i="5"/>
  <c r="X25" i="5"/>
  <c r="Y25" i="5"/>
  <c r="Z25" i="5"/>
  <c r="AA25" i="5"/>
  <c r="AB25" i="5"/>
  <c r="AC25" i="5"/>
  <c r="AE25" i="5"/>
  <c r="AF25" i="5"/>
  <c r="AH25" i="5"/>
  <c r="AI25" i="5"/>
  <c r="AK25" i="5"/>
  <c r="AL25" i="5"/>
  <c r="D26" i="5"/>
  <c r="E26" i="5"/>
  <c r="F26" i="5"/>
  <c r="G26" i="5"/>
  <c r="K26" i="5"/>
  <c r="L26" i="5"/>
  <c r="M26" i="5"/>
  <c r="N26" i="5"/>
  <c r="O26" i="5"/>
  <c r="P26" i="5"/>
  <c r="Q26" i="5"/>
  <c r="T26" i="5"/>
  <c r="AH26" i="5"/>
  <c r="AI26" i="5"/>
  <c r="AJ26" i="5"/>
  <c r="AK26" i="5"/>
  <c r="AL26" i="5"/>
  <c r="D27" i="5"/>
  <c r="E27" i="5"/>
  <c r="F27" i="5"/>
  <c r="G27" i="5"/>
  <c r="K27" i="5"/>
  <c r="T27" i="5"/>
  <c r="U27" i="5"/>
  <c r="V27" i="5"/>
  <c r="W27" i="5"/>
  <c r="Y27" i="5"/>
  <c r="Z27" i="5"/>
  <c r="AA27" i="5"/>
  <c r="AC27" i="5"/>
  <c r="AH27" i="5"/>
  <c r="AI27" i="5"/>
  <c r="AJ27" i="5"/>
  <c r="AK27" i="5"/>
  <c r="AL27" i="5"/>
  <c r="D28" i="5"/>
  <c r="E28" i="5"/>
  <c r="F28" i="5"/>
  <c r="G28" i="5"/>
  <c r="K28" i="5"/>
  <c r="N28" i="5"/>
  <c r="O28" i="5"/>
  <c r="Q28" i="5"/>
  <c r="T28" i="5"/>
  <c r="W28" i="5"/>
  <c r="Y28" i="5"/>
  <c r="Z28" i="5"/>
  <c r="AA28" i="5"/>
  <c r="AH28" i="5"/>
  <c r="AI28" i="5"/>
  <c r="AJ28" i="5"/>
  <c r="AK28" i="5"/>
  <c r="AL28" i="5"/>
  <c r="D29" i="5"/>
  <c r="E29" i="5"/>
  <c r="F29" i="5"/>
  <c r="G29" i="5"/>
  <c r="K29" i="5"/>
  <c r="N29" i="5"/>
  <c r="Q29" i="5"/>
  <c r="T29" i="5"/>
  <c r="W29" i="5"/>
  <c r="Y29" i="5"/>
  <c r="Z29" i="5"/>
  <c r="AA29" i="5"/>
  <c r="AH29" i="5"/>
  <c r="AI29" i="5"/>
  <c r="AJ29" i="5"/>
  <c r="AK29" i="5"/>
  <c r="AL29" i="5"/>
  <c r="D30" i="5"/>
  <c r="E30" i="5"/>
  <c r="F30" i="5"/>
  <c r="G30" i="5"/>
  <c r="K30" i="5"/>
  <c r="T30" i="5"/>
  <c r="U30" i="5"/>
  <c r="V30" i="5"/>
  <c r="W30" i="5"/>
  <c r="Y30" i="5"/>
  <c r="Z30" i="5"/>
  <c r="AA30" i="5"/>
  <c r="AC30" i="5"/>
  <c r="AH30" i="5"/>
  <c r="AI30" i="5"/>
  <c r="AJ30" i="5"/>
  <c r="AK30" i="5"/>
  <c r="AL30" i="5"/>
  <c r="E6" i="5"/>
  <c r="F6" i="5"/>
  <c r="G6" i="5"/>
  <c r="K6" i="5"/>
  <c r="L6" i="5"/>
  <c r="M6" i="5"/>
  <c r="N6" i="5"/>
  <c r="O6" i="5"/>
  <c r="P6" i="5"/>
  <c r="Q6" i="5"/>
  <c r="T6" i="5"/>
  <c r="AH6" i="5"/>
  <c r="AI6" i="5"/>
  <c r="AJ6" i="5"/>
  <c r="AK6" i="5"/>
  <c r="AL6" i="5"/>
  <c r="X28" i="6"/>
  <c r="W28" i="6"/>
  <c r="V28" i="6"/>
  <c r="U28" i="6"/>
  <c r="T28" i="6"/>
  <c r="S28" i="6"/>
  <c r="R28" i="6"/>
  <c r="Q28" i="6"/>
  <c r="P28" i="6"/>
  <c r="O28" i="6"/>
  <c r="N28" i="6"/>
  <c r="M28" i="6"/>
  <c r="L28" i="6"/>
  <c r="K28" i="6"/>
  <c r="J28" i="6"/>
  <c r="I28" i="6"/>
  <c r="H28" i="6"/>
  <c r="G28" i="6"/>
  <c r="F28" i="6"/>
  <c r="E28" i="6"/>
  <c r="D28" i="6"/>
  <c r="C28" i="6"/>
  <c r="Y27" i="6"/>
  <c r="Z27" i="6" s="1"/>
  <c r="AA27" i="6" s="1"/>
  <c r="Y26" i="6"/>
  <c r="Z26" i="6" s="1"/>
  <c r="AA26" i="6" s="1"/>
  <c r="Y25" i="6"/>
  <c r="Z25" i="6" s="1"/>
  <c r="AA25" i="6" s="1"/>
  <c r="Y24" i="6"/>
  <c r="Z24" i="6" s="1"/>
  <c r="AA24" i="6" s="1"/>
  <c r="Y23" i="6"/>
  <c r="Z23" i="6" s="1"/>
  <c r="AA23" i="6" s="1"/>
  <c r="Y22" i="6"/>
  <c r="Z22" i="6" s="1"/>
  <c r="AA22" i="6" s="1"/>
  <c r="Y21" i="6"/>
  <c r="Z21" i="6" s="1"/>
  <c r="AA21" i="6" s="1"/>
  <c r="Y20" i="6"/>
  <c r="Z20" i="6" s="1"/>
  <c r="AA20" i="6" s="1"/>
  <c r="Y19" i="6"/>
  <c r="Z19" i="6" s="1"/>
  <c r="AA19" i="6" s="1"/>
  <c r="Y18" i="6"/>
  <c r="Z18" i="6" s="1"/>
  <c r="AA18" i="6" s="1"/>
  <c r="Y17" i="6"/>
  <c r="Z17" i="6" s="1"/>
  <c r="AA17" i="6" s="1"/>
  <c r="Y16" i="6"/>
  <c r="Z16" i="6" s="1"/>
  <c r="AA16" i="6" s="1"/>
  <c r="Y15" i="6"/>
  <c r="Z15" i="6" s="1"/>
  <c r="AA15" i="6" s="1"/>
  <c r="Y14" i="6"/>
  <c r="Z14" i="6" s="1"/>
  <c r="AA14" i="6" s="1"/>
  <c r="Y13" i="6"/>
  <c r="Z13" i="6" s="1"/>
  <c r="AA13" i="6" s="1"/>
  <c r="Y12" i="6"/>
  <c r="Z12" i="6" s="1"/>
  <c r="AA12" i="6" s="1"/>
  <c r="Y11" i="6"/>
  <c r="Z11" i="6" s="1"/>
  <c r="AA11" i="6" s="1"/>
  <c r="Y10" i="6"/>
  <c r="Z10" i="6" s="1"/>
  <c r="AA10" i="6" s="1"/>
  <c r="Y9" i="6"/>
  <c r="Z9" i="6" s="1"/>
  <c r="AA9" i="6" s="1"/>
  <c r="Y8" i="6"/>
  <c r="Z8" i="6" s="1"/>
  <c r="AA8" i="6" s="1"/>
  <c r="Y7" i="6"/>
  <c r="Z7" i="6" s="1"/>
  <c r="AA7" i="6" s="1"/>
  <c r="Y6" i="6"/>
  <c r="Z6" i="6" s="1"/>
  <c r="AA6" i="6" s="1"/>
  <c r="Y5" i="6"/>
  <c r="Z5" i="6" s="1"/>
  <c r="AA5" i="6" s="1"/>
  <c r="Y4" i="6"/>
  <c r="Z4" i="6" s="1"/>
  <c r="AA4" i="6" s="1"/>
  <c r="Y3" i="6"/>
  <c r="Z3" i="6" s="1"/>
  <c r="AA3" i="6" s="1"/>
  <c r="AS31" i="5"/>
  <c r="AS3" i="5" s="1"/>
  <c r="AR31" i="5"/>
  <c r="AR3" i="5" s="1"/>
  <c r="AQ31" i="5"/>
  <c r="AQ3" i="5" s="1"/>
  <c r="AT2" i="5"/>
  <c r="AB5" i="6" l="1"/>
  <c r="AC5" i="6" s="1"/>
  <c r="AB23" i="6"/>
  <c r="AC23" i="6" s="1"/>
  <c r="AB18" i="6"/>
  <c r="AC18" i="6" s="1"/>
  <c r="AI31" i="5"/>
  <c r="AI3" i="5" s="1"/>
  <c r="AH31" i="5"/>
  <c r="AH3" i="5" s="1"/>
  <c r="Y28" i="6"/>
  <c r="T31" i="5"/>
  <c r="T3" i="5" s="1"/>
  <c r="AK31" i="5"/>
  <c r="AK3" i="5" s="1"/>
  <c r="AL31" i="5"/>
  <c r="AL3" i="5" s="1"/>
  <c r="E31" i="5"/>
  <c r="E3" i="5" s="1"/>
  <c r="K31" i="5"/>
  <c r="K3" i="5" s="1"/>
  <c r="AB9" i="6"/>
  <c r="AC9" i="6" s="1"/>
  <c r="AB8" i="6"/>
  <c r="AC8" i="6" s="1"/>
  <c r="AB21" i="6"/>
  <c r="AC21" i="6" s="1"/>
  <c r="AB22" i="6"/>
  <c r="AC22" i="6" s="1"/>
  <c r="Z28" i="6"/>
  <c r="AB16" i="6"/>
  <c r="AC16" i="6" s="1"/>
  <c r="AB4" i="6"/>
  <c r="AC4" i="6" s="1"/>
  <c r="AB11" i="6"/>
  <c r="AC11" i="6" s="1"/>
  <c r="AB24" i="6"/>
  <c r="AC24" i="6" s="1"/>
  <c r="AB25" i="6"/>
  <c r="AC25" i="6" s="1"/>
  <c r="AB13" i="6"/>
  <c r="AC13" i="6" s="1"/>
  <c r="AB19" i="6"/>
  <c r="AC19" i="6" s="1"/>
  <c r="AB26" i="6"/>
  <c r="AC26" i="6" s="1"/>
  <c r="AB17" i="6"/>
  <c r="AC17" i="6" s="1"/>
  <c r="AB6" i="6"/>
  <c r="AC6" i="6" s="1"/>
  <c r="AB12" i="6"/>
  <c r="AC12" i="6" s="1"/>
  <c r="AB7" i="6"/>
  <c r="AC7" i="6" s="1"/>
  <c r="AB14" i="6"/>
  <c r="AC14" i="6" s="1"/>
  <c r="AB27" i="6"/>
  <c r="AC27" i="6" s="1"/>
  <c r="F1567" i="1"/>
  <c r="F1568" i="1"/>
  <c r="F1569" i="1"/>
  <c r="F1570" i="1"/>
  <c r="F1571" i="1"/>
  <c r="F1572" i="1"/>
  <c r="F1573" i="1"/>
  <c r="F1574" i="1"/>
  <c r="F1575" i="1"/>
  <c r="F1576" i="1"/>
  <c r="F1577" i="1"/>
  <c r="F1578" i="1"/>
  <c r="F1579" i="1"/>
  <c r="F1580" i="1"/>
  <c r="F1581" i="1"/>
  <c r="F1582" i="1"/>
  <c r="F1583" i="1"/>
  <c r="F1584" i="1"/>
  <c r="F1585" i="1"/>
  <c r="F1586" i="1"/>
  <c r="F1587" i="1"/>
  <c r="F1588" i="1"/>
  <c r="F1589" i="1"/>
  <c r="F1590" i="1"/>
  <c r="F1591" i="1"/>
  <c r="F1592" i="1"/>
  <c r="F1593" i="1"/>
  <c r="F1594" i="1"/>
  <c r="F1595" i="1"/>
  <c r="F1596" i="1"/>
  <c r="F1597" i="1"/>
  <c r="F1598" i="1"/>
  <c r="F1599" i="1"/>
  <c r="F1600" i="1"/>
  <c r="F1601" i="1"/>
  <c r="F1602" i="1"/>
  <c r="F1603" i="1"/>
  <c r="F1604" i="1"/>
  <c r="F1605" i="1"/>
  <c r="F1606" i="1"/>
  <c r="F1607" i="1"/>
  <c r="F1608" i="1"/>
  <c r="F1609" i="1"/>
  <c r="F1610" i="1"/>
  <c r="F1611" i="1"/>
  <c r="F1612" i="1"/>
  <c r="F1613" i="1"/>
  <c r="F1614" i="1"/>
  <c r="F1615" i="1"/>
  <c r="F1616" i="1"/>
  <c r="F1617" i="1"/>
  <c r="F1618" i="1"/>
  <c r="F1619" i="1"/>
  <c r="F1620" i="1"/>
  <c r="F1621" i="1"/>
  <c r="F1622" i="1"/>
  <c r="F1623" i="1"/>
  <c r="F1566" i="1"/>
  <c r="F1502" i="1"/>
  <c r="F1503" i="1"/>
  <c r="F1504" i="1"/>
  <c r="F1505" i="1"/>
  <c r="F1506" i="1"/>
  <c r="F1507" i="1"/>
  <c r="F1508" i="1"/>
  <c r="F1509" i="1"/>
  <c r="F1510" i="1"/>
  <c r="F1511" i="1"/>
  <c r="F1512" i="1"/>
  <c r="F1513" i="1"/>
  <c r="F1514" i="1"/>
  <c r="F1515" i="1"/>
  <c r="F1516" i="1"/>
  <c r="F1517" i="1"/>
  <c r="F1518" i="1"/>
  <c r="F1519" i="1"/>
  <c r="F1520" i="1"/>
  <c r="F1521" i="1"/>
  <c r="F1522" i="1"/>
  <c r="F1523" i="1"/>
  <c r="F1524" i="1"/>
  <c r="F1525" i="1"/>
  <c r="F1526" i="1"/>
  <c r="F1527" i="1"/>
  <c r="F1528" i="1"/>
  <c r="F1529" i="1"/>
  <c r="F1530" i="1"/>
  <c r="F1531" i="1"/>
  <c r="F1532" i="1"/>
  <c r="F1533" i="1"/>
  <c r="F1534" i="1"/>
  <c r="F1535" i="1"/>
  <c r="F1536" i="1"/>
  <c r="F1537" i="1"/>
  <c r="F1538" i="1"/>
  <c r="F1539" i="1"/>
  <c r="F1540" i="1"/>
  <c r="F1541" i="1"/>
  <c r="F1542" i="1"/>
  <c r="F1543" i="1"/>
  <c r="F1544" i="1"/>
  <c r="F1545" i="1"/>
  <c r="F1546" i="1"/>
  <c r="F1547" i="1"/>
  <c r="F1548" i="1"/>
  <c r="F1549" i="1"/>
  <c r="F1550" i="1"/>
  <c r="F1551" i="1"/>
  <c r="F1552" i="1"/>
  <c r="F1553" i="1"/>
  <c r="F1554" i="1"/>
  <c r="F1555" i="1"/>
  <c r="F1556" i="1"/>
  <c r="F1557" i="1"/>
  <c r="F1558" i="1"/>
  <c r="F1501" i="1"/>
  <c r="F1437" i="1"/>
  <c r="F1438" i="1"/>
  <c r="F1439" i="1"/>
  <c r="F1440" i="1"/>
  <c r="F1441" i="1"/>
  <c r="F1442" i="1"/>
  <c r="F1443" i="1"/>
  <c r="F1444" i="1"/>
  <c r="F1445" i="1"/>
  <c r="F1446" i="1"/>
  <c r="F1447" i="1"/>
  <c r="F1448" i="1"/>
  <c r="F1449" i="1"/>
  <c r="F1450" i="1"/>
  <c r="F1451" i="1"/>
  <c r="F1452" i="1"/>
  <c r="F1453" i="1"/>
  <c r="F1454" i="1"/>
  <c r="F1455" i="1"/>
  <c r="F1456" i="1"/>
  <c r="F1457" i="1"/>
  <c r="F1458" i="1"/>
  <c r="F1459" i="1"/>
  <c r="F1460" i="1"/>
  <c r="F1461" i="1"/>
  <c r="F1462" i="1"/>
  <c r="F1463" i="1"/>
  <c r="F1464" i="1"/>
  <c r="F1465" i="1"/>
  <c r="F1466" i="1"/>
  <c r="F1467" i="1"/>
  <c r="F1468" i="1"/>
  <c r="F1469" i="1"/>
  <c r="F1470" i="1"/>
  <c r="F1471" i="1"/>
  <c r="F1472" i="1"/>
  <c r="F1473" i="1"/>
  <c r="F1474" i="1"/>
  <c r="F1475" i="1"/>
  <c r="F1476" i="1"/>
  <c r="F1477" i="1"/>
  <c r="F1478" i="1"/>
  <c r="F1479" i="1"/>
  <c r="F1480" i="1"/>
  <c r="F1481" i="1"/>
  <c r="F1482" i="1"/>
  <c r="F1483" i="1"/>
  <c r="F1484" i="1"/>
  <c r="F1485" i="1"/>
  <c r="F1486" i="1"/>
  <c r="F1487" i="1"/>
  <c r="F1488" i="1"/>
  <c r="F1489" i="1"/>
  <c r="F1490" i="1"/>
  <c r="F1491" i="1"/>
  <c r="F1492" i="1"/>
  <c r="F1493" i="1"/>
  <c r="F1436" i="1"/>
  <c r="F1372" i="1"/>
  <c r="F1373" i="1"/>
  <c r="F1374" i="1"/>
  <c r="F1375" i="1"/>
  <c r="F1376" i="1"/>
  <c r="F1377" i="1"/>
  <c r="F1378" i="1"/>
  <c r="F1379" i="1"/>
  <c r="F1380" i="1"/>
  <c r="F1381" i="1"/>
  <c r="F1382" i="1"/>
  <c r="F1383" i="1"/>
  <c r="F1384" i="1"/>
  <c r="F1385" i="1"/>
  <c r="F1386" i="1"/>
  <c r="F1387" i="1"/>
  <c r="F1388" i="1"/>
  <c r="F1389" i="1"/>
  <c r="F1390" i="1"/>
  <c r="F1391" i="1"/>
  <c r="F1392" i="1"/>
  <c r="F1393" i="1"/>
  <c r="F1394" i="1"/>
  <c r="F1395" i="1"/>
  <c r="F1396" i="1"/>
  <c r="F1397" i="1"/>
  <c r="F1398" i="1"/>
  <c r="F1399" i="1"/>
  <c r="F1400" i="1"/>
  <c r="F1401" i="1"/>
  <c r="F1402" i="1"/>
  <c r="F1403" i="1"/>
  <c r="F1404" i="1"/>
  <c r="F1405" i="1"/>
  <c r="F1406" i="1"/>
  <c r="F1407" i="1"/>
  <c r="F1408" i="1"/>
  <c r="F1409" i="1"/>
  <c r="F1410" i="1"/>
  <c r="F1411" i="1"/>
  <c r="F1412" i="1"/>
  <c r="F1413" i="1"/>
  <c r="F1414" i="1"/>
  <c r="F1415" i="1"/>
  <c r="F1416" i="1"/>
  <c r="F1417" i="1"/>
  <c r="F1418" i="1"/>
  <c r="F1419" i="1"/>
  <c r="F1420" i="1"/>
  <c r="F1421" i="1"/>
  <c r="F1422" i="1"/>
  <c r="F1423" i="1"/>
  <c r="F1424" i="1"/>
  <c r="F1425" i="1"/>
  <c r="F1426" i="1"/>
  <c r="F1427" i="1"/>
  <c r="F1428" i="1"/>
  <c r="F1371" i="1"/>
  <c r="F1307" i="1"/>
  <c r="F1308" i="1"/>
  <c r="F1309" i="1"/>
  <c r="F1310" i="1"/>
  <c r="F1311" i="1"/>
  <c r="F1312" i="1"/>
  <c r="F1313" i="1"/>
  <c r="F1314" i="1"/>
  <c r="F1315" i="1"/>
  <c r="F1316" i="1"/>
  <c r="F1317" i="1"/>
  <c r="F1318" i="1"/>
  <c r="F1319" i="1"/>
  <c r="F1320" i="1"/>
  <c r="F1321" i="1"/>
  <c r="F1322" i="1"/>
  <c r="F1323" i="1"/>
  <c r="F1324" i="1"/>
  <c r="F1325" i="1"/>
  <c r="F1326" i="1"/>
  <c r="F1327" i="1"/>
  <c r="F1328" i="1"/>
  <c r="F1329" i="1"/>
  <c r="F1330" i="1"/>
  <c r="F1331" i="1"/>
  <c r="F1332" i="1"/>
  <c r="F1333" i="1"/>
  <c r="F1334" i="1"/>
  <c r="F1335" i="1"/>
  <c r="F1336" i="1"/>
  <c r="F1337" i="1"/>
  <c r="F1338" i="1"/>
  <c r="F1339" i="1"/>
  <c r="F1340" i="1"/>
  <c r="F1341" i="1"/>
  <c r="F1342" i="1"/>
  <c r="F1343" i="1"/>
  <c r="F1344" i="1"/>
  <c r="F1345" i="1"/>
  <c r="F1346" i="1"/>
  <c r="F1347" i="1"/>
  <c r="F1348" i="1"/>
  <c r="F1349" i="1"/>
  <c r="F1350" i="1"/>
  <c r="F1351" i="1"/>
  <c r="F1352" i="1"/>
  <c r="F1353" i="1"/>
  <c r="F1354" i="1"/>
  <c r="F1355" i="1"/>
  <c r="F1356" i="1"/>
  <c r="F1357" i="1"/>
  <c r="F1358" i="1"/>
  <c r="F1359" i="1"/>
  <c r="F1360" i="1"/>
  <c r="F1361" i="1"/>
  <c r="F1362" i="1"/>
  <c r="F1363" i="1"/>
  <c r="F1306" i="1"/>
  <c r="F1242" i="1"/>
  <c r="F1243" i="1"/>
  <c r="F1244" i="1"/>
  <c r="F1245" i="1"/>
  <c r="F1246" i="1"/>
  <c r="F1247" i="1"/>
  <c r="F1248" i="1"/>
  <c r="F1249" i="1"/>
  <c r="F1250" i="1"/>
  <c r="F1251" i="1"/>
  <c r="F1252" i="1"/>
  <c r="F1253" i="1"/>
  <c r="F1254" i="1"/>
  <c r="F1255" i="1"/>
  <c r="F1256" i="1"/>
  <c r="F1257" i="1"/>
  <c r="F1258" i="1"/>
  <c r="F1259" i="1"/>
  <c r="F1260" i="1"/>
  <c r="F1261" i="1"/>
  <c r="F1262" i="1"/>
  <c r="F1263" i="1"/>
  <c r="F1264" i="1"/>
  <c r="F1265" i="1"/>
  <c r="F1266" i="1"/>
  <c r="F1267" i="1"/>
  <c r="F1268" i="1"/>
  <c r="F1269" i="1"/>
  <c r="F1270" i="1"/>
  <c r="F1271" i="1"/>
  <c r="F1272" i="1"/>
  <c r="F1273" i="1"/>
  <c r="F1274" i="1"/>
  <c r="F1275" i="1"/>
  <c r="F1276" i="1"/>
  <c r="F1277" i="1"/>
  <c r="F1278" i="1"/>
  <c r="F1279" i="1"/>
  <c r="F1280" i="1"/>
  <c r="F1281" i="1"/>
  <c r="F1282" i="1"/>
  <c r="F1283" i="1"/>
  <c r="F1284" i="1"/>
  <c r="F1285" i="1"/>
  <c r="F1286" i="1"/>
  <c r="F1287" i="1"/>
  <c r="F1288" i="1"/>
  <c r="F1289" i="1"/>
  <c r="F1290" i="1"/>
  <c r="F1291" i="1"/>
  <c r="F1292" i="1"/>
  <c r="F1293" i="1"/>
  <c r="F1294" i="1"/>
  <c r="F1295" i="1"/>
  <c r="F1296" i="1"/>
  <c r="F1297" i="1"/>
  <c r="F1298" i="1"/>
  <c r="F1241" i="1"/>
  <c r="F1177" i="1"/>
  <c r="F1178" i="1"/>
  <c r="F1179" i="1"/>
  <c r="F1180" i="1"/>
  <c r="F1181" i="1"/>
  <c r="F1182" i="1"/>
  <c r="F1183" i="1"/>
  <c r="F1184" i="1"/>
  <c r="F1185" i="1"/>
  <c r="F1186" i="1"/>
  <c r="F1187" i="1"/>
  <c r="F1188" i="1"/>
  <c r="F1189" i="1"/>
  <c r="F1190" i="1"/>
  <c r="F1191" i="1"/>
  <c r="F1192" i="1"/>
  <c r="F1193" i="1"/>
  <c r="F1194" i="1"/>
  <c r="F1195" i="1"/>
  <c r="F1196" i="1"/>
  <c r="F1197" i="1"/>
  <c r="F1198" i="1"/>
  <c r="F1199" i="1"/>
  <c r="F1200" i="1"/>
  <c r="F1201" i="1"/>
  <c r="F1202" i="1"/>
  <c r="F1203" i="1"/>
  <c r="F1204" i="1"/>
  <c r="F1205" i="1"/>
  <c r="F1206" i="1"/>
  <c r="F1207" i="1"/>
  <c r="F1208" i="1"/>
  <c r="F1209" i="1"/>
  <c r="F1210" i="1"/>
  <c r="F1211" i="1"/>
  <c r="F1212" i="1"/>
  <c r="F1213" i="1"/>
  <c r="F1214" i="1"/>
  <c r="F1215" i="1"/>
  <c r="F1216" i="1"/>
  <c r="F1217" i="1"/>
  <c r="F1218" i="1"/>
  <c r="F1219" i="1"/>
  <c r="F1220" i="1"/>
  <c r="F1221" i="1"/>
  <c r="F1222" i="1"/>
  <c r="F1223" i="1"/>
  <c r="F1224" i="1"/>
  <c r="F1225" i="1"/>
  <c r="F1226" i="1"/>
  <c r="F1227" i="1"/>
  <c r="F1228" i="1"/>
  <c r="F1229" i="1"/>
  <c r="F1230" i="1"/>
  <c r="F1231" i="1"/>
  <c r="F1232" i="1"/>
  <c r="F1233" i="1"/>
  <c r="F1176" i="1"/>
  <c r="F1112" i="1"/>
  <c r="F1113" i="1"/>
  <c r="F1114" i="1"/>
  <c r="F1115" i="1"/>
  <c r="F1116" i="1"/>
  <c r="F1117" i="1"/>
  <c r="F1118" i="1"/>
  <c r="F1119" i="1"/>
  <c r="F1120" i="1"/>
  <c r="F1121" i="1"/>
  <c r="F1122" i="1"/>
  <c r="F1123" i="1"/>
  <c r="F1124" i="1"/>
  <c r="F1125" i="1"/>
  <c r="F1126" i="1"/>
  <c r="F1127" i="1"/>
  <c r="F1128" i="1"/>
  <c r="F1129" i="1"/>
  <c r="F1130" i="1"/>
  <c r="F1131" i="1"/>
  <c r="F1132" i="1"/>
  <c r="F1133" i="1"/>
  <c r="F1134" i="1"/>
  <c r="F1135" i="1"/>
  <c r="F1136" i="1"/>
  <c r="F1137" i="1"/>
  <c r="F1138" i="1"/>
  <c r="F1139" i="1"/>
  <c r="F1140" i="1"/>
  <c r="F1141" i="1"/>
  <c r="F1142" i="1"/>
  <c r="F1143" i="1"/>
  <c r="F1144" i="1"/>
  <c r="F1145" i="1"/>
  <c r="F1146" i="1"/>
  <c r="F1147" i="1"/>
  <c r="F1148" i="1"/>
  <c r="F1149" i="1"/>
  <c r="F1150" i="1"/>
  <c r="F1151" i="1"/>
  <c r="F1152" i="1"/>
  <c r="F1153" i="1"/>
  <c r="F1154" i="1"/>
  <c r="F1155" i="1"/>
  <c r="F1156" i="1"/>
  <c r="F1157" i="1"/>
  <c r="F1158" i="1"/>
  <c r="F1159" i="1"/>
  <c r="F1160" i="1"/>
  <c r="F1161" i="1"/>
  <c r="F1162" i="1"/>
  <c r="F1163" i="1"/>
  <c r="F1164" i="1"/>
  <c r="F1165" i="1"/>
  <c r="F1166" i="1"/>
  <c r="F1167" i="1"/>
  <c r="F1168" i="1"/>
  <c r="F1111" i="1"/>
  <c r="F1047" i="1"/>
  <c r="F1048" i="1"/>
  <c r="F1049" i="1"/>
  <c r="F1050" i="1"/>
  <c r="F1051" i="1"/>
  <c r="F1052" i="1"/>
  <c r="F1053" i="1"/>
  <c r="F1054" i="1"/>
  <c r="F1055" i="1"/>
  <c r="F1056" i="1"/>
  <c r="F1057" i="1"/>
  <c r="F1058" i="1"/>
  <c r="F1059" i="1"/>
  <c r="F1060" i="1"/>
  <c r="F1061" i="1"/>
  <c r="F1062" i="1"/>
  <c r="F1063" i="1"/>
  <c r="F1064" i="1"/>
  <c r="F1065" i="1"/>
  <c r="F1066" i="1"/>
  <c r="F1067" i="1"/>
  <c r="F1068" i="1"/>
  <c r="F1069" i="1"/>
  <c r="F1070" i="1"/>
  <c r="F1071" i="1"/>
  <c r="F1072" i="1"/>
  <c r="F1073" i="1"/>
  <c r="F1074" i="1"/>
  <c r="F1075" i="1"/>
  <c r="F1076" i="1"/>
  <c r="F1077" i="1"/>
  <c r="F1078" i="1"/>
  <c r="F1079" i="1"/>
  <c r="F1080" i="1"/>
  <c r="F1081" i="1"/>
  <c r="F1082" i="1"/>
  <c r="F1083" i="1"/>
  <c r="F1084" i="1"/>
  <c r="F1085" i="1"/>
  <c r="F1086" i="1"/>
  <c r="F1087" i="1"/>
  <c r="F1088" i="1"/>
  <c r="F1089" i="1"/>
  <c r="F1090" i="1"/>
  <c r="F1091" i="1"/>
  <c r="F1092" i="1"/>
  <c r="F1093" i="1"/>
  <c r="F1094" i="1"/>
  <c r="F1095" i="1"/>
  <c r="F1096" i="1"/>
  <c r="F1097" i="1"/>
  <c r="F1098" i="1"/>
  <c r="F1099" i="1"/>
  <c r="F1100" i="1"/>
  <c r="F1101" i="1"/>
  <c r="F1102" i="1"/>
  <c r="F1103" i="1"/>
  <c r="F1046" i="1"/>
  <c r="F982" i="1"/>
  <c r="F983" i="1"/>
  <c r="F984" i="1"/>
  <c r="F985" i="1"/>
  <c r="F986" i="1"/>
  <c r="F987" i="1"/>
  <c r="F988" i="1"/>
  <c r="F989" i="1"/>
  <c r="F990" i="1"/>
  <c r="F991" i="1"/>
  <c r="F992" i="1"/>
  <c r="F993" i="1"/>
  <c r="F994" i="1"/>
  <c r="F995" i="1"/>
  <c r="F996" i="1"/>
  <c r="F997" i="1"/>
  <c r="F998" i="1"/>
  <c r="F999" i="1"/>
  <c r="F1000" i="1"/>
  <c r="F1001" i="1"/>
  <c r="F1002" i="1"/>
  <c r="F1003" i="1"/>
  <c r="F1004" i="1"/>
  <c r="F1005" i="1"/>
  <c r="F1006" i="1"/>
  <c r="F1007" i="1"/>
  <c r="F1008" i="1"/>
  <c r="F1009" i="1"/>
  <c r="F1010" i="1"/>
  <c r="F1011" i="1"/>
  <c r="F1012" i="1"/>
  <c r="F1013" i="1"/>
  <c r="F1014" i="1"/>
  <c r="F1015" i="1"/>
  <c r="F1016" i="1"/>
  <c r="F1017" i="1"/>
  <c r="F1018" i="1"/>
  <c r="F1019" i="1"/>
  <c r="F1020" i="1"/>
  <c r="F1021" i="1"/>
  <c r="F1022" i="1"/>
  <c r="F1023" i="1"/>
  <c r="F1024" i="1"/>
  <c r="F1025" i="1"/>
  <c r="F1026" i="1"/>
  <c r="F1027" i="1"/>
  <c r="F1028" i="1"/>
  <c r="F1029" i="1"/>
  <c r="F1030" i="1"/>
  <c r="F1031" i="1"/>
  <c r="F1032" i="1"/>
  <c r="F1033" i="1"/>
  <c r="F1034" i="1"/>
  <c r="F1035" i="1"/>
  <c r="F1036" i="1"/>
  <c r="F1037" i="1"/>
  <c r="F1038" i="1"/>
  <c r="F981"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16"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851"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786"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21"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656"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591"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26"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461"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396"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31"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266"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01"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36"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71"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G331" i="1"/>
  <c r="G332" i="1"/>
  <c r="G333" i="1"/>
  <c r="G334" i="1"/>
  <c r="G335" i="1"/>
  <c r="F195" i="1"/>
  <c r="F135" i="1"/>
  <c r="F259" i="1"/>
  <c r="F325" i="1"/>
  <c r="F391" i="1"/>
  <c r="F457" i="1"/>
  <c r="F523" i="1"/>
  <c r="F589" i="1"/>
  <c r="F655" i="1"/>
  <c r="F715" i="1"/>
  <c r="F779" i="1"/>
  <c r="F845" i="1"/>
  <c r="F911" i="1"/>
  <c r="F977" i="1"/>
  <c r="F1043" i="1"/>
  <c r="F1109" i="1"/>
  <c r="F1175" i="1"/>
  <c r="F1235" i="1"/>
  <c r="F1299" i="1"/>
  <c r="F1364" i="1"/>
  <c r="F1431" i="1"/>
  <c r="F1497" i="1"/>
  <c r="F1563" i="1"/>
  <c r="F1629" i="1"/>
  <c r="H10" i="21"/>
  <c r="I10" i="21" s="1"/>
  <c r="J10" i="21" s="1"/>
  <c r="CI13" i="19" s="1"/>
  <c r="H21" i="21"/>
  <c r="I21" i="21" s="1"/>
  <c r="J21" i="21" s="1"/>
  <c r="CI24" i="19" s="1"/>
  <c r="H28" i="21"/>
  <c r="I28" i="21" s="1"/>
  <c r="J28" i="21" s="1"/>
  <c r="CI31" i="19" s="1"/>
  <c r="H27" i="21"/>
  <c r="I27" i="21" s="1"/>
  <c r="J27" i="21" s="1"/>
  <c r="CI30" i="19" s="1"/>
  <c r="H14" i="21"/>
  <c r="I14" i="21" s="1"/>
  <c r="J14" i="21" s="1"/>
  <c r="CI17" i="19" s="1"/>
  <c r="H4" i="21"/>
  <c r="I4" i="21" s="1"/>
  <c r="J4" i="21" s="1"/>
  <c r="CI7" i="19" s="1"/>
  <c r="H34" i="21"/>
  <c r="I34" i="21" s="1"/>
  <c r="J34" i="21" s="1"/>
  <c r="CI37" i="19" s="1"/>
  <c r="G16" i="21" l="1"/>
  <c r="H16" i="21" s="1"/>
  <c r="I16" i="21" s="1"/>
  <c r="J16" i="21" s="1"/>
  <c r="CK31" i="19"/>
  <c r="L28" i="21"/>
  <c r="O28" i="21"/>
  <c r="G18" i="21"/>
  <c r="H18" i="21" s="1"/>
  <c r="I18" i="21" s="1"/>
  <c r="J18" i="21" s="1"/>
  <c r="CK13" i="19"/>
  <c r="L10" i="21"/>
  <c r="O10" i="21"/>
  <c r="CK30" i="19"/>
  <c r="L27" i="21"/>
  <c r="O27" i="21"/>
  <c r="G20" i="21"/>
  <c r="H20" i="21" s="1"/>
  <c r="I20" i="21" s="1"/>
  <c r="J20" i="21" s="1"/>
  <c r="G3" i="21"/>
  <c r="E19" i="19"/>
  <c r="CE19" i="19" s="1"/>
  <c r="E21" i="19"/>
  <c r="F21" i="19" s="1"/>
  <c r="F69" i="1"/>
  <c r="AB10" i="6"/>
  <c r="AC10" i="6" s="1"/>
  <c r="AB20" i="6"/>
  <c r="AC20" i="6" s="1"/>
  <c r="AD20" i="6" s="1"/>
  <c r="AB15" i="6"/>
  <c r="F590" i="1"/>
  <c r="F978" i="1"/>
  <c r="F1365" i="1"/>
  <c r="F1564" i="1"/>
  <c r="F70" i="1"/>
  <c r="F458" i="1"/>
  <c r="F846" i="1"/>
  <c r="F1044" i="1"/>
  <c r="F1234" i="1"/>
  <c r="F1432" i="1"/>
  <c r="F326" i="1"/>
  <c r="F1630" i="1"/>
  <c r="F524" i="1"/>
  <c r="F714" i="1"/>
  <c r="F912" i="1"/>
  <c r="F1110" i="1"/>
  <c r="F1498" i="1"/>
  <c r="F194" i="1"/>
  <c r="F392" i="1"/>
  <c r="F780" i="1"/>
  <c r="F68" i="1"/>
  <c r="F134" i="1"/>
  <c r="F200" i="1"/>
  <c r="F324" i="1"/>
  <c r="F390" i="1"/>
  <c r="F456" i="1"/>
  <c r="F522" i="1"/>
  <c r="F588" i="1"/>
  <c r="F654" i="1"/>
  <c r="F720" i="1"/>
  <c r="F844" i="1"/>
  <c r="F910" i="1"/>
  <c r="F976" i="1"/>
  <c r="F1042" i="1"/>
  <c r="F1108" i="1"/>
  <c r="F1174" i="1"/>
  <c r="F1240" i="1"/>
  <c r="F1430" i="1"/>
  <c r="F1496" i="1"/>
  <c r="F1562" i="1"/>
  <c r="F1628" i="1"/>
  <c r="F260" i="1"/>
  <c r="F1300" i="1"/>
  <c r="F67" i="1"/>
  <c r="F133" i="1"/>
  <c r="F199" i="1"/>
  <c r="F265" i="1"/>
  <c r="F389" i="1"/>
  <c r="F455" i="1"/>
  <c r="F521" i="1"/>
  <c r="F587" i="1"/>
  <c r="F653" i="1"/>
  <c r="F719" i="1"/>
  <c r="F785" i="1"/>
  <c r="F909" i="1"/>
  <c r="F975" i="1"/>
  <c r="F1041" i="1"/>
  <c r="F1107" i="1"/>
  <c r="F1173" i="1"/>
  <c r="F1239" i="1"/>
  <c r="F1305" i="1"/>
  <c r="F1370" i="1"/>
  <c r="F1429" i="1"/>
  <c r="F1495" i="1"/>
  <c r="F1561" i="1"/>
  <c r="F1627" i="1"/>
  <c r="F66" i="1"/>
  <c r="F132" i="1"/>
  <c r="F198" i="1"/>
  <c r="F264" i="1"/>
  <c r="F330" i="1"/>
  <c r="F454" i="1"/>
  <c r="F520" i="1"/>
  <c r="F586" i="1"/>
  <c r="F652" i="1"/>
  <c r="F718" i="1"/>
  <c r="F784" i="1"/>
  <c r="F850" i="1"/>
  <c r="F974" i="1"/>
  <c r="F1040" i="1"/>
  <c r="F1106" i="1"/>
  <c r="F1172" i="1"/>
  <c r="F1238" i="1"/>
  <c r="F1304" i="1"/>
  <c r="F1369" i="1"/>
  <c r="F1494" i="1"/>
  <c r="F1560" i="1"/>
  <c r="F1626" i="1"/>
  <c r="F65" i="1"/>
  <c r="F131" i="1"/>
  <c r="F197" i="1"/>
  <c r="F263" i="1"/>
  <c r="F329" i="1"/>
  <c r="F395" i="1"/>
  <c r="F519" i="1"/>
  <c r="F585" i="1"/>
  <c r="F651" i="1"/>
  <c r="F717" i="1"/>
  <c r="F783" i="1"/>
  <c r="F849" i="1"/>
  <c r="F915" i="1"/>
  <c r="F1039" i="1"/>
  <c r="F1105" i="1"/>
  <c r="F1171" i="1"/>
  <c r="F1237" i="1"/>
  <c r="F1303" i="1"/>
  <c r="F1368" i="1"/>
  <c r="F1435" i="1"/>
  <c r="F1559" i="1"/>
  <c r="F1625" i="1"/>
  <c r="F64" i="1"/>
  <c r="F130" i="1"/>
  <c r="F196" i="1"/>
  <c r="F262" i="1"/>
  <c r="F328" i="1"/>
  <c r="F394" i="1"/>
  <c r="F460" i="1"/>
  <c r="F584" i="1"/>
  <c r="F650" i="1"/>
  <c r="F716" i="1"/>
  <c r="F782" i="1"/>
  <c r="F848" i="1"/>
  <c r="F914" i="1"/>
  <c r="F980" i="1"/>
  <c r="F1104" i="1"/>
  <c r="F1170" i="1"/>
  <c r="F1236" i="1"/>
  <c r="F1302" i="1"/>
  <c r="F1367" i="1"/>
  <c r="F1434" i="1"/>
  <c r="F1500" i="1"/>
  <c r="F1624" i="1"/>
  <c r="F129" i="1"/>
  <c r="F261" i="1"/>
  <c r="F327" i="1"/>
  <c r="F393" i="1"/>
  <c r="F459" i="1"/>
  <c r="F525" i="1"/>
  <c r="F649" i="1"/>
  <c r="F781" i="1"/>
  <c r="F847" i="1"/>
  <c r="F913" i="1"/>
  <c r="F979" i="1"/>
  <c r="F1045" i="1"/>
  <c r="F1169" i="1"/>
  <c r="F1301" i="1"/>
  <c r="F1366" i="1"/>
  <c r="F1433" i="1"/>
  <c r="F1499" i="1"/>
  <c r="F1565" i="1"/>
  <c r="E25" i="19"/>
  <c r="E109" i="19"/>
  <c r="E108" i="19"/>
  <c r="E90" i="19"/>
  <c r="AD24" i="6"/>
  <c r="AD16" i="6"/>
  <c r="AD23" i="6"/>
  <c r="AD10" i="6"/>
  <c r="AD14" i="6"/>
  <c r="AD13" i="6"/>
  <c r="E93" i="19"/>
  <c r="F93" i="19" s="1"/>
  <c r="E82" i="19"/>
  <c r="CE82" i="19" s="1"/>
  <c r="E65" i="19"/>
  <c r="F65" i="19" s="1"/>
  <c r="E51" i="19"/>
  <c r="F51" i="19" s="1"/>
  <c r="E38" i="19"/>
  <c r="F38" i="19" s="1"/>
  <c r="E30" i="19"/>
  <c r="CE30" i="19" s="1"/>
  <c r="E18" i="19"/>
  <c r="F18" i="19" s="1"/>
  <c r="E9" i="19"/>
  <c r="F9" i="19" s="1"/>
  <c r="E92" i="19"/>
  <c r="F92" i="19" s="1"/>
  <c r="E81" i="19"/>
  <c r="F81" i="19" s="1"/>
  <c r="E64" i="19"/>
  <c r="CE64" i="19" s="1"/>
  <c r="E50" i="19"/>
  <c r="F50" i="19" s="1"/>
  <c r="E37" i="19"/>
  <c r="F37" i="19" s="1"/>
  <c r="E29" i="19"/>
  <c r="F29" i="19" s="1"/>
  <c r="E17" i="19"/>
  <c r="F17" i="19" s="1"/>
  <c r="E8" i="19"/>
  <c r="CE8" i="19" s="1"/>
  <c r="E91" i="19"/>
  <c r="CE91" i="19" s="1"/>
  <c r="E80" i="19"/>
  <c r="F80" i="19" s="1"/>
  <c r="E63" i="19"/>
  <c r="CE63" i="19" s="1"/>
  <c r="E48" i="19"/>
  <c r="F48" i="19" s="1"/>
  <c r="E36" i="19"/>
  <c r="F36" i="19" s="1"/>
  <c r="E28" i="19"/>
  <c r="F28" i="19" s="1"/>
  <c r="E16" i="19"/>
  <c r="F16" i="19" s="1"/>
  <c r="E7" i="19"/>
  <c r="F7" i="19" s="1"/>
  <c r="AD12" i="6"/>
  <c r="AD5" i="6"/>
  <c r="E105" i="19"/>
  <c r="F105" i="19" s="1"/>
  <c r="E89" i="19"/>
  <c r="CE89" i="19" s="1"/>
  <c r="E79" i="19"/>
  <c r="F79" i="19" s="1"/>
  <c r="E62" i="19"/>
  <c r="F62" i="19" s="1"/>
  <c r="E47" i="19"/>
  <c r="F47" i="19" s="1"/>
  <c r="E35" i="19"/>
  <c r="F35" i="19" s="1"/>
  <c r="E27" i="19"/>
  <c r="F27" i="19" s="1"/>
  <c r="E15" i="19"/>
  <c r="F15" i="19" s="1"/>
  <c r="E6" i="19"/>
  <c r="AD27" i="6"/>
  <c r="E104" i="19"/>
  <c r="F104" i="19" s="1"/>
  <c r="E87" i="19"/>
  <c r="F87" i="19" s="1"/>
  <c r="E78" i="19"/>
  <c r="F78" i="19" s="1"/>
  <c r="E61" i="19"/>
  <c r="F61" i="19" s="1"/>
  <c r="E44" i="19"/>
  <c r="F44" i="19" s="1"/>
  <c r="E34" i="19"/>
  <c r="CE34" i="19" s="1"/>
  <c r="E26" i="19"/>
  <c r="CE26" i="19" s="1"/>
  <c r="E14" i="19"/>
  <c r="F14" i="19" s="1"/>
  <c r="AD4" i="6"/>
  <c r="E100" i="19"/>
  <c r="CE100" i="19" s="1"/>
  <c r="E86" i="19"/>
  <c r="F86" i="19" s="1"/>
  <c r="E75" i="19"/>
  <c r="F75" i="19" s="1"/>
  <c r="E60" i="19"/>
  <c r="F60" i="19" s="1"/>
  <c r="E41" i="19"/>
  <c r="CE41" i="19" s="1"/>
  <c r="E33" i="19"/>
  <c r="CE33" i="19" s="1"/>
  <c r="E24" i="19"/>
  <c r="F24" i="19" s="1"/>
  <c r="E13" i="19"/>
  <c r="CE13" i="19" s="1"/>
  <c r="E95" i="19"/>
  <c r="CE95" i="19" s="1"/>
  <c r="E85" i="19"/>
  <c r="F85" i="19" s="1"/>
  <c r="E74" i="19"/>
  <c r="F74" i="19" s="1"/>
  <c r="E59" i="19"/>
  <c r="F59" i="19" s="1"/>
  <c r="E40" i="19"/>
  <c r="CE40" i="19" s="1"/>
  <c r="E32" i="19"/>
  <c r="F32" i="19" s="1"/>
  <c r="E22" i="19"/>
  <c r="F22" i="19" s="1"/>
  <c r="E12" i="19"/>
  <c r="F12" i="19" s="1"/>
  <c r="AD18" i="6"/>
  <c r="E94" i="19"/>
  <c r="CE94" i="19" s="1"/>
  <c r="E84" i="19"/>
  <c r="CE84" i="19" s="1"/>
  <c r="E73" i="19"/>
  <c r="CE73" i="19" s="1"/>
  <c r="E52" i="19"/>
  <c r="F52" i="19" s="1"/>
  <c r="E39" i="19"/>
  <c r="F39" i="19" s="1"/>
  <c r="E31" i="19"/>
  <c r="CE31" i="19" s="1"/>
  <c r="E20" i="19"/>
  <c r="F20" i="19" s="1"/>
  <c r="E11" i="19"/>
  <c r="AD21" i="6"/>
  <c r="AD6" i="6"/>
  <c r="AD19" i="6"/>
  <c r="AD11" i="6"/>
  <c r="AD7" i="6"/>
  <c r="AD17" i="6"/>
  <c r="AD25" i="6"/>
  <c r="AD8" i="6"/>
  <c r="AA28" i="6"/>
  <c r="AB3" i="6"/>
  <c r="AD26" i="6"/>
  <c r="AD22" i="6"/>
  <c r="AD9" i="6"/>
  <c r="I331" i="1"/>
  <c r="J331" i="1" s="1"/>
  <c r="K331" i="1" s="1"/>
  <c r="I335" i="1"/>
  <c r="J335" i="1" s="1"/>
  <c r="K335" i="1" s="1"/>
  <c r="I333" i="1"/>
  <c r="J333" i="1" s="1"/>
  <c r="K333" i="1" s="1"/>
  <c r="I332" i="1"/>
  <c r="J332" i="1" s="1"/>
  <c r="K332" i="1" s="1"/>
  <c r="I334" i="1"/>
  <c r="J334" i="1" s="1"/>
  <c r="K334" i="1" s="1"/>
  <c r="AH13" i="4"/>
  <c r="AH27" i="4"/>
  <c r="AH14" i="4"/>
  <c r="AH32" i="4"/>
  <c r="AH15" i="4"/>
  <c r="AH11" i="4"/>
  <c r="AH19" i="4"/>
  <c r="AH18" i="4"/>
  <c r="AH31" i="4"/>
  <c r="AH12" i="4"/>
  <c r="AH26" i="4"/>
  <c r="AH20" i="4"/>
  <c r="AH17" i="4"/>
  <c r="AH30" i="4"/>
  <c r="AH22" i="4"/>
  <c r="AH16" i="4"/>
  <c r="AH25" i="4"/>
  <c r="AH29" i="4"/>
  <c r="AH23" i="4"/>
  <c r="AH21" i="4"/>
  <c r="AH24" i="4"/>
  <c r="AH10" i="4"/>
  <c r="AH28" i="4"/>
  <c r="AC15" i="6" l="1"/>
  <c r="AD15" i="6"/>
  <c r="H3" i="21"/>
  <c r="I3" i="21" s="1"/>
  <c r="J3" i="21" s="1"/>
  <c r="P18" i="21"/>
  <c r="CF21" i="19" s="1"/>
  <c r="CH21" i="19" s="1"/>
  <c r="CI21" i="19"/>
  <c r="CK21" i="19" s="1"/>
  <c r="P20" i="21"/>
  <c r="CF23" i="19" s="1"/>
  <c r="CH23" i="19" s="1"/>
  <c r="CI23" i="19"/>
  <c r="CK23" i="19" s="1"/>
  <c r="P16" i="21"/>
  <c r="CF19" i="19" s="1"/>
  <c r="CH19" i="19" s="1"/>
  <c r="CI19" i="19"/>
  <c r="CK19" i="19" s="1"/>
  <c r="CE21" i="19"/>
  <c r="F107" i="21"/>
  <c r="F19" i="19"/>
  <c r="R18" i="21"/>
  <c r="R20" i="21"/>
  <c r="L20" i="21"/>
  <c r="O20" i="21"/>
  <c r="L18" i="21"/>
  <c r="O18" i="21"/>
  <c r="G7" i="21"/>
  <c r="H7" i="21" s="1"/>
  <c r="I7" i="21" s="1"/>
  <c r="J7" i="21" s="1"/>
  <c r="L16" i="21"/>
  <c r="O16" i="21"/>
  <c r="CE6" i="19"/>
  <c r="E110" i="19"/>
  <c r="F90" i="19"/>
  <c r="CE90" i="19"/>
  <c r="G87" i="21"/>
  <c r="H87" i="21" s="1"/>
  <c r="I87" i="21" s="1"/>
  <c r="J87" i="21" s="1"/>
  <c r="F108" i="19"/>
  <c r="CE108" i="19"/>
  <c r="G105" i="21"/>
  <c r="H105" i="21" s="1"/>
  <c r="I105" i="21" s="1"/>
  <c r="J105" i="21" s="1"/>
  <c r="CI108" i="19" s="1"/>
  <c r="F109" i="19"/>
  <c r="CE109" i="19"/>
  <c r="G106" i="21"/>
  <c r="H106" i="21" s="1"/>
  <c r="I106" i="21" s="1"/>
  <c r="J106" i="21" s="1"/>
  <c r="F25" i="19"/>
  <c r="CE25" i="19"/>
  <c r="G22" i="21"/>
  <c r="H22" i="21" s="1"/>
  <c r="I22" i="21" s="1"/>
  <c r="J22" i="21" s="1"/>
  <c r="CI25" i="19" s="1"/>
  <c r="F64" i="19"/>
  <c r="CE51" i="19"/>
  <c r="CE35" i="19"/>
  <c r="CE36" i="19"/>
  <c r="F82" i="19"/>
  <c r="CE62" i="19"/>
  <c r="F91" i="19"/>
  <c r="CE85" i="19"/>
  <c r="CE37" i="19"/>
  <c r="F33" i="19"/>
  <c r="CE92" i="19"/>
  <c r="CE86" i="19"/>
  <c r="F30" i="19"/>
  <c r="CE18" i="19"/>
  <c r="CE15" i="19"/>
  <c r="F63" i="19"/>
  <c r="F89" i="19"/>
  <c r="CE32" i="19"/>
  <c r="CE16" i="19"/>
  <c r="CE17" i="19"/>
  <c r="CE9" i="19"/>
  <c r="F13" i="19"/>
  <c r="CE27" i="19"/>
  <c r="F41" i="19"/>
  <c r="F100" i="19"/>
  <c r="CE79" i="19"/>
  <c r="F95" i="19"/>
  <c r="CE60" i="19"/>
  <c r="CE59" i="19"/>
  <c r="CE12" i="19"/>
  <c r="CE39" i="19"/>
  <c r="F94" i="19"/>
  <c r="F34" i="19"/>
  <c r="CE28" i="19"/>
  <c r="F26" i="19"/>
  <c r="CE78" i="19"/>
  <c r="CE87" i="19"/>
  <c r="F40" i="19"/>
  <c r="CE75" i="19"/>
  <c r="CE81" i="19"/>
  <c r="CE24" i="19"/>
  <c r="CE74" i="19"/>
  <c r="CE105" i="19"/>
  <c r="CE29" i="19"/>
  <c r="CE22" i="19"/>
  <c r="CE47" i="19"/>
  <c r="CE80" i="19"/>
  <c r="CE65" i="19"/>
  <c r="F6" i="19"/>
  <c r="F84" i="19"/>
  <c r="F31" i="19"/>
  <c r="CE61" i="19"/>
  <c r="CE14" i="19"/>
  <c r="F73" i="19"/>
  <c r="CE20" i="19"/>
  <c r="CE38" i="19"/>
  <c r="CE93" i="19"/>
  <c r="CE7" i="19"/>
  <c r="CE48" i="19"/>
  <c r="F8" i="19"/>
  <c r="CE50" i="19"/>
  <c r="G6" i="21"/>
  <c r="H6" i="21" s="1"/>
  <c r="I6" i="21" s="1"/>
  <c r="J6" i="21" s="1"/>
  <c r="CI9" i="19" s="1"/>
  <c r="CE44" i="19"/>
  <c r="CE104" i="19"/>
  <c r="G17" i="21"/>
  <c r="G70" i="21"/>
  <c r="H70" i="21" s="1"/>
  <c r="I70" i="21" s="1"/>
  <c r="J70" i="21" s="1"/>
  <c r="CI73" i="19" s="1"/>
  <c r="G11" i="21"/>
  <c r="H11" i="21" s="1"/>
  <c r="I11" i="21" s="1"/>
  <c r="J11" i="21" s="1"/>
  <c r="CI14" i="19" s="1"/>
  <c r="G58" i="21"/>
  <c r="H58" i="21" s="1"/>
  <c r="I58" i="21" s="1"/>
  <c r="J58" i="21" s="1"/>
  <c r="G56" i="21"/>
  <c r="H56" i="21" s="1"/>
  <c r="I56" i="21" s="1"/>
  <c r="J56" i="21" s="1"/>
  <c r="P56" i="21" s="1"/>
  <c r="G48" i="21"/>
  <c r="H48" i="21" s="1"/>
  <c r="I48" i="21" s="1"/>
  <c r="J48" i="21" s="1"/>
  <c r="CI51" i="19" s="1"/>
  <c r="G19" i="21"/>
  <c r="H19" i="21" s="1"/>
  <c r="I19" i="21" s="1"/>
  <c r="J19" i="21" s="1"/>
  <c r="CI22" i="19" s="1"/>
  <c r="G71" i="21"/>
  <c r="H71" i="21" s="1"/>
  <c r="I71" i="21" s="1"/>
  <c r="J71" i="21" s="1"/>
  <c r="CI74" i="19" s="1"/>
  <c r="G21" i="21"/>
  <c r="P21" i="21"/>
  <c r="CF24" i="19" s="1"/>
  <c r="G72" i="21"/>
  <c r="H72" i="21" s="1"/>
  <c r="I72" i="21" s="1"/>
  <c r="J72" i="21" s="1"/>
  <c r="G44" i="21"/>
  <c r="H44" i="21" s="1"/>
  <c r="I44" i="21" s="1"/>
  <c r="J44" i="21" s="1"/>
  <c r="CI47" i="19" s="1"/>
  <c r="G102" i="21"/>
  <c r="H102" i="21" s="1"/>
  <c r="I102" i="21" s="1"/>
  <c r="J102" i="21" s="1"/>
  <c r="CI105" i="19" s="1"/>
  <c r="G25" i="21"/>
  <c r="H25" i="21" s="1"/>
  <c r="I25" i="21" s="1"/>
  <c r="J25" i="21" s="1"/>
  <c r="G77" i="21"/>
  <c r="H77" i="21" s="1"/>
  <c r="I77" i="21" s="1"/>
  <c r="J77" i="21" s="1"/>
  <c r="P77" i="21" s="1"/>
  <c r="G26" i="21"/>
  <c r="H26" i="21" s="1"/>
  <c r="I26" i="21" s="1"/>
  <c r="J26" i="21" s="1"/>
  <c r="P26" i="21" s="1"/>
  <c r="G78" i="21"/>
  <c r="H78" i="21" s="1"/>
  <c r="I78" i="21" s="1"/>
  <c r="J78" i="21" s="1"/>
  <c r="CI81" i="19" s="1"/>
  <c r="G15" i="21"/>
  <c r="H15" i="21" s="1"/>
  <c r="I15" i="21" s="1"/>
  <c r="J15" i="21" s="1"/>
  <c r="CI18" i="19" s="1"/>
  <c r="G62" i="21"/>
  <c r="H62" i="21" s="1"/>
  <c r="I62" i="21" s="1"/>
  <c r="J62" i="21" s="1"/>
  <c r="CI65" i="19" s="1"/>
  <c r="G10" i="21"/>
  <c r="P10" i="21"/>
  <c r="CF13" i="19" s="1"/>
  <c r="G61" i="21"/>
  <c r="H61" i="21" s="1"/>
  <c r="I61" i="21" s="1"/>
  <c r="J61" i="21" s="1"/>
  <c r="CE11" i="19"/>
  <c r="CE52" i="19"/>
  <c r="G28" i="21"/>
  <c r="P28" i="21"/>
  <c r="CF31" i="19" s="1"/>
  <c r="G81" i="21"/>
  <c r="H81" i="21" s="1"/>
  <c r="I81" i="21" s="1"/>
  <c r="J81" i="21" s="1"/>
  <c r="CI84" i="19" s="1"/>
  <c r="G23" i="21"/>
  <c r="H23" i="21" s="1"/>
  <c r="I23" i="21" s="1"/>
  <c r="J23" i="21" s="1"/>
  <c r="CI26" i="19" s="1"/>
  <c r="G75" i="21"/>
  <c r="H75" i="21" s="1"/>
  <c r="I75" i="21" s="1"/>
  <c r="J75" i="21" s="1"/>
  <c r="P75" i="21" s="1"/>
  <c r="G57" i="21"/>
  <c r="H57" i="21" s="1"/>
  <c r="I57" i="21" s="1"/>
  <c r="J57" i="21" s="1"/>
  <c r="G32" i="21"/>
  <c r="H32" i="21" s="1"/>
  <c r="I32" i="21" s="1"/>
  <c r="J32" i="21" s="1"/>
  <c r="CI35" i="19" s="1"/>
  <c r="G14" i="21"/>
  <c r="F11" i="19"/>
  <c r="G29" i="21"/>
  <c r="H29" i="21" s="1"/>
  <c r="I29" i="21" s="1"/>
  <c r="J29" i="21" s="1"/>
  <c r="G82" i="21"/>
  <c r="H82" i="21" s="1"/>
  <c r="I82" i="21" s="1"/>
  <c r="J82" i="21" s="1"/>
  <c r="CI85" i="19" s="1"/>
  <c r="G30" i="21"/>
  <c r="H30" i="21" s="1"/>
  <c r="I30" i="21" s="1"/>
  <c r="J30" i="21" s="1"/>
  <c r="CI33" i="19" s="1"/>
  <c r="G83" i="21"/>
  <c r="H83" i="21" s="1"/>
  <c r="I83" i="21" s="1"/>
  <c r="J83" i="21" s="1"/>
  <c r="CI86" i="19" s="1"/>
  <c r="G12" i="21"/>
  <c r="H12" i="21" s="1"/>
  <c r="I12" i="21" s="1"/>
  <c r="J12" i="21" s="1"/>
  <c r="CI15" i="19" s="1"/>
  <c r="G59" i="21"/>
  <c r="H59" i="21" s="1"/>
  <c r="I59" i="21" s="1"/>
  <c r="J59" i="21" s="1"/>
  <c r="CI62" i="19" s="1"/>
  <c r="G33" i="21"/>
  <c r="H33" i="21" s="1"/>
  <c r="I33" i="21" s="1"/>
  <c r="J33" i="21" s="1"/>
  <c r="CI36" i="19" s="1"/>
  <c r="G88" i="21"/>
  <c r="H88" i="21" s="1"/>
  <c r="I88" i="21" s="1"/>
  <c r="J88" i="21" s="1"/>
  <c r="P88" i="21" s="1"/>
  <c r="G34" i="21"/>
  <c r="G89" i="21"/>
  <c r="H89" i="21" s="1"/>
  <c r="I89" i="21" s="1"/>
  <c r="J89" i="21" s="1"/>
  <c r="G27" i="21"/>
  <c r="P27" i="21"/>
  <c r="CF30" i="19" s="1"/>
  <c r="G79" i="21"/>
  <c r="H79" i="21" s="1"/>
  <c r="I79" i="21" s="1"/>
  <c r="J79" i="21" s="1"/>
  <c r="CI82" i="19" s="1"/>
  <c r="G13" i="21"/>
  <c r="H13" i="21" s="1"/>
  <c r="I13" i="21" s="1"/>
  <c r="J13" i="21" s="1"/>
  <c r="CI16" i="19" s="1"/>
  <c r="G36" i="21"/>
  <c r="H36" i="21" s="1"/>
  <c r="I36" i="21" s="1"/>
  <c r="J36" i="21" s="1"/>
  <c r="CI39" i="19" s="1"/>
  <c r="G91" i="21"/>
  <c r="H91" i="21" s="1"/>
  <c r="I91" i="21" s="1"/>
  <c r="J91" i="21" s="1"/>
  <c r="CI94" i="19" s="1"/>
  <c r="G31" i="21"/>
  <c r="H31" i="21" s="1"/>
  <c r="I31" i="21" s="1"/>
  <c r="J31" i="21" s="1"/>
  <c r="G84" i="21"/>
  <c r="H84" i="21" s="1"/>
  <c r="I84" i="21" s="1"/>
  <c r="J84" i="21" s="1"/>
  <c r="G60" i="21"/>
  <c r="H60" i="21" s="1"/>
  <c r="I60" i="21" s="1"/>
  <c r="J60" i="21" s="1"/>
  <c r="CI63" i="19" s="1"/>
  <c r="G37" i="21"/>
  <c r="H37" i="21" s="1"/>
  <c r="I37" i="21" s="1"/>
  <c r="J37" i="21" s="1"/>
  <c r="CI40" i="19" s="1"/>
  <c r="G92" i="21"/>
  <c r="H92" i="21" s="1"/>
  <c r="I92" i="21" s="1"/>
  <c r="J92" i="21" s="1"/>
  <c r="CI95" i="19" s="1"/>
  <c r="G38" i="21"/>
  <c r="H38" i="21" s="1"/>
  <c r="I38" i="21" s="1"/>
  <c r="J38" i="21" s="1"/>
  <c r="CI41" i="19" s="1"/>
  <c r="G97" i="21"/>
  <c r="H97" i="21" s="1"/>
  <c r="I97" i="21" s="1"/>
  <c r="J97" i="21" s="1"/>
  <c r="CI100" i="19" s="1"/>
  <c r="G24" i="21"/>
  <c r="H24" i="21" s="1"/>
  <c r="I24" i="21" s="1"/>
  <c r="J24" i="21" s="1"/>
  <c r="CI27" i="19" s="1"/>
  <c r="G76" i="21"/>
  <c r="H76" i="21" s="1"/>
  <c r="I76" i="21" s="1"/>
  <c r="J76" i="21" s="1"/>
  <c r="CI79" i="19" s="1"/>
  <c r="P4" i="21"/>
  <c r="CF7" i="19" s="1"/>
  <c r="L4" i="21"/>
  <c r="O4" i="21"/>
  <c r="G45" i="21"/>
  <c r="H45" i="21" s="1"/>
  <c r="I45" i="21" s="1"/>
  <c r="J45" i="21" s="1"/>
  <c r="CI48" i="19" s="1"/>
  <c r="G5" i="21"/>
  <c r="H5" i="21" s="1"/>
  <c r="I5" i="21" s="1"/>
  <c r="J5" i="21" s="1"/>
  <c r="CI8" i="19" s="1"/>
  <c r="G47" i="21"/>
  <c r="H47" i="21" s="1"/>
  <c r="I47" i="21" s="1"/>
  <c r="J47" i="21" s="1"/>
  <c r="CI50" i="19" s="1"/>
  <c r="G35" i="21"/>
  <c r="H35" i="21" s="1"/>
  <c r="I35" i="21" s="1"/>
  <c r="J35" i="21" s="1"/>
  <c r="G90" i="21"/>
  <c r="H90" i="21" s="1"/>
  <c r="I90" i="21" s="1"/>
  <c r="J90" i="21" s="1"/>
  <c r="P90" i="21" s="1"/>
  <c r="G9" i="21"/>
  <c r="H9" i="21" s="1"/>
  <c r="I9" i="21" s="1"/>
  <c r="J9" i="21" s="1"/>
  <c r="CI12" i="19" s="1"/>
  <c r="G86" i="21"/>
  <c r="H86" i="21" s="1"/>
  <c r="I86" i="21" s="1"/>
  <c r="J86" i="21" s="1"/>
  <c r="CI89" i="19" s="1"/>
  <c r="G8" i="21"/>
  <c r="H8" i="21" s="1"/>
  <c r="I8" i="21" s="1"/>
  <c r="J8" i="21" s="1"/>
  <c r="CI11" i="19" s="1"/>
  <c r="G49" i="21"/>
  <c r="H49" i="21" s="1"/>
  <c r="I49" i="21" s="1"/>
  <c r="J49" i="21" s="1"/>
  <c r="CI52" i="19" s="1"/>
  <c r="G41" i="21"/>
  <c r="H41" i="21" s="1"/>
  <c r="I41" i="21" s="1"/>
  <c r="J41" i="21" s="1"/>
  <c r="G101" i="21"/>
  <c r="H101" i="21" s="1"/>
  <c r="I101" i="21" s="1"/>
  <c r="J101" i="21" s="1"/>
  <c r="CI104" i="19" s="1"/>
  <c r="AB28" i="6"/>
  <c r="AC3" i="6"/>
  <c r="AC28" i="6" s="1"/>
  <c r="L331" i="1"/>
  <c r="L335" i="1"/>
  <c r="Y11" i="5" s="1"/>
  <c r="L332" i="1"/>
  <c r="W11" i="5" s="1"/>
  <c r="L333" i="1"/>
  <c r="L334" i="1"/>
  <c r="AA11" i="5" s="1"/>
  <c r="CQ19" i="19" l="1"/>
  <c r="CI6" i="19"/>
  <c r="CK6" i="19" s="1"/>
  <c r="L3" i="21"/>
  <c r="O3" i="21"/>
  <c r="P3" i="21"/>
  <c r="CF6" i="19" s="1"/>
  <c r="P106" i="21"/>
  <c r="CI109" i="19"/>
  <c r="CK109" i="19" s="1"/>
  <c r="P7" i="21"/>
  <c r="CF10" i="19" s="1"/>
  <c r="CH10" i="19" s="1"/>
  <c r="CI10" i="19"/>
  <c r="CK10" i="19" s="1"/>
  <c r="P84" i="21"/>
  <c r="CI87" i="19"/>
  <c r="P58" i="21"/>
  <c r="CI61" i="19"/>
  <c r="P35" i="21"/>
  <c r="CI38" i="19"/>
  <c r="CK38" i="19" s="1"/>
  <c r="H17" i="21"/>
  <c r="I17" i="21" s="1"/>
  <c r="J17" i="21" s="1"/>
  <c r="P17" i="21" s="1"/>
  <c r="P41" i="21"/>
  <c r="CI44" i="19"/>
  <c r="P61" i="21"/>
  <c r="CI64" i="19"/>
  <c r="CI90" i="19"/>
  <c r="CK90" i="19" s="1"/>
  <c r="R16" i="21"/>
  <c r="S16" i="21" s="1"/>
  <c r="P30" i="21"/>
  <c r="CF33" i="19" s="1"/>
  <c r="CK40" i="19"/>
  <c r="L37" i="21"/>
  <c r="O37" i="21"/>
  <c r="P22" i="21"/>
  <c r="P59" i="21"/>
  <c r="CK65" i="19"/>
  <c r="O62" i="21"/>
  <c r="L62" i="21"/>
  <c r="P102" i="21"/>
  <c r="CF105" i="19" s="1"/>
  <c r="CK105" i="19"/>
  <c r="P48" i="21"/>
  <c r="P76" i="21"/>
  <c r="P62" i="21"/>
  <c r="P44" i="21"/>
  <c r="CK47" i="19"/>
  <c r="P6" i="21"/>
  <c r="CF9" i="19" s="1"/>
  <c r="O35" i="21"/>
  <c r="L35" i="21"/>
  <c r="P24" i="21"/>
  <c r="CK27" i="19"/>
  <c r="CK87" i="19"/>
  <c r="L84" i="21"/>
  <c r="O84" i="21"/>
  <c r="R3" i="21"/>
  <c r="CS19" i="19"/>
  <c r="CR19" i="19"/>
  <c r="P25" i="21"/>
  <c r="P97" i="21"/>
  <c r="CF100" i="19" s="1"/>
  <c r="P78" i="21"/>
  <c r="CK61" i="19"/>
  <c r="L58" i="21"/>
  <c r="O58" i="21"/>
  <c r="O106" i="21"/>
  <c r="L106" i="21"/>
  <c r="S20" i="21"/>
  <c r="P9" i="21"/>
  <c r="P81" i="21"/>
  <c r="CK84" i="19"/>
  <c r="CK44" i="19"/>
  <c r="L41" i="21"/>
  <c r="O41" i="21"/>
  <c r="P38" i="21"/>
  <c r="P91" i="21"/>
  <c r="CK94" i="19"/>
  <c r="P11" i="21"/>
  <c r="CK14" i="19"/>
  <c r="L7" i="21"/>
  <c r="O7" i="21"/>
  <c r="CQ23" i="19"/>
  <c r="P8" i="21"/>
  <c r="CK11" i="19"/>
  <c r="CK39" i="19"/>
  <c r="L36" i="21"/>
  <c r="O36" i="21"/>
  <c r="CK85" i="19"/>
  <c r="O82" i="21"/>
  <c r="L82" i="21"/>
  <c r="CK78" i="19"/>
  <c r="L75" i="21"/>
  <c r="O75" i="21"/>
  <c r="CK64" i="19"/>
  <c r="L61" i="21"/>
  <c r="O61" i="21"/>
  <c r="S18" i="21"/>
  <c r="P49" i="21"/>
  <c r="CF52" i="19" s="1"/>
  <c r="CK52" i="19"/>
  <c r="P86" i="21"/>
  <c r="CF89" i="19" s="1"/>
  <c r="CK89" i="19"/>
  <c r="P37" i="21"/>
  <c r="CF40" i="19" s="1"/>
  <c r="P36" i="21"/>
  <c r="CF39" i="19" s="1"/>
  <c r="P82" i="21"/>
  <c r="CF85" i="19" s="1"/>
  <c r="P23" i="21"/>
  <c r="CF26" i="19" s="1"/>
  <c r="CH13" i="19"/>
  <c r="CK80" i="19"/>
  <c r="O77" i="21"/>
  <c r="L77" i="21"/>
  <c r="CQ21" i="19"/>
  <c r="O102" i="21"/>
  <c r="L102" i="21"/>
  <c r="P70" i="21"/>
  <c r="CF73" i="19" s="1"/>
  <c r="CK8" i="19"/>
  <c r="L5" i="21"/>
  <c r="O5" i="21"/>
  <c r="CK95" i="19"/>
  <c r="L92" i="21"/>
  <c r="O92" i="21"/>
  <c r="CK48" i="19"/>
  <c r="L45" i="21"/>
  <c r="O45" i="21"/>
  <c r="CK12" i="19"/>
  <c r="L9" i="21"/>
  <c r="O9" i="21"/>
  <c r="L49" i="21"/>
  <c r="O49" i="21"/>
  <c r="P45" i="21"/>
  <c r="CF48" i="19" s="1"/>
  <c r="P33" i="21"/>
  <c r="CF36" i="19" s="1"/>
  <c r="CK74" i="19"/>
  <c r="O71" i="21"/>
  <c r="L71" i="21"/>
  <c r="CK108" i="19"/>
  <c r="L105" i="21"/>
  <c r="O105" i="21"/>
  <c r="CK100" i="19"/>
  <c r="L97" i="21"/>
  <c r="O97" i="21"/>
  <c r="CK81" i="19"/>
  <c r="O78" i="21"/>
  <c r="L78" i="21"/>
  <c r="P71" i="21"/>
  <c r="CF74" i="19" s="1"/>
  <c r="L11" i="21"/>
  <c r="O11" i="21"/>
  <c r="CK25" i="19"/>
  <c r="L22" i="21"/>
  <c r="O22" i="21"/>
  <c r="P105" i="21"/>
  <c r="L8" i="21"/>
  <c r="O8" i="21"/>
  <c r="CK26" i="19"/>
  <c r="L23" i="21"/>
  <c r="O23" i="21"/>
  <c r="L19" i="21"/>
  <c r="O19" i="21"/>
  <c r="CK9" i="19"/>
  <c r="L6" i="21"/>
  <c r="O6" i="21"/>
  <c r="CK41" i="19"/>
  <c r="L38" i="21"/>
  <c r="O38" i="21"/>
  <c r="CK62" i="19"/>
  <c r="L59" i="21"/>
  <c r="O59" i="21"/>
  <c r="L44" i="21"/>
  <c r="O44" i="21"/>
  <c r="L81" i="21"/>
  <c r="O81" i="21"/>
  <c r="CK51" i="19"/>
  <c r="O48" i="21"/>
  <c r="L48" i="21"/>
  <c r="O87" i="21"/>
  <c r="L87" i="21"/>
  <c r="L86" i="21"/>
  <c r="O86" i="21"/>
  <c r="P5" i="21"/>
  <c r="CF8" i="19" s="1"/>
  <c r="CK79" i="19"/>
  <c r="L76" i="21"/>
  <c r="O76" i="21"/>
  <c r="P92" i="21"/>
  <c r="CF95" i="19" s="1"/>
  <c r="L91" i="21"/>
  <c r="O91" i="21"/>
  <c r="P87" i="21"/>
  <c r="CF90" i="19" s="1"/>
  <c r="L24" i="21"/>
  <c r="O24" i="21"/>
  <c r="P15" i="21"/>
  <c r="CF18" i="19" s="1"/>
  <c r="P14" i="21"/>
  <c r="CF17" i="19" s="1"/>
  <c r="P12" i="21"/>
  <c r="CF15" i="19" s="1"/>
  <c r="CE110" i="19"/>
  <c r="F110" i="19"/>
  <c r="AD3" i="6"/>
  <c r="AD28" i="6" s="1"/>
  <c r="O10" i="17" s="1"/>
  <c r="P19" i="21"/>
  <c r="CF22" i="19" s="1"/>
  <c r="R88" i="21"/>
  <c r="P83" i="21"/>
  <c r="CF86" i="19" s="1"/>
  <c r="O83" i="21"/>
  <c r="L83" i="21"/>
  <c r="R90" i="21"/>
  <c r="L34" i="21"/>
  <c r="O34" i="21"/>
  <c r="P34" i="21"/>
  <c r="CF37" i="19" s="1"/>
  <c r="O47" i="21"/>
  <c r="L47" i="21"/>
  <c r="L60" i="21"/>
  <c r="O60" i="21"/>
  <c r="L29" i="21"/>
  <c r="O29" i="21"/>
  <c r="L32" i="21"/>
  <c r="O32" i="21"/>
  <c r="R26" i="21"/>
  <c r="R21" i="21"/>
  <c r="P57" i="21"/>
  <c r="L57" i="21"/>
  <c r="O57" i="21"/>
  <c r="O26" i="21"/>
  <c r="L26" i="21"/>
  <c r="G107" i="21"/>
  <c r="L21" i="21"/>
  <c r="O21" i="21"/>
  <c r="P89" i="21"/>
  <c r="L89" i="21"/>
  <c r="O89" i="21"/>
  <c r="L88" i="21"/>
  <c r="O88" i="21"/>
  <c r="CK7" i="19"/>
  <c r="R4" i="21"/>
  <c r="S4" i="21" s="1"/>
  <c r="P13" i="21"/>
  <c r="CF16" i="19" s="1"/>
  <c r="L13" i="21"/>
  <c r="O13" i="21"/>
  <c r="O12" i="21"/>
  <c r="L12" i="21"/>
  <c r="L30" i="21"/>
  <c r="O30" i="21"/>
  <c r="O15" i="21"/>
  <c r="L15" i="21"/>
  <c r="R56" i="21"/>
  <c r="L33" i="21"/>
  <c r="O33" i="21"/>
  <c r="O14" i="21"/>
  <c r="L14" i="21"/>
  <c r="R75" i="21"/>
  <c r="R77" i="21"/>
  <c r="S77" i="21" s="1"/>
  <c r="P72" i="21"/>
  <c r="O72" i="21"/>
  <c r="L72" i="21"/>
  <c r="O56" i="21"/>
  <c r="L56" i="21"/>
  <c r="P101" i="21"/>
  <c r="CF104" i="19" s="1"/>
  <c r="O101" i="21"/>
  <c r="L101" i="21"/>
  <c r="P31" i="21"/>
  <c r="L31" i="21"/>
  <c r="O31" i="21"/>
  <c r="R28" i="21"/>
  <c r="S28" i="21" s="1"/>
  <c r="P47" i="21"/>
  <c r="CF50" i="19" s="1"/>
  <c r="P60" i="21"/>
  <c r="CF63" i="19" s="1"/>
  <c r="P79" i="21"/>
  <c r="CF82" i="19" s="1"/>
  <c r="L79" i="21"/>
  <c r="O79" i="21"/>
  <c r="P32" i="21"/>
  <c r="CF35" i="19" s="1"/>
  <c r="R10" i="21"/>
  <c r="S10" i="21" s="1"/>
  <c r="R86" i="21"/>
  <c r="L90" i="21"/>
  <c r="O90" i="21"/>
  <c r="R27" i="21"/>
  <c r="S27" i="21" s="1"/>
  <c r="P29" i="21"/>
  <c r="L25" i="21"/>
  <c r="O25" i="21"/>
  <c r="L70" i="21"/>
  <c r="O70" i="21"/>
  <c r="G1566" i="1"/>
  <c r="G1567" i="1"/>
  <c r="G1568" i="1"/>
  <c r="G1569" i="1"/>
  <c r="G1570" i="1"/>
  <c r="G1571" i="1"/>
  <c r="G1574" i="1"/>
  <c r="G1577" i="1"/>
  <c r="G1591" i="1"/>
  <c r="G1592" i="1"/>
  <c r="G1596" i="1"/>
  <c r="G1598" i="1"/>
  <c r="G1600" i="1"/>
  <c r="G1601" i="1"/>
  <c r="G1602" i="1"/>
  <c r="G1603" i="1"/>
  <c r="G1604" i="1"/>
  <c r="G1605" i="1"/>
  <c r="G1614" i="1"/>
  <c r="G1615" i="1"/>
  <c r="G1616" i="1"/>
  <c r="G1617" i="1"/>
  <c r="G1618" i="1"/>
  <c r="G1620" i="1"/>
  <c r="G1623" i="1"/>
  <c r="G1624" i="1"/>
  <c r="G1630" i="1"/>
  <c r="G1501" i="1"/>
  <c r="G1502" i="1"/>
  <c r="G1503" i="1"/>
  <c r="G1504" i="1"/>
  <c r="G1505" i="1"/>
  <c r="G1507" i="1"/>
  <c r="G1508" i="1"/>
  <c r="G1509" i="1"/>
  <c r="G1510" i="1"/>
  <c r="G1511" i="1"/>
  <c r="G1512" i="1"/>
  <c r="G1513" i="1"/>
  <c r="G1515" i="1"/>
  <c r="G1518" i="1"/>
  <c r="G1531" i="1"/>
  <c r="G1532" i="1"/>
  <c r="G1533" i="1"/>
  <c r="G1536" i="1"/>
  <c r="G1537" i="1"/>
  <c r="G1539" i="1"/>
  <c r="G1541" i="1"/>
  <c r="G1542" i="1"/>
  <c r="G1543" i="1"/>
  <c r="G1544" i="1"/>
  <c r="G1545" i="1"/>
  <c r="G1546" i="1"/>
  <c r="G1555" i="1"/>
  <c r="G1556" i="1"/>
  <c r="G1557" i="1"/>
  <c r="G1558" i="1"/>
  <c r="G1559" i="1"/>
  <c r="G1561" i="1"/>
  <c r="G1564" i="1"/>
  <c r="G1565" i="1"/>
  <c r="G1436" i="1"/>
  <c r="G1437" i="1"/>
  <c r="G1438" i="1"/>
  <c r="G1440" i="1"/>
  <c r="G1441" i="1"/>
  <c r="G1443" i="1"/>
  <c r="G1444" i="1"/>
  <c r="G1445" i="1"/>
  <c r="G1446" i="1"/>
  <c r="G1447" i="1"/>
  <c r="G1448" i="1"/>
  <c r="G1449" i="1"/>
  <c r="G1451" i="1"/>
  <c r="G1454" i="1"/>
  <c r="G1465" i="1"/>
  <c r="G1467" i="1"/>
  <c r="G1468" i="1"/>
  <c r="G1469" i="1"/>
  <c r="G1472" i="1"/>
  <c r="G1473" i="1"/>
  <c r="G1475" i="1"/>
  <c r="G1477" i="1"/>
  <c r="G1478" i="1"/>
  <c r="G1479" i="1"/>
  <c r="G1480" i="1"/>
  <c r="G1481" i="1"/>
  <c r="G1482" i="1"/>
  <c r="G1491" i="1"/>
  <c r="G1492" i="1"/>
  <c r="G1493" i="1"/>
  <c r="G1494" i="1"/>
  <c r="G1495" i="1"/>
  <c r="G1497" i="1"/>
  <c r="G1500" i="1"/>
  <c r="G1371" i="1"/>
  <c r="G1372" i="1"/>
  <c r="G1373" i="1"/>
  <c r="G1374" i="1"/>
  <c r="G1375" i="1"/>
  <c r="G1376" i="1"/>
  <c r="G1377" i="1"/>
  <c r="G1379" i="1"/>
  <c r="G1382" i="1"/>
  <c r="G1395" i="1"/>
  <c r="G1396" i="1"/>
  <c r="G1397" i="1"/>
  <c r="G1401" i="1"/>
  <c r="G1403" i="1"/>
  <c r="G1405" i="1"/>
  <c r="G1406" i="1"/>
  <c r="G1407" i="1"/>
  <c r="G1408" i="1"/>
  <c r="G1409" i="1"/>
  <c r="G1410" i="1"/>
  <c r="G1419" i="1"/>
  <c r="G1420" i="1"/>
  <c r="G1421" i="1"/>
  <c r="G1422" i="1"/>
  <c r="G1423" i="1"/>
  <c r="G1425" i="1"/>
  <c r="G1428" i="1"/>
  <c r="G1429" i="1"/>
  <c r="G1435" i="1"/>
  <c r="G1307" i="1"/>
  <c r="G1310" i="1"/>
  <c r="G1313" i="1"/>
  <c r="G1319" i="1"/>
  <c r="G1320" i="1"/>
  <c r="G1321" i="1"/>
  <c r="G1322" i="1"/>
  <c r="G1323" i="1"/>
  <c r="G1324" i="1"/>
  <c r="G1325" i="1"/>
  <c r="G1327" i="1"/>
  <c r="G1330" i="1"/>
  <c r="G1343" i="1"/>
  <c r="G1344" i="1"/>
  <c r="G1345" i="1"/>
  <c r="G1349" i="1"/>
  <c r="G1351" i="1"/>
  <c r="G1353" i="1"/>
  <c r="G1354" i="1"/>
  <c r="G1355" i="1"/>
  <c r="G1356" i="1"/>
  <c r="G1357" i="1"/>
  <c r="G1358" i="1"/>
  <c r="G1367" i="1"/>
  <c r="G1368" i="1"/>
  <c r="G1369" i="1"/>
  <c r="G1370" i="1"/>
  <c r="G1242" i="1"/>
  <c r="G1255" i="1"/>
  <c r="G1256" i="1"/>
  <c r="G1257" i="1"/>
  <c r="G1260" i="1"/>
  <c r="G1261" i="1"/>
  <c r="G1263" i="1"/>
  <c r="G1265" i="1"/>
  <c r="G1266" i="1"/>
  <c r="G1267" i="1"/>
  <c r="G1268" i="1"/>
  <c r="G1269" i="1"/>
  <c r="G1270" i="1"/>
  <c r="G1279" i="1"/>
  <c r="G1280" i="1"/>
  <c r="G1281" i="1"/>
  <c r="G1282" i="1"/>
  <c r="G1283" i="1"/>
  <c r="G1285" i="1"/>
  <c r="G1288" i="1"/>
  <c r="G1289" i="1"/>
  <c r="G1295" i="1"/>
  <c r="G1297" i="1"/>
  <c r="G1298" i="1"/>
  <c r="G1302" i="1"/>
  <c r="G1239" i="1"/>
  <c r="G1238" i="1"/>
  <c r="G1237" i="1"/>
  <c r="G1236" i="1"/>
  <c r="G1235" i="1"/>
  <c r="G1226" i="1"/>
  <c r="G1225" i="1"/>
  <c r="G1224" i="1"/>
  <c r="G1223" i="1"/>
  <c r="G1222" i="1"/>
  <c r="G1221" i="1"/>
  <c r="G1219" i="1"/>
  <c r="G1217" i="1"/>
  <c r="G1213" i="1"/>
  <c r="G1212" i="1"/>
  <c r="G1211" i="1"/>
  <c r="G1198" i="1"/>
  <c r="G1195" i="1"/>
  <c r="G1193" i="1"/>
  <c r="G1192" i="1"/>
  <c r="G1191" i="1"/>
  <c r="G1190" i="1"/>
  <c r="G1189" i="1"/>
  <c r="G1188" i="1"/>
  <c r="G1187" i="1"/>
  <c r="G1181" i="1"/>
  <c r="G1178" i="1"/>
  <c r="G1111" i="1"/>
  <c r="G1112" i="1"/>
  <c r="G1113" i="1"/>
  <c r="G1114" i="1"/>
  <c r="G1115" i="1"/>
  <c r="G1116" i="1"/>
  <c r="G1117" i="1"/>
  <c r="G1119" i="1"/>
  <c r="G1122" i="1"/>
  <c r="G1123" i="1"/>
  <c r="G1124" i="1"/>
  <c r="G1125" i="1"/>
  <c r="G1126" i="1"/>
  <c r="G1127" i="1"/>
  <c r="G1128" i="1"/>
  <c r="G1130" i="1"/>
  <c r="G1133" i="1"/>
  <c r="G1144" i="1"/>
  <c r="G1146" i="1"/>
  <c r="G1147" i="1"/>
  <c r="G1148" i="1"/>
  <c r="G1151" i="1"/>
  <c r="G1152" i="1"/>
  <c r="G1154" i="1"/>
  <c r="G1156" i="1"/>
  <c r="G1157" i="1"/>
  <c r="G1158" i="1"/>
  <c r="G1159" i="1"/>
  <c r="G1160" i="1"/>
  <c r="G1161" i="1"/>
  <c r="G1170" i="1"/>
  <c r="G1171" i="1"/>
  <c r="G1172" i="1"/>
  <c r="G1173" i="1"/>
  <c r="G1174" i="1"/>
  <c r="G1050" i="1"/>
  <c r="G1051" i="1"/>
  <c r="G1052" i="1"/>
  <c r="G1053" i="1"/>
  <c r="G1054" i="1"/>
  <c r="G1055" i="1"/>
  <c r="G1056" i="1"/>
  <c r="G1058" i="1"/>
  <c r="G1061" i="1"/>
  <c r="G1074" i="1"/>
  <c r="G1075" i="1"/>
  <c r="G1076" i="1"/>
  <c r="G1080" i="1"/>
  <c r="G1082" i="1"/>
  <c r="G1084" i="1"/>
  <c r="G1085" i="1"/>
  <c r="G1086" i="1"/>
  <c r="G1087" i="1"/>
  <c r="G1088" i="1"/>
  <c r="G1089" i="1"/>
  <c r="G1098" i="1"/>
  <c r="G1099" i="1"/>
  <c r="G1100" i="1"/>
  <c r="G1101" i="1"/>
  <c r="G1102" i="1"/>
  <c r="G1104" i="1"/>
  <c r="G1107" i="1"/>
  <c r="G1108" i="1"/>
  <c r="G981" i="1"/>
  <c r="G984" i="1"/>
  <c r="G986" i="1"/>
  <c r="G987" i="1"/>
  <c r="G988" i="1"/>
  <c r="G989" i="1"/>
  <c r="G990" i="1"/>
  <c r="G991" i="1"/>
  <c r="G992" i="1"/>
  <c r="G994" i="1"/>
  <c r="G997" i="1"/>
  <c r="G1008" i="1"/>
  <c r="G1010" i="1"/>
  <c r="G1011" i="1"/>
  <c r="G1012" i="1"/>
  <c r="G1015" i="1"/>
  <c r="G1016" i="1"/>
  <c r="G1018" i="1"/>
  <c r="G1020" i="1"/>
  <c r="G1021" i="1"/>
  <c r="G1022" i="1"/>
  <c r="G1023" i="1"/>
  <c r="G1024" i="1"/>
  <c r="G1025" i="1"/>
  <c r="G1034" i="1"/>
  <c r="G1035" i="1"/>
  <c r="G1036" i="1"/>
  <c r="G1037" i="1"/>
  <c r="G1038" i="1"/>
  <c r="G1040" i="1"/>
  <c r="G1043" i="1"/>
  <c r="G1044" i="1"/>
  <c r="G917" i="1"/>
  <c r="G918" i="1"/>
  <c r="G920" i="1"/>
  <c r="G921" i="1"/>
  <c r="G926" i="1"/>
  <c r="G927" i="1"/>
  <c r="G928" i="1"/>
  <c r="G929" i="1"/>
  <c r="G930" i="1"/>
  <c r="G931" i="1"/>
  <c r="G934" i="1"/>
  <c r="G937" i="1"/>
  <c r="G951" i="1"/>
  <c r="G952" i="1"/>
  <c r="G955" i="1"/>
  <c r="G956" i="1"/>
  <c r="G958" i="1"/>
  <c r="G960" i="1"/>
  <c r="G961" i="1"/>
  <c r="G962" i="1"/>
  <c r="G963" i="1"/>
  <c r="G964" i="1"/>
  <c r="G965" i="1"/>
  <c r="G974" i="1"/>
  <c r="G975" i="1"/>
  <c r="G976" i="1"/>
  <c r="G977" i="1"/>
  <c r="G978" i="1"/>
  <c r="G980" i="1"/>
  <c r="G851" i="1"/>
  <c r="G852" i="1"/>
  <c r="G855" i="1"/>
  <c r="G856" i="1"/>
  <c r="G860" i="1"/>
  <c r="G861" i="1"/>
  <c r="G862" i="1"/>
  <c r="G863" i="1"/>
  <c r="G864" i="1"/>
  <c r="G865" i="1"/>
  <c r="G866" i="1"/>
  <c r="G869" i="1"/>
  <c r="G872" i="1"/>
  <c r="G883" i="1"/>
  <c r="G886" i="1"/>
  <c r="G887" i="1"/>
  <c r="G890" i="1"/>
  <c r="G891" i="1"/>
  <c r="G893" i="1"/>
  <c r="G895" i="1"/>
  <c r="G896" i="1"/>
  <c r="G897" i="1"/>
  <c r="G898" i="1"/>
  <c r="G899" i="1"/>
  <c r="G900" i="1"/>
  <c r="G909" i="1"/>
  <c r="G910" i="1"/>
  <c r="G911" i="1"/>
  <c r="G912" i="1"/>
  <c r="G913" i="1"/>
  <c r="G915" i="1"/>
  <c r="G786" i="1"/>
  <c r="G787" i="1"/>
  <c r="G788" i="1"/>
  <c r="G790" i="1"/>
  <c r="G792" i="1"/>
  <c r="G793" i="1"/>
  <c r="G794" i="1"/>
  <c r="G795" i="1"/>
  <c r="G796" i="1"/>
  <c r="G797" i="1"/>
  <c r="G798" i="1"/>
  <c r="G799" i="1"/>
  <c r="G801" i="1"/>
  <c r="G804" i="1"/>
  <c r="G815" i="1"/>
  <c r="G817" i="1"/>
  <c r="G818" i="1"/>
  <c r="G819" i="1"/>
  <c r="G822" i="1"/>
  <c r="G823" i="1"/>
  <c r="G825" i="1"/>
  <c r="G827" i="1"/>
  <c r="G828" i="1"/>
  <c r="G829" i="1"/>
  <c r="G830" i="1"/>
  <c r="G831" i="1"/>
  <c r="G832" i="1"/>
  <c r="G841" i="1"/>
  <c r="G842" i="1"/>
  <c r="G843" i="1"/>
  <c r="G844" i="1"/>
  <c r="G845" i="1"/>
  <c r="G847" i="1"/>
  <c r="G850" i="1"/>
  <c r="G725" i="1"/>
  <c r="G728" i="1"/>
  <c r="G734" i="1"/>
  <c r="G735" i="1"/>
  <c r="G736" i="1"/>
  <c r="G737" i="1"/>
  <c r="G738" i="1"/>
  <c r="G739" i="1"/>
  <c r="G742" i="1"/>
  <c r="G745" i="1"/>
  <c r="G758" i="1"/>
  <c r="G759" i="1"/>
  <c r="G760" i="1"/>
  <c r="G763" i="1"/>
  <c r="G764" i="1"/>
  <c r="G766" i="1"/>
  <c r="G768" i="1"/>
  <c r="G769" i="1"/>
  <c r="G770" i="1"/>
  <c r="G771" i="1"/>
  <c r="G772" i="1"/>
  <c r="G773" i="1"/>
  <c r="G782" i="1"/>
  <c r="G783" i="1"/>
  <c r="G784" i="1"/>
  <c r="G785" i="1"/>
  <c r="G658" i="1"/>
  <c r="G661" i="1"/>
  <c r="G667" i="1"/>
  <c r="G668" i="1"/>
  <c r="G669" i="1"/>
  <c r="G670" i="1"/>
  <c r="G671" i="1"/>
  <c r="G672" i="1"/>
  <c r="G675" i="1"/>
  <c r="G691" i="1"/>
  <c r="G692" i="1"/>
  <c r="G693" i="1"/>
  <c r="G696" i="1"/>
  <c r="G697" i="1"/>
  <c r="G699" i="1"/>
  <c r="G701" i="1"/>
  <c r="G702" i="1"/>
  <c r="G703" i="1"/>
  <c r="G704" i="1"/>
  <c r="G705" i="1"/>
  <c r="G706" i="1"/>
  <c r="G715" i="1"/>
  <c r="G716" i="1"/>
  <c r="G717" i="1"/>
  <c r="G718" i="1"/>
  <c r="G719" i="1"/>
  <c r="G591" i="1"/>
  <c r="G594" i="1"/>
  <c r="G596" i="1"/>
  <c r="G600" i="1"/>
  <c r="G601" i="1"/>
  <c r="G603" i="1"/>
  <c r="G604" i="1"/>
  <c r="G605" i="1"/>
  <c r="G606" i="1"/>
  <c r="G608" i="1"/>
  <c r="G611" i="1"/>
  <c r="G624" i="1"/>
  <c r="G625" i="1"/>
  <c r="G626" i="1"/>
  <c r="G630" i="1"/>
  <c r="G632" i="1"/>
  <c r="G634" i="1"/>
  <c r="G635" i="1"/>
  <c r="G636" i="1"/>
  <c r="G637" i="1"/>
  <c r="G638" i="1"/>
  <c r="G639" i="1"/>
  <c r="G648" i="1"/>
  <c r="G649" i="1"/>
  <c r="G650" i="1"/>
  <c r="G651" i="1"/>
  <c r="G652" i="1"/>
  <c r="G654" i="1"/>
  <c r="G590" i="1"/>
  <c r="G589" i="1"/>
  <c r="G588" i="1"/>
  <c r="G587" i="1"/>
  <c r="G578" i="1"/>
  <c r="G577" i="1"/>
  <c r="G576" i="1"/>
  <c r="G575" i="1"/>
  <c r="G573" i="1"/>
  <c r="G571" i="1"/>
  <c r="G569" i="1"/>
  <c r="G568" i="1"/>
  <c r="G565" i="1"/>
  <c r="G564" i="1"/>
  <c r="G563" i="1"/>
  <c r="G561" i="1"/>
  <c r="G550" i="1"/>
  <c r="G547" i="1"/>
  <c r="G545" i="1"/>
  <c r="G544" i="1"/>
  <c r="G543" i="1"/>
  <c r="G542" i="1"/>
  <c r="G541" i="1"/>
  <c r="G540" i="1"/>
  <c r="G539" i="1"/>
  <c r="G537" i="1"/>
  <c r="G535" i="1"/>
  <c r="G534" i="1"/>
  <c r="G533" i="1"/>
  <c r="G530" i="1"/>
  <c r="G529" i="1"/>
  <c r="G528" i="1"/>
  <c r="G527" i="1"/>
  <c r="G462" i="1"/>
  <c r="G463" i="1"/>
  <c r="G464" i="1"/>
  <c r="G465" i="1"/>
  <c r="G466" i="1"/>
  <c r="G468" i="1"/>
  <c r="G469" i="1"/>
  <c r="G470" i="1"/>
  <c r="G471" i="1"/>
  <c r="G474" i="1"/>
  <c r="G475" i="1"/>
  <c r="G476" i="1"/>
  <c r="G477" i="1"/>
  <c r="G478" i="1"/>
  <c r="G479" i="1"/>
  <c r="G480" i="1"/>
  <c r="G482" i="1"/>
  <c r="G485" i="1"/>
  <c r="G496" i="1"/>
  <c r="G498" i="1"/>
  <c r="G499" i="1"/>
  <c r="G500" i="1"/>
  <c r="G503" i="1"/>
  <c r="G504" i="1"/>
  <c r="G506" i="1"/>
  <c r="G508" i="1"/>
  <c r="G509" i="1"/>
  <c r="G510" i="1"/>
  <c r="G511" i="1"/>
  <c r="G512" i="1"/>
  <c r="G513" i="1"/>
  <c r="G522" i="1"/>
  <c r="G523" i="1"/>
  <c r="G524" i="1"/>
  <c r="G525" i="1"/>
  <c r="G397" i="1"/>
  <c r="G399" i="1"/>
  <c r="G400" i="1"/>
  <c r="G403" i="1"/>
  <c r="G409" i="1"/>
  <c r="G410" i="1"/>
  <c r="G411" i="1"/>
  <c r="G412" i="1"/>
  <c r="G413" i="1"/>
  <c r="G414" i="1"/>
  <c r="G415" i="1"/>
  <c r="G417" i="1"/>
  <c r="G420" i="1"/>
  <c r="G433" i="1"/>
  <c r="G434" i="1"/>
  <c r="G435" i="1"/>
  <c r="G439" i="1"/>
  <c r="G441" i="1"/>
  <c r="G443" i="1"/>
  <c r="G444" i="1"/>
  <c r="G445" i="1"/>
  <c r="G446" i="1"/>
  <c r="G447" i="1"/>
  <c r="G448" i="1"/>
  <c r="G457" i="1"/>
  <c r="G458" i="1"/>
  <c r="G459" i="1"/>
  <c r="G460" i="1"/>
  <c r="G336" i="1"/>
  <c r="G338" i="1"/>
  <c r="G344" i="1"/>
  <c r="G345" i="1"/>
  <c r="G346" i="1"/>
  <c r="G347" i="1"/>
  <c r="G348" i="1"/>
  <c r="G349" i="1"/>
  <c r="G350" i="1"/>
  <c r="G352" i="1"/>
  <c r="G355" i="1"/>
  <c r="G368" i="1"/>
  <c r="G369" i="1"/>
  <c r="G370" i="1"/>
  <c r="G374" i="1"/>
  <c r="G376" i="1"/>
  <c r="G378" i="1"/>
  <c r="G379" i="1"/>
  <c r="G380" i="1"/>
  <c r="G381" i="1"/>
  <c r="G382" i="1"/>
  <c r="G383" i="1"/>
  <c r="G392" i="1"/>
  <c r="G393" i="1"/>
  <c r="G394" i="1"/>
  <c r="G395" i="1"/>
  <c r="G267" i="1"/>
  <c r="G268" i="1"/>
  <c r="G269" i="1"/>
  <c r="G270" i="1"/>
  <c r="G272" i="1"/>
  <c r="G273" i="1"/>
  <c r="G274" i="1"/>
  <c r="G275" i="1"/>
  <c r="G278" i="1"/>
  <c r="G279" i="1"/>
  <c r="G280" i="1"/>
  <c r="G281" i="1"/>
  <c r="G283" i="1"/>
  <c r="G284" i="1"/>
  <c r="G285" i="1"/>
  <c r="G287" i="1"/>
  <c r="G290" i="1"/>
  <c r="G301" i="1"/>
  <c r="G303" i="1"/>
  <c r="G304" i="1"/>
  <c r="G305" i="1"/>
  <c r="G308" i="1"/>
  <c r="G309" i="1"/>
  <c r="G311" i="1"/>
  <c r="G313" i="1"/>
  <c r="G314" i="1"/>
  <c r="G315" i="1"/>
  <c r="G316" i="1"/>
  <c r="G317" i="1"/>
  <c r="G318" i="1"/>
  <c r="G327" i="1"/>
  <c r="G328" i="1"/>
  <c r="G329" i="1"/>
  <c r="G330" i="1"/>
  <c r="G202" i="1"/>
  <c r="G203" i="1"/>
  <c r="G204" i="1"/>
  <c r="G205" i="1"/>
  <c r="G206" i="1"/>
  <c r="G207" i="1"/>
  <c r="G208" i="1"/>
  <c r="G209" i="1"/>
  <c r="G210" i="1"/>
  <c r="G211" i="1"/>
  <c r="G213" i="1"/>
  <c r="G214" i="1"/>
  <c r="G215" i="1"/>
  <c r="G216" i="1"/>
  <c r="G217" i="1"/>
  <c r="G218" i="1"/>
  <c r="G219" i="1"/>
  <c r="G220" i="1"/>
  <c r="G222" i="1"/>
  <c r="G225" i="1"/>
  <c r="G236" i="1"/>
  <c r="G238" i="1"/>
  <c r="G239" i="1"/>
  <c r="G240" i="1"/>
  <c r="G243" i="1"/>
  <c r="G244" i="1"/>
  <c r="G246" i="1"/>
  <c r="G248" i="1"/>
  <c r="G249" i="1"/>
  <c r="G250" i="1"/>
  <c r="G251" i="1"/>
  <c r="G252" i="1"/>
  <c r="G253" i="1"/>
  <c r="G262" i="1"/>
  <c r="G263" i="1"/>
  <c r="G264" i="1"/>
  <c r="G265" i="1"/>
  <c r="G137" i="1"/>
  <c r="G140" i="1"/>
  <c r="G143" i="1"/>
  <c r="G148" i="1"/>
  <c r="G149" i="1"/>
  <c r="G151" i="1"/>
  <c r="G152" i="1"/>
  <c r="G153" i="1"/>
  <c r="G154" i="1"/>
  <c r="G155" i="1"/>
  <c r="G157" i="1"/>
  <c r="G173" i="1"/>
  <c r="G174" i="1"/>
  <c r="G175" i="1"/>
  <c r="G179" i="1"/>
  <c r="G183" i="1"/>
  <c r="G184" i="1"/>
  <c r="G185" i="1"/>
  <c r="G186" i="1"/>
  <c r="G187" i="1"/>
  <c r="G188" i="1"/>
  <c r="G197" i="1"/>
  <c r="G198" i="1"/>
  <c r="G199" i="1"/>
  <c r="G200" i="1"/>
  <c r="G105" i="1"/>
  <c r="G135" i="1"/>
  <c r="S75" i="21" l="1"/>
  <c r="CF109" i="19"/>
  <c r="CH109" i="19" s="1"/>
  <c r="R106" i="21"/>
  <c r="CF87" i="19"/>
  <c r="R84" i="21"/>
  <c r="CF61" i="19"/>
  <c r="R58" i="21"/>
  <c r="CF38" i="19"/>
  <c r="R35" i="21"/>
  <c r="CF44" i="19"/>
  <c r="R41" i="21"/>
  <c r="CF64" i="19"/>
  <c r="R61" i="21"/>
  <c r="CF62" i="19"/>
  <c r="R59" i="21"/>
  <c r="S59" i="21" s="1"/>
  <c r="CF51" i="19"/>
  <c r="R48" i="21"/>
  <c r="CF79" i="19"/>
  <c r="R76" i="21"/>
  <c r="CF65" i="19"/>
  <c r="R62" i="21"/>
  <c r="CF47" i="19"/>
  <c r="R44" i="21"/>
  <c r="CF27" i="19"/>
  <c r="R24" i="21"/>
  <c r="CH28" i="19"/>
  <c r="R25" i="21"/>
  <c r="CF81" i="19"/>
  <c r="R78" i="21"/>
  <c r="S78" i="21" s="1"/>
  <c r="CF12" i="19"/>
  <c r="R9" i="21"/>
  <c r="CF84" i="19"/>
  <c r="R81" i="21"/>
  <c r="CF41" i="19"/>
  <c r="R38" i="21"/>
  <c r="CF94" i="19"/>
  <c r="R91" i="21"/>
  <c r="CF14" i="19"/>
  <c r="R11" i="21"/>
  <c r="CF11" i="19"/>
  <c r="R8" i="21"/>
  <c r="R23" i="21"/>
  <c r="S9" i="21"/>
  <c r="S41" i="21"/>
  <c r="R49" i="21"/>
  <c r="S49" i="21" s="1"/>
  <c r="S35" i="21"/>
  <c r="S11" i="21"/>
  <c r="S62" i="21"/>
  <c r="S84" i="21"/>
  <c r="R82" i="21"/>
  <c r="S82" i="21" s="1"/>
  <c r="L17" i="21"/>
  <c r="S61" i="21"/>
  <c r="O17" i="21"/>
  <c r="O107" i="21" s="1"/>
  <c r="S44" i="21"/>
  <c r="S58" i="21"/>
  <c r="J107" i="21"/>
  <c r="R71" i="21"/>
  <c r="S71" i="21" s="1"/>
  <c r="R30" i="21"/>
  <c r="CF25" i="19"/>
  <c r="CH25" i="19" s="1"/>
  <c r="CQ25" i="19" s="1"/>
  <c r="CS25" i="19" s="1"/>
  <c r="R7" i="21"/>
  <c r="S7" i="21" s="1"/>
  <c r="CF108" i="19"/>
  <c r="CH108" i="19" s="1"/>
  <c r="CQ108" i="19" s="1"/>
  <c r="R45" i="21"/>
  <c r="S45" i="21" s="1"/>
  <c r="S76" i="21"/>
  <c r="S81" i="21"/>
  <c r="R70" i="21"/>
  <c r="S70" i="21" s="1"/>
  <c r="CQ109" i="19"/>
  <c r="CS109" i="19" s="1"/>
  <c r="S86" i="21"/>
  <c r="S91" i="21"/>
  <c r="R37" i="21"/>
  <c r="S37" i="21" s="1"/>
  <c r="R102" i="21"/>
  <c r="S102" i="21" s="1"/>
  <c r="R6" i="21"/>
  <c r="S6" i="21" s="1"/>
  <c r="S106" i="21"/>
  <c r="R36" i="21"/>
  <c r="S36" i="21" s="1"/>
  <c r="S23" i="21"/>
  <c r="S48" i="21"/>
  <c r="R33" i="21"/>
  <c r="S33" i="21" s="1"/>
  <c r="R97" i="21"/>
  <c r="S97" i="21" s="1"/>
  <c r="R22" i="21"/>
  <c r="S22" i="21" s="1"/>
  <c r="S8" i="21"/>
  <c r="S38" i="21"/>
  <c r="R105" i="21"/>
  <c r="S105" i="21" s="1"/>
  <c r="R92" i="21"/>
  <c r="S92" i="21" s="1"/>
  <c r="CS21" i="19"/>
  <c r="CR21" i="19"/>
  <c r="R87" i="21"/>
  <c r="S87" i="21" s="1"/>
  <c r="CH90" i="19"/>
  <c r="CQ90" i="19" s="1"/>
  <c r="CS90" i="19" s="1"/>
  <c r="CS23" i="19"/>
  <c r="CR23" i="19"/>
  <c r="CQ10" i="19"/>
  <c r="R14" i="21"/>
  <c r="S14" i="21" s="1"/>
  <c r="CH17" i="19"/>
  <c r="R5" i="21"/>
  <c r="S5" i="21" s="1"/>
  <c r="R13" i="21"/>
  <c r="R17" i="21"/>
  <c r="S24" i="21"/>
  <c r="R15" i="21"/>
  <c r="S15" i="21" s="1"/>
  <c r="R12" i="21"/>
  <c r="S12" i="21" s="1"/>
  <c r="CH15" i="19"/>
  <c r="CH31" i="19"/>
  <c r="CH14" i="19"/>
  <c r="CH80" i="19"/>
  <c r="CH38" i="19"/>
  <c r="CH73" i="19"/>
  <c r="CH27" i="19"/>
  <c r="CH44" i="19"/>
  <c r="CH11" i="19"/>
  <c r="CH48" i="19"/>
  <c r="CH52" i="19"/>
  <c r="CH84" i="19"/>
  <c r="CH51" i="19"/>
  <c r="CH26" i="19"/>
  <c r="CH78" i="19"/>
  <c r="CH40" i="19"/>
  <c r="CH87" i="19"/>
  <c r="CH20" i="19"/>
  <c r="CH9" i="19"/>
  <c r="CH79" i="19"/>
  <c r="CH94" i="19"/>
  <c r="CH47" i="19"/>
  <c r="CH100" i="19"/>
  <c r="CH39" i="19"/>
  <c r="CH95" i="19"/>
  <c r="CH24" i="19"/>
  <c r="CH81" i="19"/>
  <c r="CQ81" i="19" s="1"/>
  <c r="CS81" i="19" s="1"/>
  <c r="CH8" i="19"/>
  <c r="CH30" i="19"/>
  <c r="CH89" i="19"/>
  <c r="CH85" i="19"/>
  <c r="CH7" i="19"/>
  <c r="CQ7" i="19" s="1"/>
  <c r="CS7" i="19" s="1"/>
  <c r="CH64" i="19"/>
  <c r="CK16" i="19"/>
  <c r="CK20" i="19"/>
  <c r="CK28" i="19"/>
  <c r="CQ28" i="19" s="1"/>
  <c r="CS28" i="19" s="1"/>
  <c r="CK36" i="19"/>
  <c r="CK29" i="19"/>
  <c r="CK32" i="19"/>
  <c r="CK82" i="19"/>
  <c r="CK59" i="19"/>
  <c r="CK33" i="19"/>
  <c r="CK92" i="19"/>
  <c r="CK86" i="19"/>
  <c r="CK22" i="19"/>
  <c r="CK73" i="19"/>
  <c r="CK34" i="19"/>
  <c r="CK63" i="19"/>
  <c r="CK37" i="19"/>
  <c r="CK104" i="19"/>
  <c r="CK18" i="19"/>
  <c r="CK15" i="19"/>
  <c r="CK24" i="19"/>
  <c r="CK75" i="19"/>
  <c r="CK17" i="19"/>
  <c r="CK60" i="19"/>
  <c r="CK35" i="19"/>
  <c r="CK50" i="19"/>
  <c r="CH12" i="19"/>
  <c r="S21" i="21"/>
  <c r="P107" i="21"/>
  <c r="R47" i="21"/>
  <c r="S47" i="21" s="1"/>
  <c r="CH41" i="19"/>
  <c r="CQ41" i="19" s="1"/>
  <c r="CS41" i="19" s="1"/>
  <c r="CP41" i="19"/>
  <c r="R72" i="21"/>
  <c r="S72" i="21" s="1"/>
  <c r="CH59" i="19"/>
  <c r="CP59" i="19"/>
  <c r="CH36" i="19"/>
  <c r="CP36" i="19"/>
  <c r="S56" i="21"/>
  <c r="CK91" i="19"/>
  <c r="CK3" i="19"/>
  <c r="R57" i="21"/>
  <c r="S57" i="21" s="1"/>
  <c r="CH6" i="19"/>
  <c r="CQ6" i="19" s="1"/>
  <c r="CP6" i="19"/>
  <c r="CH33" i="19"/>
  <c r="CP33" i="19"/>
  <c r="S3" i="21"/>
  <c r="CH93" i="19"/>
  <c r="CP93" i="19"/>
  <c r="CH91" i="19"/>
  <c r="CP91" i="19"/>
  <c r="CH74" i="19"/>
  <c r="CQ74" i="19" s="1"/>
  <c r="CS74" i="19" s="1"/>
  <c r="CP74" i="19"/>
  <c r="CI110" i="19"/>
  <c r="S30" i="21"/>
  <c r="CP28" i="19"/>
  <c r="S90" i="21"/>
  <c r="S88" i="21"/>
  <c r="R29" i="21"/>
  <c r="S29" i="21" s="1"/>
  <c r="R79" i="21"/>
  <c r="S79" i="21" s="1"/>
  <c r="S25" i="21"/>
  <c r="R19" i="21"/>
  <c r="S19" i="21" s="1"/>
  <c r="CH61" i="19"/>
  <c r="CQ61" i="19" s="1"/>
  <c r="CS61" i="19" s="1"/>
  <c r="CP61" i="19"/>
  <c r="CH62" i="19"/>
  <c r="CQ62" i="19" s="1"/>
  <c r="CS62" i="19" s="1"/>
  <c r="CP62" i="19"/>
  <c r="CH105" i="19"/>
  <c r="CQ105" i="19" s="1"/>
  <c r="CS105" i="19" s="1"/>
  <c r="CP105" i="19"/>
  <c r="R89" i="21"/>
  <c r="S89" i="21" s="1"/>
  <c r="CH65" i="19"/>
  <c r="CQ65" i="19" s="1"/>
  <c r="CS65" i="19" s="1"/>
  <c r="CP65" i="19"/>
  <c r="CH29" i="19"/>
  <c r="CP29" i="19"/>
  <c r="CK93" i="19"/>
  <c r="CL4" i="19"/>
  <c r="R32" i="21"/>
  <c r="S32" i="21" s="1"/>
  <c r="R31" i="21"/>
  <c r="S31" i="21" s="1"/>
  <c r="S26" i="21"/>
  <c r="R34" i="21"/>
  <c r="S34" i="21" s="1"/>
  <c r="R60" i="21"/>
  <c r="S60" i="21" s="1"/>
  <c r="R101" i="21"/>
  <c r="S101" i="21" s="1"/>
  <c r="CH18" i="19"/>
  <c r="CP18" i="19"/>
  <c r="R83" i="21"/>
  <c r="S83" i="21" s="1"/>
  <c r="G1305" i="1"/>
  <c r="G1304" i="1"/>
  <c r="G1303" i="1"/>
  <c r="G1301" i="1"/>
  <c r="G1300" i="1"/>
  <c r="G1299" i="1"/>
  <c r="G1296" i="1"/>
  <c r="G1629" i="1"/>
  <c r="G1434" i="1"/>
  <c r="G1294" i="1"/>
  <c r="G1628" i="1"/>
  <c r="G1433" i="1"/>
  <c r="G1293" i="1"/>
  <c r="G1627" i="1"/>
  <c r="G1432" i="1"/>
  <c r="G1292" i="1"/>
  <c r="G1626" i="1"/>
  <c r="G1431" i="1"/>
  <c r="G1291" i="1"/>
  <c r="G1110" i="1"/>
  <c r="G1625" i="1"/>
  <c r="G1430" i="1"/>
  <c r="G1290" i="1"/>
  <c r="G1109" i="1"/>
  <c r="G1045" i="1"/>
  <c r="G1622" i="1"/>
  <c r="G1563" i="1"/>
  <c r="G1499" i="1"/>
  <c r="G1427" i="1"/>
  <c r="G1287" i="1"/>
  <c r="G1106" i="1"/>
  <c r="G1042" i="1"/>
  <c r="G849" i="1"/>
  <c r="G1621" i="1"/>
  <c r="G1562" i="1"/>
  <c r="G1498" i="1"/>
  <c r="G1426" i="1"/>
  <c r="G1286" i="1"/>
  <c r="G1105" i="1"/>
  <c r="G1041" i="1"/>
  <c r="G848" i="1"/>
  <c r="G655" i="1"/>
  <c r="G1619" i="1"/>
  <c r="G1560" i="1"/>
  <c r="G1496" i="1"/>
  <c r="G1424" i="1"/>
  <c r="G1284" i="1"/>
  <c r="G1240" i="1"/>
  <c r="G1175" i="1"/>
  <c r="G1103" i="1"/>
  <c r="G1039" i="1"/>
  <c r="G979" i="1"/>
  <c r="G914" i="1"/>
  <c r="G846" i="1"/>
  <c r="G720" i="1"/>
  <c r="G653" i="1"/>
  <c r="G134" i="1"/>
  <c r="G133" i="1"/>
  <c r="G132" i="1"/>
  <c r="G131" i="1"/>
  <c r="G130" i="1"/>
  <c r="G129" i="1"/>
  <c r="G1613" i="1"/>
  <c r="G1554" i="1"/>
  <c r="G1490" i="1"/>
  <c r="G1418" i="1"/>
  <c r="G1366" i="1"/>
  <c r="G1278" i="1"/>
  <c r="G1234" i="1"/>
  <c r="G1169" i="1"/>
  <c r="G1097" i="1"/>
  <c r="G1033" i="1"/>
  <c r="G973" i="1"/>
  <c r="G908" i="1"/>
  <c r="G840" i="1"/>
  <c r="G781" i="1"/>
  <c r="G714" i="1"/>
  <c r="G647" i="1"/>
  <c r="G586" i="1"/>
  <c r="G521" i="1"/>
  <c r="G456" i="1"/>
  <c r="G391" i="1"/>
  <c r="G326" i="1"/>
  <c r="G196" i="1"/>
  <c r="G128" i="1"/>
  <c r="G1612" i="1"/>
  <c r="G1553" i="1"/>
  <c r="G1489" i="1"/>
  <c r="G1417" i="1"/>
  <c r="G1365" i="1"/>
  <c r="G1277" i="1"/>
  <c r="G1233" i="1"/>
  <c r="G1168" i="1"/>
  <c r="G1096" i="1"/>
  <c r="G1032" i="1"/>
  <c r="G972" i="1"/>
  <c r="G907" i="1"/>
  <c r="G839" i="1"/>
  <c r="G780" i="1"/>
  <c r="G713" i="1"/>
  <c r="G646" i="1"/>
  <c r="G585" i="1"/>
  <c r="G520" i="1"/>
  <c r="G455" i="1"/>
  <c r="G390" i="1"/>
  <c r="G325" i="1"/>
  <c r="G195" i="1"/>
  <c r="G127" i="1"/>
  <c r="G1611" i="1"/>
  <c r="G1552" i="1"/>
  <c r="G1488" i="1"/>
  <c r="G1416" i="1"/>
  <c r="G1364" i="1"/>
  <c r="G1276" i="1"/>
  <c r="G1232" i="1"/>
  <c r="G1167" i="1"/>
  <c r="G1095" i="1"/>
  <c r="G1031" i="1"/>
  <c r="G971" i="1"/>
  <c r="G906" i="1"/>
  <c r="G838" i="1"/>
  <c r="G779" i="1"/>
  <c r="G712" i="1"/>
  <c r="G645" i="1"/>
  <c r="G584" i="1"/>
  <c r="G519" i="1"/>
  <c r="G454" i="1"/>
  <c r="G389" i="1"/>
  <c r="G324" i="1"/>
  <c r="G194" i="1"/>
  <c r="G126" i="1"/>
  <c r="G1610" i="1"/>
  <c r="G1551" i="1"/>
  <c r="G1487" i="1"/>
  <c r="G1415" i="1"/>
  <c r="G1363" i="1"/>
  <c r="G1275" i="1"/>
  <c r="G1231" i="1"/>
  <c r="G1166" i="1"/>
  <c r="G1094" i="1"/>
  <c r="G1030" i="1"/>
  <c r="G970" i="1"/>
  <c r="G905" i="1"/>
  <c r="G837" i="1"/>
  <c r="G778" i="1"/>
  <c r="G711" i="1"/>
  <c r="G644" i="1"/>
  <c r="G583" i="1"/>
  <c r="G518" i="1"/>
  <c r="G453" i="1"/>
  <c r="G388" i="1"/>
  <c r="G323" i="1"/>
  <c r="G193" i="1"/>
  <c r="G125" i="1"/>
  <c r="G1609" i="1"/>
  <c r="G1550" i="1"/>
  <c r="G1486" i="1"/>
  <c r="G1414" i="1"/>
  <c r="G1362" i="1"/>
  <c r="G1274" i="1"/>
  <c r="G1230" i="1"/>
  <c r="G1165" i="1"/>
  <c r="G1093" i="1"/>
  <c r="G1029" i="1"/>
  <c r="G969" i="1"/>
  <c r="G904" i="1"/>
  <c r="G836" i="1"/>
  <c r="G777" i="1"/>
  <c r="G710" i="1"/>
  <c r="G643" i="1"/>
  <c r="G582" i="1"/>
  <c r="G517" i="1"/>
  <c r="G452" i="1"/>
  <c r="G387" i="1"/>
  <c r="G322" i="1"/>
  <c r="G192" i="1"/>
  <c r="G124" i="1"/>
  <c r="G1608" i="1"/>
  <c r="G1549" i="1"/>
  <c r="G1485" i="1"/>
  <c r="G1413" i="1"/>
  <c r="G1361" i="1"/>
  <c r="G1273" i="1"/>
  <c r="G1229" i="1"/>
  <c r="G1164" i="1"/>
  <c r="G1092" i="1"/>
  <c r="G1028" i="1"/>
  <c r="G968" i="1"/>
  <c r="G903" i="1"/>
  <c r="G835" i="1"/>
  <c r="G776" i="1"/>
  <c r="G709" i="1"/>
  <c r="G642" i="1"/>
  <c r="G581" i="1"/>
  <c r="G516" i="1"/>
  <c r="G451" i="1"/>
  <c r="G386" i="1"/>
  <c r="G321" i="1"/>
  <c r="G191" i="1"/>
  <c r="G123" i="1"/>
  <c r="G1607" i="1"/>
  <c r="G1548" i="1"/>
  <c r="G1484" i="1"/>
  <c r="G1412" i="1"/>
  <c r="G1360" i="1"/>
  <c r="G1272" i="1"/>
  <c r="G1228" i="1"/>
  <c r="G1163" i="1"/>
  <c r="G1091" i="1"/>
  <c r="G1027" i="1"/>
  <c r="G967" i="1"/>
  <c r="G902" i="1"/>
  <c r="G834" i="1"/>
  <c r="G775" i="1"/>
  <c r="G708" i="1"/>
  <c r="G641" i="1"/>
  <c r="G580" i="1"/>
  <c r="G515" i="1"/>
  <c r="G450" i="1"/>
  <c r="G385" i="1"/>
  <c r="G320" i="1"/>
  <c r="G190" i="1"/>
  <c r="G122" i="1"/>
  <c r="G1606" i="1"/>
  <c r="G1547" i="1"/>
  <c r="G1483" i="1"/>
  <c r="G1411" i="1"/>
  <c r="G1359" i="1"/>
  <c r="G1271" i="1"/>
  <c r="G1227" i="1"/>
  <c r="G1162" i="1"/>
  <c r="G1090" i="1"/>
  <c r="G1026" i="1"/>
  <c r="G966" i="1"/>
  <c r="G901" i="1"/>
  <c r="G833" i="1"/>
  <c r="G774" i="1"/>
  <c r="G707" i="1"/>
  <c r="G640" i="1"/>
  <c r="G579" i="1"/>
  <c r="G514" i="1"/>
  <c r="G449" i="1"/>
  <c r="G384" i="1"/>
  <c r="G319" i="1"/>
  <c r="G189" i="1"/>
  <c r="G121" i="1"/>
  <c r="G120" i="1"/>
  <c r="G119" i="1"/>
  <c r="G118" i="1"/>
  <c r="G117" i="1"/>
  <c r="G574" i="1"/>
  <c r="G116" i="1"/>
  <c r="G115" i="1"/>
  <c r="G1599" i="1"/>
  <c r="G1540" i="1"/>
  <c r="G1476" i="1"/>
  <c r="G1404" i="1"/>
  <c r="G1352" i="1"/>
  <c r="G1264" i="1"/>
  <c r="G1220" i="1"/>
  <c r="G1155" i="1"/>
  <c r="G1083" i="1"/>
  <c r="G1019" i="1"/>
  <c r="G959" i="1"/>
  <c r="G894" i="1"/>
  <c r="G826" i="1"/>
  <c r="G767" i="1"/>
  <c r="G700" i="1"/>
  <c r="G633" i="1"/>
  <c r="G572" i="1"/>
  <c r="G507" i="1"/>
  <c r="G442" i="1"/>
  <c r="G377" i="1"/>
  <c r="G312" i="1"/>
  <c r="G182" i="1"/>
  <c r="G114" i="1"/>
  <c r="G181" i="1"/>
  <c r="G113" i="1"/>
  <c r="G1597" i="1"/>
  <c r="G1538" i="1"/>
  <c r="G1474" i="1"/>
  <c r="G1402" i="1"/>
  <c r="G1350" i="1"/>
  <c r="G1262" i="1"/>
  <c r="G1218" i="1"/>
  <c r="G1153" i="1"/>
  <c r="G1081" i="1"/>
  <c r="G1017" i="1"/>
  <c r="G957" i="1"/>
  <c r="G892" i="1"/>
  <c r="G824" i="1"/>
  <c r="G765" i="1"/>
  <c r="G698" i="1"/>
  <c r="G631" i="1"/>
  <c r="G570" i="1"/>
  <c r="G505" i="1"/>
  <c r="G440" i="1"/>
  <c r="G375" i="1"/>
  <c r="G310" i="1"/>
  <c r="G180" i="1"/>
  <c r="G112" i="1"/>
  <c r="G111" i="1"/>
  <c r="G1595" i="1"/>
  <c r="G1400" i="1"/>
  <c r="G1348" i="1"/>
  <c r="G1216" i="1"/>
  <c r="G1079" i="1"/>
  <c r="G629" i="1"/>
  <c r="G438" i="1"/>
  <c r="G373" i="1"/>
  <c r="G178" i="1"/>
  <c r="G110" i="1"/>
  <c r="G1594" i="1"/>
  <c r="G1535" i="1"/>
  <c r="G1471" i="1"/>
  <c r="G1399" i="1"/>
  <c r="G1347" i="1"/>
  <c r="G1259" i="1"/>
  <c r="G1215" i="1"/>
  <c r="G1150" i="1"/>
  <c r="G1078" i="1"/>
  <c r="G1014" i="1"/>
  <c r="G954" i="1"/>
  <c r="G889" i="1"/>
  <c r="G821" i="1"/>
  <c r="G762" i="1"/>
  <c r="G695" i="1"/>
  <c r="G628" i="1"/>
  <c r="G567" i="1"/>
  <c r="G502" i="1"/>
  <c r="G437" i="1"/>
  <c r="G372" i="1"/>
  <c r="G307" i="1"/>
  <c r="G177" i="1"/>
  <c r="G109" i="1"/>
  <c r="G1593" i="1"/>
  <c r="G1534" i="1"/>
  <c r="G1470" i="1"/>
  <c r="G1398" i="1"/>
  <c r="G1346" i="1"/>
  <c r="G1258" i="1"/>
  <c r="G1214" i="1"/>
  <c r="G1149" i="1"/>
  <c r="G1077" i="1"/>
  <c r="G1013" i="1"/>
  <c r="G953" i="1"/>
  <c r="G888" i="1"/>
  <c r="G820" i="1"/>
  <c r="G761" i="1"/>
  <c r="G694" i="1"/>
  <c r="G627" i="1"/>
  <c r="G566" i="1"/>
  <c r="G501" i="1"/>
  <c r="G436" i="1"/>
  <c r="G371" i="1"/>
  <c r="G306" i="1"/>
  <c r="G176" i="1"/>
  <c r="G108" i="1"/>
  <c r="G107" i="1"/>
  <c r="G106" i="1"/>
  <c r="G1590" i="1"/>
  <c r="G950" i="1"/>
  <c r="G885" i="1"/>
  <c r="G1589" i="1"/>
  <c r="G1530" i="1"/>
  <c r="G1466" i="1"/>
  <c r="G1394" i="1"/>
  <c r="G1342" i="1"/>
  <c r="G1254" i="1"/>
  <c r="G1210" i="1"/>
  <c r="G1145" i="1"/>
  <c r="G1073" i="1"/>
  <c r="G1009" i="1"/>
  <c r="G949" i="1"/>
  <c r="G884" i="1"/>
  <c r="G816" i="1"/>
  <c r="G757" i="1"/>
  <c r="G690" i="1"/>
  <c r="G623" i="1"/>
  <c r="G562" i="1"/>
  <c r="G497" i="1"/>
  <c r="G432" i="1"/>
  <c r="G367" i="1"/>
  <c r="G302" i="1"/>
  <c r="G172" i="1"/>
  <c r="G104" i="1"/>
  <c r="G1588" i="1"/>
  <c r="G1529" i="1"/>
  <c r="G1393" i="1"/>
  <c r="G1341" i="1"/>
  <c r="G1253" i="1"/>
  <c r="G1209" i="1"/>
  <c r="G1072" i="1"/>
  <c r="G948" i="1"/>
  <c r="G756" i="1"/>
  <c r="G689" i="1"/>
  <c r="G622" i="1"/>
  <c r="G431" i="1"/>
  <c r="G366" i="1"/>
  <c r="G171" i="1"/>
  <c r="G103" i="1"/>
  <c r="G1587" i="1"/>
  <c r="G1528" i="1"/>
  <c r="G1464" i="1"/>
  <c r="G1392" i="1"/>
  <c r="G1340" i="1"/>
  <c r="G1252" i="1"/>
  <c r="G1208" i="1"/>
  <c r="G1143" i="1"/>
  <c r="G1071" i="1"/>
  <c r="G1007" i="1"/>
  <c r="G947" i="1"/>
  <c r="G882" i="1"/>
  <c r="G814" i="1"/>
  <c r="G755" i="1"/>
  <c r="G688" i="1"/>
  <c r="G621" i="1"/>
  <c r="G560" i="1"/>
  <c r="G495" i="1"/>
  <c r="G430" i="1"/>
  <c r="G365" i="1"/>
  <c r="G300" i="1"/>
  <c r="G170" i="1"/>
  <c r="G102" i="1"/>
  <c r="G1586" i="1"/>
  <c r="G1527" i="1"/>
  <c r="G1463" i="1"/>
  <c r="G1391" i="1"/>
  <c r="G1339" i="1"/>
  <c r="G1251" i="1"/>
  <c r="G1207" i="1"/>
  <c r="G1142" i="1"/>
  <c r="G1070" i="1"/>
  <c r="G1006" i="1"/>
  <c r="G946" i="1"/>
  <c r="G881" i="1"/>
  <c r="G813" i="1"/>
  <c r="G754" i="1"/>
  <c r="G687" i="1"/>
  <c r="G620" i="1"/>
  <c r="G559" i="1"/>
  <c r="G494" i="1"/>
  <c r="G429" i="1"/>
  <c r="G364" i="1"/>
  <c r="G299" i="1"/>
  <c r="G169" i="1"/>
  <c r="G101" i="1"/>
  <c r="G1585" i="1"/>
  <c r="G1526" i="1"/>
  <c r="G1462" i="1"/>
  <c r="G1390" i="1"/>
  <c r="G1338" i="1"/>
  <c r="G1250" i="1"/>
  <c r="G1206" i="1"/>
  <c r="G1141" i="1"/>
  <c r="G1069" i="1"/>
  <c r="G1005" i="1"/>
  <c r="G945" i="1"/>
  <c r="G880" i="1"/>
  <c r="G812" i="1"/>
  <c r="G753" i="1"/>
  <c r="G686" i="1"/>
  <c r="G619" i="1"/>
  <c r="G558" i="1"/>
  <c r="G493" i="1"/>
  <c r="G428" i="1"/>
  <c r="G363" i="1"/>
  <c r="G298" i="1"/>
  <c r="G168" i="1"/>
  <c r="G100" i="1"/>
  <c r="G1584" i="1"/>
  <c r="G1525" i="1"/>
  <c r="G1461" i="1"/>
  <c r="G1389" i="1"/>
  <c r="G1337" i="1"/>
  <c r="G1249" i="1"/>
  <c r="G1205" i="1"/>
  <c r="G1140" i="1"/>
  <c r="G1068" i="1"/>
  <c r="G1004" i="1"/>
  <c r="G944" i="1"/>
  <c r="G879" i="1"/>
  <c r="G811" i="1"/>
  <c r="G752" i="1"/>
  <c r="G685" i="1"/>
  <c r="G618" i="1"/>
  <c r="G557" i="1"/>
  <c r="G492" i="1"/>
  <c r="G427" i="1"/>
  <c r="G362" i="1"/>
  <c r="G297" i="1"/>
  <c r="G167" i="1"/>
  <c r="G99" i="1"/>
  <c r="G1583" i="1"/>
  <c r="G1524" i="1"/>
  <c r="G1460" i="1"/>
  <c r="G1388" i="1"/>
  <c r="G1336" i="1"/>
  <c r="G1248" i="1"/>
  <c r="G1204" i="1"/>
  <c r="G1139" i="1"/>
  <c r="G1067" i="1"/>
  <c r="G1003" i="1"/>
  <c r="G943" i="1"/>
  <c r="G878" i="1"/>
  <c r="G810" i="1"/>
  <c r="G751" i="1"/>
  <c r="G684" i="1"/>
  <c r="G617" i="1"/>
  <c r="G556" i="1"/>
  <c r="G491" i="1"/>
  <c r="G426" i="1"/>
  <c r="G361" i="1"/>
  <c r="G296" i="1"/>
  <c r="G166" i="1"/>
  <c r="G98" i="1"/>
  <c r="G1582" i="1"/>
  <c r="G1523" i="1"/>
  <c r="G1459" i="1"/>
  <c r="G1387" i="1"/>
  <c r="G1335" i="1"/>
  <c r="G1247" i="1"/>
  <c r="G1203" i="1"/>
  <c r="G1138" i="1"/>
  <c r="G1066" i="1"/>
  <c r="G1002" i="1"/>
  <c r="G942" i="1"/>
  <c r="G877" i="1"/>
  <c r="G809" i="1"/>
  <c r="G750" i="1"/>
  <c r="G683" i="1"/>
  <c r="G616" i="1"/>
  <c r="G555" i="1"/>
  <c r="G490" i="1"/>
  <c r="G425" i="1"/>
  <c r="G360" i="1"/>
  <c r="G295" i="1"/>
  <c r="G165" i="1"/>
  <c r="G97" i="1"/>
  <c r="G1581" i="1"/>
  <c r="G1522" i="1"/>
  <c r="G1458" i="1"/>
  <c r="G1386" i="1"/>
  <c r="G1334" i="1"/>
  <c r="G1246" i="1"/>
  <c r="G1202" i="1"/>
  <c r="G1137" i="1"/>
  <c r="G1065" i="1"/>
  <c r="G1001" i="1"/>
  <c r="G941" i="1"/>
  <c r="G876" i="1"/>
  <c r="G808" i="1"/>
  <c r="G749" i="1"/>
  <c r="G682" i="1"/>
  <c r="G615" i="1"/>
  <c r="G554" i="1"/>
  <c r="G489" i="1"/>
  <c r="G424" i="1"/>
  <c r="G359" i="1"/>
  <c r="G294" i="1"/>
  <c r="G164" i="1"/>
  <c r="G96" i="1"/>
  <c r="G1580" i="1"/>
  <c r="G1521" i="1"/>
  <c r="G1457" i="1"/>
  <c r="G1385" i="1"/>
  <c r="G1333" i="1"/>
  <c r="G1245" i="1"/>
  <c r="G1201" i="1"/>
  <c r="G1136" i="1"/>
  <c r="G1064" i="1"/>
  <c r="G1000" i="1"/>
  <c r="G940" i="1"/>
  <c r="G875" i="1"/>
  <c r="G807" i="1"/>
  <c r="G748" i="1"/>
  <c r="G681" i="1"/>
  <c r="G614" i="1"/>
  <c r="G553" i="1"/>
  <c r="G488" i="1"/>
  <c r="G423" i="1"/>
  <c r="G358" i="1"/>
  <c r="G293" i="1"/>
  <c r="G163" i="1"/>
  <c r="G95" i="1"/>
  <c r="G1579" i="1"/>
  <c r="G1520" i="1"/>
  <c r="G1456" i="1"/>
  <c r="G1384" i="1"/>
  <c r="G1332" i="1"/>
  <c r="G1244" i="1"/>
  <c r="G1200" i="1"/>
  <c r="G1135" i="1"/>
  <c r="G1063" i="1"/>
  <c r="G999" i="1"/>
  <c r="G939" i="1"/>
  <c r="G874" i="1"/>
  <c r="G806" i="1"/>
  <c r="G747" i="1"/>
  <c r="G680" i="1"/>
  <c r="G613" i="1"/>
  <c r="G552" i="1"/>
  <c r="G487" i="1"/>
  <c r="G422" i="1"/>
  <c r="G357" i="1"/>
  <c r="G292" i="1"/>
  <c r="G162" i="1"/>
  <c r="G94" i="1"/>
  <c r="G1578" i="1"/>
  <c r="G1519" i="1"/>
  <c r="G1455" i="1"/>
  <c r="G1383" i="1"/>
  <c r="G1331" i="1"/>
  <c r="G1243" i="1"/>
  <c r="G1199" i="1"/>
  <c r="G1134" i="1"/>
  <c r="G1062" i="1"/>
  <c r="G998" i="1"/>
  <c r="G938" i="1"/>
  <c r="G873" i="1"/>
  <c r="G805" i="1"/>
  <c r="G746" i="1"/>
  <c r="G679" i="1"/>
  <c r="G612" i="1"/>
  <c r="G551" i="1"/>
  <c r="G486" i="1"/>
  <c r="G421" i="1"/>
  <c r="G356" i="1"/>
  <c r="G291" i="1"/>
  <c r="G161" i="1"/>
  <c r="G93" i="1"/>
  <c r="G678" i="1"/>
  <c r="G160" i="1"/>
  <c r="G92" i="1"/>
  <c r="G1576" i="1"/>
  <c r="G1517" i="1"/>
  <c r="G1453" i="1"/>
  <c r="G1381" i="1"/>
  <c r="G1329" i="1"/>
  <c r="G1241" i="1"/>
  <c r="G1197" i="1"/>
  <c r="G1132" i="1"/>
  <c r="G1060" i="1"/>
  <c r="G996" i="1"/>
  <c r="G936" i="1"/>
  <c r="G871" i="1"/>
  <c r="G803" i="1"/>
  <c r="G744" i="1"/>
  <c r="G677" i="1"/>
  <c r="G610" i="1"/>
  <c r="G549" i="1"/>
  <c r="G484" i="1"/>
  <c r="G419" i="1"/>
  <c r="G354" i="1"/>
  <c r="G289" i="1"/>
  <c r="G159" i="1"/>
  <c r="G91" i="1"/>
  <c r="G1575" i="1"/>
  <c r="G1516" i="1"/>
  <c r="G1452" i="1"/>
  <c r="G1380" i="1"/>
  <c r="G1328" i="1"/>
  <c r="G1196" i="1"/>
  <c r="G1131" i="1"/>
  <c r="G1059" i="1"/>
  <c r="G995" i="1"/>
  <c r="G935" i="1"/>
  <c r="G870" i="1"/>
  <c r="G802" i="1"/>
  <c r="G743" i="1"/>
  <c r="G676" i="1"/>
  <c r="G609" i="1"/>
  <c r="G548" i="1"/>
  <c r="G483" i="1"/>
  <c r="G418" i="1"/>
  <c r="G353" i="1"/>
  <c r="G288" i="1"/>
  <c r="G158" i="1"/>
  <c r="G90" i="1"/>
  <c r="G89" i="1"/>
  <c r="G1573" i="1"/>
  <c r="G1514" i="1"/>
  <c r="G1450" i="1"/>
  <c r="G1378" i="1"/>
  <c r="G1326" i="1"/>
  <c r="G1194" i="1"/>
  <c r="G1129" i="1"/>
  <c r="G1057" i="1"/>
  <c r="G993" i="1"/>
  <c r="G933" i="1"/>
  <c r="G868" i="1"/>
  <c r="G800" i="1"/>
  <c r="G741" i="1"/>
  <c r="G674" i="1"/>
  <c r="G607" i="1"/>
  <c r="G546" i="1"/>
  <c r="G481" i="1"/>
  <c r="G416" i="1"/>
  <c r="G351" i="1"/>
  <c r="G286" i="1"/>
  <c r="G156" i="1"/>
  <c r="G88" i="1"/>
  <c r="G1572" i="1"/>
  <c r="G932" i="1"/>
  <c r="G867" i="1"/>
  <c r="G740" i="1"/>
  <c r="G673" i="1"/>
  <c r="G87" i="1"/>
  <c r="G86" i="1"/>
  <c r="G85" i="1"/>
  <c r="G282" i="1"/>
  <c r="G84" i="1"/>
  <c r="G602" i="1"/>
  <c r="G83" i="1"/>
  <c r="G150" i="1"/>
  <c r="G82" i="1"/>
  <c r="G81" i="1"/>
  <c r="G1506" i="1"/>
  <c r="G1442" i="1"/>
  <c r="G1318" i="1"/>
  <c r="G1186" i="1"/>
  <c r="G1121" i="1"/>
  <c r="G1049" i="1"/>
  <c r="G985" i="1"/>
  <c r="G925" i="1"/>
  <c r="G733" i="1"/>
  <c r="G666" i="1"/>
  <c r="G599" i="1"/>
  <c r="G538" i="1"/>
  <c r="G473" i="1"/>
  <c r="G408" i="1"/>
  <c r="G343" i="1"/>
  <c r="G80" i="1"/>
  <c r="G1317" i="1"/>
  <c r="G1185" i="1"/>
  <c r="G1120" i="1"/>
  <c r="G1048" i="1"/>
  <c r="G924" i="1"/>
  <c r="G859" i="1"/>
  <c r="G791" i="1"/>
  <c r="G732" i="1"/>
  <c r="G665" i="1"/>
  <c r="G598" i="1"/>
  <c r="G472" i="1"/>
  <c r="G407" i="1"/>
  <c r="G342" i="1"/>
  <c r="G277" i="1"/>
  <c r="G147" i="1"/>
  <c r="G79" i="1"/>
  <c r="G1316" i="1"/>
  <c r="G1184" i="1"/>
  <c r="G1047" i="1"/>
  <c r="G983" i="1"/>
  <c r="G923" i="1"/>
  <c r="G858" i="1"/>
  <c r="G731" i="1"/>
  <c r="G664" i="1"/>
  <c r="G597" i="1"/>
  <c r="G536" i="1"/>
  <c r="G406" i="1"/>
  <c r="G341" i="1"/>
  <c r="G276" i="1"/>
  <c r="G146" i="1"/>
  <c r="G78" i="1"/>
  <c r="G1439" i="1"/>
  <c r="G1315" i="1"/>
  <c r="G1183" i="1"/>
  <c r="G1118" i="1"/>
  <c r="G1046" i="1"/>
  <c r="G982" i="1"/>
  <c r="G922" i="1"/>
  <c r="G857" i="1"/>
  <c r="G789" i="1"/>
  <c r="G730" i="1"/>
  <c r="G663" i="1"/>
  <c r="G405" i="1"/>
  <c r="G340" i="1"/>
  <c r="G145" i="1"/>
  <c r="G77" i="1"/>
  <c r="G1314" i="1"/>
  <c r="G1182" i="1"/>
  <c r="G729" i="1"/>
  <c r="G662" i="1"/>
  <c r="G595" i="1"/>
  <c r="G404" i="1"/>
  <c r="G339" i="1"/>
  <c r="G144" i="1"/>
  <c r="G76" i="1"/>
  <c r="G75" i="1"/>
  <c r="G1312" i="1"/>
  <c r="G1180" i="1"/>
  <c r="G919" i="1"/>
  <c r="G854" i="1"/>
  <c r="G727" i="1"/>
  <c r="G660" i="1"/>
  <c r="G593" i="1"/>
  <c r="G532" i="1"/>
  <c r="G467" i="1"/>
  <c r="G402" i="1"/>
  <c r="G337" i="1"/>
  <c r="G142" i="1"/>
  <c r="G74" i="1"/>
  <c r="G1311" i="1"/>
  <c r="G1179" i="1"/>
  <c r="G853" i="1"/>
  <c r="G726" i="1"/>
  <c r="G659" i="1"/>
  <c r="G592" i="1"/>
  <c r="G531" i="1"/>
  <c r="G401" i="1"/>
  <c r="G271" i="1"/>
  <c r="G141" i="1"/>
  <c r="G73" i="1"/>
  <c r="G72" i="1"/>
  <c r="G1309" i="1"/>
  <c r="G1177" i="1"/>
  <c r="G916" i="1"/>
  <c r="G724" i="1"/>
  <c r="G657" i="1"/>
  <c r="G139" i="1"/>
  <c r="G71" i="1"/>
  <c r="G1308" i="1"/>
  <c r="G1176" i="1"/>
  <c r="G723" i="1"/>
  <c r="G656" i="1"/>
  <c r="G398" i="1"/>
  <c r="G138" i="1"/>
  <c r="G722" i="1"/>
  <c r="G1306" i="1"/>
  <c r="G721" i="1"/>
  <c r="G526" i="1"/>
  <c r="G461" i="1"/>
  <c r="G396" i="1"/>
  <c r="G266" i="1"/>
  <c r="G136" i="1"/>
  <c r="S17" i="21" l="1"/>
  <c r="CS108" i="19"/>
  <c r="CR108" i="19"/>
  <c r="O13" i="17"/>
  <c r="CR109" i="19"/>
  <c r="CQ36" i="19"/>
  <c r="CS36" i="19" s="1"/>
  <c r="CF110" i="19"/>
  <c r="CR25" i="19"/>
  <c r="CR90" i="19"/>
  <c r="CS10" i="19"/>
  <c r="CR10" i="19"/>
  <c r="CR6" i="19"/>
  <c r="CS6" i="19"/>
  <c r="CQ18" i="19"/>
  <c r="CS18" i="19" s="1"/>
  <c r="CP17" i="19"/>
  <c r="CQ17" i="19"/>
  <c r="CS17" i="19" s="1"/>
  <c r="CQ29" i="19"/>
  <c r="CS29" i="19" s="1"/>
  <c r="CQ93" i="19"/>
  <c r="CS93" i="19" s="1"/>
  <c r="CQ33" i="19"/>
  <c r="CQ64" i="19"/>
  <c r="CQ95" i="19"/>
  <c r="CS95" i="19" s="1"/>
  <c r="CQ87" i="19"/>
  <c r="CS87" i="19" s="1"/>
  <c r="CQ11" i="19"/>
  <c r="CS11" i="19" s="1"/>
  <c r="CQ15" i="19"/>
  <c r="CQ39" i="19"/>
  <c r="CQ40" i="19"/>
  <c r="CQ44" i="19"/>
  <c r="CS44" i="19" s="1"/>
  <c r="CQ85" i="19"/>
  <c r="CS85" i="19" s="1"/>
  <c r="CQ100" i="19"/>
  <c r="CS100" i="19" s="1"/>
  <c r="CQ78" i="19"/>
  <c r="CQ27" i="19"/>
  <c r="CQ89" i="19"/>
  <c r="CS89" i="19" s="1"/>
  <c r="CQ47" i="19"/>
  <c r="CQ26" i="19"/>
  <c r="CS26" i="19" s="1"/>
  <c r="CQ73" i="19"/>
  <c r="CS73" i="19" s="1"/>
  <c r="CQ13" i="19"/>
  <c r="CS13" i="19" s="1"/>
  <c r="CQ30" i="19"/>
  <c r="CQ94" i="19"/>
  <c r="CS94" i="19" s="1"/>
  <c r="CQ51" i="19"/>
  <c r="CQ38" i="19"/>
  <c r="CQ8" i="19"/>
  <c r="CQ79" i="19"/>
  <c r="CS79" i="19" s="1"/>
  <c r="CQ84" i="19"/>
  <c r="CS84" i="19" s="1"/>
  <c r="CQ80" i="19"/>
  <c r="CQ91" i="19"/>
  <c r="CS91" i="19" s="1"/>
  <c r="CQ59" i="19"/>
  <c r="CQ12" i="19"/>
  <c r="CS12" i="19" s="1"/>
  <c r="CQ9" i="19"/>
  <c r="CQ52" i="19"/>
  <c r="CS52" i="19" s="1"/>
  <c r="CQ14" i="19"/>
  <c r="CS14" i="19" s="1"/>
  <c r="CQ24" i="19"/>
  <c r="CS24" i="19" s="1"/>
  <c r="CQ20" i="19"/>
  <c r="CS20" i="19" s="1"/>
  <c r="CQ48" i="19"/>
  <c r="CQ31" i="19"/>
  <c r="CS31" i="19" s="1"/>
  <c r="R107" i="21"/>
  <c r="CR81" i="19"/>
  <c r="CR28" i="19"/>
  <c r="CH35" i="19"/>
  <c r="CQ35" i="19" s="1"/>
  <c r="CS35" i="19" s="1"/>
  <c r="CH22" i="19"/>
  <c r="CH37" i="19"/>
  <c r="CH16" i="19"/>
  <c r="CQ16" i="19" s="1"/>
  <c r="CS16" i="19" s="1"/>
  <c r="CH86" i="19"/>
  <c r="CK110" i="19"/>
  <c r="S13" i="21"/>
  <c r="S107" i="21" s="1"/>
  <c r="CH82" i="19"/>
  <c r="CQ82" i="19" s="1"/>
  <c r="CS82" i="19" s="1"/>
  <c r="CP82" i="19"/>
  <c r="CH60" i="19"/>
  <c r="CQ60" i="19" s="1"/>
  <c r="CS60" i="19" s="1"/>
  <c r="CP60" i="19"/>
  <c r="CH75" i="19"/>
  <c r="CQ75" i="19" s="1"/>
  <c r="CS75" i="19" s="1"/>
  <c r="CP75" i="19"/>
  <c r="CH63" i="19"/>
  <c r="CQ63" i="19" s="1"/>
  <c r="CS63" i="19" s="1"/>
  <c r="CP63" i="19"/>
  <c r="CR105" i="19"/>
  <c r="CR62" i="19"/>
  <c r="CH32" i="19"/>
  <c r="CQ32" i="19" s="1"/>
  <c r="CS32" i="19" s="1"/>
  <c r="CP32" i="19"/>
  <c r="CH34" i="19"/>
  <c r="CQ34" i="19" s="1"/>
  <c r="CS34" i="19" s="1"/>
  <c r="CP34" i="19"/>
  <c r="CR7" i="19"/>
  <c r="CR74" i="19"/>
  <c r="CR61" i="19"/>
  <c r="CR41" i="19"/>
  <c r="CR65" i="19"/>
  <c r="CH50" i="19"/>
  <c r="CQ50" i="19" s="1"/>
  <c r="CS50" i="19" s="1"/>
  <c r="CP50" i="19"/>
  <c r="CH104" i="19"/>
  <c r="CQ104" i="19" s="1"/>
  <c r="CS104" i="19" s="1"/>
  <c r="CP104" i="19"/>
  <c r="CH92" i="19"/>
  <c r="CQ92" i="19" s="1"/>
  <c r="CS92" i="19" s="1"/>
  <c r="CP92" i="19"/>
  <c r="I180" i="1"/>
  <c r="I78" i="1"/>
  <c r="I336" i="1"/>
  <c r="I77" i="1"/>
  <c r="I283" i="1"/>
  <c r="I188" i="1"/>
  <c r="I191" i="1"/>
  <c r="I73" i="1"/>
  <c r="I273" i="1"/>
  <c r="I81" i="1"/>
  <c r="I82" i="1"/>
  <c r="I347" i="1"/>
  <c r="I348" i="1"/>
  <c r="I349" i="1"/>
  <c r="I350" i="1"/>
  <c r="I88" i="1"/>
  <c r="I96" i="1"/>
  <c r="I165" i="1"/>
  <c r="I102" i="1"/>
  <c r="I174" i="1"/>
  <c r="I175" i="1"/>
  <c r="I176" i="1"/>
  <c r="I311" i="1"/>
  <c r="I378" i="1"/>
  <c r="I379" i="1"/>
  <c r="I315" i="1"/>
  <c r="I316" i="1"/>
  <c r="I392" i="1"/>
  <c r="I394" i="1"/>
  <c r="I330" i="1"/>
  <c r="I282" i="1"/>
  <c r="I108" i="1"/>
  <c r="I195" i="1"/>
  <c r="I200" i="1"/>
  <c r="I134" i="1"/>
  <c r="I267" i="1"/>
  <c r="I72" i="1"/>
  <c r="I159" i="1"/>
  <c r="I299" i="1"/>
  <c r="I368" i="1"/>
  <c r="I138" i="1"/>
  <c r="I80" i="1"/>
  <c r="I83" i="1"/>
  <c r="I157" i="1"/>
  <c r="I158" i="1"/>
  <c r="I355" i="1"/>
  <c r="I171" i="1"/>
  <c r="I309" i="1"/>
  <c r="I376" i="1"/>
  <c r="I380" i="1"/>
  <c r="I381" i="1"/>
  <c r="I317" i="1"/>
  <c r="I318" i="1"/>
  <c r="I395" i="1"/>
  <c r="I97" i="1"/>
  <c r="I106" i="1"/>
  <c r="I107" i="1"/>
  <c r="I89" i="1"/>
  <c r="I161" i="1"/>
  <c r="I166" i="1"/>
  <c r="I190" i="1"/>
  <c r="I327" i="1"/>
  <c r="I328" i="1"/>
  <c r="I329" i="1"/>
  <c r="I71" i="1"/>
  <c r="I141" i="1"/>
  <c r="I272" i="1"/>
  <c r="I274" i="1"/>
  <c r="I84" i="1"/>
  <c r="I156" i="1"/>
  <c r="I95" i="1"/>
  <c r="I164" i="1"/>
  <c r="I170" i="1"/>
  <c r="I304" i="1"/>
  <c r="I305" i="1"/>
  <c r="I373" i="1"/>
  <c r="I374" i="1"/>
  <c r="I382" i="1"/>
  <c r="I383" i="1"/>
  <c r="I326" i="1"/>
  <c r="I345" i="1"/>
  <c r="I294" i="1"/>
  <c r="I172" i="1"/>
  <c r="I182" i="1"/>
  <c r="I269" i="1"/>
  <c r="I284" i="1"/>
  <c r="I103" i="1"/>
  <c r="I179" i="1"/>
  <c r="I313" i="1"/>
  <c r="I194" i="1"/>
  <c r="I270" i="1"/>
  <c r="I337" i="1"/>
  <c r="I339" i="1"/>
  <c r="I276" i="1"/>
  <c r="I85" i="1"/>
  <c r="I86" i="1"/>
  <c r="I87" i="1"/>
  <c r="I287" i="1"/>
  <c r="I92" i="1"/>
  <c r="I99" i="1"/>
  <c r="I169" i="1"/>
  <c r="I105" i="1"/>
  <c r="I369" i="1"/>
  <c r="I370" i="1"/>
  <c r="I310" i="1"/>
  <c r="I113" i="1"/>
  <c r="I115" i="1"/>
  <c r="I116" i="1"/>
  <c r="I129" i="1"/>
  <c r="I130" i="1"/>
  <c r="I131" i="1"/>
  <c r="I162" i="1"/>
  <c r="I186" i="1"/>
  <c r="I177" i="1"/>
  <c r="I189" i="1"/>
  <c r="I192" i="1"/>
  <c r="I268" i="1"/>
  <c r="I139" i="1"/>
  <c r="I75" i="1"/>
  <c r="I275" i="1"/>
  <c r="I277" i="1"/>
  <c r="I279" i="1"/>
  <c r="I352" i="1"/>
  <c r="I94" i="1"/>
  <c r="I163" i="1"/>
  <c r="I295" i="1"/>
  <c r="I168" i="1"/>
  <c r="I301" i="1"/>
  <c r="I104" i="1"/>
  <c r="I173" i="1"/>
  <c r="I110" i="1"/>
  <c r="I114" i="1"/>
  <c r="I117" i="1"/>
  <c r="I118" i="1"/>
  <c r="I127" i="1"/>
  <c r="I128" i="1"/>
  <c r="I391" i="1"/>
  <c r="I132" i="1"/>
  <c r="I343" i="1"/>
  <c r="I346" i="1"/>
  <c r="I185" i="1"/>
  <c r="I142" i="1"/>
  <c r="I144" i="1"/>
  <c r="I187" i="1"/>
  <c r="I193" i="1"/>
  <c r="I137" i="1"/>
  <c r="I271" i="1"/>
  <c r="I74" i="1"/>
  <c r="I76" i="1"/>
  <c r="I340" i="1"/>
  <c r="I341" i="1"/>
  <c r="I278" i="1"/>
  <c r="I344" i="1"/>
  <c r="I280" i="1"/>
  <c r="I281" i="1"/>
  <c r="I91" i="1"/>
  <c r="I160" i="1"/>
  <c r="I93" i="1"/>
  <c r="I98" i="1"/>
  <c r="I167" i="1"/>
  <c r="I366" i="1"/>
  <c r="I109" i="1"/>
  <c r="I111" i="1"/>
  <c r="I112" i="1"/>
  <c r="I181" i="1"/>
  <c r="I183" i="1"/>
  <c r="I184" i="1"/>
  <c r="I119" i="1"/>
  <c r="I120" i="1"/>
  <c r="I121" i="1"/>
  <c r="I122" i="1"/>
  <c r="I123" i="1"/>
  <c r="I124" i="1"/>
  <c r="I125" i="1"/>
  <c r="I126" i="1"/>
  <c r="I197" i="1"/>
  <c r="I198" i="1"/>
  <c r="I199" i="1"/>
  <c r="I133" i="1"/>
  <c r="I135" i="1"/>
  <c r="I79" i="1"/>
  <c r="I178" i="1"/>
  <c r="I196" i="1"/>
  <c r="I308" i="1"/>
  <c r="I285" i="1"/>
  <c r="I667" i="1"/>
  <c r="I314" i="1"/>
  <c r="I290" i="1"/>
  <c r="I668" i="1"/>
  <c r="I661" i="1"/>
  <c r="I669" i="1"/>
  <c r="I603" i="1"/>
  <c r="I606" i="1"/>
  <c r="I670" i="1"/>
  <c r="I671" i="1"/>
  <c r="I672" i="1"/>
  <c r="I611" i="1"/>
  <c r="I635" i="1"/>
  <c r="I145" i="1"/>
  <c r="I136" i="1"/>
  <c r="I90" i="1"/>
  <c r="I146" i="1"/>
  <c r="I147" i="1"/>
  <c r="I101" i="1"/>
  <c r="I150" i="1"/>
  <c r="I100" i="1"/>
  <c r="I203" i="1"/>
  <c r="I398" i="1"/>
  <c r="I463" i="1"/>
  <c r="I528" i="1"/>
  <c r="I656" i="1"/>
  <c r="I723" i="1"/>
  <c r="I1111" i="1"/>
  <c r="I1176" i="1"/>
  <c r="I1308" i="1"/>
  <c r="I210" i="1"/>
  <c r="I470" i="1"/>
  <c r="I535" i="1"/>
  <c r="I405" i="1"/>
  <c r="I596" i="1"/>
  <c r="I663" i="1"/>
  <c r="I730" i="1"/>
  <c r="I789" i="1"/>
  <c r="I922" i="1"/>
  <c r="I982" i="1"/>
  <c r="I1046" i="1"/>
  <c r="I857" i="1"/>
  <c r="I1118" i="1"/>
  <c r="I1183" i="1"/>
  <c r="I1315" i="1"/>
  <c r="I1439" i="1"/>
  <c r="I1503" i="1"/>
  <c r="G212" i="1"/>
  <c r="I148" i="1"/>
  <c r="I214" i="1"/>
  <c r="I474" i="1"/>
  <c r="I409" i="1"/>
  <c r="I600" i="1"/>
  <c r="I734" i="1"/>
  <c r="I793" i="1"/>
  <c r="I539" i="1"/>
  <c r="I926" i="1"/>
  <c r="I986" i="1"/>
  <c r="I1050" i="1"/>
  <c r="I861" i="1"/>
  <c r="I1122" i="1"/>
  <c r="I1187" i="1"/>
  <c r="I1319" i="1"/>
  <c r="I1371" i="1"/>
  <c r="I1443" i="1"/>
  <c r="I1507" i="1"/>
  <c r="I1566" i="1"/>
  <c r="I151" i="1"/>
  <c r="G230" i="1"/>
  <c r="I236" i="1"/>
  <c r="I431" i="1"/>
  <c r="I496" i="1"/>
  <c r="I561" i="1"/>
  <c r="I622" i="1"/>
  <c r="I689" i="1"/>
  <c r="I756" i="1"/>
  <c r="I815" i="1"/>
  <c r="I883" i="1"/>
  <c r="I948" i="1"/>
  <c r="I1008" i="1"/>
  <c r="I1072" i="1"/>
  <c r="I1144" i="1"/>
  <c r="I1209" i="1"/>
  <c r="I1341" i="1"/>
  <c r="I1393" i="1"/>
  <c r="I1465" i="1"/>
  <c r="I1529" i="1"/>
  <c r="I1588" i="1"/>
  <c r="I1253" i="1"/>
  <c r="G241" i="1"/>
  <c r="I206" i="1"/>
  <c r="I401" i="1"/>
  <c r="I466" i="1"/>
  <c r="I531" i="1"/>
  <c r="I592" i="1"/>
  <c r="I659" i="1"/>
  <c r="I726" i="1"/>
  <c r="I918" i="1"/>
  <c r="I853" i="1"/>
  <c r="I1114" i="1"/>
  <c r="I1179" i="1"/>
  <c r="I1311" i="1"/>
  <c r="I213" i="1"/>
  <c r="I473" i="1"/>
  <c r="I408" i="1"/>
  <c r="I599" i="1"/>
  <c r="I666" i="1"/>
  <c r="I538" i="1"/>
  <c r="I792" i="1"/>
  <c r="I860" i="1"/>
  <c r="I733" i="1"/>
  <c r="I925" i="1"/>
  <c r="I985" i="1"/>
  <c r="I1049" i="1"/>
  <c r="I1121" i="1"/>
  <c r="I1186" i="1"/>
  <c r="I1318" i="1"/>
  <c r="I1442" i="1"/>
  <c r="I1506" i="1"/>
  <c r="I215" i="1"/>
  <c r="I410" i="1"/>
  <c r="I475" i="1"/>
  <c r="I540" i="1"/>
  <c r="I735" i="1"/>
  <c r="I601" i="1"/>
  <c r="I794" i="1"/>
  <c r="I862" i="1"/>
  <c r="I927" i="1"/>
  <c r="I987" i="1"/>
  <c r="I1051" i="1"/>
  <c r="I1123" i="1"/>
  <c r="I1188" i="1"/>
  <c r="I1320" i="1"/>
  <c r="I1372" i="1"/>
  <c r="I1444" i="1"/>
  <c r="I1508" i="1"/>
  <c r="I1567" i="1"/>
  <c r="I216" i="1"/>
  <c r="I411" i="1"/>
  <c r="I476" i="1"/>
  <c r="I541" i="1"/>
  <c r="I602" i="1"/>
  <c r="I795" i="1"/>
  <c r="I736" i="1"/>
  <c r="I928" i="1"/>
  <c r="I988" i="1"/>
  <c r="I1052" i="1"/>
  <c r="I863" i="1"/>
  <c r="I1124" i="1"/>
  <c r="I1189" i="1"/>
  <c r="I1321" i="1"/>
  <c r="I1373" i="1"/>
  <c r="I1445" i="1"/>
  <c r="I1509" i="1"/>
  <c r="I1568" i="1"/>
  <c r="I152" i="1"/>
  <c r="G223" i="1"/>
  <c r="I1295" i="1"/>
  <c r="I1435" i="1"/>
  <c r="I1630" i="1"/>
  <c r="I1297" i="1"/>
  <c r="I1298" i="1"/>
  <c r="I217" i="1"/>
  <c r="I412" i="1"/>
  <c r="I477" i="1"/>
  <c r="I542" i="1"/>
  <c r="I796" i="1"/>
  <c r="I864" i="1"/>
  <c r="I737" i="1"/>
  <c r="I929" i="1"/>
  <c r="I989" i="1"/>
  <c r="I1053" i="1"/>
  <c r="I1125" i="1"/>
  <c r="I1190" i="1"/>
  <c r="I1322" i="1"/>
  <c r="I1374" i="1"/>
  <c r="I1446" i="1"/>
  <c r="I1510" i="1"/>
  <c r="I1569" i="1"/>
  <c r="I153" i="1"/>
  <c r="I154" i="1"/>
  <c r="I155" i="1"/>
  <c r="G221" i="1"/>
  <c r="I416" i="1"/>
  <c r="G229" i="1"/>
  <c r="G235" i="1"/>
  <c r="I238" i="1"/>
  <c r="I303" i="1"/>
  <c r="I433" i="1"/>
  <c r="I498" i="1"/>
  <c r="I624" i="1"/>
  <c r="I691" i="1"/>
  <c r="I563" i="1"/>
  <c r="I758" i="1"/>
  <c r="I817" i="1"/>
  <c r="I950" i="1"/>
  <c r="I1010" i="1"/>
  <c r="I1074" i="1"/>
  <c r="I885" i="1"/>
  <c r="I1146" i="1"/>
  <c r="I1211" i="1"/>
  <c r="I1343" i="1"/>
  <c r="I1395" i="1"/>
  <c r="I1467" i="1"/>
  <c r="I1531" i="1"/>
  <c r="I1590" i="1"/>
  <c r="I1255" i="1"/>
  <c r="I1302" i="1"/>
  <c r="I202" i="1"/>
  <c r="I462" i="1"/>
  <c r="I397" i="1"/>
  <c r="I527" i="1"/>
  <c r="I722" i="1"/>
  <c r="I1307" i="1"/>
  <c r="I204" i="1"/>
  <c r="I399" i="1"/>
  <c r="I464" i="1"/>
  <c r="I529" i="1"/>
  <c r="I657" i="1"/>
  <c r="I724" i="1"/>
  <c r="I851" i="1"/>
  <c r="I916" i="1"/>
  <c r="I1112" i="1"/>
  <c r="I1177" i="1"/>
  <c r="I1309" i="1"/>
  <c r="I143" i="1"/>
  <c r="I218" i="1"/>
  <c r="I413" i="1"/>
  <c r="I478" i="1"/>
  <c r="I543" i="1"/>
  <c r="I604" i="1"/>
  <c r="I738" i="1"/>
  <c r="I797" i="1"/>
  <c r="I865" i="1"/>
  <c r="I930" i="1"/>
  <c r="I990" i="1"/>
  <c r="I1054" i="1"/>
  <c r="I1126" i="1"/>
  <c r="I1191" i="1"/>
  <c r="I1323" i="1"/>
  <c r="I1375" i="1"/>
  <c r="I1447" i="1"/>
  <c r="I1511" i="1"/>
  <c r="I1570" i="1"/>
  <c r="I219" i="1"/>
  <c r="I414" i="1"/>
  <c r="I479" i="1"/>
  <c r="I544" i="1"/>
  <c r="I739" i="1"/>
  <c r="I605" i="1"/>
  <c r="I798" i="1"/>
  <c r="I866" i="1"/>
  <c r="I931" i="1"/>
  <c r="I991" i="1"/>
  <c r="I1055" i="1"/>
  <c r="I1127" i="1"/>
  <c r="I1192" i="1"/>
  <c r="I1324" i="1"/>
  <c r="I1376" i="1"/>
  <c r="I1448" i="1"/>
  <c r="I1512" i="1"/>
  <c r="I1571" i="1"/>
  <c r="I220" i="1"/>
  <c r="I415" i="1"/>
  <c r="I480" i="1"/>
  <c r="I545" i="1"/>
  <c r="I673" i="1"/>
  <c r="I799" i="1"/>
  <c r="I740" i="1"/>
  <c r="I867" i="1"/>
  <c r="I932" i="1"/>
  <c r="I992" i="1"/>
  <c r="I1056" i="1"/>
  <c r="I1128" i="1"/>
  <c r="I1193" i="1"/>
  <c r="I1325" i="1"/>
  <c r="I1377" i="1"/>
  <c r="I1449" i="1"/>
  <c r="I1513" i="1"/>
  <c r="I1572" i="1"/>
  <c r="G234" i="1"/>
  <c r="I248" i="1"/>
  <c r="I443" i="1"/>
  <c r="I508" i="1"/>
  <c r="I573" i="1"/>
  <c r="I634" i="1"/>
  <c r="I701" i="1"/>
  <c r="I768" i="1"/>
  <c r="I827" i="1"/>
  <c r="I895" i="1"/>
  <c r="I960" i="1"/>
  <c r="I1020" i="1"/>
  <c r="I1156" i="1"/>
  <c r="I1221" i="1"/>
  <c r="I1084" i="1"/>
  <c r="I1353" i="1"/>
  <c r="I1405" i="1"/>
  <c r="I1477" i="1"/>
  <c r="I1541" i="1"/>
  <c r="I1600" i="1"/>
  <c r="I1265" i="1"/>
  <c r="I249" i="1"/>
  <c r="I444" i="1"/>
  <c r="I509" i="1"/>
  <c r="I702" i="1"/>
  <c r="I574" i="1"/>
  <c r="I769" i="1"/>
  <c r="I828" i="1"/>
  <c r="I896" i="1"/>
  <c r="I961" i="1"/>
  <c r="I1021" i="1"/>
  <c r="I1085" i="1"/>
  <c r="I1157" i="1"/>
  <c r="I1222" i="1"/>
  <c r="I1354" i="1"/>
  <c r="I1406" i="1"/>
  <c r="I1478" i="1"/>
  <c r="I1542" i="1"/>
  <c r="I1601" i="1"/>
  <c r="I1266" i="1"/>
  <c r="I262" i="1"/>
  <c r="I457" i="1"/>
  <c r="I522" i="1"/>
  <c r="I648" i="1"/>
  <c r="I715" i="1"/>
  <c r="I782" i="1"/>
  <c r="I841" i="1"/>
  <c r="I587" i="1"/>
  <c r="I974" i="1"/>
  <c r="I1034" i="1"/>
  <c r="I1098" i="1"/>
  <c r="I909" i="1"/>
  <c r="I1170" i="1"/>
  <c r="I1235" i="1"/>
  <c r="I1279" i="1"/>
  <c r="I1367" i="1"/>
  <c r="I1419" i="1"/>
  <c r="I1491" i="1"/>
  <c r="I1555" i="1"/>
  <c r="I1614" i="1"/>
  <c r="I263" i="1"/>
  <c r="I393" i="1"/>
  <c r="I458" i="1"/>
  <c r="I523" i="1"/>
  <c r="I588" i="1"/>
  <c r="I716" i="1"/>
  <c r="I649" i="1"/>
  <c r="I783" i="1"/>
  <c r="I842" i="1"/>
  <c r="I910" i="1"/>
  <c r="I975" i="1"/>
  <c r="I1035" i="1"/>
  <c r="I1099" i="1"/>
  <c r="I1171" i="1"/>
  <c r="I1236" i="1"/>
  <c r="I1280" i="1"/>
  <c r="I1368" i="1"/>
  <c r="I1420" i="1"/>
  <c r="I1492" i="1"/>
  <c r="I1556" i="1"/>
  <c r="I1615" i="1"/>
  <c r="I264" i="1"/>
  <c r="I459" i="1"/>
  <c r="I524" i="1"/>
  <c r="I589" i="1"/>
  <c r="I650" i="1"/>
  <c r="I717" i="1"/>
  <c r="I784" i="1"/>
  <c r="I843" i="1"/>
  <c r="I911" i="1"/>
  <c r="I976" i="1"/>
  <c r="I1036" i="1"/>
  <c r="I1172" i="1"/>
  <c r="I1237" i="1"/>
  <c r="I1100" i="1"/>
  <c r="I1281" i="1"/>
  <c r="I1369" i="1"/>
  <c r="I1421" i="1"/>
  <c r="I1493" i="1"/>
  <c r="I1557" i="1"/>
  <c r="I1616" i="1"/>
  <c r="I208" i="1"/>
  <c r="I338" i="1"/>
  <c r="I403" i="1"/>
  <c r="I468" i="1"/>
  <c r="I533" i="1"/>
  <c r="I594" i="1"/>
  <c r="I787" i="1"/>
  <c r="I728" i="1"/>
  <c r="I855" i="1"/>
  <c r="I920" i="1"/>
  <c r="I1116" i="1"/>
  <c r="I1181" i="1"/>
  <c r="I1313" i="1"/>
  <c r="I1437" i="1"/>
  <c r="I1501" i="1"/>
  <c r="I225" i="1"/>
  <c r="I485" i="1"/>
  <c r="I420" i="1"/>
  <c r="I678" i="1"/>
  <c r="I550" i="1"/>
  <c r="I745" i="1"/>
  <c r="I804" i="1"/>
  <c r="I872" i="1"/>
  <c r="I937" i="1"/>
  <c r="I997" i="1"/>
  <c r="I1061" i="1"/>
  <c r="I1133" i="1"/>
  <c r="I1198" i="1"/>
  <c r="I1242" i="1"/>
  <c r="I1330" i="1"/>
  <c r="I1382" i="1"/>
  <c r="I1454" i="1"/>
  <c r="I1518" i="1"/>
  <c r="I1577" i="1"/>
  <c r="G228" i="1"/>
  <c r="G233" i="1"/>
  <c r="I1206" i="1"/>
  <c r="I246" i="1"/>
  <c r="I441" i="1"/>
  <c r="I506" i="1"/>
  <c r="I571" i="1"/>
  <c r="I632" i="1"/>
  <c r="I699" i="1"/>
  <c r="I766" i="1"/>
  <c r="I825" i="1"/>
  <c r="I958" i="1"/>
  <c r="I1018" i="1"/>
  <c r="I1082" i="1"/>
  <c r="I893" i="1"/>
  <c r="I1154" i="1"/>
  <c r="I1219" i="1"/>
  <c r="I1263" i="1"/>
  <c r="I1351" i="1"/>
  <c r="I1403" i="1"/>
  <c r="I1475" i="1"/>
  <c r="I1539" i="1"/>
  <c r="I1598" i="1"/>
  <c r="I250" i="1"/>
  <c r="I445" i="1"/>
  <c r="I510" i="1"/>
  <c r="I636" i="1"/>
  <c r="I703" i="1"/>
  <c r="I770" i="1"/>
  <c r="I829" i="1"/>
  <c r="I575" i="1"/>
  <c r="I962" i="1"/>
  <c r="I1022" i="1"/>
  <c r="I1086" i="1"/>
  <c r="I897" i="1"/>
  <c r="I1158" i="1"/>
  <c r="I1223" i="1"/>
  <c r="I1267" i="1"/>
  <c r="I1355" i="1"/>
  <c r="I1407" i="1"/>
  <c r="I1479" i="1"/>
  <c r="I1543" i="1"/>
  <c r="I1602" i="1"/>
  <c r="I251" i="1"/>
  <c r="I446" i="1"/>
  <c r="I511" i="1"/>
  <c r="I576" i="1"/>
  <c r="I704" i="1"/>
  <c r="I637" i="1"/>
  <c r="I771" i="1"/>
  <c r="I830" i="1"/>
  <c r="I898" i="1"/>
  <c r="I963" i="1"/>
  <c r="I1023" i="1"/>
  <c r="I1087" i="1"/>
  <c r="I1159" i="1"/>
  <c r="I1224" i="1"/>
  <c r="I1268" i="1"/>
  <c r="I1356" i="1"/>
  <c r="I1408" i="1"/>
  <c r="I1480" i="1"/>
  <c r="I1544" i="1"/>
  <c r="I1603" i="1"/>
  <c r="I265" i="1"/>
  <c r="I460" i="1"/>
  <c r="I525" i="1"/>
  <c r="I651" i="1"/>
  <c r="I718" i="1"/>
  <c r="I590" i="1"/>
  <c r="I785" i="1"/>
  <c r="I844" i="1"/>
  <c r="I912" i="1"/>
  <c r="I977" i="1"/>
  <c r="I1037" i="1"/>
  <c r="I1173" i="1"/>
  <c r="I1238" i="1"/>
  <c r="I1101" i="1"/>
  <c r="I1282" i="1"/>
  <c r="I1370" i="1"/>
  <c r="I1422" i="1"/>
  <c r="I1494" i="1"/>
  <c r="I1558" i="1"/>
  <c r="I1617" i="1"/>
  <c r="I654" i="1"/>
  <c r="I847" i="1"/>
  <c r="I980" i="1"/>
  <c r="I1040" i="1"/>
  <c r="I915" i="1"/>
  <c r="I1104" i="1"/>
  <c r="I1285" i="1"/>
  <c r="I1425" i="1"/>
  <c r="I1497" i="1"/>
  <c r="I1561" i="1"/>
  <c r="I1620" i="1"/>
  <c r="G232" i="1"/>
  <c r="I243" i="1"/>
  <c r="I438" i="1"/>
  <c r="I503" i="1"/>
  <c r="I568" i="1"/>
  <c r="I696" i="1"/>
  <c r="I629" i="1"/>
  <c r="I763" i="1"/>
  <c r="I822" i="1"/>
  <c r="I890" i="1"/>
  <c r="I955" i="1"/>
  <c r="I1015" i="1"/>
  <c r="I1079" i="1"/>
  <c r="I1151" i="1"/>
  <c r="I1216" i="1"/>
  <c r="I1260" i="1"/>
  <c r="I1348" i="1"/>
  <c r="I1400" i="1"/>
  <c r="I1472" i="1"/>
  <c r="I1536" i="1"/>
  <c r="I1595" i="1"/>
  <c r="I244" i="1"/>
  <c r="I439" i="1"/>
  <c r="I504" i="1"/>
  <c r="I569" i="1"/>
  <c r="I630" i="1"/>
  <c r="I697" i="1"/>
  <c r="I764" i="1"/>
  <c r="I823" i="1"/>
  <c r="I956" i="1"/>
  <c r="I1016" i="1"/>
  <c r="I891" i="1"/>
  <c r="I1080" i="1"/>
  <c r="I1152" i="1"/>
  <c r="I1217" i="1"/>
  <c r="I1349" i="1"/>
  <c r="I1401" i="1"/>
  <c r="I1473" i="1"/>
  <c r="I1537" i="1"/>
  <c r="I1596" i="1"/>
  <c r="I1261" i="1"/>
  <c r="I252" i="1"/>
  <c r="I447" i="1"/>
  <c r="I512" i="1"/>
  <c r="I577" i="1"/>
  <c r="I638" i="1"/>
  <c r="I705" i="1"/>
  <c r="I772" i="1"/>
  <c r="I831" i="1"/>
  <c r="I899" i="1"/>
  <c r="I964" i="1"/>
  <c r="I1024" i="1"/>
  <c r="I1160" i="1"/>
  <c r="I1225" i="1"/>
  <c r="I1088" i="1"/>
  <c r="I1357" i="1"/>
  <c r="I1409" i="1"/>
  <c r="I1481" i="1"/>
  <c r="I1545" i="1"/>
  <c r="I1604" i="1"/>
  <c r="I1269" i="1"/>
  <c r="I253" i="1"/>
  <c r="I448" i="1"/>
  <c r="I578" i="1"/>
  <c r="I639" i="1"/>
  <c r="I706" i="1"/>
  <c r="I513" i="1"/>
  <c r="I773" i="1"/>
  <c r="I832" i="1"/>
  <c r="I900" i="1"/>
  <c r="I965" i="1"/>
  <c r="I1025" i="1"/>
  <c r="I1161" i="1"/>
  <c r="I1226" i="1"/>
  <c r="I1089" i="1"/>
  <c r="I1358" i="1"/>
  <c r="I1410" i="1"/>
  <c r="I1482" i="1"/>
  <c r="I1546" i="1"/>
  <c r="I1605" i="1"/>
  <c r="I1270" i="1"/>
  <c r="I652" i="1"/>
  <c r="I719" i="1"/>
  <c r="I845" i="1"/>
  <c r="I978" i="1"/>
  <c r="I1038" i="1"/>
  <c r="I1102" i="1"/>
  <c r="I913" i="1"/>
  <c r="I1174" i="1"/>
  <c r="I1239" i="1"/>
  <c r="I1283" i="1"/>
  <c r="I1423" i="1"/>
  <c r="I1495" i="1"/>
  <c r="I1559" i="1"/>
  <c r="I1618" i="1"/>
  <c r="I140" i="1"/>
  <c r="I207" i="1"/>
  <c r="I402" i="1"/>
  <c r="I467" i="1"/>
  <c r="I532" i="1"/>
  <c r="I660" i="1"/>
  <c r="I727" i="1"/>
  <c r="I593" i="1"/>
  <c r="I786" i="1"/>
  <c r="I854" i="1"/>
  <c r="I919" i="1"/>
  <c r="I1115" i="1"/>
  <c r="I1180" i="1"/>
  <c r="I1312" i="1"/>
  <c r="I1436" i="1"/>
  <c r="I209" i="1"/>
  <c r="I469" i="1"/>
  <c r="I404" i="1"/>
  <c r="I595" i="1"/>
  <c r="I662" i="1"/>
  <c r="I729" i="1"/>
  <c r="I534" i="1"/>
  <c r="I788" i="1"/>
  <c r="I856" i="1"/>
  <c r="I921" i="1"/>
  <c r="I981" i="1"/>
  <c r="I1117" i="1"/>
  <c r="I1182" i="1"/>
  <c r="I1314" i="1"/>
  <c r="I1438" i="1"/>
  <c r="I1502" i="1"/>
  <c r="G227" i="1"/>
  <c r="G237" i="1"/>
  <c r="I432" i="1"/>
  <c r="I239" i="1"/>
  <c r="I434" i="1"/>
  <c r="I499" i="1"/>
  <c r="I564" i="1"/>
  <c r="I625" i="1"/>
  <c r="I692" i="1"/>
  <c r="I759" i="1"/>
  <c r="I818" i="1"/>
  <c r="I886" i="1"/>
  <c r="I951" i="1"/>
  <c r="I1011" i="1"/>
  <c r="I1075" i="1"/>
  <c r="I1147" i="1"/>
  <c r="I1212" i="1"/>
  <c r="I1256" i="1"/>
  <c r="I1344" i="1"/>
  <c r="I1396" i="1"/>
  <c r="I1468" i="1"/>
  <c r="I1532" i="1"/>
  <c r="I1591" i="1"/>
  <c r="I240" i="1"/>
  <c r="I435" i="1"/>
  <c r="I500" i="1"/>
  <c r="I565" i="1"/>
  <c r="I626" i="1"/>
  <c r="I693" i="1"/>
  <c r="I760" i="1"/>
  <c r="I819" i="1"/>
  <c r="I887" i="1"/>
  <c r="I952" i="1"/>
  <c r="I1012" i="1"/>
  <c r="I1148" i="1"/>
  <c r="I1213" i="1"/>
  <c r="I1076" i="1"/>
  <c r="I1257" i="1"/>
  <c r="I1345" i="1"/>
  <c r="I1397" i="1"/>
  <c r="I1469" i="1"/>
  <c r="I1533" i="1"/>
  <c r="I1592" i="1"/>
  <c r="G247" i="1"/>
  <c r="G260" i="1"/>
  <c r="G261" i="1"/>
  <c r="I456" i="1"/>
  <c r="I908" i="1"/>
  <c r="I850" i="1"/>
  <c r="I1043" i="1"/>
  <c r="I1107" i="1"/>
  <c r="I1288" i="1"/>
  <c r="I1428" i="1"/>
  <c r="I1500" i="1"/>
  <c r="I1564" i="1"/>
  <c r="I1623" i="1"/>
  <c r="I1044" i="1"/>
  <c r="I1108" i="1"/>
  <c r="I1289" i="1"/>
  <c r="I1429" i="1"/>
  <c r="I1565" i="1"/>
  <c r="I1624" i="1"/>
  <c r="I526" i="1"/>
  <c r="G201" i="1"/>
  <c r="I205" i="1"/>
  <c r="I465" i="1"/>
  <c r="I530" i="1"/>
  <c r="I591" i="1"/>
  <c r="I658" i="1"/>
  <c r="I725" i="1"/>
  <c r="I400" i="1"/>
  <c r="I852" i="1"/>
  <c r="I917" i="1"/>
  <c r="I1113" i="1"/>
  <c r="I1178" i="1"/>
  <c r="I1310" i="1"/>
  <c r="I211" i="1"/>
  <c r="I406" i="1"/>
  <c r="I471" i="1"/>
  <c r="I536" i="1"/>
  <c r="I597" i="1"/>
  <c r="I731" i="1"/>
  <c r="I664" i="1"/>
  <c r="I790" i="1"/>
  <c r="I858" i="1"/>
  <c r="I923" i="1"/>
  <c r="I983" i="1"/>
  <c r="I1047" i="1"/>
  <c r="I1119" i="1"/>
  <c r="I1184" i="1"/>
  <c r="I1316" i="1"/>
  <c r="I1440" i="1"/>
  <c r="I1504" i="1"/>
  <c r="I472" i="1"/>
  <c r="I791" i="1"/>
  <c r="I732" i="1"/>
  <c r="I149" i="1"/>
  <c r="I222" i="1"/>
  <c r="I417" i="1"/>
  <c r="I482" i="1"/>
  <c r="I547" i="1"/>
  <c r="I608" i="1"/>
  <c r="I675" i="1"/>
  <c r="I742" i="1"/>
  <c r="I801" i="1"/>
  <c r="I934" i="1"/>
  <c r="I994" i="1"/>
  <c r="I1058" i="1"/>
  <c r="I869" i="1"/>
  <c r="I1130" i="1"/>
  <c r="I1195" i="1"/>
  <c r="I1327" i="1"/>
  <c r="I1379" i="1"/>
  <c r="I1451" i="1"/>
  <c r="I1515" i="1"/>
  <c r="I1574" i="1"/>
  <c r="G224" i="1"/>
  <c r="G226" i="1"/>
  <c r="I425" i="1"/>
  <c r="G231" i="1"/>
  <c r="G242" i="1"/>
  <c r="I440" i="1"/>
  <c r="I505" i="1"/>
  <c r="G245" i="1"/>
  <c r="I765" i="1"/>
  <c r="G254" i="1"/>
  <c r="G255" i="1"/>
  <c r="G256" i="1"/>
  <c r="G257" i="1"/>
  <c r="I710" i="1"/>
  <c r="G258" i="1"/>
  <c r="G259" i="1"/>
  <c r="I653" i="1"/>
  <c r="CR36" i="19" l="1"/>
  <c r="CR79" i="19"/>
  <c r="CR24" i="19"/>
  <c r="CR18" i="19"/>
  <c r="CR40" i="19"/>
  <c r="CS40" i="19"/>
  <c r="CR8" i="19"/>
  <c r="CS8" i="19"/>
  <c r="CR47" i="19"/>
  <c r="CS47" i="19"/>
  <c r="CR39" i="19"/>
  <c r="CS39" i="19"/>
  <c r="CR9" i="19"/>
  <c r="CS9" i="19"/>
  <c r="CR38" i="19"/>
  <c r="CS38" i="19"/>
  <c r="CR4" i="19"/>
  <c r="CS15" i="19"/>
  <c r="CR51" i="19"/>
  <c r="CS51" i="19"/>
  <c r="CR27" i="19"/>
  <c r="CS27" i="19"/>
  <c r="CR59" i="19"/>
  <c r="CS59" i="19"/>
  <c r="CR78" i="19"/>
  <c r="CS78" i="19"/>
  <c r="CR48" i="19"/>
  <c r="CS48" i="19"/>
  <c r="CR30" i="19"/>
  <c r="CS30" i="19"/>
  <c r="CR80" i="19"/>
  <c r="CS80" i="19"/>
  <c r="CR64" i="19"/>
  <c r="CS64" i="19"/>
  <c r="CR33" i="19"/>
  <c r="CS33" i="19"/>
  <c r="T107" i="21"/>
  <c r="U107" i="21" s="1"/>
  <c r="CR14" i="19"/>
  <c r="CR26" i="19"/>
  <c r="CR95" i="19"/>
  <c r="CR85" i="19"/>
  <c r="CR87" i="19"/>
  <c r="CR89" i="19"/>
  <c r="CR100" i="19"/>
  <c r="CR11" i="19"/>
  <c r="CR12" i="19"/>
  <c r="CR94" i="19"/>
  <c r="CR84" i="19"/>
  <c r="CR31" i="19"/>
  <c r="CR52" i="19"/>
  <c r="CR13" i="19"/>
  <c r="CR44" i="19"/>
  <c r="CQ86" i="19"/>
  <c r="CQ37" i="19"/>
  <c r="CQ22" i="19"/>
  <c r="CR29" i="19"/>
  <c r="CR20" i="19"/>
  <c r="CR17" i="19"/>
  <c r="CR73" i="19"/>
  <c r="CR35" i="19"/>
  <c r="CR91" i="19"/>
  <c r="CR75" i="19"/>
  <c r="CR82" i="19"/>
  <c r="CR34" i="19"/>
  <c r="CR60" i="19"/>
  <c r="CH110" i="19"/>
  <c r="CR92" i="19"/>
  <c r="CR93" i="19"/>
  <c r="CR50" i="19"/>
  <c r="CR32" i="19"/>
  <c r="CR63" i="19"/>
  <c r="CR104" i="19"/>
  <c r="F1632" i="1"/>
  <c r="J193" i="1"/>
  <c r="K193" i="1" s="1"/>
  <c r="J114" i="1"/>
  <c r="K114" i="1" s="1"/>
  <c r="J162" i="1"/>
  <c r="K162" i="1" s="1"/>
  <c r="J190" i="1"/>
  <c r="K190" i="1" s="1"/>
  <c r="J107" i="1"/>
  <c r="K107" i="1" s="1"/>
  <c r="J317" i="1"/>
  <c r="J83" i="1"/>
  <c r="K83" i="1" s="1"/>
  <c r="J72" i="1"/>
  <c r="K72" i="1" s="1"/>
  <c r="J195" i="1"/>
  <c r="K195" i="1" s="1"/>
  <c r="J316" i="1"/>
  <c r="J273" i="1"/>
  <c r="K273" i="1" s="1"/>
  <c r="J76" i="1"/>
  <c r="K76" i="1" s="1"/>
  <c r="J75" i="1"/>
  <c r="K75" i="1" s="1"/>
  <c r="J71" i="1"/>
  <c r="J89" i="1"/>
  <c r="K89" i="1" s="1"/>
  <c r="J309" i="1"/>
  <c r="J138" i="1"/>
  <c r="K138" i="1" s="1"/>
  <c r="J394" i="1"/>
  <c r="J82" i="1"/>
  <c r="K82" i="1" s="1"/>
  <c r="J608" i="1"/>
  <c r="K608" i="1" s="1"/>
  <c r="J530" i="1"/>
  <c r="J239" i="1"/>
  <c r="K239" i="1" s="1"/>
  <c r="J404" i="1"/>
  <c r="K404" i="1" s="1"/>
  <c r="J832" i="1"/>
  <c r="J638" i="1"/>
  <c r="K638" i="1" s="1"/>
  <c r="J890" i="1"/>
  <c r="K890" i="1" s="1"/>
  <c r="J1356" i="1"/>
  <c r="K1356" i="1" s="1"/>
  <c r="J1475" i="1"/>
  <c r="K1475" i="1" s="1"/>
  <c r="J678" i="1"/>
  <c r="J1099" i="1"/>
  <c r="K1099" i="1" s="1"/>
  <c r="J220" i="1"/>
  <c r="K220" i="1" s="1"/>
  <c r="J1447" i="1"/>
  <c r="K1447" i="1" s="1"/>
  <c r="J91" i="1"/>
  <c r="K91" i="1" s="1"/>
  <c r="J1186" i="1"/>
  <c r="K1186" i="1" s="1"/>
  <c r="J151" i="1"/>
  <c r="K151" i="1" s="1"/>
  <c r="J723" i="1"/>
  <c r="K723" i="1" s="1"/>
  <c r="J290" i="1"/>
  <c r="K290" i="1" s="1"/>
  <c r="J352" i="1"/>
  <c r="K352" i="1" s="1"/>
  <c r="J116" i="1"/>
  <c r="J759" i="1"/>
  <c r="K759" i="1" s="1"/>
  <c r="J339" i="1"/>
  <c r="J1269" i="1"/>
  <c r="K1269" i="1" s="1"/>
  <c r="J504" i="1"/>
  <c r="K504" i="1" s="1"/>
  <c r="J912" i="1"/>
  <c r="K912" i="1" s="1"/>
  <c r="J1403" i="1"/>
  <c r="K1403" i="1" s="1"/>
  <c r="J958" i="1"/>
  <c r="J376" i="1"/>
  <c r="K376" i="1" s="1"/>
  <c r="J1577" i="1"/>
  <c r="K1577" i="1" s="1"/>
  <c r="J1061" i="1"/>
  <c r="K1061" i="1" s="1"/>
  <c r="J420" i="1"/>
  <c r="J1501" i="1"/>
  <c r="K1501" i="1" s="1"/>
  <c r="J920" i="1"/>
  <c r="K920" i="1" s="1"/>
  <c r="J338" i="1"/>
  <c r="K338" i="1" s="1"/>
  <c r="J1100" i="1"/>
  <c r="J717" i="1"/>
  <c r="K717" i="1" s="1"/>
  <c r="J1556" i="1"/>
  <c r="K1556" i="1" s="1"/>
  <c r="J1035" i="1"/>
  <c r="K1035" i="1" s="1"/>
  <c r="J523" i="1"/>
  <c r="J1367" i="1"/>
  <c r="K1367" i="1" s="1"/>
  <c r="J587" i="1"/>
  <c r="K587" i="1" s="1"/>
  <c r="J262" i="1"/>
  <c r="K262" i="1" s="1"/>
  <c r="J1157" i="1"/>
  <c r="J702" i="1"/>
  <c r="K702" i="1" s="1"/>
  <c r="J1405" i="1"/>
  <c r="K1405" i="1" s="1"/>
  <c r="J827" i="1"/>
  <c r="K827" i="1" s="1"/>
  <c r="J248" i="1"/>
  <c r="J1377" i="1"/>
  <c r="K1377" i="1" s="1"/>
  <c r="J740" i="1"/>
  <c r="K740" i="1" s="1"/>
  <c r="J1571" i="1"/>
  <c r="K1571" i="1" s="1"/>
  <c r="J1055" i="1"/>
  <c r="J479" i="1"/>
  <c r="K479" i="1" s="1"/>
  <c r="J1375" i="1"/>
  <c r="K1375" i="1" s="1"/>
  <c r="J797" i="1"/>
  <c r="K797" i="1" s="1"/>
  <c r="J143" i="1"/>
  <c r="J1112" i="1"/>
  <c r="K1112" i="1" s="1"/>
  <c r="J1467" i="1"/>
  <c r="J950" i="1"/>
  <c r="K950" i="1" s="1"/>
  <c r="J368" i="1"/>
  <c r="K368" i="1" s="1"/>
  <c r="J416" i="1"/>
  <c r="K416" i="1" s="1"/>
  <c r="L416" i="1" s="1"/>
  <c r="S12" i="5" s="1"/>
  <c r="J1446" i="1"/>
  <c r="J737" i="1"/>
  <c r="K737" i="1" s="1"/>
  <c r="J1189" i="1"/>
  <c r="K1189" i="1" s="1"/>
  <c r="J602" i="1"/>
  <c r="K602" i="1" s="1"/>
  <c r="J1372" i="1"/>
  <c r="J862" i="1"/>
  <c r="K862" i="1" s="1"/>
  <c r="J215" i="1"/>
  <c r="K215" i="1" s="1"/>
  <c r="J1121" i="1"/>
  <c r="K1121" i="1" s="1"/>
  <c r="J666" i="1"/>
  <c r="J401" i="1"/>
  <c r="K401" i="1" s="1"/>
  <c r="J1253" i="1"/>
  <c r="K1253" i="1" s="1"/>
  <c r="J1072" i="1"/>
  <c r="J561" i="1"/>
  <c r="K561" i="1" s="1"/>
  <c r="J861" i="1"/>
  <c r="K861" i="1" s="1"/>
  <c r="J409" i="1"/>
  <c r="J922" i="1"/>
  <c r="K922" i="1" s="1"/>
  <c r="J340" i="1"/>
  <c r="K340" i="1" s="1"/>
  <c r="J1176" i="1"/>
  <c r="J656" i="1"/>
  <c r="K656" i="1" s="1"/>
  <c r="J671" i="1"/>
  <c r="K671" i="1" s="1"/>
  <c r="J669" i="1"/>
  <c r="J196" i="1"/>
  <c r="K196" i="1" s="1"/>
  <c r="J133" i="1"/>
  <c r="J120" i="1"/>
  <c r="K120" i="1" s="1"/>
  <c r="J181" i="1"/>
  <c r="K181" i="1" s="1"/>
  <c r="J167" i="1"/>
  <c r="K167" i="1" s="1"/>
  <c r="J93" i="1"/>
  <c r="J344" i="1"/>
  <c r="K344" i="1" s="1"/>
  <c r="J105" i="1"/>
  <c r="K105" i="1" s="1"/>
  <c r="J1344" i="1"/>
  <c r="K1344" i="1" s="1"/>
  <c r="J895" i="1"/>
  <c r="K895" i="1" s="1"/>
  <c r="J1268" i="1"/>
  <c r="K1268" i="1" s="1"/>
  <c r="J1574" i="1"/>
  <c r="K1574" i="1" s="1"/>
  <c r="J1058" i="1"/>
  <c r="K1058" i="1" s="1"/>
  <c r="J482" i="1"/>
  <c r="J1047" i="1"/>
  <c r="K1047" i="1" s="1"/>
  <c r="J536" i="1"/>
  <c r="K536" i="1" s="1"/>
  <c r="J852" i="1"/>
  <c r="K852" i="1" s="1"/>
  <c r="J205" i="1"/>
  <c r="K205" i="1" s="1"/>
  <c r="J1500" i="1"/>
  <c r="K1500" i="1" s="1"/>
  <c r="J326" i="1"/>
  <c r="J1397" i="1"/>
  <c r="K1397" i="1" s="1"/>
  <c r="J887" i="1"/>
  <c r="K887" i="1" s="1"/>
  <c r="J305" i="1"/>
  <c r="K305" i="1" s="1"/>
  <c r="J1212" i="1"/>
  <c r="J692" i="1"/>
  <c r="K692" i="1" s="1"/>
  <c r="J1438" i="1"/>
  <c r="K1438" i="1" s="1"/>
  <c r="J856" i="1"/>
  <c r="K856" i="1" s="1"/>
  <c r="J469" i="1"/>
  <c r="J593" i="1"/>
  <c r="K593" i="1" s="1"/>
  <c r="J1283" i="1"/>
  <c r="K1283" i="1" s="1"/>
  <c r="J1089" i="1"/>
  <c r="K1089" i="1" s="1"/>
  <c r="J513" i="1"/>
  <c r="K513" i="1" s="1"/>
  <c r="J1604" i="1"/>
  <c r="K1604" i="1" s="1"/>
  <c r="J1024" i="1"/>
  <c r="J512" i="1"/>
  <c r="K512" i="1" s="1"/>
  <c r="J1537" i="1"/>
  <c r="K1537" i="1" s="1"/>
  <c r="J1016" i="1"/>
  <c r="K1016" i="1" s="1"/>
  <c r="J439" i="1"/>
  <c r="J1260" i="1"/>
  <c r="K1260" i="1" s="1"/>
  <c r="J763" i="1"/>
  <c r="K763" i="1" s="1"/>
  <c r="J1620" i="1"/>
  <c r="K1620" i="1" s="1"/>
  <c r="J1104" i="1"/>
  <c r="K1104" i="1" s="1"/>
  <c r="J1370" i="1"/>
  <c r="K1370" i="1" s="1"/>
  <c r="J844" i="1"/>
  <c r="K844" i="1" s="1"/>
  <c r="J265" i="1"/>
  <c r="K265" i="1" s="1"/>
  <c r="J1224" i="1"/>
  <c r="J637" i="1"/>
  <c r="K637" i="1" s="1"/>
  <c r="J1543" i="1"/>
  <c r="K1543" i="1" s="1"/>
  <c r="J1086" i="1"/>
  <c r="K1086" i="1" s="1"/>
  <c r="J510" i="1"/>
  <c r="J1351" i="1"/>
  <c r="K1351" i="1" s="1"/>
  <c r="J825" i="1"/>
  <c r="K825" i="1" s="1"/>
  <c r="J311" i="1"/>
  <c r="K311" i="1" s="1"/>
  <c r="J1518" i="1"/>
  <c r="J997" i="1"/>
  <c r="K997" i="1" s="1"/>
  <c r="J485" i="1"/>
  <c r="K485" i="1" s="1"/>
  <c r="J1437" i="1"/>
  <c r="K1437" i="1" s="1"/>
  <c r="L1437" i="1" s="1"/>
  <c r="J855" i="1"/>
  <c r="J1237" i="1"/>
  <c r="K1237" i="1" s="1"/>
  <c r="J650" i="1"/>
  <c r="K650" i="1" s="1"/>
  <c r="J1492" i="1"/>
  <c r="K1492" i="1" s="1"/>
  <c r="J975" i="1"/>
  <c r="J458" i="1"/>
  <c r="K458" i="1" s="1"/>
  <c r="J1279" i="1"/>
  <c r="K1279" i="1" s="1"/>
  <c r="J841" i="1"/>
  <c r="K841" i="1" s="1"/>
  <c r="J1266" i="1"/>
  <c r="J1085" i="1"/>
  <c r="K1085" i="1" s="1"/>
  <c r="J509" i="1"/>
  <c r="K509" i="1" s="1"/>
  <c r="J1353" i="1"/>
  <c r="K1353" i="1" s="1"/>
  <c r="J768" i="1"/>
  <c r="J1325" i="1"/>
  <c r="K1325" i="1" s="1"/>
  <c r="J799" i="1"/>
  <c r="K799" i="1" s="1"/>
  <c r="J1512" i="1"/>
  <c r="K1512" i="1" s="1"/>
  <c r="J991" i="1"/>
  <c r="J414" i="1"/>
  <c r="K414" i="1" s="1"/>
  <c r="J1323" i="1"/>
  <c r="K1323" i="1" s="1"/>
  <c r="J738" i="1"/>
  <c r="K738" i="1" s="1"/>
  <c r="J529" i="1"/>
  <c r="K529" i="1" s="1"/>
  <c r="J1307" i="1"/>
  <c r="K1307" i="1" s="1"/>
  <c r="J202" i="1"/>
  <c r="K202" i="1" s="1"/>
  <c r="J1395" i="1"/>
  <c r="J817" i="1"/>
  <c r="K817" i="1" s="1"/>
  <c r="J303" i="1"/>
  <c r="K303" i="1" s="1"/>
  <c r="J1374" i="1"/>
  <c r="K1374" i="1" s="1"/>
  <c r="J864" i="1"/>
  <c r="J1630" i="1"/>
  <c r="K1630" i="1" s="1"/>
  <c r="J152" i="1"/>
  <c r="K152" i="1" s="1"/>
  <c r="J1124" i="1"/>
  <c r="K1124" i="1" s="1"/>
  <c r="J541" i="1"/>
  <c r="K541" i="1" s="1"/>
  <c r="J1320" i="1"/>
  <c r="J794" i="1"/>
  <c r="K794" i="1" s="1"/>
  <c r="J1049" i="1"/>
  <c r="K1049" i="1" s="1"/>
  <c r="J599" i="1"/>
  <c r="J918" i="1"/>
  <c r="K918" i="1" s="1"/>
  <c r="J206" i="1"/>
  <c r="K206" i="1" s="1"/>
  <c r="J1588" i="1"/>
  <c r="K1588" i="1" s="1"/>
  <c r="J1008" i="1"/>
  <c r="J496" i="1"/>
  <c r="K496" i="1" s="1"/>
  <c r="J1566" i="1"/>
  <c r="K1566" i="1" s="1"/>
  <c r="J1050" i="1"/>
  <c r="K1050" i="1" s="1"/>
  <c r="J474" i="1"/>
  <c r="J1315" i="1"/>
  <c r="K1315" i="1" s="1"/>
  <c r="J789" i="1"/>
  <c r="K789" i="1" s="1"/>
  <c r="J210" i="1"/>
  <c r="K210" i="1" s="1"/>
  <c r="J1111" i="1"/>
  <c r="J86" i="1"/>
  <c r="K86" i="1" s="1"/>
  <c r="J192" i="1"/>
  <c r="K192" i="1" s="1"/>
  <c r="J187" i="1"/>
  <c r="K187" i="1" s="1"/>
  <c r="J185" i="1"/>
  <c r="K185" i="1" s="1"/>
  <c r="J391" i="1"/>
  <c r="K391" i="1" s="1"/>
  <c r="J118" i="1"/>
  <c r="K118" i="1" s="1"/>
  <c r="J110" i="1"/>
  <c r="K110" i="1" s="1"/>
  <c r="J104" i="1"/>
  <c r="J163" i="1"/>
  <c r="K163" i="1" s="1"/>
  <c r="J279" i="1"/>
  <c r="K279" i="1" s="1"/>
  <c r="J115" i="1"/>
  <c r="K115" i="1" s="1"/>
  <c r="J337" i="1"/>
  <c r="J170" i="1"/>
  <c r="K170" i="1" s="1"/>
  <c r="J156" i="1"/>
  <c r="K156" i="1" s="1"/>
  <c r="J329" i="1"/>
  <c r="J166" i="1"/>
  <c r="K166" i="1" s="1"/>
  <c r="J106" i="1"/>
  <c r="K106" i="1" s="1"/>
  <c r="J381" i="1"/>
  <c r="K381" i="1" s="1"/>
  <c r="J171" i="1"/>
  <c r="K171" i="1" s="1"/>
  <c r="J355" i="1"/>
  <c r="J80" i="1"/>
  <c r="K80" i="1" s="1"/>
  <c r="J108" i="1"/>
  <c r="J315" i="1"/>
  <c r="K315" i="1" s="1"/>
  <c r="J81" i="1"/>
  <c r="J73" i="1"/>
  <c r="K73" i="1" s="1"/>
  <c r="J1184" i="1"/>
  <c r="K1184" i="1" s="1"/>
  <c r="J854" i="1"/>
  <c r="J978" i="1"/>
  <c r="K978" i="1" s="1"/>
  <c r="J1261" i="1"/>
  <c r="K1261" i="1" s="1"/>
  <c r="J251" i="1"/>
  <c r="J1419" i="1"/>
  <c r="K1419" i="1" s="1"/>
  <c r="J1477" i="1"/>
  <c r="K1477" i="1" s="1"/>
  <c r="J1127" i="1"/>
  <c r="K1127" i="1" s="1"/>
  <c r="J865" i="1"/>
  <c r="J1010" i="1"/>
  <c r="K1010" i="1" s="1"/>
  <c r="J929" i="1"/>
  <c r="K929" i="1" s="1"/>
  <c r="J1321" i="1"/>
  <c r="K1321" i="1" s="1"/>
  <c r="J538" i="1"/>
  <c r="K538" i="1" s="1"/>
  <c r="J466" i="1"/>
  <c r="K466" i="1" s="1"/>
  <c r="J622" i="1"/>
  <c r="J470" i="1"/>
  <c r="K470" i="1" s="1"/>
  <c r="J125" i="1"/>
  <c r="K125" i="1" s="1"/>
  <c r="J130" i="1"/>
  <c r="K130" i="1" s="1"/>
  <c r="J1119" i="1"/>
  <c r="K1119" i="1" s="1"/>
  <c r="J465" i="1"/>
  <c r="K465" i="1" s="1"/>
  <c r="J1564" i="1"/>
  <c r="K1564" i="1" s="1"/>
  <c r="J1256" i="1"/>
  <c r="J140" i="1"/>
  <c r="K140" i="1" s="1"/>
  <c r="J845" i="1"/>
  <c r="K845" i="1" s="1"/>
  <c r="J243" i="1"/>
  <c r="K243" i="1" s="1"/>
  <c r="J636" i="1"/>
  <c r="J1515" i="1"/>
  <c r="K1515" i="1" s="1"/>
  <c r="J994" i="1"/>
  <c r="K994" i="1" s="1"/>
  <c r="J417" i="1"/>
  <c r="K417" i="1" s="1"/>
  <c r="J1504" i="1"/>
  <c r="J983" i="1"/>
  <c r="K983" i="1" s="1"/>
  <c r="J471" i="1"/>
  <c r="K471" i="1" s="1"/>
  <c r="J1428" i="1"/>
  <c r="K1428" i="1" s="1"/>
  <c r="J456" i="1"/>
  <c r="K456" i="1" s="1"/>
  <c r="J1345" i="1"/>
  <c r="K1345" i="1" s="1"/>
  <c r="L1345" i="1" s="1"/>
  <c r="J819" i="1"/>
  <c r="J240" i="1"/>
  <c r="K240" i="1" s="1"/>
  <c r="J1147" i="1"/>
  <c r="K1147" i="1" s="1"/>
  <c r="J625" i="1"/>
  <c r="K625" i="1" s="1"/>
  <c r="L625" i="1" s="1"/>
  <c r="J788" i="1"/>
  <c r="K788" i="1" s="1"/>
  <c r="J274" i="1"/>
  <c r="K274" i="1" s="1"/>
  <c r="J1180" i="1"/>
  <c r="K1180" i="1" s="1"/>
  <c r="J727" i="1"/>
  <c r="J1239" i="1"/>
  <c r="K1239" i="1" s="1"/>
  <c r="J1226" i="1"/>
  <c r="K1226" i="1" s="1"/>
  <c r="J706" i="1"/>
  <c r="J1545" i="1"/>
  <c r="K1545" i="1" s="1"/>
  <c r="J964" i="1"/>
  <c r="K964" i="1" s="1"/>
  <c r="J447" i="1"/>
  <c r="K447" i="1" s="1"/>
  <c r="J1473" i="1"/>
  <c r="J956" i="1"/>
  <c r="K956" i="1" s="1"/>
  <c r="J1216" i="1"/>
  <c r="K1216" i="1" s="1"/>
  <c r="J629" i="1"/>
  <c r="K629" i="1" s="1"/>
  <c r="J1561" i="1"/>
  <c r="K1561" i="1" s="1"/>
  <c r="J915" i="1"/>
  <c r="K915" i="1" s="1"/>
  <c r="J1282" i="1"/>
  <c r="K1282" i="1" s="1"/>
  <c r="J785" i="1"/>
  <c r="K785" i="1" s="1"/>
  <c r="J1159" i="1"/>
  <c r="K1159" i="1" s="1"/>
  <c r="J704" i="1"/>
  <c r="J1479" i="1"/>
  <c r="K1479" i="1" s="1"/>
  <c r="J1022" i="1"/>
  <c r="K1022" i="1" s="1"/>
  <c r="J445" i="1"/>
  <c r="K445" i="1" s="1"/>
  <c r="J1263" i="1"/>
  <c r="J766" i="1"/>
  <c r="K766" i="1" s="1"/>
  <c r="J246" i="1"/>
  <c r="K246" i="1" s="1"/>
  <c r="J1454" i="1"/>
  <c r="K1454" i="1" s="1"/>
  <c r="J937" i="1"/>
  <c r="J225" i="1"/>
  <c r="K225" i="1" s="1"/>
  <c r="J728" i="1"/>
  <c r="K728" i="1" s="1"/>
  <c r="J208" i="1"/>
  <c r="J1616" i="1"/>
  <c r="K1616" i="1" s="1"/>
  <c r="J1172" i="1"/>
  <c r="K1172" i="1" s="1"/>
  <c r="J589" i="1"/>
  <c r="K589" i="1" s="1"/>
  <c r="J1420" i="1"/>
  <c r="J910" i="1"/>
  <c r="K910" i="1" s="1"/>
  <c r="J393" i="1"/>
  <c r="K393" i="1" s="1"/>
  <c r="J1235" i="1"/>
  <c r="K1235" i="1" s="1"/>
  <c r="J782" i="1"/>
  <c r="J1601" i="1"/>
  <c r="K1601" i="1" s="1"/>
  <c r="J1021" i="1"/>
  <c r="K1021" i="1" s="1"/>
  <c r="J444" i="1"/>
  <c r="K444" i="1" s="1"/>
  <c r="J1084" i="1"/>
  <c r="J701" i="1"/>
  <c r="K701" i="1" s="1"/>
  <c r="J1193" i="1"/>
  <c r="K1193" i="1" s="1"/>
  <c r="J673" i="1"/>
  <c r="K673" i="1" s="1"/>
  <c r="J1448" i="1"/>
  <c r="J931" i="1"/>
  <c r="K931" i="1" s="1"/>
  <c r="J349" i="1"/>
  <c r="K349" i="1" s="1"/>
  <c r="J1191" i="1"/>
  <c r="K1191" i="1" s="1"/>
  <c r="J604" i="1"/>
  <c r="J464" i="1"/>
  <c r="K464" i="1" s="1"/>
  <c r="J722" i="1"/>
  <c r="K722" i="1" s="1"/>
  <c r="J1302" i="1"/>
  <c r="K1302" i="1" s="1"/>
  <c r="J121" i="1"/>
  <c r="J1343" i="1"/>
  <c r="K1343" i="1" s="1"/>
  <c r="J758" i="1"/>
  <c r="K758" i="1" s="1"/>
  <c r="J238" i="1"/>
  <c r="K238" i="1" s="1"/>
  <c r="J155" i="1"/>
  <c r="J1322" i="1"/>
  <c r="K1322" i="1" s="1"/>
  <c r="J796" i="1"/>
  <c r="K796" i="1" s="1"/>
  <c r="J863" i="1"/>
  <c r="J476" i="1"/>
  <c r="K476" i="1" s="1"/>
  <c r="J601" i="1"/>
  <c r="K601" i="1" s="1"/>
  <c r="J985" i="1"/>
  <c r="K985" i="1" s="1"/>
  <c r="J408" i="1"/>
  <c r="K408" i="1" s="1"/>
  <c r="J1311" i="1"/>
  <c r="K1311" i="1" s="1"/>
  <c r="J1529" i="1"/>
  <c r="K1529" i="1" s="1"/>
  <c r="J948" i="1"/>
  <c r="J431" i="1"/>
  <c r="K431" i="1" s="1"/>
  <c r="J1507" i="1"/>
  <c r="K1507" i="1" s="1"/>
  <c r="J986" i="1"/>
  <c r="K986" i="1" s="1"/>
  <c r="J214" i="1"/>
  <c r="J730" i="1"/>
  <c r="K730" i="1" s="1"/>
  <c r="J528" i="1"/>
  <c r="K528" i="1" s="1"/>
  <c r="J94" i="1"/>
  <c r="K94" i="1" s="1"/>
  <c r="J101" i="1"/>
  <c r="J165" i="1"/>
  <c r="K165" i="1" s="1"/>
  <c r="J177" i="1"/>
  <c r="K177" i="1" s="1"/>
  <c r="J635" i="1"/>
  <c r="K635" i="1" s="1"/>
  <c r="J670" i="1"/>
  <c r="J661" i="1"/>
  <c r="K661" i="1" s="1"/>
  <c r="J314" i="1"/>
  <c r="K314" i="1" s="1"/>
  <c r="J178" i="1"/>
  <c r="J199" i="1"/>
  <c r="J126" i="1"/>
  <c r="K126" i="1" s="1"/>
  <c r="J124" i="1"/>
  <c r="K124" i="1" s="1"/>
  <c r="J122" i="1"/>
  <c r="K122" i="1" s="1"/>
  <c r="J109" i="1"/>
  <c r="J160" i="1"/>
  <c r="K160" i="1" s="1"/>
  <c r="J169" i="1"/>
  <c r="K169" i="1" s="1"/>
  <c r="J85" i="1"/>
  <c r="J194" i="1"/>
  <c r="K194" i="1" s="1"/>
  <c r="J284" i="1"/>
  <c r="K284" i="1" s="1"/>
  <c r="J176" i="1"/>
  <c r="K176" i="1" s="1"/>
  <c r="J348" i="1"/>
  <c r="J191" i="1"/>
  <c r="K191" i="1" s="1"/>
  <c r="J336" i="1"/>
  <c r="K336" i="1" s="1"/>
  <c r="J78" i="1"/>
  <c r="K78" i="1" s="1"/>
  <c r="J472" i="1"/>
  <c r="K472" i="1" s="1"/>
  <c r="J818" i="1"/>
  <c r="K818" i="1" s="1"/>
  <c r="J569" i="1"/>
  <c r="K569" i="1" s="1"/>
  <c r="J977" i="1"/>
  <c r="K977" i="1" s="1"/>
  <c r="J403" i="1"/>
  <c r="K403" i="1" s="1"/>
  <c r="J974" i="1"/>
  <c r="K974" i="1" s="1"/>
  <c r="J378" i="1"/>
  <c r="J1510" i="1"/>
  <c r="K1510" i="1" s="1"/>
  <c r="J1444" i="1"/>
  <c r="K1444" i="1" s="1"/>
  <c r="J600" i="1"/>
  <c r="K600" i="1" s="1"/>
  <c r="J145" i="1"/>
  <c r="K145" i="1" s="1"/>
  <c r="J132" i="1"/>
  <c r="K132" i="1" s="1"/>
  <c r="J952" i="1"/>
  <c r="K952" i="1" s="1"/>
  <c r="J432" i="1"/>
  <c r="K432" i="1" s="1"/>
  <c r="J921" i="1"/>
  <c r="J786" i="1"/>
  <c r="K786" i="1" s="1"/>
  <c r="J773" i="1"/>
  <c r="K773" i="1" s="1"/>
  <c r="J577" i="1"/>
  <c r="J1596" i="1"/>
  <c r="K1596" i="1" s="1"/>
  <c r="J891" i="1"/>
  <c r="K891" i="1" s="1"/>
  <c r="J822" i="1"/>
  <c r="K822" i="1" s="1"/>
  <c r="J1422" i="1"/>
  <c r="K1422" i="1" s="1"/>
  <c r="J1602" i="1"/>
  <c r="K1602" i="1" s="1"/>
  <c r="J765" i="1"/>
  <c r="K765" i="1" s="1"/>
  <c r="J425" i="1"/>
  <c r="J1451" i="1"/>
  <c r="K1451" i="1" s="1"/>
  <c r="J934" i="1"/>
  <c r="K934" i="1" s="1"/>
  <c r="J222" i="1"/>
  <c r="K222" i="1" s="1"/>
  <c r="J1440" i="1"/>
  <c r="J923" i="1"/>
  <c r="K923" i="1" s="1"/>
  <c r="J406" i="1"/>
  <c r="K406" i="1" s="1"/>
  <c r="J1310" i="1"/>
  <c r="K1310" i="1" s="1"/>
  <c r="J400" i="1"/>
  <c r="J526" i="1"/>
  <c r="K526" i="1" s="1"/>
  <c r="J1624" i="1"/>
  <c r="K1624" i="1" s="1"/>
  <c r="J1108" i="1"/>
  <c r="K1108" i="1" s="1"/>
  <c r="J850" i="1"/>
  <c r="K850" i="1" s="1"/>
  <c r="J1257" i="1"/>
  <c r="J760" i="1"/>
  <c r="K760" i="1" s="1"/>
  <c r="J1591" i="1"/>
  <c r="K1591" i="1" s="1"/>
  <c r="J1075" i="1"/>
  <c r="K1075" i="1" s="1"/>
  <c r="J564" i="1"/>
  <c r="J1314" i="1"/>
  <c r="K1314" i="1" s="1"/>
  <c r="J534" i="1"/>
  <c r="K534" i="1" s="1"/>
  <c r="J209" i="1"/>
  <c r="K209" i="1" s="1"/>
  <c r="J1115" i="1"/>
  <c r="J660" i="1"/>
  <c r="K660" i="1" s="1"/>
  <c r="J1174" i="1"/>
  <c r="K1174" i="1" s="1"/>
  <c r="J719" i="1"/>
  <c r="K719" i="1" s="1"/>
  <c r="J1270" i="1"/>
  <c r="J1161" i="1"/>
  <c r="K1161" i="1" s="1"/>
  <c r="J639" i="1"/>
  <c r="K639" i="1" s="1"/>
  <c r="J1481" i="1"/>
  <c r="K1481" i="1" s="1"/>
  <c r="J899" i="1"/>
  <c r="J382" i="1"/>
  <c r="K382" i="1" s="1"/>
  <c r="J1401" i="1"/>
  <c r="K1401" i="1" s="1"/>
  <c r="J823" i="1"/>
  <c r="K823" i="1" s="1"/>
  <c r="J244" i="1"/>
  <c r="J1151" i="1"/>
  <c r="K1151" i="1" s="1"/>
  <c r="J696" i="1"/>
  <c r="K696" i="1" s="1"/>
  <c r="J1497" i="1"/>
  <c r="K1497" i="1" s="1"/>
  <c r="J1040" i="1"/>
  <c r="K1040" i="1" s="1"/>
  <c r="J1101" i="1"/>
  <c r="K1101" i="1" s="1"/>
  <c r="J590" i="1"/>
  <c r="J1603" i="1"/>
  <c r="K1603" i="1" s="1"/>
  <c r="J1087" i="1"/>
  <c r="K1087" i="1" s="1"/>
  <c r="J576" i="1"/>
  <c r="K576" i="1" s="1"/>
  <c r="J1407" i="1"/>
  <c r="J962" i="1"/>
  <c r="K962" i="1" s="1"/>
  <c r="J250" i="1"/>
  <c r="K250" i="1" s="1"/>
  <c r="J1219" i="1"/>
  <c r="K1219" i="1" s="1"/>
  <c r="J699" i="1"/>
  <c r="J103" i="1"/>
  <c r="K103" i="1" s="1"/>
  <c r="J1382" i="1"/>
  <c r="K1382" i="1" s="1"/>
  <c r="J872" i="1"/>
  <c r="K872" i="1" s="1"/>
  <c r="J159" i="1"/>
  <c r="J1313" i="1"/>
  <c r="K1313" i="1" s="1"/>
  <c r="J787" i="1"/>
  <c r="K787" i="1" s="1"/>
  <c r="J1557" i="1"/>
  <c r="J1036" i="1"/>
  <c r="K1036" i="1" s="1"/>
  <c r="J524" i="1"/>
  <c r="K524" i="1" s="1"/>
  <c r="J1368" i="1"/>
  <c r="K1368" i="1" s="1"/>
  <c r="J842" i="1"/>
  <c r="J263" i="1"/>
  <c r="K263" i="1" s="1"/>
  <c r="J1170" i="1"/>
  <c r="K1170" i="1" s="1"/>
  <c r="J715" i="1"/>
  <c r="K715" i="1" s="1"/>
  <c r="J1542" i="1"/>
  <c r="J961" i="1"/>
  <c r="K961" i="1" s="1"/>
  <c r="J249" i="1"/>
  <c r="K249" i="1" s="1"/>
  <c r="J1221" i="1"/>
  <c r="K1221" i="1" s="1"/>
  <c r="J634" i="1"/>
  <c r="J1128" i="1"/>
  <c r="K1128" i="1" s="1"/>
  <c r="J545" i="1"/>
  <c r="K545" i="1" s="1"/>
  <c r="J1376" i="1"/>
  <c r="K1376" i="1" s="1"/>
  <c r="J866" i="1"/>
  <c r="K866" i="1" s="1"/>
  <c r="J219" i="1"/>
  <c r="K219" i="1" s="1"/>
  <c r="J1126" i="1"/>
  <c r="K1126" i="1" s="1"/>
  <c r="J543" i="1"/>
  <c r="K543" i="1" s="1"/>
  <c r="J916" i="1"/>
  <c r="K916" i="1" s="1"/>
  <c r="J399" i="1"/>
  <c r="K399" i="1" s="1"/>
  <c r="J119" i="1"/>
  <c r="K119" i="1" s="1"/>
  <c r="J1211" i="1"/>
  <c r="K1211" i="1" s="1"/>
  <c r="J563" i="1"/>
  <c r="K563" i="1" s="1"/>
  <c r="J154" i="1"/>
  <c r="K154" i="1" s="1"/>
  <c r="J1190" i="1"/>
  <c r="K1190" i="1" s="1"/>
  <c r="J603" i="1"/>
  <c r="K603" i="1" s="1"/>
  <c r="J1298" i="1"/>
  <c r="K1298" i="1" s="1"/>
  <c r="J1568" i="1"/>
  <c r="K1568" i="1" s="1"/>
  <c r="J1052" i="1"/>
  <c r="K1052" i="1" s="1"/>
  <c r="J411" i="1"/>
  <c r="K411" i="1" s="1"/>
  <c r="J1188" i="1"/>
  <c r="K1188" i="1" s="1"/>
  <c r="J735" i="1"/>
  <c r="K735" i="1" s="1"/>
  <c r="J1506" i="1"/>
  <c r="K1506" i="1" s="1"/>
  <c r="J925" i="1"/>
  <c r="K925" i="1" s="1"/>
  <c r="J473" i="1"/>
  <c r="K473" i="1" s="1"/>
  <c r="J726" i="1"/>
  <c r="K726" i="1" s="1"/>
  <c r="J1465" i="1"/>
  <c r="K1465" i="1" s="1"/>
  <c r="J883" i="1"/>
  <c r="K883" i="1" s="1"/>
  <c r="J236" i="1"/>
  <c r="K236" i="1" s="1"/>
  <c r="J1443" i="1"/>
  <c r="K1443" i="1" s="1"/>
  <c r="J926" i="1"/>
  <c r="K926" i="1" s="1"/>
  <c r="J148" i="1"/>
  <c r="K148" i="1" s="1"/>
  <c r="J1183" i="1"/>
  <c r="K1183" i="1" s="1"/>
  <c r="J663" i="1"/>
  <c r="K663" i="1" s="1"/>
  <c r="J463" i="1"/>
  <c r="K463" i="1" s="1"/>
  <c r="J90" i="1"/>
  <c r="K90" i="1" s="1"/>
  <c r="J667" i="1"/>
  <c r="K667" i="1" s="1"/>
  <c r="J74" i="1"/>
  <c r="K74" i="1" s="1"/>
  <c r="J137" i="1"/>
  <c r="K137" i="1" s="1"/>
  <c r="J346" i="1"/>
  <c r="K346" i="1" s="1"/>
  <c r="J128" i="1"/>
  <c r="K128" i="1" s="1"/>
  <c r="J117" i="1"/>
  <c r="K117" i="1" s="1"/>
  <c r="J301" i="1"/>
  <c r="K301" i="1" s="1"/>
  <c r="J277" i="1"/>
  <c r="K277" i="1" s="1"/>
  <c r="J139" i="1"/>
  <c r="K139" i="1" s="1"/>
  <c r="J189" i="1"/>
  <c r="K189" i="1" s="1"/>
  <c r="J113" i="1"/>
  <c r="K113" i="1" s="1"/>
  <c r="J383" i="1"/>
  <c r="K383" i="1" s="1"/>
  <c r="J84" i="1"/>
  <c r="K84" i="1" s="1"/>
  <c r="J272" i="1"/>
  <c r="K272" i="1" s="1"/>
  <c r="J328" i="1"/>
  <c r="K328" i="1" s="1"/>
  <c r="J161" i="1"/>
  <c r="K161" i="1" s="1"/>
  <c r="J97" i="1"/>
  <c r="K97" i="1" s="1"/>
  <c r="J395" i="1"/>
  <c r="K395" i="1" s="1"/>
  <c r="J380" i="1"/>
  <c r="K380" i="1" s="1"/>
  <c r="J158" i="1"/>
  <c r="K158" i="1" s="1"/>
  <c r="J299" i="1"/>
  <c r="K299" i="1" s="1"/>
  <c r="J267" i="1"/>
  <c r="K267" i="1" s="1"/>
  <c r="J134" i="1"/>
  <c r="K134" i="1" s="1"/>
  <c r="J282" i="1"/>
  <c r="K282" i="1" s="1"/>
  <c r="J392" i="1"/>
  <c r="K392" i="1" s="1"/>
  <c r="J379" i="1"/>
  <c r="K379" i="1" s="1"/>
  <c r="J102" i="1"/>
  <c r="K102" i="1" s="1"/>
  <c r="J1130" i="1"/>
  <c r="K1130" i="1" s="1"/>
  <c r="L1130" i="1" s="1"/>
  <c r="J1623" i="1"/>
  <c r="K1623" i="1" s="1"/>
  <c r="J1533" i="1"/>
  <c r="K1533" i="1" s="1"/>
  <c r="J253" i="1"/>
  <c r="K253" i="1" s="1"/>
  <c r="J373" i="1"/>
  <c r="K373" i="1" s="1"/>
  <c r="J1494" i="1"/>
  <c r="K1494" i="1" s="1"/>
  <c r="J1158" i="1"/>
  <c r="K1158" i="1" s="1"/>
  <c r="J441" i="1"/>
  <c r="K441" i="1" s="1"/>
  <c r="J1281" i="1"/>
  <c r="K1281" i="1" s="1"/>
  <c r="J588" i="1"/>
  <c r="K588" i="1" s="1"/>
  <c r="J1222" i="1"/>
  <c r="K1222" i="1" s="1"/>
  <c r="J1449" i="1"/>
  <c r="K1449" i="1" s="1"/>
  <c r="L1449" i="1" s="1"/>
  <c r="J544" i="1"/>
  <c r="K544" i="1" s="1"/>
  <c r="J1177" i="1"/>
  <c r="K1177" i="1" s="1"/>
  <c r="J433" i="1"/>
  <c r="K433" i="1" s="1"/>
  <c r="J927" i="1"/>
  <c r="K927" i="1" s="1"/>
  <c r="J1122" i="1"/>
  <c r="K1122" i="1" s="1"/>
  <c r="J285" i="1"/>
  <c r="K285" i="1" s="1"/>
  <c r="J547" i="1"/>
  <c r="K547" i="1" s="1"/>
  <c r="J917" i="1"/>
  <c r="K917" i="1" s="1"/>
  <c r="J1043" i="1"/>
  <c r="K1043" i="1" s="1"/>
  <c r="L1043" i="1" s="1"/>
  <c r="J435" i="1"/>
  <c r="K435" i="1" s="1"/>
  <c r="J1160" i="1"/>
  <c r="K1160" i="1" s="1"/>
  <c r="L1160" i="1" s="1"/>
  <c r="J1348" i="1"/>
  <c r="K1348" i="1" s="1"/>
  <c r="J897" i="1"/>
  <c r="K897" i="1" s="1"/>
  <c r="J1379" i="1"/>
  <c r="K1379" i="1" s="1"/>
  <c r="J801" i="1"/>
  <c r="K801" i="1" s="1"/>
  <c r="J149" i="1"/>
  <c r="K149" i="1" s="1"/>
  <c r="J858" i="1"/>
  <c r="K858" i="1" s="1"/>
  <c r="J276" i="1"/>
  <c r="K276" i="1" s="1"/>
  <c r="J1178" i="1"/>
  <c r="K1178" i="1" s="1"/>
  <c r="J725" i="1"/>
  <c r="K725" i="1" s="1"/>
  <c r="J1565" i="1"/>
  <c r="K1565" i="1" s="1"/>
  <c r="J1044" i="1"/>
  <c r="K1044" i="1" s="1"/>
  <c r="J1288" i="1"/>
  <c r="K1288" i="1" s="1"/>
  <c r="J1076" i="1"/>
  <c r="K1076" i="1" s="1"/>
  <c r="J693" i="1"/>
  <c r="K693" i="1" s="1"/>
  <c r="J1532" i="1"/>
  <c r="K1532" i="1" s="1"/>
  <c r="J1011" i="1"/>
  <c r="K1011" i="1" s="1"/>
  <c r="J499" i="1"/>
  <c r="K499" i="1" s="1"/>
  <c r="J1182" i="1"/>
  <c r="K1182" i="1" s="1"/>
  <c r="J729" i="1"/>
  <c r="K729" i="1" s="1"/>
  <c r="J532" i="1"/>
  <c r="K532" i="1" s="1"/>
  <c r="J1618" i="1"/>
  <c r="K1618" i="1" s="1"/>
  <c r="L1618" i="1" s="1"/>
  <c r="J913" i="1"/>
  <c r="K913" i="1" s="1"/>
  <c r="J652" i="1"/>
  <c r="K652" i="1" s="1"/>
  <c r="J1605" i="1"/>
  <c r="K1605" i="1" s="1"/>
  <c r="L1605" i="1" s="1"/>
  <c r="J1025" i="1"/>
  <c r="K1025" i="1" s="1"/>
  <c r="J578" i="1"/>
  <c r="K578" i="1" s="1"/>
  <c r="J1409" i="1"/>
  <c r="K1409" i="1" s="1"/>
  <c r="J831" i="1"/>
  <c r="K831" i="1" s="1"/>
  <c r="J1349" i="1"/>
  <c r="K1349" i="1" s="1"/>
  <c r="J764" i="1"/>
  <c r="K764" i="1" s="1"/>
  <c r="J1595" i="1"/>
  <c r="K1595" i="1" s="1"/>
  <c r="J1079" i="1"/>
  <c r="K1079" i="1" s="1"/>
  <c r="J568" i="1"/>
  <c r="K568" i="1" s="1"/>
  <c r="J1425" i="1"/>
  <c r="K1425" i="1" s="1"/>
  <c r="J980" i="1"/>
  <c r="K980" i="1" s="1"/>
  <c r="J1238" i="1"/>
  <c r="K1238" i="1" s="1"/>
  <c r="J718" i="1"/>
  <c r="K718" i="1" s="1"/>
  <c r="J1544" i="1"/>
  <c r="K1544" i="1" s="1"/>
  <c r="J1023" i="1"/>
  <c r="K1023" i="1" s="1"/>
  <c r="J511" i="1"/>
  <c r="K511" i="1" s="1"/>
  <c r="J1355" i="1"/>
  <c r="K1355" i="1" s="1"/>
  <c r="J575" i="1"/>
  <c r="K575" i="1" s="1"/>
  <c r="J182" i="1"/>
  <c r="K182" i="1" s="1"/>
  <c r="J1154" i="1"/>
  <c r="K1154" i="1" s="1"/>
  <c r="J632" i="1"/>
  <c r="K632" i="1" s="1"/>
  <c r="J1206" i="1"/>
  <c r="K1206" i="1" s="1"/>
  <c r="J1330" i="1"/>
  <c r="K1330" i="1" s="1"/>
  <c r="J804" i="1"/>
  <c r="K804" i="1" s="1"/>
  <c r="J77" i="1"/>
  <c r="K77" i="1" s="1"/>
  <c r="J1181" i="1"/>
  <c r="K1181" i="1" s="1"/>
  <c r="J594" i="1"/>
  <c r="K594" i="1" s="1"/>
  <c r="J1493" i="1"/>
  <c r="K1493" i="1" s="1"/>
  <c r="J976" i="1"/>
  <c r="K976" i="1" s="1"/>
  <c r="J459" i="1"/>
  <c r="K459" i="1" s="1"/>
  <c r="J1280" i="1"/>
  <c r="K1280" i="1" s="1"/>
  <c r="J783" i="1"/>
  <c r="K783" i="1" s="1"/>
  <c r="J1614" i="1"/>
  <c r="K1614" i="1" s="1"/>
  <c r="J909" i="1"/>
  <c r="K909" i="1" s="1"/>
  <c r="J648" i="1"/>
  <c r="K648" i="1" s="1"/>
  <c r="J1478" i="1"/>
  <c r="K1478" i="1" s="1"/>
  <c r="J896" i="1"/>
  <c r="K896" i="1" s="1"/>
  <c r="L896" i="1" s="1"/>
  <c r="J1265" i="1"/>
  <c r="K1265" i="1" s="1"/>
  <c r="J1156" i="1"/>
  <c r="K1156" i="1" s="1"/>
  <c r="J573" i="1"/>
  <c r="K573" i="1" s="1"/>
  <c r="J1056" i="1"/>
  <c r="K1056" i="1" s="1"/>
  <c r="J480" i="1"/>
  <c r="K480" i="1" s="1"/>
  <c r="J1324" i="1"/>
  <c r="K1324" i="1" s="1"/>
  <c r="J798" i="1"/>
  <c r="K798" i="1" s="1"/>
  <c r="J1054" i="1"/>
  <c r="K1054" i="1" s="1"/>
  <c r="J478" i="1"/>
  <c r="K478" i="1" s="1"/>
  <c r="L478" i="1" s="1"/>
  <c r="J851" i="1"/>
  <c r="K851" i="1" s="1"/>
  <c r="J204" i="1"/>
  <c r="K204" i="1" s="1"/>
  <c r="J111" i="1"/>
  <c r="K111" i="1" s="1"/>
  <c r="J1146" i="1"/>
  <c r="K1146" i="1" s="1"/>
  <c r="J691" i="1"/>
  <c r="K691" i="1" s="1"/>
  <c r="J153" i="1"/>
  <c r="K153" i="1" s="1"/>
  <c r="J1125" i="1"/>
  <c r="K1125" i="1" s="1"/>
  <c r="J542" i="1"/>
  <c r="K542" i="1" s="1"/>
  <c r="J1297" i="1"/>
  <c r="K1297" i="1" s="1"/>
  <c r="J1435" i="1"/>
  <c r="K1435" i="1" s="1"/>
  <c r="J1509" i="1"/>
  <c r="K1509" i="1" s="1"/>
  <c r="J988" i="1"/>
  <c r="K988" i="1" s="1"/>
  <c r="J216" i="1"/>
  <c r="K216" i="1" s="1"/>
  <c r="J1123" i="1"/>
  <c r="K1123" i="1" s="1"/>
  <c r="J540" i="1"/>
  <c r="K540" i="1" s="1"/>
  <c r="J1442" i="1"/>
  <c r="K1442" i="1" s="1"/>
  <c r="J733" i="1"/>
  <c r="K733" i="1" s="1"/>
  <c r="L733" i="1" s="1"/>
  <c r="J278" i="1"/>
  <c r="K278" i="1" s="1"/>
  <c r="J1179" i="1"/>
  <c r="K1179" i="1" s="1"/>
  <c r="J659" i="1"/>
  <c r="K659" i="1" s="1"/>
  <c r="J1393" i="1"/>
  <c r="K1393" i="1" s="1"/>
  <c r="J815" i="1"/>
  <c r="K815" i="1" s="1"/>
  <c r="J1371" i="1"/>
  <c r="K1371" i="1" s="1"/>
  <c r="J539" i="1"/>
  <c r="K539" i="1" s="1"/>
  <c r="J1118" i="1"/>
  <c r="K1118" i="1" s="1"/>
  <c r="J596" i="1"/>
  <c r="K596" i="1" s="1"/>
  <c r="J398" i="1"/>
  <c r="K398" i="1" s="1"/>
  <c r="J611" i="1"/>
  <c r="K611" i="1" s="1"/>
  <c r="J606" i="1"/>
  <c r="K606" i="1" s="1"/>
  <c r="J308" i="1"/>
  <c r="K308" i="1" s="1"/>
  <c r="J198" i="1"/>
  <c r="K198" i="1" s="1"/>
  <c r="J184" i="1"/>
  <c r="K184" i="1" s="1"/>
  <c r="J112" i="1"/>
  <c r="K112" i="1" s="1"/>
  <c r="J366" i="1"/>
  <c r="K366" i="1" s="1"/>
  <c r="J98" i="1"/>
  <c r="K98" i="1" s="1"/>
  <c r="L98" i="1" s="1"/>
  <c r="I7" i="5" s="1"/>
  <c r="J281" i="1"/>
  <c r="K281" i="1" s="1"/>
  <c r="J341" i="1"/>
  <c r="K341" i="1" s="1"/>
  <c r="J370" i="1"/>
  <c r="K370" i="1" s="1"/>
  <c r="J287" i="1"/>
  <c r="J270" i="1"/>
  <c r="K270" i="1" s="1"/>
  <c r="J313" i="1"/>
  <c r="K313" i="1" s="1"/>
  <c r="J269" i="1"/>
  <c r="K269" i="1" s="1"/>
  <c r="J172" i="1"/>
  <c r="J374" i="1"/>
  <c r="K374" i="1" s="1"/>
  <c r="L374" i="1" s="1"/>
  <c r="J304" i="1"/>
  <c r="K304" i="1" s="1"/>
  <c r="L304" i="1" s="1"/>
  <c r="J95" i="1"/>
  <c r="J175" i="1"/>
  <c r="J96" i="1"/>
  <c r="K96" i="1" s="1"/>
  <c r="J88" i="1"/>
  <c r="K88" i="1" s="1"/>
  <c r="J347" i="1"/>
  <c r="K347" i="1" s="1"/>
  <c r="J188" i="1"/>
  <c r="J180" i="1"/>
  <c r="J1107" i="1"/>
  <c r="K1107" i="1" s="1"/>
  <c r="J1012" i="1"/>
  <c r="K1012" i="1" s="1"/>
  <c r="J981" i="1"/>
  <c r="K981" i="1" s="1"/>
  <c r="J1423" i="1"/>
  <c r="J1080" i="1"/>
  <c r="K1080" i="1" s="1"/>
  <c r="J460" i="1"/>
  <c r="K460" i="1" s="1"/>
  <c r="J703" i="1"/>
  <c r="J1133" i="1"/>
  <c r="K1133" i="1" s="1"/>
  <c r="L1133" i="1" s="1"/>
  <c r="J784" i="1"/>
  <c r="K784" i="1" s="1"/>
  <c r="J327" i="1"/>
  <c r="K327" i="1" s="1"/>
  <c r="J867" i="1"/>
  <c r="J657" i="1"/>
  <c r="K657" i="1" s="1"/>
  <c r="J1531" i="1"/>
  <c r="K1531" i="1" s="1"/>
  <c r="J345" i="1"/>
  <c r="K345" i="1" s="1"/>
  <c r="L345" i="1" s="1"/>
  <c r="J1439" i="1"/>
  <c r="K1439" i="1" s="1"/>
  <c r="J295" i="1"/>
  <c r="K295" i="1" s="1"/>
  <c r="J653" i="1"/>
  <c r="J869" i="1"/>
  <c r="K869" i="1" s="1"/>
  <c r="J597" i="1"/>
  <c r="K597" i="1" s="1"/>
  <c r="J1289" i="1"/>
  <c r="K1289" i="1" s="1"/>
  <c r="L1289" i="1" s="1"/>
  <c r="O25" i="5" s="1"/>
  <c r="J908" i="1"/>
  <c r="K908" i="1" s="1"/>
  <c r="J1469" i="1"/>
  <c r="K1469" i="1" s="1"/>
  <c r="J1502" i="1"/>
  <c r="K1502" i="1" s="1"/>
  <c r="J1312" i="1"/>
  <c r="J1358" i="1"/>
  <c r="K1358" i="1" s="1"/>
  <c r="J771" i="1"/>
  <c r="J310" i="1"/>
  <c r="J164" i="1"/>
  <c r="K164" i="1" s="1"/>
  <c r="J1327" i="1"/>
  <c r="K1327" i="1" s="1"/>
  <c r="J742" i="1"/>
  <c r="K742" i="1" s="1"/>
  <c r="J732" i="1"/>
  <c r="J1316" i="1"/>
  <c r="K1316" i="1" s="1"/>
  <c r="J790" i="1"/>
  <c r="K790" i="1" s="1"/>
  <c r="J211" i="1"/>
  <c r="K211" i="1" s="1"/>
  <c r="J1113" i="1"/>
  <c r="J658" i="1"/>
  <c r="K658" i="1" s="1"/>
  <c r="J1213" i="1"/>
  <c r="K1213" i="1" s="1"/>
  <c r="L1213" i="1" s="1"/>
  <c r="J626" i="1"/>
  <c r="J1468" i="1"/>
  <c r="K1468" i="1" s="1"/>
  <c r="J951" i="1"/>
  <c r="K951" i="1" s="1"/>
  <c r="J434" i="1"/>
  <c r="K434" i="1" s="1"/>
  <c r="J1117" i="1"/>
  <c r="J662" i="1"/>
  <c r="K662" i="1" s="1"/>
  <c r="J467" i="1"/>
  <c r="J1559" i="1"/>
  <c r="K1559" i="1" s="1"/>
  <c r="J1102" i="1"/>
  <c r="K1102" i="1" s="1"/>
  <c r="J1546" i="1"/>
  <c r="J965" i="1"/>
  <c r="K965" i="1" s="1"/>
  <c r="J448" i="1"/>
  <c r="K448" i="1" s="1"/>
  <c r="J1357" i="1"/>
  <c r="K1357" i="1" s="1"/>
  <c r="J772" i="1"/>
  <c r="J252" i="1"/>
  <c r="K252" i="1" s="1"/>
  <c r="J1217" i="1"/>
  <c r="K1217" i="1" s="1"/>
  <c r="J697" i="1"/>
  <c r="K697" i="1" s="1"/>
  <c r="J1536" i="1"/>
  <c r="J1015" i="1"/>
  <c r="K1015" i="1" s="1"/>
  <c r="J503" i="1"/>
  <c r="K503" i="1" s="1"/>
  <c r="J847" i="1"/>
  <c r="K847" i="1" s="1"/>
  <c r="L847" i="1" s="1"/>
  <c r="J1617" i="1"/>
  <c r="J1173" i="1"/>
  <c r="K1173" i="1" s="1"/>
  <c r="J651" i="1"/>
  <c r="K651" i="1" s="1"/>
  <c r="J1480" i="1"/>
  <c r="K1480" i="1" s="1"/>
  <c r="J963" i="1"/>
  <c r="J446" i="1"/>
  <c r="K446" i="1" s="1"/>
  <c r="J1267" i="1"/>
  <c r="K1267" i="1" s="1"/>
  <c r="J829" i="1"/>
  <c r="K829" i="1" s="1"/>
  <c r="J1598" i="1"/>
  <c r="J893" i="1"/>
  <c r="K893" i="1" s="1"/>
  <c r="J571" i="1"/>
  <c r="K571" i="1" s="1"/>
  <c r="J1242" i="1"/>
  <c r="K1242" i="1" s="1"/>
  <c r="J745" i="1"/>
  <c r="J144" i="1"/>
  <c r="K144" i="1" s="1"/>
  <c r="J1116" i="1"/>
  <c r="K1116" i="1" s="1"/>
  <c r="J533" i="1"/>
  <c r="K533" i="1" s="1"/>
  <c r="J1421" i="1"/>
  <c r="J911" i="1"/>
  <c r="K911" i="1" s="1"/>
  <c r="L911" i="1" s="1"/>
  <c r="J1236" i="1"/>
  <c r="K1236" i="1" s="1"/>
  <c r="L1236" i="1" s="1"/>
  <c r="J649" i="1"/>
  <c r="K649" i="1" s="1"/>
  <c r="L649" i="1" s="1"/>
  <c r="J1555" i="1"/>
  <c r="J1098" i="1"/>
  <c r="K1098" i="1" s="1"/>
  <c r="J522" i="1"/>
  <c r="K522" i="1" s="1"/>
  <c r="J1406" i="1"/>
  <c r="K1406" i="1" s="1"/>
  <c r="J828" i="1"/>
  <c r="J1600" i="1"/>
  <c r="K1600" i="1" s="1"/>
  <c r="J1020" i="1"/>
  <c r="K1020" i="1" s="1"/>
  <c r="L1020" i="1" s="1"/>
  <c r="J508" i="1"/>
  <c r="K508" i="1" s="1"/>
  <c r="J1572" i="1"/>
  <c r="J992" i="1"/>
  <c r="K992" i="1" s="1"/>
  <c r="J415" i="1"/>
  <c r="K415" i="1" s="1"/>
  <c r="J605" i="1"/>
  <c r="J1570" i="1"/>
  <c r="K1570" i="1" s="1"/>
  <c r="J990" i="1"/>
  <c r="K990" i="1" s="1"/>
  <c r="J413" i="1"/>
  <c r="K413" i="1" s="1"/>
  <c r="L413" i="1" s="1"/>
  <c r="J527" i="1"/>
  <c r="J1255" i="1"/>
  <c r="J885" i="1"/>
  <c r="K885" i="1" s="1"/>
  <c r="L885" i="1" s="1"/>
  <c r="J624" i="1"/>
  <c r="K624" i="1" s="1"/>
  <c r="J1053" i="1"/>
  <c r="J477" i="1"/>
  <c r="K477" i="1" s="1"/>
  <c r="J168" i="1"/>
  <c r="K168" i="1" s="1"/>
  <c r="J1445" i="1"/>
  <c r="K1445" i="1" s="1"/>
  <c r="J928" i="1"/>
  <c r="K928" i="1" s="1"/>
  <c r="L928" i="1" s="1"/>
  <c r="AE20" i="5" s="1"/>
  <c r="J1567" i="1"/>
  <c r="J1051" i="1"/>
  <c r="K1051" i="1" s="1"/>
  <c r="J475" i="1"/>
  <c r="K475" i="1" s="1"/>
  <c r="J860" i="1"/>
  <c r="J213" i="1"/>
  <c r="K213" i="1" s="1"/>
  <c r="J1114" i="1"/>
  <c r="K1114" i="1" s="1"/>
  <c r="J592" i="1"/>
  <c r="K592" i="1" s="1"/>
  <c r="J131" i="1"/>
  <c r="K131" i="1" s="1"/>
  <c r="J1341" i="1"/>
  <c r="K1341" i="1" s="1"/>
  <c r="J756" i="1"/>
  <c r="J1319" i="1"/>
  <c r="K1319" i="1" s="1"/>
  <c r="J793" i="1"/>
  <c r="K793" i="1" s="1"/>
  <c r="J857" i="1"/>
  <c r="J405" i="1"/>
  <c r="K405" i="1" s="1"/>
  <c r="L405" i="1" s="1"/>
  <c r="J203" i="1"/>
  <c r="J99" i="1"/>
  <c r="K99" i="1" s="1"/>
  <c r="L99" i="1" s="1"/>
  <c r="J100" i="1"/>
  <c r="K100" i="1" s="1"/>
  <c r="L100" i="1" s="1"/>
  <c r="J147" i="1"/>
  <c r="K147" i="1" s="1"/>
  <c r="L147" i="1" s="1"/>
  <c r="U8" i="5" s="1"/>
  <c r="J668" i="1"/>
  <c r="K668" i="1" s="1"/>
  <c r="J79" i="1"/>
  <c r="K79" i="1" s="1"/>
  <c r="J271" i="1"/>
  <c r="K271" i="1" s="1"/>
  <c r="J142" i="1"/>
  <c r="K142" i="1" s="1"/>
  <c r="J343" i="1"/>
  <c r="K343" i="1" s="1"/>
  <c r="J173" i="1"/>
  <c r="K173" i="1" s="1"/>
  <c r="J275" i="1"/>
  <c r="J268" i="1"/>
  <c r="K268" i="1" s="1"/>
  <c r="J186" i="1"/>
  <c r="K186" i="1" s="1"/>
  <c r="J141" i="1"/>
  <c r="K141" i="1" s="1"/>
  <c r="J157" i="1"/>
  <c r="K157" i="1" s="1"/>
  <c r="J200" i="1"/>
  <c r="J440" i="1"/>
  <c r="K440" i="1" s="1"/>
  <c r="J731" i="1"/>
  <c r="K731" i="1" s="1"/>
  <c r="J500" i="1"/>
  <c r="K500" i="1" s="1"/>
  <c r="J207" i="1"/>
  <c r="K207" i="1" s="1"/>
  <c r="J1410" i="1"/>
  <c r="J1225" i="1"/>
  <c r="K1225" i="1" s="1"/>
  <c r="J1400" i="1"/>
  <c r="K1400" i="1" s="1"/>
  <c r="J654" i="1"/>
  <c r="K654" i="1" s="1"/>
  <c r="J830" i="1"/>
  <c r="K830" i="1" s="1"/>
  <c r="J1018" i="1"/>
  <c r="K1018" i="1" s="1"/>
  <c r="J1615" i="1"/>
  <c r="K1615" i="1" s="1"/>
  <c r="J574" i="1"/>
  <c r="K574" i="1" s="1"/>
  <c r="J218" i="1"/>
  <c r="K218" i="1" s="1"/>
  <c r="L218" i="1" s="1"/>
  <c r="J462" i="1"/>
  <c r="J217" i="1"/>
  <c r="K217" i="1" s="1"/>
  <c r="J795" i="1"/>
  <c r="K795" i="1" s="1"/>
  <c r="J1144" i="1"/>
  <c r="K1144" i="1" s="1"/>
  <c r="J982" i="1"/>
  <c r="K982" i="1" s="1"/>
  <c r="J127" i="1"/>
  <c r="K127" i="1" s="1"/>
  <c r="J330" i="1"/>
  <c r="K330" i="1" s="1"/>
  <c r="J710" i="1"/>
  <c r="J505" i="1"/>
  <c r="K505" i="1" s="1"/>
  <c r="J1195" i="1"/>
  <c r="K1195" i="1" s="1"/>
  <c r="J675" i="1"/>
  <c r="K675" i="1" s="1"/>
  <c r="J791" i="1"/>
  <c r="J664" i="1"/>
  <c r="K664" i="1" s="1"/>
  <c r="J591" i="1"/>
  <c r="K591" i="1" s="1"/>
  <c r="J1429" i="1"/>
  <c r="K1429" i="1" s="1"/>
  <c r="L1429" i="1" s="1"/>
  <c r="O27" i="5" s="1"/>
  <c r="J1592" i="1"/>
  <c r="J1148" i="1"/>
  <c r="K1148" i="1" s="1"/>
  <c r="J565" i="1"/>
  <c r="K565" i="1" s="1"/>
  <c r="J1396" i="1"/>
  <c r="K1396" i="1" s="1"/>
  <c r="L1396" i="1" s="1"/>
  <c r="J886" i="1"/>
  <c r="J369" i="1"/>
  <c r="K369" i="1" s="1"/>
  <c r="L369" i="1" s="1"/>
  <c r="J595" i="1"/>
  <c r="J1436" i="1"/>
  <c r="K1436" i="1" s="1"/>
  <c r="J919" i="1"/>
  <c r="K919" i="1" s="1"/>
  <c r="J402" i="1"/>
  <c r="K402" i="1" s="1"/>
  <c r="J1495" i="1"/>
  <c r="J1038" i="1"/>
  <c r="K1038" i="1" s="1"/>
  <c r="J1482" i="1"/>
  <c r="K1482" i="1" s="1"/>
  <c r="J900" i="1"/>
  <c r="J318" i="1"/>
  <c r="K318" i="1" s="1"/>
  <c r="J1088" i="1"/>
  <c r="K1088" i="1" s="1"/>
  <c r="J705" i="1"/>
  <c r="K705" i="1" s="1"/>
  <c r="J1152" i="1"/>
  <c r="J630" i="1"/>
  <c r="K630" i="1" s="1"/>
  <c r="J1472" i="1"/>
  <c r="K1472" i="1" s="1"/>
  <c r="J955" i="1"/>
  <c r="K955" i="1" s="1"/>
  <c r="J438" i="1"/>
  <c r="J1285" i="1"/>
  <c r="J1558" i="1"/>
  <c r="K1558" i="1" s="1"/>
  <c r="J1037" i="1"/>
  <c r="K1037" i="1" s="1"/>
  <c r="J525" i="1"/>
  <c r="J1408" i="1"/>
  <c r="K1408" i="1" s="1"/>
  <c r="J898" i="1"/>
  <c r="K898" i="1" s="1"/>
  <c r="J1223" i="1"/>
  <c r="K1223" i="1" s="1"/>
  <c r="J770" i="1"/>
  <c r="J1539" i="1"/>
  <c r="K1539" i="1" s="1"/>
  <c r="J1082" i="1"/>
  <c r="K1082" i="1" s="1"/>
  <c r="J506" i="1"/>
  <c r="K506" i="1" s="1"/>
  <c r="J1198" i="1"/>
  <c r="J550" i="1"/>
  <c r="K550" i="1" s="1"/>
  <c r="J468" i="1"/>
  <c r="J1369" i="1"/>
  <c r="K1369" i="1" s="1"/>
  <c r="J843" i="1"/>
  <c r="K843" i="1" s="1"/>
  <c r="L843" i="1" s="1"/>
  <c r="J264" i="1"/>
  <c r="K264" i="1" s="1"/>
  <c r="J1171" i="1"/>
  <c r="J716" i="1"/>
  <c r="K716" i="1" s="1"/>
  <c r="J1491" i="1"/>
  <c r="K1491" i="1" s="1"/>
  <c r="J1034" i="1"/>
  <c r="K1034" i="1" s="1"/>
  <c r="J457" i="1"/>
  <c r="J1354" i="1"/>
  <c r="K1354" i="1" s="1"/>
  <c r="J769" i="1"/>
  <c r="K769" i="1" s="1"/>
  <c r="J1541" i="1"/>
  <c r="K1541" i="1" s="1"/>
  <c r="J960" i="1"/>
  <c r="J443" i="1"/>
  <c r="K443" i="1" s="1"/>
  <c r="J1513" i="1"/>
  <c r="K1513" i="1" s="1"/>
  <c r="J932" i="1"/>
  <c r="K932" i="1" s="1"/>
  <c r="J350" i="1"/>
  <c r="J1192" i="1"/>
  <c r="K1192" i="1" s="1"/>
  <c r="L1192" i="1" s="1"/>
  <c r="J739" i="1"/>
  <c r="K739" i="1" s="1"/>
  <c r="J1511" i="1"/>
  <c r="K1511" i="1" s="1"/>
  <c r="J930" i="1"/>
  <c r="J283" i="1"/>
  <c r="K283" i="1" s="1"/>
  <c r="J1309" i="1"/>
  <c r="K1309" i="1" s="1"/>
  <c r="J724" i="1"/>
  <c r="K724" i="1" s="1"/>
  <c r="J397" i="1"/>
  <c r="K397" i="1" s="1"/>
  <c r="J1590" i="1"/>
  <c r="K1590" i="1" s="1"/>
  <c r="J1074" i="1"/>
  <c r="K1074" i="1" s="1"/>
  <c r="J498" i="1"/>
  <c r="J294" i="1"/>
  <c r="K294" i="1" s="1"/>
  <c r="J1569" i="1"/>
  <c r="K1569" i="1" s="1"/>
  <c r="J989" i="1"/>
  <c r="K989" i="1" s="1"/>
  <c r="L989" i="1" s="1"/>
  <c r="J412" i="1"/>
  <c r="J1295" i="1"/>
  <c r="K1295" i="1" s="1"/>
  <c r="J1373" i="1"/>
  <c r="K1373" i="1" s="1"/>
  <c r="J736" i="1"/>
  <c r="K736" i="1" s="1"/>
  <c r="J1508" i="1"/>
  <c r="K1508" i="1" s="1"/>
  <c r="J987" i="1"/>
  <c r="J410" i="1"/>
  <c r="K410" i="1" s="1"/>
  <c r="L410" i="1" s="1"/>
  <c r="J1318" i="1"/>
  <c r="K1318" i="1" s="1"/>
  <c r="J792" i="1"/>
  <c r="K792" i="1" s="1"/>
  <c r="J853" i="1"/>
  <c r="K853" i="1" s="1"/>
  <c r="J531" i="1"/>
  <c r="K531" i="1" s="1"/>
  <c r="J129" i="1"/>
  <c r="K129" i="1" s="1"/>
  <c r="L129" i="1" s="1"/>
  <c r="J1209" i="1"/>
  <c r="K1209" i="1" s="1"/>
  <c r="J689" i="1"/>
  <c r="J87" i="1"/>
  <c r="K87" i="1" s="1"/>
  <c r="L87" i="1" s="1"/>
  <c r="J1187" i="1"/>
  <c r="K1187" i="1" s="1"/>
  <c r="J734" i="1"/>
  <c r="K734" i="1" s="1"/>
  <c r="J1503" i="1"/>
  <c r="J1046" i="1"/>
  <c r="K1046" i="1" s="1"/>
  <c r="J535" i="1"/>
  <c r="K535" i="1" s="1"/>
  <c r="J1308" i="1"/>
  <c r="K1308" i="1" s="1"/>
  <c r="L1308" i="1" s="1"/>
  <c r="J92" i="1"/>
  <c r="K92" i="1" s="1"/>
  <c r="J150" i="1"/>
  <c r="K150" i="1" s="1"/>
  <c r="J146" i="1"/>
  <c r="K146" i="1" s="1"/>
  <c r="J136" i="1"/>
  <c r="K136" i="1" s="1"/>
  <c r="J672" i="1"/>
  <c r="K672" i="1" s="1"/>
  <c r="J135" i="1"/>
  <c r="K135" i="1" s="1"/>
  <c r="J197" i="1"/>
  <c r="K197" i="1" s="1"/>
  <c r="J123" i="1"/>
  <c r="J183" i="1"/>
  <c r="K183" i="1" s="1"/>
  <c r="J280" i="1"/>
  <c r="K280" i="1" s="1"/>
  <c r="J179" i="1"/>
  <c r="K179" i="1" s="1"/>
  <c r="J174" i="1"/>
  <c r="I1486" i="1"/>
  <c r="I261" i="1"/>
  <c r="I1418" i="1"/>
  <c r="I1582" i="1"/>
  <c r="I1317" i="1"/>
  <c r="I1262" i="1"/>
  <c r="I1402" i="1"/>
  <c r="I892" i="1"/>
  <c r="I1424" i="1"/>
  <c r="I914" i="1"/>
  <c r="I1066" i="1"/>
  <c r="I1386" i="1"/>
  <c r="I1291" i="1"/>
  <c r="I1246" i="1"/>
  <c r="I1045" i="1"/>
  <c r="I1335" i="1"/>
  <c r="I993" i="1"/>
  <c r="I809" i="1"/>
  <c r="I750" i="1"/>
  <c r="I1434" i="1"/>
  <c r="I1247" i="1"/>
  <c r="I1619" i="1"/>
  <c r="I1103" i="1"/>
  <c r="I848" i="1"/>
  <c r="I1048" i="1"/>
  <c r="I1284" i="1"/>
  <c r="I1093" i="1"/>
  <c r="I558" i="1"/>
  <c r="I721" i="1"/>
  <c r="I1326" i="1"/>
  <c r="I245" i="1"/>
  <c r="I973" i="1"/>
  <c r="I1185" i="1"/>
  <c r="I582" i="1"/>
  <c r="I212" i="1"/>
  <c r="I1490" i="1"/>
  <c r="I808" i="1"/>
  <c r="I1474" i="1"/>
  <c r="I957" i="1"/>
  <c r="I1230" i="1"/>
  <c r="I1202" i="1"/>
  <c r="I682" i="1"/>
  <c r="I607" i="1"/>
  <c r="I1303" i="1"/>
  <c r="I1105" i="1"/>
  <c r="I1553" i="1"/>
  <c r="I1032" i="1"/>
  <c r="I520" i="1"/>
  <c r="I1430" i="1"/>
  <c r="I1466" i="1"/>
  <c r="I233" i="1"/>
  <c r="I452" i="1"/>
  <c r="I1292" i="1"/>
  <c r="I228" i="1"/>
  <c r="I781" i="1"/>
  <c r="I966" i="1"/>
  <c r="I1278" i="1"/>
  <c r="I230" i="1"/>
  <c r="I562" i="1"/>
  <c r="I1458" i="1"/>
  <c r="I481" i="1"/>
  <c r="I1589" i="1"/>
  <c r="I1009" i="1"/>
  <c r="I610" i="1"/>
  <c r="I643" i="1"/>
  <c r="I1203" i="1"/>
  <c r="I1274" i="1"/>
  <c r="I1165" i="1"/>
  <c r="I1333" i="1"/>
  <c r="I748" i="1"/>
  <c r="I876" i="1"/>
  <c r="I1609" i="1"/>
  <c r="I1029" i="1"/>
  <c r="I1520" i="1"/>
  <c r="I999" i="1"/>
  <c r="I686" i="1"/>
  <c r="I1584" i="1"/>
  <c r="I1004" i="1"/>
  <c r="I359" i="1"/>
  <c r="I683" i="1"/>
  <c r="I1560" i="1"/>
  <c r="I1039" i="1"/>
  <c r="I375" i="1"/>
  <c r="I665" i="1"/>
  <c r="I655" i="1"/>
  <c r="I1141" i="1"/>
  <c r="I1391" i="1"/>
  <c r="I813" i="1"/>
  <c r="I1496" i="1"/>
  <c r="I979" i="1"/>
  <c r="I517" i="1"/>
  <c r="I1120" i="1"/>
  <c r="I1041" i="1"/>
  <c r="I970" i="1"/>
  <c r="I1145" i="1"/>
  <c r="I623" i="1"/>
  <c r="I1287" i="1"/>
  <c r="I1194" i="1"/>
  <c r="I1625" i="1"/>
  <c r="I1109" i="1"/>
  <c r="I1562" i="1"/>
  <c r="I586" i="1"/>
  <c r="I1535" i="1"/>
  <c r="I502" i="1"/>
  <c r="I1254" i="1"/>
  <c r="I1073" i="1"/>
  <c r="I367" i="1"/>
  <c r="I1155" i="1"/>
  <c r="I1585" i="1"/>
  <c r="I1005" i="1"/>
  <c r="I363" i="1"/>
  <c r="I1129" i="1"/>
  <c r="I674" i="1"/>
  <c r="I1350" i="1"/>
  <c r="I824" i="1"/>
  <c r="I1621" i="1"/>
  <c r="I720" i="1"/>
  <c r="I537" i="1"/>
  <c r="I1294" i="1"/>
  <c r="I1334" i="1"/>
  <c r="I546" i="1"/>
  <c r="I619" i="1"/>
  <c r="I749" i="1"/>
  <c r="I1143" i="1"/>
  <c r="I688" i="1"/>
  <c r="I1214" i="1"/>
  <c r="I306" i="1"/>
  <c r="I1328" i="1"/>
  <c r="I802" i="1"/>
  <c r="I288" i="1"/>
  <c r="I556" i="1"/>
  <c r="I1138" i="1"/>
  <c r="I616" i="1"/>
  <c r="I581" i="1"/>
  <c r="I1471" i="1"/>
  <c r="I437" i="1"/>
  <c r="I551" i="1"/>
  <c r="I1241" i="1"/>
  <c r="I1489" i="1"/>
  <c r="I972" i="1"/>
  <c r="I455" i="1"/>
  <c r="I1599" i="1"/>
  <c r="I572" i="1"/>
  <c r="I422" i="1"/>
  <c r="I1250" i="1"/>
  <c r="I1069" i="1"/>
  <c r="I1525" i="1"/>
  <c r="I944" i="1"/>
  <c r="I492" i="1"/>
  <c r="I1201" i="1"/>
  <c r="I681" i="1"/>
  <c r="I1300" i="1"/>
  <c r="I1339" i="1"/>
  <c r="I754" i="1"/>
  <c r="I1366" i="1"/>
  <c r="I1003" i="1"/>
  <c r="I1626" i="1"/>
  <c r="I1110" i="1"/>
  <c r="I1530" i="1"/>
  <c r="I949" i="1"/>
  <c r="I229" i="1"/>
  <c r="I1057" i="1"/>
  <c r="I840" i="1"/>
  <c r="I1524" i="1"/>
  <c r="I1301" i="1"/>
  <c r="I1550" i="1"/>
  <c r="I969" i="1"/>
  <c r="I387" i="1"/>
  <c r="I497" i="1"/>
  <c r="I1538" i="1"/>
  <c r="I1017" i="1"/>
  <c r="I1286" i="1"/>
  <c r="I647" i="1"/>
  <c r="I1441" i="1"/>
  <c r="I266" i="1"/>
  <c r="I1033" i="1"/>
  <c r="I1522" i="1"/>
  <c r="I877" i="1"/>
  <c r="I1387" i="1"/>
  <c r="I360" i="1"/>
  <c r="I941" i="1"/>
  <c r="I1306" i="1"/>
  <c r="I1338" i="1"/>
  <c r="I753" i="1"/>
  <c r="I489" i="1"/>
  <c r="I221" i="1"/>
  <c r="I342" i="1"/>
  <c r="I859" i="1"/>
  <c r="I690" i="1"/>
  <c r="I800" i="1"/>
  <c r="I549" i="1"/>
  <c r="I1456" i="1"/>
  <c r="I939" i="1"/>
  <c r="I234" i="1"/>
  <c r="I1587" i="1"/>
  <c r="I1071" i="1"/>
  <c r="I560" i="1"/>
  <c r="I743" i="1"/>
  <c r="I223" i="1"/>
  <c r="I519" i="1"/>
  <c r="I1229" i="1"/>
  <c r="I1411" i="1"/>
  <c r="I555" i="1"/>
  <c r="I1097" i="1"/>
  <c r="I302" i="1"/>
  <c r="I1137" i="1"/>
  <c r="I615" i="1"/>
  <c r="I1552" i="1"/>
  <c r="I388" i="1"/>
  <c r="I1548" i="1"/>
  <c r="I384" i="1"/>
  <c r="I746" i="1"/>
  <c r="I633" i="1"/>
  <c r="I557" i="1"/>
  <c r="I984" i="1"/>
  <c r="I1523" i="1"/>
  <c r="I1526" i="1"/>
  <c r="I945" i="1"/>
  <c r="I1031" i="1"/>
  <c r="I1027" i="1"/>
  <c r="I226" i="1"/>
  <c r="I487" i="1"/>
  <c r="I846" i="1"/>
  <c r="I570" i="1"/>
  <c r="I1002" i="1"/>
  <c r="I884" i="1"/>
  <c r="I493" i="1"/>
  <c r="I1498" i="1"/>
  <c r="I1487" i="1"/>
  <c r="I515" i="1"/>
  <c r="I1243" i="1"/>
  <c r="I904" i="1"/>
  <c r="I322" i="1"/>
  <c r="I1394" i="1"/>
  <c r="I1514" i="1"/>
  <c r="I933" i="1"/>
  <c r="I351" i="1"/>
  <c r="I1218" i="1"/>
  <c r="I1240" i="1"/>
  <c r="I1414" i="1"/>
  <c r="I598" i="1"/>
  <c r="I1078" i="1"/>
  <c r="I642" i="1"/>
  <c r="I1153" i="1"/>
  <c r="I698" i="1"/>
  <c r="I1505" i="1"/>
  <c r="I407" i="1"/>
  <c r="I1426" i="1"/>
  <c r="I1488" i="1"/>
  <c r="I971" i="1"/>
  <c r="I454" i="1"/>
  <c r="I1415" i="1"/>
  <c r="I837" i="1"/>
  <c r="I323" i="1"/>
  <c r="I1273" i="1"/>
  <c r="I1164" i="1"/>
  <c r="I1484" i="1"/>
  <c r="I967" i="1"/>
  <c r="I450" i="1"/>
  <c r="I1359" i="1"/>
  <c r="I833" i="1"/>
  <c r="I319" i="1"/>
  <c r="I1014" i="1"/>
  <c r="I1460" i="1"/>
  <c r="I943" i="1"/>
  <c r="I491" i="1"/>
  <c r="I1199" i="1"/>
  <c r="I1060" i="1"/>
  <c r="I1083" i="1"/>
  <c r="I257" i="1"/>
  <c r="I1597" i="1"/>
  <c r="I1081" i="1"/>
  <c r="I631" i="1"/>
  <c r="I924" i="1"/>
  <c r="I714" i="1"/>
  <c r="I396" i="1"/>
  <c r="I1627" i="1"/>
  <c r="I1459" i="1"/>
  <c r="I490" i="1"/>
  <c r="I1431" i="1"/>
  <c r="I942" i="1"/>
  <c r="I836" i="1"/>
  <c r="I461" i="1"/>
  <c r="I1432" i="1"/>
  <c r="I521" i="1"/>
  <c r="I1167" i="1"/>
  <c r="I645" i="1"/>
  <c r="I1610" i="1"/>
  <c r="I1094" i="1"/>
  <c r="I518" i="1"/>
  <c r="I1361" i="1"/>
  <c r="I776" i="1"/>
  <c r="I1132" i="1"/>
  <c r="I1175" i="1"/>
  <c r="I1362" i="1"/>
  <c r="I777" i="1"/>
  <c r="I741" i="1"/>
  <c r="I1149" i="1"/>
  <c r="I694" i="1"/>
  <c r="I1416" i="1"/>
  <c r="I906" i="1"/>
  <c r="I389" i="1"/>
  <c r="I1363" i="1"/>
  <c r="I778" i="1"/>
  <c r="I258" i="1"/>
  <c r="I1608" i="1"/>
  <c r="I903" i="1"/>
  <c r="I516" i="1"/>
  <c r="I1412" i="1"/>
  <c r="I902" i="1"/>
  <c r="I385" i="1"/>
  <c r="I1271" i="1"/>
  <c r="I774" i="1"/>
  <c r="I254" i="1"/>
  <c r="I1399" i="1"/>
  <c r="I954" i="1"/>
  <c r="I372" i="1"/>
  <c r="I1388" i="1"/>
  <c r="I878" i="1"/>
  <c r="I361" i="1"/>
  <c r="I1134" i="1"/>
  <c r="I679" i="1"/>
  <c r="I1576" i="1"/>
  <c r="I996" i="1"/>
  <c r="I484" i="1"/>
  <c r="I1629" i="1"/>
  <c r="I1433" i="1"/>
  <c r="I1554" i="1"/>
  <c r="I1417" i="1"/>
  <c r="I907" i="1"/>
  <c r="I390" i="1"/>
  <c r="I1540" i="1"/>
  <c r="I1019" i="1"/>
  <c r="I507" i="1"/>
  <c r="I1384" i="1"/>
  <c r="I874" i="1"/>
  <c r="I357" i="1"/>
  <c r="I1304" i="1"/>
  <c r="I1461" i="1"/>
  <c r="I879" i="1"/>
  <c r="I362" i="1"/>
  <c r="I1136" i="1"/>
  <c r="I614" i="1"/>
  <c r="I1207" i="1"/>
  <c r="I687" i="1"/>
  <c r="I1290" i="1"/>
  <c r="I1528" i="1"/>
  <c r="I1007" i="1"/>
  <c r="I495" i="1"/>
  <c r="I1593" i="1"/>
  <c r="I1077" i="1"/>
  <c r="I627" i="1"/>
  <c r="I1196" i="1"/>
  <c r="I609" i="1"/>
  <c r="I1234" i="1"/>
  <c r="I1169" i="1"/>
  <c r="I1364" i="1"/>
  <c r="I838" i="1"/>
  <c r="I324" i="1"/>
  <c r="I1231" i="1"/>
  <c r="I711" i="1"/>
  <c r="I1549" i="1"/>
  <c r="I1028" i="1"/>
  <c r="I451" i="1"/>
  <c r="I1360" i="1"/>
  <c r="I834" i="1"/>
  <c r="I320" i="1"/>
  <c r="I1227" i="1"/>
  <c r="I707" i="1"/>
  <c r="I1347" i="1"/>
  <c r="I821" i="1"/>
  <c r="I307" i="1"/>
  <c r="I1336" i="1"/>
  <c r="I810" i="1"/>
  <c r="I296" i="1"/>
  <c r="I1578" i="1"/>
  <c r="I873" i="1"/>
  <c r="I612" i="1"/>
  <c r="I1517" i="1"/>
  <c r="I936" i="1"/>
  <c r="I419" i="1"/>
  <c r="I1365" i="1"/>
  <c r="I839" i="1"/>
  <c r="I325" i="1"/>
  <c r="I1476" i="1"/>
  <c r="I959" i="1"/>
  <c r="I442" i="1"/>
  <c r="I1332" i="1"/>
  <c r="I806" i="1"/>
  <c r="I292" i="1"/>
  <c r="I1389" i="1"/>
  <c r="I811" i="1"/>
  <c r="I297" i="1"/>
  <c r="I1622" i="1"/>
  <c r="I1106" i="1"/>
  <c r="I1245" i="1"/>
  <c r="I1064" i="1"/>
  <c r="I553" i="1"/>
  <c r="I1142" i="1"/>
  <c r="I620" i="1"/>
  <c r="I1581" i="1"/>
  <c r="I1065" i="1"/>
  <c r="I1464" i="1"/>
  <c r="I947" i="1"/>
  <c r="I430" i="1"/>
  <c r="I1534" i="1"/>
  <c r="I1013" i="1"/>
  <c r="I241" i="1"/>
  <c r="I1131" i="1"/>
  <c r="I676" i="1"/>
  <c r="I1613" i="1"/>
  <c r="I1276" i="1"/>
  <c r="I779" i="1"/>
  <c r="I259" i="1"/>
  <c r="I1166" i="1"/>
  <c r="I644" i="1"/>
  <c r="I1485" i="1"/>
  <c r="I968" i="1"/>
  <c r="I386" i="1"/>
  <c r="I1272" i="1"/>
  <c r="I775" i="1"/>
  <c r="I255" i="1"/>
  <c r="I1162" i="1"/>
  <c r="I640" i="1"/>
  <c r="I1259" i="1"/>
  <c r="I762" i="1"/>
  <c r="I242" i="1"/>
  <c r="I1248" i="1"/>
  <c r="I751" i="1"/>
  <c r="I231" i="1"/>
  <c r="I1519" i="1"/>
  <c r="I1062" i="1"/>
  <c r="I421" i="1"/>
  <c r="I1453" i="1"/>
  <c r="I871" i="1"/>
  <c r="I354" i="1"/>
  <c r="I1293" i="1"/>
  <c r="I1277" i="1"/>
  <c r="I780" i="1"/>
  <c r="I260" i="1"/>
  <c r="I1404" i="1"/>
  <c r="I894" i="1"/>
  <c r="I377" i="1"/>
  <c r="I1244" i="1"/>
  <c r="I747" i="1"/>
  <c r="I227" i="1"/>
  <c r="I1305" i="1"/>
  <c r="I1462" i="1"/>
  <c r="I880" i="1"/>
  <c r="I1337" i="1"/>
  <c r="I752" i="1"/>
  <c r="I232" i="1"/>
  <c r="I1299" i="1"/>
  <c r="I1563" i="1"/>
  <c r="I1042" i="1"/>
  <c r="I1580" i="1"/>
  <c r="I1000" i="1"/>
  <c r="I488" i="1"/>
  <c r="I1251" i="1"/>
  <c r="I881" i="1"/>
  <c r="I559" i="1"/>
  <c r="I1001" i="1"/>
  <c r="I424" i="1"/>
  <c r="I286" i="1"/>
  <c r="I1392" i="1"/>
  <c r="I882" i="1"/>
  <c r="I365" i="1"/>
  <c r="I1470" i="1"/>
  <c r="I953" i="1"/>
  <c r="I371" i="1"/>
  <c r="I1575" i="1"/>
  <c r="I1059" i="1"/>
  <c r="I548" i="1"/>
  <c r="I1232" i="1"/>
  <c r="I712" i="1"/>
  <c r="I1275" i="1"/>
  <c r="I905" i="1"/>
  <c r="I583" i="1"/>
  <c r="I1413" i="1"/>
  <c r="I835" i="1"/>
  <c r="I321" i="1"/>
  <c r="I1228" i="1"/>
  <c r="I708" i="1"/>
  <c r="I1606" i="1"/>
  <c r="I901" i="1"/>
  <c r="I579" i="1"/>
  <c r="I1215" i="1"/>
  <c r="I695" i="1"/>
  <c r="I816" i="1"/>
  <c r="I1204" i="1"/>
  <c r="I684" i="1"/>
  <c r="I1455" i="1"/>
  <c r="I998" i="1"/>
  <c r="I486" i="1"/>
  <c r="I1381" i="1"/>
  <c r="I803" i="1"/>
  <c r="I289" i="1"/>
  <c r="I201" i="1"/>
  <c r="I1096" i="1"/>
  <c r="I713" i="1"/>
  <c r="I1352" i="1"/>
  <c r="I826" i="1"/>
  <c r="I312" i="1"/>
  <c r="I1200" i="1"/>
  <c r="I680" i="1"/>
  <c r="I1390" i="1"/>
  <c r="I812" i="1"/>
  <c r="I428" i="1"/>
  <c r="I1205" i="1"/>
  <c r="I427" i="1"/>
  <c r="I1499" i="1"/>
  <c r="I1521" i="1"/>
  <c r="I940" i="1"/>
  <c r="I423" i="1"/>
  <c r="I1586" i="1"/>
  <c r="I1070" i="1"/>
  <c r="I494" i="1"/>
  <c r="I554" i="1"/>
  <c r="I1340" i="1"/>
  <c r="I814" i="1"/>
  <c r="I300" i="1"/>
  <c r="I1398" i="1"/>
  <c r="I888" i="1"/>
  <c r="I566" i="1"/>
  <c r="I1516" i="1"/>
  <c r="I995" i="1"/>
  <c r="I483" i="1"/>
  <c r="I256" i="1"/>
  <c r="I1163" i="1"/>
  <c r="I641" i="1"/>
  <c r="I1547" i="1"/>
  <c r="I1090" i="1"/>
  <c r="I514" i="1"/>
  <c r="I1150" i="1"/>
  <c r="I628" i="1"/>
  <c r="I1342" i="1"/>
  <c r="I757" i="1"/>
  <c r="I237" i="1"/>
  <c r="I1139" i="1"/>
  <c r="I617" i="1"/>
  <c r="I1383" i="1"/>
  <c r="I938" i="1"/>
  <c r="I356" i="1"/>
  <c r="I1329" i="1"/>
  <c r="I744" i="1"/>
  <c r="I224" i="1"/>
  <c r="I1233" i="1"/>
  <c r="I646" i="1"/>
  <c r="I1264" i="1"/>
  <c r="I767" i="1"/>
  <c r="I247" i="1"/>
  <c r="I1135" i="1"/>
  <c r="I613" i="1"/>
  <c r="I298" i="1"/>
  <c r="I1140" i="1"/>
  <c r="I685" i="1"/>
  <c r="I1427" i="1"/>
  <c r="I1457" i="1"/>
  <c r="I875" i="1"/>
  <c r="I358" i="1"/>
  <c r="I1527" i="1"/>
  <c r="I1006" i="1"/>
  <c r="I429" i="1"/>
  <c r="I1450" i="1"/>
  <c r="I868" i="1"/>
  <c r="I1252" i="1"/>
  <c r="I755" i="1"/>
  <c r="I235" i="1"/>
  <c r="I1573" i="1"/>
  <c r="I1346" i="1"/>
  <c r="I820" i="1"/>
  <c r="I501" i="1"/>
  <c r="I1452" i="1"/>
  <c r="I935" i="1"/>
  <c r="I418" i="1"/>
  <c r="I1611" i="1"/>
  <c r="I1095" i="1"/>
  <c r="I584" i="1"/>
  <c r="I1551" i="1"/>
  <c r="I1030" i="1"/>
  <c r="I453" i="1"/>
  <c r="I1092" i="1"/>
  <c r="I709" i="1"/>
  <c r="I1607" i="1"/>
  <c r="I1091" i="1"/>
  <c r="I580" i="1"/>
  <c r="I1483" i="1"/>
  <c r="I1026" i="1"/>
  <c r="I449" i="1"/>
  <c r="I1594" i="1"/>
  <c r="I889" i="1"/>
  <c r="I567" i="1"/>
  <c r="I1210" i="1"/>
  <c r="I1583" i="1"/>
  <c r="I1067" i="1"/>
  <c r="I426" i="1"/>
  <c r="I1331" i="1"/>
  <c r="I805" i="1"/>
  <c r="I291" i="1"/>
  <c r="I1197" i="1"/>
  <c r="I677" i="1"/>
  <c r="I1628" i="1"/>
  <c r="I1612" i="1"/>
  <c r="I1168" i="1"/>
  <c r="I585" i="1"/>
  <c r="I1220" i="1"/>
  <c r="I700" i="1"/>
  <c r="I1579" i="1"/>
  <c r="I1063" i="1"/>
  <c r="I552" i="1"/>
  <c r="I1249" i="1"/>
  <c r="I1068" i="1"/>
  <c r="I618" i="1"/>
  <c r="I849" i="1"/>
  <c r="I1385" i="1"/>
  <c r="I807" i="1"/>
  <c r="I293" i="1"/>
  <c r="I1296" i="1"/>
  <c r="I1463" i="1"/>
  <c r="I946" i="1"/>
  <c r="I364" i="1"/>
  <c r="I1378" i="1"/>
  <c r="I1208" i="1"/>
  <c r="I621" i="1"/>
  <c r="I1258" i="1"/>
  <c r="I761" i="1"/>
  <c r="I436" i="1"/>
  <c r="I1380" i="1"/>
  <c r="I870" i="1"/>
  <c r="I353" i="1"/>
  <c r="CR22" i="19" l="1"/>
  <c r="CS22" i="19"/>
  <c r="CR37" i="19"/>
  <c r="CS37" i="19"/>
  <c r="CR86" i="19"/>
  <c r="CS86" i="19"/>
  <c r="V107" i="21"/>
  <c r="L723" i="1"/>
  <c r="L1295" i="1"/>
  <c r="L693" i="1"/>
  <c r="L209" i="1"/>
  <c r="L716" i="1"/>
  <c r="L253" i="1"/>
  <c r="L951" i="1"/>
  <c r="L179" i="1"/>
  <c r="L1368" i="1"/>
  <c r="L1428" i="1"/>
  <c r="L1098" i="1"/>
  <c r="L1191" i="1"/>
  <c r="L1513" i="1"/>
  <c r="L1369" i="1"/>
  <c r="L1082" i="1"/>
  <c r="L340" i="1"/>
  <c r="L195" i="1"/>
  <c r="L338" i="1"/>
  <c r="L769" i="1"/>
  <c r="L668" i="1"/>
  <c r="L415" i="1"/>
  <c r="L658" i="1"/>
  <c r="Y16" i="5" s="1"/>
  <c r="L736" i="1"/>
  <c r="AE17" i="5" s="1"/>
  <c r="L347" i="1"/>
  <c r="L1316" i="1"/>
  <c r="AC26" i="5" s="1"/>
  <c r="L1502" i="1"/>
  <c r="L823" i="1"/>
  <c r="L915" i="1"/>
  <c r="M19" i="5" s="1"/>
  <c r="L171" i="1"/>
  <c r="L671" i="1"/>
  <c r="L575" i="1"/>
  <c r="L1159" i="1"/>
  <c r="L672" i="1"/>
  <c r="L1508" i="1"/>
  <c r="L932" i="1"/>
  <c r="L565" i="1"/>
  <c r="L1439" i="1"/>
  <c r="L981" i="1"/>
  <c r="L134" i="1"/>
  <c r="L7" i="5" s="1"/>
  <c r="L272" i="1"/>
  <c r="L925" i="1"/>
  <c r="L765" i="1"/>
  <c r="L1564" i="1"/>
  <c r="L86" i="1"/>
  <c r="L654" i="1"/>
  <c r="L271" i="1"/>
  <c r="Z10" i="5" s="1"/>
  <c r="L475" i="1"/>
  <c r="L1015" i="1"/>
  <c r="L1493" i="1"/>
  <c r="L544" i="1"/>
  <c r="L1533" i="1"/>
  <c r="L663" i="1"/>
  <c r="L872" i="1"/>
  <c r="L122" i="1"/>
  <c r="L601" i="1"/>
  <c r="L444" i="1"/>
  <c r="L541" i="1"/>
  <c r="AE14" i="5" s="1"/>
  <c r="L841" i="1"/>
  <c r="L1035" i="1"/>
  <c r="L1447" i="1"/>
  <c r="L630" i="1"/>
  <c r="L135" i="1"/>
  <c r="M7" i="5" s="1"/>
  <c r="L1046" i="1"/>
  <c r="L792" i="1"/>
  <c r="L294" i="1"/>
  <c r="L1511" i="1"/>
  <c r="L1037" i="1"/>
  <c r="L591" i="1"/>
  <c r="Y15" i="5" s="1"/>
  <c r="L330" i="1"/>
  <c r="L574" i="1"/>
  <c r="L592" i="1"/>
  <c r="Z15" i="5" s="1"/>
  <c r="L1480" i="1"/>
  <c r="L1183" i="1"/>
  <c r="L222" i="1"/>
  <c r="L315" i="1"/>
  <c r="L187" i="1"/>
  <c r="L88" i="1"/>
  <c r="S7" i="5" s="1"/>
  <c r="L270" i="1"/>
  <c r="Y10" i="5" s="1"/>
  <c r="L573" i="1"/>
  <c r="L149" i="1"/>
  <c r="L158" i="1"/>
  <c r="L1481" i="1"/>
  <c r="L1311" i="1"/>
  <c r="Z26" i="5" s="1"/>
  <c r="L673" i="1"/>
  <c r="L1353" i="1"/>
  <c r="L536" i="1"/>
  <c r="AC14" i="5" s="1"/>
  <c r="L861" i="1"/>
  <c r="X19" i="5" s="1"/>
  <c r="L262" i="1"/>
  <c r="L76" i="1"/>
  <c r="L162" i="1"/>
  <c r="L402" i="1"/>
  <c r="L597" i="1"/>
  <c r="AC15" i="5" s="1"/>
  <c r="L657" i="1"/>
  <c r="AA16" i="5" s="1"/>
  <c r="L92" i="1"/>
  <c r="L724" i="1"/>
  <c r="AA17" i="5" s="1"/>
  <c r="L1223" i="1"/>
  <c r="L1225" i="1"/>
  <c r="L186" i="1"/>
  <c r="L1341" i="1"/>
  <c r="L1445" i="1"/>
  <c r="AE28" i="5" s="1"/>
  <c r="L829" i="1"/>
  <c r="L380" i="1"/>
  <c r="L277" i="1"/>
  <c r="U10" i="5" s="1"/>
  <c r="L1310" i="1"/>
  <c r="Y26" i="5" s="1"/>
  <c r="L974" i="1"/>
  <c r="L1492" i="1"/>
  <c r="L280" i="1"/>
  <c r="L136" i="1"/>
  <c r="L1209" i="1"/>
  <c r="L1318" i="1"/>
  <c r="L739" i="1"/>
  <c r="L1354" i="1"/>
  <c r="L506" i="1"/>
  <c r="L1558" i="1"/>
  <c r="L1482" i="1"/>
  <c r="L982" i="1"/>
  <c r="L1615" i="1"/>
  <c r="L731" i="1"/>
  <c r="AC17" i="5" s="1"/>
  <c r="L79" i="1"/>
  <c r="U7" i="5" s="1"/>
  <c r="L1114" i="1"/>
  <c r="Z23" i="5" s="1"/>
  <c r="L168" i="1"/>
  <c r="L990" i="1"/>
  <c r="L1600" i="1"/>
  <c r="L1242" i="1"/>
  <c r="L651" i="1"/>
  <c r="L1357" i="1"/>
  <c r="L1469" i="1"/>
  <c r="L295" i="1"/>
  <c r="L460" i="1"/>
  <c r="L539" i="1"/>
  <c r="L1614" i="1"/>
  <c r="L1206" i="1"/>
  <c r="L1355" i="1"/>
  <c r="L831" i="1"/>
  <c r="L725" i="1"/>
  <c r="Y17" i="5" s="1"/>
  <c r="L1348" i="1"/>
  <c r="L917" i="1"/>
  <c r="Y20" i="5" s="1"/>
  <c r="L433" i="1"/>
  <c r="L301" i="1"/>
  <c r="L463" i="1"/>
  <c r="L1221" i="1"/>
  <c r="L773" i="1"/>
  <c r="L600" i="1"/>
  <c r="X15" i="5" s="1"/>
  <c r="L986" i="1"/>
  <c r="X21" i="5" s="1"/>
  <c r="L1454" i="1"/>
  <c r="L1226" i="1"/>
  <c r="L206" i="1"/>
  <c r="Z9" i="5" s="1"/>
  <c r="L738" i="1"/>
  <c r="L265" i="1"/>
  <c r="L856" i="1"/>
  <c r="L105" i="1"/>
  <c r="L1121" i="1"/>
  <c r="L1571" i="1"/>
  <c r="L759" i="1"/>
  <c r="L608" i="1"/>
  <c r="L734" i="1"/>
  <c r="L531" i="1"/>
  <c r="Z14" i="5" s="1"/>
  <c r="L1373" i="1"/>
  <c r="AE27" i="5" s="1"/>
  <c r="L1074" i="1"/>
  <c r="L1309" i="1"/>
  <c r="AA26" i="5" s="1"/>
  <c r="L443" i="1"/>
  <c r="L898" i="1"/>
  <c r="L705" i="1"/>
  <c r="L919" i="1"/>
  <c r="L1148" i="1"/>
  <c r="L675" i="1"/>
  <c r="L127" i="1"/>
  <c r="L217" i="1"/>
  <c r="L207" i="1"/>
  <c r="L157" i="1"/>
  <c r="L343" i="1"/>
  <c r="L131" i="1"/>
  <c r="L1051" i="1"/>
  <c r="L992" i="1"/>
  <c r="L533" i="1"/>
  <c r="L1267" i="1"/>
  <c r="L697" i="1"/>
  <c r="L1102" i="1"/>
  <c r="L1468" i="1"/>
  <c r="L742" i="1"/>
  <c r="L869" i="1"/>
  <c r="L327" i="1"/>
  <c r="L1012" i="1"/>
  <c r="L96" i="1"/>
  <c r="L370" i="1"/>
  <c r="L1324" i="1"/>
  <c r="L1182" i="1"/>
  <c r="L392" i="1"/>
  <c r="L1211" i="1"/>
  <c r="L866" i="1"/>
  <c r="L1219" i="1"/>
  <c r="L719" i="1"/>
  <c r="L635" i="1"/>
  <c r="L1235" i="1"/>
  <c r="L466" i="1"/>
  <c r="Z13" i="5" s="1"/>
  <c r="L210" i="1"/>
  <c r="V9" i="5" s="1"/>
  <c r="L1374" i="1"/>
  <c r="L1016" i="1"/>
  <c r="L1058" i="1"/>
  <c r="L1061" i="1"/>
  <c r="L1475" i="1"/>
  <c r="L183" i="1"/>
  <c r="L397" i="1"/>
  <c r="L264" i="1"/>
  <c r="L955" i="1"/>
  <c r="L1144" i="1"/>
  <c r="L440" i="1"/>
  <c r="L268" i="1"/>
  <c r="L793" i="1"/>
  <c r="X18" i="5" s="1"/>
  <c r="L213" i="1"/>
  <c r="L1570" i="1"/>
  <c r="L571" i="1"/>
  <c r="L1173" i="1"/>
  <c r="L448" i="1"/>
  <c r="L662" i="1"/>
  <c r="L211" i="1"/>
  <c r="AC9" i="5" s="1"/>
  <c r="L908" i="1"/>
  <c r="L269" i="1"/>
  <c r="AA10" i="5" s="1"/>
  <c r="L184" i="1"/>
  <c r="L308" i="1"/>
  <c r="L1371" i="1"/>
  <c r="X27" i="5" s="1"/>
  <c r="L216" i="1"/>
  <c r="AE9" i="5" s="1"/>
  <c r="L783" i="1"/>
  <c r="L632" i="1"/>
  <c r="L1425" i="1"/>
  <c r="L1178" i="1"/>
  <c r="Y24" i="5" s="1"/>
  <c r="L146" i="1"/>
  <c r="AC8" i="5" s="1"/>
  <c r="L1187" i="1"/>
  <c r="X24" i="5" s="1"/>
  <c r="L853" i="1"/>
  <c r="Z19" i="5" s="1"/>
  <c r="L1590" i="1"/>
  <c r="L283" i="1"/>
  <c r="L1034" i="1"/>
  <c r="L1408" i="1"/>
  <c r="L1088" i="1"/>
  <c r="L1436" i="1"/>
  <c r="L1195" i="1"/>
  <c r="L1018" i="1"/>
  <c r="L500" i="1"/>
  <c r="L141" i="1"/>
  <c r="Z8" i="5" s="1"/>
  <c r="L624" i="1"/>
  <c r="L1406" i="1"/>
  <c r="L1116" i="1"/>
  <c r="L446" i="1"/>
  <c r="L1217" i="1"/>
  <c r="L1559" i="1"/>
  <c r="L1327" i="1"/>
  <c r="L1358" i="1"/>
  <c r="L784" i="1"/>
  <c r="L1107" i="1"/>
  <c r="L153" i="1"/>
  <c r="L1079" i="1"/>
  <c r="L236" i="1"/>
  <c r="L1188" i="1"/>
  <c r="L603" i="1"/>
  <c r="L119" i="1"/>
  <c r="L1376" i="1"/>
  <c r="L1101" i="1"/>
  <c r="L1075" i="1"/>
  <c r="L822" i="1"/>
  <c r="L176" i="1"/>
  <c r="L238" i="1"/>
  <c r="L728" i="1"/>
  <c r="L447" i="1"/>
  <c r="L1127" i="1"/>
  <c r="L115" i="1"/>
  <c r="L1588" i="1"/>
  <c r="L1307" i="1"/>
  <c r="W26" i="5" s="1"/>
  <c r="L1086" i="1"/>
  <c r="L1283" i="1"/>
  <c r="L895" i="1"/>
  <c r="L401" i="1"/>
  <c r="Z12" i="5" s="1"/>
  <c r="L797" i="1"/>
  <c r="L504" i="1"/>
  <c r="L535" i="1"/>
  <c r="L1569" i="1"/>
  <c r="L1541" i="1"/>
  <c r="L1539" i="1"/>
  <c r="L1472" i="1"/>
  <c r="L1038" i="1"/>
  <c r="L664" i="1"/>
  <c r="AC16" i="5" s="1"/>
  <c r="L1400" i="1"/>
  <c r="L142" i="1"/>
  <c r="L1319" i="1"/>
  <c r="L508" i="1"/>
  <c r="L893" i="1"/>
  <c r="L503" i="1"/>
  <c r="L965" i="1"/>
  <c r="L790" i="1"/>
  <c r="AC18" i="5" s="1"/>
  <c r="L1531" i="1"/>
  <c r="L1080" i="1"/>
  <c r="L313" i="1"/>
  <c r="L198" i="1"/>
  <c r="L1297" i="1"/>
  <c r="L1478" i="1"/>
  <c r="L77" i="1"/>
  <c r="L1025" i="1"/>
  <c r="L532" i="1"/>
  <c r="L1288" i="1"/>
  <c r="L197" i="1"/>
  <c r="L150" i="1"/>
  <c r="L1491" i="1"/>
  <c r="L550" i="1"/>
  <c r="L318" i="1"/>
  <c r="L505" i="1"/>
  <c r="L795" i="1"/>
  <c r="AE18" i="5" s="1"/>
  <c r="L830" i="1"/>
  <c r="L173" i="1"/>
  <c r="L522" i="1"/>
  <c r="L144" i="1"/>
  <c r="L252" i="1"/>
  <c r="L434" i="1"/>
  <c r="L164" i="1"/>
  <c r="L718" i="1"/>
  <c r="L285" i="1"/>
  <c r="L346" i="1"/>
  <c r="AE11" i="5" s="1"/>
  <c r="L473" i="1"/>
  <c r="L411" i="1"/>
  <c r="AE12" i="5" s="1"/>
  <c r="L1190" i="1"/>
  <c r="L543" i="1"/>
  <c r="L715" i="1"/>
  <c r="L1108" i="1"/>
  <c r="O22" i="5" s="1"/>
  <c r="L432" i="1"/>
  <c r="L145" i="1"/>
  <c r="L169" i="1"/>
  <c r="L1529" i="1"/>
  <c r="L464" i="1"/>
  <c r="AA13" i="5" s="1"/>
  <c r="L445" i="1"/>
  <c r="L1180" i="1"/>
  <c r="L243" i="1"/>
  <c r="L110" i="1"/>
  <c r="L1049" i="1"/>
  <c r="L1512" i="1"/>
  <c r="L1104" i="1"/>
  <c r="L305" i="1"/>
  <c r="L167" i="1"/>
  <c r="L602" i="1"/>
  <c r="AE15" i="5" s="1"/>
  <c r="L827" i="1"/>
  <c r="L352" i="1"/>
  <c r="L477" i="1"/>
  <c r="L576" i="1"/>
  <c r="L78" i="1"/>
  <c r="AC7" i="5" s="1"/>
  <c r="L589" i="1"/>
  <c r="L629" i="1"/>
  <c r="L417" i="1"/>
  <c r="L929" i="1"/>
  <c r="L156" i="1"/>
  <c r="S8" i="5" s="1"/>
  <c r="L1050" i="1"/>
  <c r="X22" i="5" s="1"/>
  <c r="L311" i="1"/>
  <c r="L1604" i="1"/>
  <c r="L1253" i="1"/>
  <c r="L1403" i="1"/>
  <c r="J1296" i="1"/>
  <c r="K1296" i="1" s="1"/>
  <c r="J1135" i="1"/>
  <c r="K1135" i="1" s="1"/>
  <c r="J814" i="1"/>
  <c r="K814" i="1" s="1"/>
  <c r="J227" i="1"/>
  <c r="K227" i="1" s="1"/>
  <c r="J259" i="1"/>
  <c r="K259" i="1" s="1"/>
  <c r="J1019" i="1"/>
  <c r="K1019" i="1" s="1"/>
  <c r="J516" i="1"/>
  <c r="K516" i="1" s="1"/>
  <c r="J837" i="1"/>
  <c r="K837" i="1" s="1"/>
  <c r="J1514" i="1"/>
  <c r="K1514" i="1" s="1"/>
  <c r="J493" i="1"/>
  <c r="K493" i="1" s="1"/>
  <c r="J1526" i="1"/>
  <c r="K1526" i="1" s="1"/>
  <c r="J633" i="1"/>
  <c r="K633" i="1" s="1"/>
  <c r="J519" i="1"/>
  <c r="K519" i="1" s="1"/>
  <c r="J234" i="1"/>
  <c r="K234" i="1" s="1"/>
  <c r="J549" i="1"/>
  <c r="K549" i="1" s="1"/>
  <c r="J859" i="1"/>
  <c r="K859" i="1" s="1"/>
  <c r="K457" i="1"/>
  <c r="L457" i="1" s="1"/>
  <c r="K828" i="1"/>
  <c r="L828" i="1" s="1"/>
  <c r="K95" i="1"/>
  <c r="L95" i="1" s="1"/>
  <c r="K699" i="1"/>
  <c r="L699" i="1" s="1"/>
  <c r="K1270" i="1"/>
  <c r="L1270" i="1" s="1"/>
  <c r="K670" i="1"/>
  <c r="L670" i="1" s="1"/>
  <c r="K782" i="1"/>
  <c r="L782" i="1" s="1"/>
  <c r="K622" i="1"/>
  <c r="L622" i="1" s="1"/>
  <c r="K1111" i="1"/>
  <c r="L1111" i="1" s="1"/>
  <c r="W23" i="5" s="1"/>
  <c r="K864" i="1"/>
  <c r="L864" i="1" s="1"/>
  <c r="K855" i="1"/>
  <c r="L855" i="1" s="1"/>
  <c r="K439" i="1"/>
  <c r="L439" i="1" s="1"/>
  <c r="K482" i="1"/>
  <c r="L482" i="1" s="1"/>
  <c r="K409" i="1"/>
  <c r="L409" i="1" s="1"/>
  <c r="K1467" i="1"/>
  <c r="L1467" i="1" s="1"/>
  <c r="K420" i="1"/>
  <c r="L420" i="1" s="1"/>
  <c r="K678" i="1"/>
  <c r="L678" i="1" s="1"/>
  <c r="K960" i="1"/>
  <c r="L960" i="1" s="1"/>
  <c r="K1592" i="1"/>
  <c r="L1592" i="1" s="1"/>
  <c r="K462" i="1"/>
  <c r="L462" i="1" s="1"/>
  <c r="K1567" i="1"/>
  <c r="L1567" i="1" s="1"/>
  <c r="K1572" i="1"/>
  <c r="L1572" i="1" s="1"/>
  <c r="K626" i="1"/>
  <c r="L626" i="1" s="1"/>
  <c r="K653" i="1"/>
  <c r="L653" i="1" s="1"/>
  <c r="L15" i="5" s="1"/>
  <c r="K175" i="1"/>
  <c r="L175" i="1" s="1"/>
  <c r="K842" i="1"/>
  <c r="L842" i="1" s="1"/>
  <c r="K400" i="1"/>
  <c r="L400" i="1" s="1"/>
  <c r="Y12" i="5" s="1"/>
  <c r="K378" i="1"/>
  <c r="L378" i="1" s="1"/>
  <c r="K109" i="1"/>
  <c r="L109" i="1" s="1"/>
  <c r="K604" i="1"/>
  <c r="L604" i="1" s="1"/>
  <c r="K704" i="1"/>
  <c r="L704" i="1" s="1"/>
  <c r="K1256" i="1"/>
  <c r="L1256" i="1" s="1"/>
  <c r="K81" i="1"/>
  <c r="L81" i="1" s="1"/>
  <c r="X7" i="5" s="1"/>
  <c r="K1320" i="1"/>
  <c r="L1320" i="1" s="1"/>
  <c r="K768" i="1"/>
  <c r="L768" i="1" s="1"/>
  <c r="K326" i="1"/>
  <c r="L326" i="1" s="1"/>
  <c r="K133" i="1"/>
  <c r="L133" i="1" s="1"/>
  <c r="K1157" i="1"/>
  <c r="L1157" i="1" s="1"/>
  <c r="K309" i="1"/>
  <c r="L309" i="1" s="1"/>
  <c r="K316" i="1"/>
  <c r="L316" i="1" s="1"/>
  <c r="J905" i="1"/>
  <c r="K905" i="1" s="1"/>
  <c r="J1244" i="1"/>
  <c r="K1244" i="1" s="1"/>
  <c r="J1248" i="1"/>
  <c r="K1248" i="1" s="1"/>
  <c r="J430" i="1"/>
  <c r="K430" i="1" s="1"/>
  <c r="J1581" i="1"/>
  <c r="K1581" i="1" s="1"/>
  <c r="J553" i="1"/>
  <c r="K553" i="1" s="1"/>
  <c r="J442" i="1"/>
  <c r="K442" i="1" s="1"/>
  <c r="J296" i="1"/>
  <c r="K296" i="1" s="1"/>
  <c r="J320" i="1"/>
  <c r="K320" i="1" s="1"/>
  <c r="J324" i="1"/>
  <c r="K324" i="1" s="1"/>
  <c r="J1077" i="1"/>
  <c r="K1077" i="1" s="1"/>
  <c r="J614" i="1"/>
  <c r="K614" i="1" s="1"/>
  <c r="J879" i="1"/>
  <c r="K879" i="1" s="1"/>
  <c r="J390" i="1"/>
  <c r="K390" i="1" s="1"/>
  <c r="J1629" i="1"/>
  <c r="K1629" i="1" s="1"/>
  <c r="J679" i="1"/>
  <c r="K679" i="1" s="1"/>
  <c r="J254" i="1"/>
  <c r="K254" i="1" s="1"/>
  <c r="J1608" i="1"/>
  <c r="K1608" i="1" s="1"/>
  <c r="J1149" i="1"/>
  <c r="K1149" i="1" s="1"/>
  <c r="J1362" i="1"/>
  <c r="K1362" i="1" s="1"/>
  <c r="J518" i="1"/>
  <c r="K518" i="1" s="1"/>
  <c r="J1432" i="1"/>
  <c r="K1432" i="1" s="1"/>
  <c r="J1459" i="1"/>
  <c r="K1459" i="1" s="1"/>
  <c r="J396" i="1"/>
  <c r="K396" i="1" s="1"/>
  <c r="J257" i="1"/>
  <c r="K257" i="1" s="1"/>
  <c r="J1199" i="1"/>
  <c r="K1199" i="1" s="1"/>
  <c r="J450" i="1"/>
  <c r="K450" i="1" s="1"/>
  <c r="J454" i="1"/>
  <c r="K454" i="1" s="1"/>
  <c r="J1153" i="1"/>
  <c r="K1153" i="1" s="1"/>
  <c r="J1240" i="1"/>
  <c r="K1240" i="1" s="1"/>
  <c r="J322" i="1"/>
  <c r="K322" i="1" s="1"/>
  <c r="J1002" i="1"/>
  <c r="K1002" i="1" s="1"/>
  <c r="J226" i="1"/>
  <c r="K226" i="1" s="1"/>
  <c r="J384" i="1"/>
  <c r="K384" i="1" s="1"/>
  <c r="J1097" i="1"/>
  <c r="K1097" i="1" s="1"/>
  <c r="J223" i="1"/>
  <c r="K223" i="1" s="1"/>
  <c r="J560" i="1"/>
  <c r="K560" i="1" s="1"/>
  <c r="J939" i="1"/>
  <c r="K939" i="1" s="1"/>
  <c r="J1033" i="1"/>
  <c r="K1033" i="1" s="1"/>
  <c r="J1301" i="1"/>
  <c r="K1301" i="1" s="1"/>
  <c r="J1366" i="1"/>
  <c r="K1366" i="1" s="1"/>
  <c r="J1201" i="1"/>
  <c r="K1201" i="1" s="1"/>
  <c r="J1069" i="1"/>
  <c r="K1069" i="1" s="1"/>
  <c r="J581" i="1"/>
  <c r="K581" i="1" s="1"/>
  <c r="J802" i="1"/>
  <c r="K802" i="1" s="1"/>
  <c r="J1294" i="1"/>
  <c r="K1294" i="1" s="1"/>
  <c r="J824" i="1"/>
  <c r="K824" i="1" s="1"/>
  <c r="J1585" i="1"/>
  <c r="K1585" i="1" s="1"/>
  <c r="J502" i="1"/>
  <c r="K502" i="1" s="1"/>
  <c r="J970" i="1"/>
  <c r="K970" i="1" s="1"/>
  <c r="J665" i="1"/>
  <c r="K665" i="1" s="1"/>
  <c r="J359" i="1"/>
  <c r="K359" i="1" s="1"/>
  <c r="J1292" i="1"/>
  <c r="K1292" i="1" s="1"/>
  <c r="J1553" i="1"/>
  <c r="K1553" i="1" s="1"/>
  <c r="J245" i="1"/>
  <c r="K245" i="1" s="1"/>
  <c r="J848" i="1"/>
  <c r="K848" i="1" s="1"/>
  <c r="J1291" i="1"/>
  <c r="K1291" i="1" s="1"/>
  <c r="J1402" i="1"/>
  <c r="K1402" i="1" s="1"/>
  <c r="J261" i="1"/>
  <c r="K261" i="1" s="1"/>
  <c r="K123" i="1"/>
  <c r="L123" i="1" s="1"/>
  <c r="K987" i="1"/>
  <c r="L987" i="1" s="1"/>
  <c r="K350" i="1"/>
  <c r="L350" i="1" s="1"/>
  <c r="K1285" i="1"/>
  <c r="L1285" i="1" s="1"/>
  <c r="K886" i="1"/>
  <c r="L886" i="1" s="1"/>
  <c r="K275" i="1"/>
  <c r="L275" i="1" s="1"/>
  <c r="K860" i="1"/>
  <c r="L860" i="1" s="1"/>
  <c r="K605" i="1"/>
  <c r="L605" i="1" s="1"/>
  <c r="K1617" i="1"/>
  <c r="L1617" i="1" s="1"/>
  <c r="K1117" i="1"/>
  <c r="L1117" i="1" s="1"/>
  <c r="K188" i="1"/>
  <c r="L188" i="1" s="1"/>
  <c r="K590" i="1"/>
  <c r="L590" i="1" s="1"/>
  <c r="K564" i="1"/>
  <c r="L564" i="1" s="1"/>
  <c r="K348" i="1"/>
  <c r="L348" i="1" s="1"/>
  <c r="K155" i="1"/>
  <c r="L155" i="1" s="1"/>
  <c r="K208" i="1"/>
  <c r="L208" i="1" s="1"/>
  <c r="K1473" i="1"/>
  <c r="L1473" i="1" s="1"/>
  <c r="K865" i="1"/>
  <c r="L865" i="1" s="1"/>
  <c r="K337" i="1"/>
  <c r="L337" i="1" s="1"/>
  <c r="K1008" i="1"/>
  <c r="L1008" i="1" s="1"/>
  <c r="K510" i="1"/>
  <c r="L510" i="1" s="1"/>
  <c r="K143" i="1"/>
  <c r="L143" i="1" s="1"/>
  <c r="K832" i="1"/>
  <c r="L832" i="1" s="1"/>
  <c r="J870" i="1"/>
  <c r="K870" i="1" s="1"/>
  <c r="J1612" i="1"/>
  <c r="K1612" i="1" s="1"/>
  <c r="J1329" i="1"/>
  <c r="K1329" i="1" s="1"/>
  <c r="J940" i="1"/>
  <c r="K940" i="1" s="1"/>
  <c r="J1381" i="1"/>
  <c r="K1381" i="1" s="1"/>
  <c r="J1534" i="1"/>
  <c r="K1534" i="1" s="1"/>
  <c r="J1304" i="1"/>
  <c r="K1304" i="1" s="1"/>
  <c r="J1095" i="1"/>
  <c r="K1095" i="1" s="1"/>
  <c r="J1276" i="1"/>
  <c r="K1276" i="1" s="1"/>
  <c r="J761" i="1"/>
  <c r="K761" i="1" s="1"/>
  <c r="J1628" i="1"/>
  <c r="K1628" i="1" s="1"/>
  <c r="J1611" i="1"/>
  <c r="K1611" i="1" s="1"/>
  <c r="J514" i="1"/>
  <c r="K514" i="1" s="1"/>
  <c r="J812" i="1"/>
  <c r="K812" i="1" s="1"/>
  <c r="J1275" i="1"/>
  <c r="K1275" i="1" s="1"/>
  <c r="J232" i="1"/>
  <c r="K232" i="1" s="1"/>
  <c r="J377" i="1"/>
  <c r="K377" i="1" s="1"/>
  <c r="J386" i="1"/>
  <c r="K386" i="1" s="1"/>
  <c r="J620" i="1"/>
  <c r="K620" i="1" s="1"/>
  <c r="L620" i="1" s="1"/>
  <c r="J834" i="1"/>
  <c r="K834" i="1" s="1"/>
  <c r="J495" i="1"/>
  <c r="K495" i="1" s="1"/>
  <c r="J774" i="1"/>
  <c r="K774" i="1" s="1"/>
  <c r="J1094" i="1"/>
  <c r="K1094" i="1" s="1"/>
  <c r="J491" i="1"/>
  <c r="K491" i="1" s="1"/>
  <c r="J967" i="1"/>
  <c r="K967" i="1" s="1"/>
  <c r="J971" i="1"/>
  <c r="K971" i="1" s="1"/>
  <c r="J904" i="1"/>
  <c r="K904" i="1" s="1"/>
  <c r="J570" i="1"/>
  <c r="K570" i="1" s="1"/>
  <c r="J1027" i="1"/>
  <c r="K1027" i="1" s="1"/>
  <c r="J1523" i="1"/>
  <c r="K1523" i="1" s="1"/>
  <c r="J1548" i="1"/>
  <c r="K1548" i="1" s="1"/>
  <c r="J743" i="1"/>
  <c r="K743" i="1" s="1"/>
  <c r="J1071" i="1"/>
  <c r="K1071" i="1" s="1"/>
  <c r="J1456" i="1"/>
  <c r="K1456" i="1" s="1"/>
  <c r="J342" i="1"/>
  <c r="K342" i="1" s="1"/>
  <c r="J1306" i="1"/>
  <c r="K1306" i="1" s="1"/>
  <c r="J360" i="1"/>
  <c r="K360" i="1" s="1"/>
  <c r="J266" i="1"/>
  <c r="K266" i="1" s="1"/>
  <c r="J497" i="1"/>
  <c r="K497" i="1" s="1"/>
  <c r="J1524" i="1"/>
  <c r="K1524" i="1" s="1"/>
  <c r="J1250" i="1"/>
  <c r="K1250" i="1" s="1"/>
  <c r="J1328" i="1"/>
  <c r="K1328" i="1" s="1"/>
  <c r="J537" i="1"/>
  <c r="K537" i="1" s="1"/>
  <c r="J1350" i="1"/>
  <c r="K1350" i="1" s="1"/>
  <c r="J1155" i="1"/>
  <c r="K1155" i="1" s="1"/>
  <c r="J1109" i="1"/>
  <c r="K1109" i="1" s="1"/>
  <c r="J1041" i="1"/>
  <c r="K1041" i="1" s="1"/>
  <c r="J375" i="1"/>
  <c r="K375" i="1" s="1"/>
  <c r="J1004" i="1"/>
  <c r="K1004" i="1" s="1"/>
  <c r="J1029" i="1"/>
  <c r="K1029" i="1" s="1"/>
  <c r="J481" i="1"/>
  <c r="K481" i="1" s="1"/>
  <c r="J452" i="1"/>
  <c r="K452" i="1" s="1"/>
  <c r="J1430" i="1"/>
  <c r="K1430" i="1" s="1"/>
  <c r="J1105" i="1"/>
  <c r="K1105" i="1" s="1"/>
  <c r="J808" i="1"/>
  <c r="K808" i="1" s="1"/>
  <c r="J1103" i="1"/>
  <c r="K1103" i="1" s="1"/>
  <c r="J993" i="1"/>
  <c r="K993" i="1" s="1"/>
  <c r="J1486" i="1"/>
  <c r="K1486" i="1" s="1"/>
  <c r="K174" i="1"/>
  <c r="L174" i="1" s="1"/>
  <c r="K930" i="1"/>
  <c r="L930" i="1" s="1"/>
  <c r="K525" i="1"/>
  <c r="L525" i="1" s="1"/>
  <c r="K595" i="1"/>
  <c r="L595" i="1" s="1"/>
  <c r="K963" i="1"/>
  <c r="L963" i="1" s="1"/>
  <c r="K467" i="1"/>
  <c r="L467" i="1" s="1"/>
  <c r="K1312" i="1"/>
  <c r="L1312" i="1" s="1"/>
  <c r="K180" i="1"/>
  <c r="L180" i="1" s="1"/>
  <c r="K159" i="1"/>
  <c r="L159" i="1" s="1"/>
  <c r="K899" i="1"/>
  <c r="L899" i="1" s="1"/>
  <c r="K425" i="1"/>
  <c r="L425" i="1" s="1"/>
  <c r="K178" i="1"/>
  <c r="L178" i="1" s="1"/>
  <c r="K863" i="1"/>
  <c r="L863" i="1" s="1"/>
  <c r="AE19" i="5" s="1"/>
  <c r="K1084" i="1"/>
  <c r="L1084" i="1" s="1"/>
  <c r="K355" i="1"/>
  <c r="L355" i="1" s="1"/>
  <c r="K975" i="1"/>
  <c r="L975" i="1" s="1"/>
  <c r="K1176" i="1"/>
  <c r="L1176" i="1" s="1"/>
  <c r="W24" i="5" s="1"/>
  <c r="K1446" i="1"/>
  <c r="L1446" i="1" s="1"/>
  <c r="K1100" i="1"/>
  <c r="L1100" i="1" s="1"/>
  <c r="J849" i="1"/>
  <c r="K849" i="1" s="1"/>
  <c r="J1551" i="1"/>
  <c r="K1551" i="1" s="1"/>
  <c r="J826" i="1"/>
  <c r="K826" i="1" s="1"/>
  <c r="J1575" i="1"/>
  <c r="K1575" i="1" s="1"/>
  <c r="J1277" i="1"/>
  <c r="K1277" i="1" s="1"/>
  <c r="J873" i="1"/>
  <c r="K873" i="1" s="1"/>
  <c r="J1416" i="1"/>
  <c r="K1416" i="1" s="1"/>
  <c r="J1081" i="1"/>
  <c r="K1081" i="1" s="1"/>
  <c r="J1150" i="1"/>
  <c r="K1150" i="1" s="1"/>
  <c r="J998" i="1"/>
  <c r="K998" i="1" s="1"/>
  <c r="J1272" i="1"/>
  <c r="K1272" i="1" s="1"/>
  <c r="J364" i="1"/>
  <c r="K364" i="1" s="1"/>
  <c r="J1579" i="1"/>
  <c r="K1579" i="1" s="1"/>
  <c r="J1607" i="1"/>
  <c r="K1607" i="1" s="1"/>
  <c r="J1516" i="1"/>
  <c r="K1516" i="1" s="1"/>
  <c r="J1455" i="1"/>
  <c r="K1455" i="1" s="1"/>
  <c r="J1470" i="1"/>
  <c r="K1470" i="1" s="1"/>
  <c r="J1042" i="1"/>
  <c r="K1042" i="1" s="1"/>
  <c r="J1293" i="1"/>
  <c r="K1293" i="1" s="1"/>
  <c r="J1613" i="1"/>
  <c r="K1613" i="1" s="1"/>
  <c r="J947" i="1"/>
  <c r="K947" i="1" s="1"/>
  <c r="J1064" i="1"/>
  <c r="K1064" i="1" s="1"/>
  <c r="J959" i="1"/>
  <c r="K959" i="1" s="1"/>
  <c r="J810" i="1"/>
  <c r="K810" i="1" s="1"/>
  <c r="J838" i="1"/>
  <c r="K838" i="1" s="1"/>
  <c r="J1593" i="1"/>
  <c r="K1593" i="1" s="1"/>
  <c r="J687" i="1"/>
  <c r="K687" i="1" s="1"/>
  <c r="J1136" i="1"/>
  <c r="K1136" i="1" s="1"/>
  <c r="J1461" i="1"/>
  <c r="K1461" i="1" s="1"/>
  <c r="J1134" i="1"/>
  <c r="K1134" i="1" s="1"/>
  <c r="J258" i="1"/>
  <c r="K258" i="1" s="1"/>
  <c r="J1175" i="1"/>
  <c r="K1175" i="1" s="1"/>
  <c r="J1535" i="1"/>
  <c r="K1535" i="1" s="1"/>
  <c r="J1258" i="1"/>
  <c r="K1258" i="1" s="1"/>
  <c r="J621" i="1"/>
  <c r="K621" i="1" s="1"/>
  <c r="J946" i="1"/>
  <c r="K946" i="1" s="1"/>
  <c r="J293" i="1"/>
  <c r="K293" i="1" s="1"/>
  <c r="J700" i="1"/>
  <c r="K700" i="1" s="1"/>
  <c r="J291" i="1"/>
  <c r="K291" i="1" s="1"/>
  <c r="J889" i="1"/>
  <c r="K889" i="1" s="1"/>
  <c r="J709" i="1"/>
  <c r="K709" i="1" s="1"/>
  <c r="J418" i="1"/>
  <c r="K418" i="1" s="1"/>
  <c r="J755" i="1"/>
  <c r="K755" i="1" s="1"/>
  <c r="J1006" i="1"/>
  <c r="K1006" i="1" s="1"/>
  <c r="J358" i="1"/>
  <c r="K358" i="1" s="1"/>
  <c r="J685" i="1"/>
  <c r="K685" i="1" s="1"/>
  <c r="J646" i="1"/>
  <c r="K646" i="1" s="1"/>
  <c r="J617" i="1"/>
  <c r="K617" i="1" s="1"/>
  <c r="J1090" i="1"/>
  <c r="K1090" i="1" s="1"/>
  <c r="J566" i="1"/>
  <c r="K566" i="1" s="1"/>
  <c r="J1499" i="1"/>
  <c r="K1499" i="1" s="1"/>
  <c r="J1390" i="1"/>
  <c r="K1390" i="1" s="1"/>
  <c r="J684" i="1"/>
  <c r="K684" i="1" s="1"/>
  <c r="J708" i="1"/>
  <c r="K708" i="1" s="1"/>
  <c r="J712" i="1"/>
  <c r="K712" i="1" s="1"/>
  <c r="J424" i="1"/>
  <c r="K424" i="1" s="1"/>
  <c r="J1563" i="1"/>
  <c r="K1563" i="1" s="1"/>
  <c r="J752" i="1"/>
  <c r="K752" i="1" s="1"/>
  <c r="J894" i="1"/>
  <c r="K894" i="1" s="1"/>
  <c r="J1453" i="1"/>
  <c r="K1453" i="1" s="1"/>
  <c r="J762" i="1"/>
  <c r="K762" i="1" s="1"/>
  <c r="K770" i="1"/>
  <c r="L770" i="1" s="1"/>
  <c r="K1495" i="1"/>
  <c r="L1495" i="1" s="1"/>
  <c r="K200" i="1"/>
  <c r="L200" i="1" s="1"/>
  <c r="K756" i="1"/>
  <c r="L756" i="1" s="1"/>
  <c r="K527" i="1"/>
  <c r="L527" i="1" s="1"/>
  <c r="K1598" i="1"/>
  <c r="L1598" i="1" s="1"/>
  <c r="K1546" i="1"/>
  <c r="L1546" i="1" s="1"/>
  <c r="K771" i="1"/>
  <c r="L771" i="1" s="1"/>
  <c r="K1423" i="1"/>
  <c r="L1423" i="1" s="1"/>
  <c r="L281" i="1"/>
  <c r="AE10" i="5" s="1"/>
  <c r="L1123" i="1"/>
  <c r="L111" i="1"/>
  <c r="L1181" i="1"/>
  <c r="L980" i="1"/>
  <c r="M20" i="5" s="1"/>
  <c r="L1349" i="1"/>
  <c r="L1532" i="1"/>
  <c r="L1122" i="1"/>
  <c r="X23" i="5" s="1"/>
  <c r="L1494" i="1"/>
  <c r="L282" i="1"/>
  <c r="L113" i="1"/>
  <c r="L74" i="1"/>
  <c r="K1542" i="1"/>
  <c r="L1542" i="1" s="1"/>
  <c r="K921" i="1"/>
  <c r="L921" i="1" s="1"/>
  <c r="K85" i="1"/>
  <c r="L85" i="1" s="1"/>
  <c r="K948" i="1"/>
  <c r="L948" i="1" s="1"/>
  <c r="K1263" i="1"/>
  <c r="L1263" i="1" s="1"/>
  <c r="K727" i="1"/>
  <c r="L727" i="1" s="1"/>
  <c r="K854" i="1"/>
  <c r="L854" i="1" s="1"/>
  <c r="K104" i="1"/>
  <c r="L104" i="1" s="1"/>
  <c r="K599" i="1"/>
  <c r="L599" i="1" s="1"/>
  <c r="K991" i="1"/>
  <c r="L991" i="1" s="1"/>
  <c r="K1212" i="1"/>
  <c r="L1212" i="1" s="1"/>
  <c r="K93" i="1"/>
  <c r="L93" i="1" s="1"/>
  <c r="K1372" i="1"/>
  <c r="L1372" i="1" s="1"/>
  <c r="K248" i="1"/>
  <c r="L248" i="1" s="1"/>
  <c r="K116" i="1"/>
  <c r="L116" i="1" s="1"/>
  <c r="K394" i="1"/>
  <c r="L394" i="1" s="1"/>
  <c r="J820" i="1"/>
  <c r="K820" i="1" s="1"/>
  <c r="J1586" i="1"/>
  <c r="K1586" i="1" s="1"/>
  <c r="J1215" i="1"/>
  <c r="K1215" i="1" s="1"/>
  <c r="J1000" i="1"/>
  <c r="K1000" i="1" s="1"/>
  <c r="J255" i="1"/>
  <c r="K255" i="1" s="1"/>
  <c r="J1196" i="1"/>
  <c r="K1196" i="1" s="1"/>
  <c r="J954" i="1"/>
  <c r="K954" i="1" s="1"/>
  <c r="J776" i="1"/>
  <c r="K776" i="1" s="1"/>
  <c r="J1505" i="1"/>
  <c r="K1505" i="1" s="1"/>
  <c r="J1063" i="1"/>
  <c r="K1063" i="1" s="1"/>
  <c r="J1091" i="1"/>
  <c r="K1091" i="1" s="1"/>
  <c r="J995" i="1"/>
  <c r="K995" i="1" s="1"/>
  <c r="J1197" i="1"/>
  <c r="K1197" i="1" s="1"/>
  <c r="J429" i="1"/>
  <c r="K429" i="1" s="1"/>
  <c r="J1383" i="1"/>
  <c r="K1383" i="1" s="1"/>
  <c r="J871" i="1"/>
  <c r="K871" i="1" s="1"/>
  <c r="J907" i="1"/>
  <c r="K907" i="1" s="1"/>
  <c r="J1208" i="1"/>
  <c r="K1208" i="1" s="1"/>
  <c r="J1463" i="1"/>
  <c r="K1463" i="1" s="1"/>
  <c r="J618" i="1"/>
  <c r="K618" i="1" s="1"/>
  <c r="J1220" i="1"/>
  <c r="K1220" i="1" s="1"/>
  <c r="J805" i="1"/>
  <c r="K805" i="1" s="1"/>
  <c r="J1092" i="1"/>
  <c r="K1092" i="1" s="1"/>
  <c r="J935" i="1"/>
  <c r="K935" i="1" s="1"/>
  <c r="J1252" i="1"/>
  <c r="K1252" i="1" s="1"/>
  <c r="J1527" i="1"/>
  <c r="K1527" i="1" s="1"/>
  <c r="J875" i="1"/>
  <c r="K875" i="1" s="1"/>
  <c r="J1140" i="1"/>
  <c r="K1140" i="1" s="1"/>
  <c r="J1233" i="1"/>
  <c r="K1233" i="1" s="1"/>
  <c r="J1139" i="1"/>
  <c r="K1139" i="1" s="1"/>
  <c r="J1547" i="1"/>
  <c r="K1547" i="1" s="1"/>
  <c r="J888" i="1"/>
  <c r="K888" i="1" s="1"/>
  <c r="J554" i="1"/>
  <c r="K554" i="1" s="1"/>
  <c r="J680" i="1"/>
  <c r="K680" i="1" s="1"/>
  <c r="J201" i="1"/>
  <c r="K201" i="1" s="1"/>
  <c r="J1204" i="1"/>
  <c r="K1204" i="1" s="1"/>
  <c r="J1228" i="1"/>
  <c r="K1228" i="1" s="1"/>
  <c r="J1232" i="1"/>
  <c r="K1232" i="1" s="1"/>
  <c r="J365" i="1"/>
  <c r="K365" i="1" s="1"/>
  <c r="J1001" i="1"/>
  <c r="K1001" i="1" s="1"/>
  <c r="J1337" i="1"/>
  <c r="K1337" i="1" s="1"/>
  <c r="J1404" i="1"/>
  <c r="K1404" i="1" s="1"/>
  <c r="J421" i="1"/>
  <c r="K421" i="1" s="1"/>
  <c r="J1259" i="1"/>
  <c r="K1259" i="1" s="1"/>
  <c r="J1485" i="1"/>
  <c r="K1485" i="1" s="1"/>
  <c r="J1131" i="1"/>
  <c r="K1131" i="1" s="1"/>
  <c r="J811" i="1"/>
  <c r="K811" i="1" s="1"/>
  <c r="J325" i="1"/>
  <c r="K325" i="1" s="1"/>
  <c r="J936" i="1"/>
  <c r="K936" i="1" s="1"/>
  <c r="J307" i="1"/>
  <c r="K307" i="1" s="1"/>
  <c r="J451" i="1"/>
  <c r="K451" i="1" s="1"/>
  <c r="J1169" i="1"/>
  <c r="K1169" i="1" s="1"/>
  <c r="J1528" i="1"/>
  <c r="K1528" i="1" s="1"/>
  <c r="J874" i="1"/>
  <c r="K874" i="1" s="1"/>
  <c r="J1554" i="1"/>
  <c r="K1554" i="1" s="1"/>
  <c r="J878" i="1"/>
  <c r="K878" i="1" s="1"/>
  <c r="J385" i="1"/>
  <c r="K385" i="1" s="1"/>
  <c r="J1363" i="1"/>
  <c r="K1363" i="1" s="1"/>
  <c r="J645" i="1"/>
  <c r="K645" i="1" s="1"/>
  <c r="J1460" i="1"/>
  <c r="K1460" i="1" s="1"/>
  <c r="J1164" i="1"/>
  <c r="K1164" i="1" s="1"/>
  <c r="J1426" i="1"/>
  <c r="K1426" i="1" s="1"/>
  <c r="J642" i="1"/>
  <c r="K642" i="1" s="1"/>
  <c r="K689" i="1"/>
  <c r="L689" i="1" s="1"/>
  <c r="K1198" i="1"/>
  <c r="L1198" i="1" s="1"/>
  <c r="K900" i="1"/>
  <c r="L900" i="1" s="1"/>
  <c r="K710" i="1"/>
  <c r="L710" i="1" s="1"/>
  <c r="K857" i="1"/>
  <c r="L857" i="1" s="1"/>
  <c r="K1255" i="1"/>
  <c r="L1255" i="1" s="1"/>
  <c r="K745" i="1"/>
  <c r="L745" i="1" s="1"/>
  <c r="K772" i="1"/>
  <c r="L772" i="1" s="1"/>
  <c r="K310" i="1"/>
  <c r="L310" i="1" s="1"/>
  <c r="K703" i="1"/>
  <c r="L703" i="1" s="1"/>
  <c r="K1407" i="1"/>
  <c r="L1407" i="1" s="1"/>
  <c r="K1115" i="1"/>
  <c r="L1115" i="1" s="1"/>
  <c r="K101" i="1"/>
  <c r="L101" i="1" s="1"/>
  <c r="K1420" i="1"/>
  <c r="L1420" i="1" s="1"/>
  <c r="K1504" i="1"/>
  <c r="L1504" i="1" s="1"/>
  <c r="AC29" i="5" s="1"/>
  <c r="K329" i="1"/>
  <c r="L329" i="1" s="1"/>
  <c r="K474" i="1"/>
  <c r="L474" i="1" s="1"/>
  <c r="K1395" i="1"/>
  <c r="L1395" i="1" s="1"/>
  <c r="K1518" i="1"/>
  <c r="L1518" i="1" s="1"/>
  <c r="K1024" i="1"/>
  <c r="L1024" i="1" s="1"/>
  <c r="K1072" i="1"/>
  <c r="L1072" i="1" s="1"/>
  <c r="K958" i="1"/>
  <c r="L958" i="1" s="1"/>
  <c r="J1483" i="1"/>
  <c r="K1483" i="1" s="1"/>
  <c r="J256" i="1"/>
  <c r="K256" i="1" s="1"/>
  <c r="J231" i="1"/>
  <c r="K231" i="1" s="1"/>
  <c r="J711" i="1"/>
  <c r="K711" i="1" s="1"/>
  <c r="J1433" i="1"/>
  <c r="K1433" i="1" s="1"/>
  <c r="J833" i="1"/>
  <c r="K833" i="1" s="1"/>
  <c r="J436" i="1"/>
  <c r="K436" i="1" s="1"/>
  <c r="J1210" i="1"/>
  <c r="K1210" i="1" s="1"/>
  <c r="J1450" i="1"/>
  <c r="K1450" i="1" s="1"/>
  <c r="J938" i="1"/>
  <c r="K938" i="1" s="1"/>
  <c r="J428" i="1"/>
  <c r="K428" i="1" s="1"/>
  <c r="J901" i="1"/>
  <c r="K901" i="1" s="1"/>
  <c r="J567" i="1"/>
  <c r="K567" i="1" s="1"/>
  <c r="J235" i="1"/>
  <c r="K235" i="1" s="1"/>
  <c r="J1264" i="1"/>
  <c r="K1264" i="1" s="1"/>
  <c r="J1096" i="1"/>
  <c r="K1096" i="1" s="1"/>
  <c r="J1606" i="1"/>
  <c r="K1606" i="1" s="1"/>
  <c r="J286" i="1"/>
  <c r="K286" i="1" s="1"/>
  <c r="J242" i="1"/>
  <c r="K242" i="1" s="1"/>
  <c r="J807" i="1"/>
  <c r="K807" i="1" s="1"/>
  <c r="J1594" i="1"/>
  <c r="K1594" i="1" s="1"/>
  <c r="J1385" i="1"/>
  <c r="K1385" i="1" s="1"/>
  <c r="J449" i="1"/>
  <c r="K449" i="1" s="1"/>
  <c r="J453" i="1"/>
  <c r="K453" i="1" s="1"/>
  <c r="J298" i="1"/>
  <c r="K298" i="1" s="1"/>
  <c r="J237" i="1"/>
  <c r="K237" i="1" s="1"/>
  <c r="J1398" i="1"/>
  <c r="K1398" i="1" s="1"/>
  <c r="J494" i="1"/>
  <c r="K494" i="1" s="1"/>
  <c r="J1200" i="1"/>
  <c r="K1200" i="1" s="1"/>
  <c r="J289" i="1"/>
  <c r="K289" i="1" s="1"/>
  <c r="J321" i="1"/>
  <c r="K321" i="1" s="1"/>
  <c r="J559" i="1"/>
  <c r="K559" i="1" s="1"/>
  <c r="J880" i="1"/>
  <c r="K880" i="1" s="1"/>
  <c r="J260" i="1"/>
  <c r="K260" i="1" s="1"/>
  <c r="J1062" i="1"/>
  <c r="K1062" i="1" s="1"/>
  <c r="J644" i="1"/>
  <c r="K644" i="1" s="1"/>
  <c r="J1106" i="1"/>
  <c r="K1106" i="1" s="1"/>
  <c r="J1389" i="1"/>
  <c r="K1389" i="1" s="1"/>
  <c r="J839" i="1"/>
  <c r="K839" i="1" s="1"/>
  <c r="J1517" i="1"/>
  <c r="K1517" i="1" s="1"/>
  <c r="J821" i="1"/>
  <c r="K821" i="1" s="1"/>
  <c r="J1028" i="1"/>
  <c r="K1028" i="1" s="1"/>
  <c r="J1384" i="1"/>
  <c r="K1384" i="1" s="1"/>
  <c r="J1388" i="1"/>
  <c r="K1388" i="1" s="1"/>
  <c r="J902" i="1"/>
  <c r="K902" i="1" s="1"/>
  <c r="J389" i="1"/>
  <c r="K389" i="1" s="1"/>
  <c r="J1167" i="1"/>
  <c r="K1167" i="1" s="1"/>
  <c r="J461" i="1"/>
  <c r="K461" i="1" s="1"/>
  <c r="J1627" i="1"/>
  <c r="K1627" i="1" s="1"/>
  <c r="J714" i="1"/>
  <c r="K714" i="1" s="1"/>
  <c r="J924" i="1"/>
  <c r="K924" i="1" s="1"/>
  <c r="J1083" i="1"/>
  <c r="K1083" i="1" s="1"/>
  <c r="J1014" i="1"/>
  <c r="K1014" i="1" s="1"/>
  <c r="J1273" i="1"/>
  <c r="K1273" i="1" s="1"/>
  <c r="J1078" i="1"/>
  <c r="K1078" i="1" s="1"/>
  <c r="J1487" i="1"/>
  <c r="K1487" i="1" s="1"/>
  <c r="J615" i="1"/>
  <c r="K615" i="1" s="1"/>
  <c r="J1411" i="1"/>
  <c r="K1411" i="1" s="1"/>
  <c r="J753" i="1"/>
  <c r="K753" i="1" s="1"/>
  <c r="J877" i="1"/>
  <c r="K877" i="1" s="1"/>
  <c r="J647" i="1"/>
  <c r="K647" i="1" s="1"/>
  <c r="J969" i="1"/>
  <c r="K969" i="1" s="1"/>
  <c r="J1110" i="1"/>
  <c r="K1110" i="1" s="1"/>
  <c r="J1599" i="1"/>
  <c r="K1599" i="1" s="1"/>
  <c r="J1241" i="1"/>
  <c r="K1241" i="1" s="1"/>
  <c r="J1138" i="1"/>
  <c r="K1138" i="1" s="1"/>
  <c r="K1503" i="1"/>
  <c r="L1503" i="1" s="1"/>
  <c r="K498" i="1"/>
  <c r="L498" i="1" s="1"/>
  <c r="K468" i="1"/>
  <c r="L468" i="1" s="1"/>
  <c r="K1152" i="1"/>
  <c r="L1152" i="1" s="1"/>
  <c r="K791" i="1"/>
  <c r="L791" i="1" s="1"/>
  <c r="U18" i="5" s="1"/>
  <c r="K1410" i="1"/>
  <c r="L1410" i="1" s="1"/>
  <c r="K203" i="1"/>
  <c r="L203" i="1" s="1"/>
  <c r="K1053" i="1"/>
  <c r="L1053" i="1" s="1"/>
  <c r="K1421" i="1"/>
  <c r="L1421" i="1" s="1"/>
  <c r="K1536" i="1"/>
  <c r="L1536" i="1" s="1"/>
  <c r="K732" i="1"/>
  <c r="L732" i="1" s="1"/>
  <c r="U17" i="5" s="1"/>
  <c r="K867" i="1"/>
  <c r="L867" i="1" s="1"/>
  <c r="K287" i="1"/>
  <c r="L287" i="1" s="1"/>
  <c r="L611" i="1"/>
  <c r="L278" i="1"/>
  <c r="L1125" i="1"/>
  <c r="L798" i="1"/>
  <c r="L976" i="1"/>
  <c r="L1544" i="1"/>
  <c r="L568" i="1"/>
  <c r="L729" i="1"/>
  <c r="L1281" i="1"/>
  <c r="L379" i="1"/>
  <c r="L328" i="1"/>
  <c r="L1443" i="1"/>
  <c r="X28" i="5" s="1"/>
  <c r="K1557" i="1"/>
  <c r="L1557" i="1" s="1"/>
  <c r="K244" i="1"/>
  <c r="L244" i="1" s="1"/>
  <c r="K1440" i="1"/>
  <c r="L1440" i="1" s="1"/>
  <c r="AC28" i="5" s="1"/>
  <c r="K199" i="1"/>
  <c r="L199" i="1" s="1"/>
  <c r="K1448" i="1"/>
  <c r="L1448" i="1" s="1"/>
  <c r="K819" i="1"/>
  <c r="L819" i="1" s="1"/>
  <c r="K108" i="1"/>
  <c r="L108" i="1" s="1"/>
  <c r="K1266" i="1"/>
  <c r="L1266" i="1" s="1"/>
  <c r="K669" i="1"/>
  <c r="L669" i="1" s="1"/>
  <c r="AE16" i="5" s="1"/>
  <c r="K523" i="1"/>
  <c r="L523" i="1" s="1"/>
  <c r="K71" i="1"/>
  <c r="L71" i="1" s="1"/>
  <c r="AA7" i="5" s="1"/>
  <c r="K317" i="1"/>
  <c r="L317" i="1" s="1"/>
  <c r="J1067" i="1"/>
  <c r="K1067" i="1" s="1"/>
  <c r="J1342" i="1"/>
  <c r="K1342" i="1" s="1"/>
  <c r="J427" i="1"/>
  <c r="K427" i="1" s="1"/>
  <c r="J1413" i="1"/>
  <c r="K1413" i="1" s="1"/>
  <c r="J1251" i="1"/>
  <c r="K1251" i="1" s="1"/>
  <c r="J806" i="1"/>
  <c r="K806" i="1" s="1"/>
  <c r="J707" i="1"/>
  <c r="K707" i="1" s="1"/>
  <c r="J996" i="1"/>
  <c r="K996" i="1" s="1"/>
  <c r="J598" i="1"/>
  <c r="K598" i="1" s="1"/>
  <c r="J1378" i="1"/>
  <c r="K1378" i="1" s="1"/>
  <c r="J677" i="1"/>
  <c r="K677" i="1" s="1"/>
  <c r="J1573" i="1"/>
  <c r="K1573" i="1" s="1"/>
  <c r="J767" i="1"/>
  <c r="K767" i="1" s="1"/>
  <c r="J713" i="1"/>
  <c r="K713" i="1" s="1"/>
  <c r="J953" i="1"/>
  <c r="K953" i="1" s="1"/>
  <c r="J354" i="1"/>
  <c r="K354" i="1" s="1"/>
  <c r="J1068" i="1"/>
  <c r="K1068" i="1" s="1"/>
  <c r="J585" i="1"/>
  <c r="K585" i="1" s="1"/>
  <c r="J1331" i="1"/>
  <c r="K1331" i="1" s="1"/>
  <c r="J1452" i="1"/>
  <c r="K1452" i="1" s="1"/>
  <c r="J1457" i="1"/>
  <c r="K1457" i="1" s="1"/>
  <c r="J224" i="1"/>
  <c r="K224" i="1" s="1"/>
  <c r="J641" i="1"/>
  <c r="K641" i="1" s="1"/>
  <c r="J816" i="1"/>
  <c r="K816" i="1" s="1"/>
  <c r="J548" i="1"/>
  <c r="K548" i="1" s="1"/>
  <c r="J882" i="1"/>
  <c r="K882" i="1" s="1"/>
  <c r="J640" i="1"/>
  <c r="K640" i="1" s="1"/>
  <c r="J241" i="1"/>
  <c r="K241" i="1" s="1"/>
  <c r="J1234" i="1"/>
  <c r="K1234" i="1" s="1"/>
  <c r="J351" i="1"/>
  <c r="K351" i="1" s="1"/>
  <c r="J353" i="1"/>
  <c r="K353" i="1" s="1"/>
  <c r="J1249" i="1"/>
  <c r="K1249" i="1" s="1"/>
  <c r="J1168" i="1"/>
  <c r="K1168" i="1" s="1"/>
  <c r="J426" i="1"/>
  <c r="K426" i="1" s="1"/>
  <c r="J1026" i="1"/>
  <c r="K1026" i="1" s="1"/>
  <c r="J1030" i="1"/>
  <c r="K1030" i="1" s="1"/>
  <c r="J501" i="1"/>
  <c r="K501" i="1" s="1"/>
  <c r="J613" i="1"/>
  <c r="K613" i="1" s="1"/>
  <c r="J744" i="1"/>
  <c r="K744" i="1" s="1"/>
  <c r="J757" i="1"/>
  <c r="K757" i="1" s="1"/>
  <c r="J1163" i="1"/>
  <c r="K1163" i="1" s="1"/>
  <c r="J300" i="1"/>
  <c r="K300" i="1" s="1"/>
  <c r="J1070" i="1"/>
  <c r="K1070" i="1" s="1"/>
  <c r="J423" i="1"/>
  <c r="K423" i="1" s="1"/>
  <c r="J312" i="1"/>
  <c r="K312" i="1" s="1"/>
  <c r="J803" i="1"/>
  <c r="K803" i="1" s="1"/>
  <c r="J695" i="1"/>
  <c r="K695" i="1" s="1"/>
  <c r="J835" i="1"/>
  <c r="K835" i="1" s="1"/>
  <c r="J1059" i="1"/>
  <c r="K1059" i="1" s="1"/>
  <c r="J1392" i="1"/>
  <c r="K1392" i="1" s="1"/>
  <c r="J881" i="1"/>
  <c r="K881" i="1" s="1"/>
  <c r="J488" i="1"/>
  <c r="K488" i="1" s="1"/>
  <c r="J1299" i="1"/>
  <c r="K1299" i="1" s="1"/>
  <c r="J1462" i="1"/>
  <c r="K1462" i="1" s="1"/>
  <c r="J1305" i="1"/>
  <c r="K1305" i="1" s="1"/>
  <c r="J780" i="1"/>
  <c r="K780" i="1" s="1"/>
  <c r="J1519" i="1"/>
  <c r="K1519" i="1" s="1"/>
  <c r="J1162" i="1"/>
  <c r="K1162" i="1" s="1"/>
  <c r="J1166" i="1"/>
  <c r="K1166" i="1" s="1"/>
  <c r="J1013" i="1"/>
  <c r="K1013" i="1" s="1"/>
  <c r="J1622" i="1"/>
  <c r="K1622" i="1" s="1"/>
  <c r="J292" i="1"/>
  <c r="K292" i="1" s="1"/>
  <c r="J1365" i="1"/>
  <c r="K1365" i="1" s="1"/>
  <c r="J612" i="1"/>
  <c r="K612" i="1" s="1"/>
  <c r="J1347" i="1"/>
  <c r="K1347" i="1" s="1"/>
  <c r="J1549" i="1"/>
  <c r="K1549" i="1" s="1"/>
  <c r="J609" i="1"/>
  <c r="K609" i="1" s="1"/>
  <c r="J1290" i="1"/>
  <c r="K1290" i="1" s="1"/>
  <c r="J507" i="1"/>
  <c r="K507" i="1" s="1"/>
  <c r="J484" i="1"/>
  <c r="K484" i="1" s="1"/>
  <c r="J372" i="1"/>
  <c r="K372" i="1" s="1"/>
  <c r="J1412" i="1"/>
  <c r="K1412" i="1" s="1"/>
  <c r="J906" i="1"/>
  <c r="K906" i="1" s="1"/>
  <c r="J741" i="1"/>
  <c r="K741" i="1" s="1"/>
  <c r="J1132" i="1"/>
  <c r="K1132" i="1" s="1"/>
  <c r="J521" i="1"/>
  <c r="K521" i="1" s="1"/>
  <c r="J836" i="1"/>
  <c r="K836" i="1" s="1"/>
  <c r="J1431" i="1"/>
  <c r="K1431" i="1" s="1"/>
  <c r="J631" i="1"/>
  <c r="K631" i="1" s="1"/>
  <c r="J319" i="1"/>
  <c r="K319" i="1" s="1"/>
  <c r="J323" i="1"/>
  <c r="K323" i="1" s="1"/>
  <c r="J407" i="1"/>
  <c r="K407" i="1" s="1"/>
  <c r="J933" i="1"/>
  <c r="K933" i="1" s="1"/>
  <c r="J1498" i="1"/>
  <c r="K1498" i="1" s="1"/>
  <c r="J945" i="1"/>
  <c r="K945" i="1" s="1"/>
  <c r="J557" i="1"/>
  <c r="K557" i="1" s="1"/>
  <c r="J1137" i="1"/>
  <c r="K1137" i="1" s="1"/>
  <c r="J1229" i="1"/>
  <c r="K1229" i="1" s="1"/>
  <c r="J690" i="1"/>
  <c r="K690" i="1" s="1"/>
  <c r="J1338" i="1"/>
  <c r="K1338" i="1" s="1"/>
  <c r="J941" i="1"/>
  <c r="K941" i="1" s="1"/>
  <c r="J1286" i="1"/>
  <c r="K1286" i="1" s="1"/>
  <c r="J1550" i="1"/>
  <c r="K1550" i="1" s="1"/>
  <c r="J229" i="1"/>
  <c r="K229" i="1" s="1"/>
  <c r="J1626" i="1"/>
  <c r="K1626" i="1" s="1"/>
  <c r="K412" i="1"/>
  <c r="L412" i="1" s="1"/>
  <c r="K1171" i="1"/>
  <c r="L1171" i="1" s="1"/>
  <c r="K438" i="1"/>
  <c r="L438" i="1" s="1"/>
  <c r="K1555" i="1"/>
  <c r="L1555" i="1" s="1"/>
  <c r="K1113" i="1"/>
  <c r="L1113" i="1" s="1"/>
  <c r="Y23" i="5" s="1"/>
  <c r="K172" i="1"/>
  <c r="L172" i="1" s="1"/>
  <c r="K634" i="1"/>
  <c r="L634" i="1" s="1"/>
  <c r="K1257" i="1"/>
  <c r="L1257" i="1" s="1"/>
  <c r="K577" i="1"/>
  <c r="L577" i="1" s="1"/>
  <c r="K214" i="1"/>
  <c r="L214" i="1" s="1"/>
  <c r="K121" i="1"/>
  <c r="L121" i="1" s="1"/>
  <c r="K937" i="1"/>
  <c r="L937" i="1" s="1"/>
  <c r="K706" i="1"/>
  <c r="L706" i="1" s="1"/>
  <c r="K636" i="1"/>
  <c r="L636" i="1" s="1"/>
  <c r="K251" i="1"/>
  <c r="L251" i="1" s="1"/>
  <c r="K1224" i="1"/>
  <c r="L1224" i="1" s="1"/>
  <c r="K469" i="1"/>
  <c r="L469" i="1" s="1"/>
  <c r="K666" i="1"/>
  <c r="L666" i="1" s="1"/>
  <c r="K1055" i="1"/>
  <c r="L1055" i="1" s="1"/>
  <c r="K339" i="1"/>
  <c r="L339" i="1" s="1"/>
  <c r="K530" i="1"/>
  <c r="L530" i="1" s="1"/>
  <c r="Y14" i="5" s="1"/>
  <c r="J968" i="1"/>
  <c r="K968" i="1" s="1"/>
  <c r="J676" i="1"/>
  <c r="K676" i="1" s="1"/>
  <c r="J1464" i="1"/>
  <c r="K1464" i="1" s="1"/>
  <c r="J1142" i="1"/>
  <c r="K1142" i="1" s="1"/>
  <c r="J1245" i="1"/>
  <c r="K1245" i="1" s="1"/>
  <c r="J297" i="1"/>
  <c r="K297" i="1" s="1"/>
  <c r="J1476" i="1"/>
  <c r="K1476" i="1" s="1"/>
  <c r="J419" i="1"/>
  <c r="K419" i="1" s="1"/>
  <c r="J1336" i="1"/>
  <c r="K1336" i="1" s="1"/>
  <c r="J1360" i="1"/>
  <c r="K1360" i="1" s="1"/>
  <c r="J1364" i="1"/>
  <c r="K1364" i="1" s="1"/>
  <c r="J1007" i="1"/>
  <c r="K1007" i="1" s="1"/>
  <c r="J1207" i="1"/>
  <c r="K1207" i="1" s="1"/>
  <c r="J357" i="1"/>
  <c r="K357" i="1" s="1"/>
  <c r="J1417" i="1"/>
  <c r="K1417" i="1" s="1"/>
  <c r="J361" i="1"/>
  <c r="K361" i="1" s="1"/>
  <c r="J1271" i="1"/>
  <c r="K1271" i="1" s="1"/>
  <c r="J778" i="1"/>
  <c r="K778" i="1" s="1"/>
  <c r="J1610" i="1"/>
  <c r="K1610" i="1" s="1"/>
  <c r="J942" i="1"/>
  <c r="K942" i="1" s="1"/>
  <c r="J943" i="1"/>
  <c r="K943" i="1" s="1"/>
  <c r="J1484" i="1"/>
  <c r="K1484" i="1" s="1"/>
  <c r="J1488" i="1"/>
  <c r="K1488" i="1" s="1"/>
  <c r="J1243" i="1"/>
  <c r="K1243" i="1" s="1"/>
  <c r="J846" i="1"/>
  <c r="K846" i="1" s="1"/>
  <c r="J1031" i="1"/>
  <c r="K1031" i="1" s="1"/>
  <c r="J388" i="1"/>
  <c r="K388" i="1" s="1"/>
  <c r="J555" i="1"/>
  <c r="K555" i="1" s="1"/>
  <c r="J1587" i="1"/>
  <c r="K1587" i="1" s="1"/>
  <c r="J221" i="1"/>
  <c r="K221" i="1" s="1"/>
  <c r="J1387" i="1"/>
  <c r="K1387" i="1" s="1"/>
  <c r="J840" i="1"/>
  <c r="K840" i="1" s="1"/>
  <c r="J754" i="1"/>
  <c r="K754" i="1" s="1"/>
  <c r="J422" i="1"/>
  <c r="K422" i="1" s="1"/>
  <c r="J306" i="1"/>
  <c r="K306" i="1" s="1"/>
  <c r="J720" i="1"/>
  <c r="K720" i="1" s="1"/>
  <c r="J586" i="1"/>
  <c r="K586" i="1" s="1"/>
  <c r="J1625" i="1"/>
  <c r="K1625" i="1" s="1"/>
  <c r="J1120" i="1"/>
  <c r="K1120" i="1" s="1"/>
  <c r="J1584" i="1"/>
  <c r="K1584" i="1" s="1"/>
  <c r="J1609" i="1"/>
  <c r="K1609" i="1" s="1"/>
  <c r="J1165" i="1"/>
  <c r="K1165" i="1" s="1"/>
  <c r="J610" i="1"/>
  <c r="K610" i="1" s="1"/>
  <c r="J1458" i="1"/>
  <c r="K1458" i="1" s="1"/>
  <c r="J233" i="1"/>
  <c r="K233" i="1" s="1"/>
  <c r="J1490" i="1"/>
  <c r="K1490" i="1" s="1"/>
  <c r="J1619" i="1"/>
  <c r="K1619" i="1" s="1"/>
  <c r="J1335" i="1"/>
  <c r="K1335" i="1" s="1"/>
  <c r="J1262" i="1"/>
  <c r="K1262" i="1" s="1"/>
  <c r="J1218" i="1"/>
  <c r="K1218" i="1" s="1"/>
  <c r="J515" i="1"/>
  <c r="K515" i="1" s="1"/>
  <c r="J984" i="1"/>
  <c r="K984" i="1" s="1"/>
  <c r="J1552" i="1"/>
  <c r="K1552" i="1" s="1"/>
  <c r="J800" i="1"/>
  <c r="K800" i="1" s="1"/>
  <c r="J489" i="1"/>
  <c r="K489" i="1" s="1"/>
  <c r="J1441" i="1"/>
  <c r="K1441" i="1" s="1"/>
  <c r="J387" i="1"/>
  <c r="K387" i="1" s="1"/>
  <c r="J1057" i="1"/>
  <c r="K1057" i="1" s="1"/>
  <c r="J1339" i="1"/>
  <c r="K1339" i="1" s="1"/>
  <c r="J572" i="1"/>
  <c r="K572" i="1" s="1"/>
  <c r="J616" i="1"/>
  <c r="K616" i="1" s="1"/>
  <c r="J1214" i="1"/>
  <c r="K1214" i="1" s="1"/>
  <c r="J619" i="1"/>
  <c r="K619" i="1" s="1"/>
  <c r="J674" i="1"/>
  <c r="K674" i="1" s="1"/>
  <c r="J1194" i="1"/>
  <c r="K1194" i="1" s="1"/>
  <c r="J517" i="1"/>
  <c r="K517" i="1" s="1"/>
  <c r="J813" i="1"/>
  <c r="K813" i="1" s="1"/>
  <c r="J1039" i="1"/>
  <c r="K1039" i="1" s="1"/>
  <c r="J686" i="1"/>
  <c r="K686" i="1" s="1"/>
  <c r="J1274" i="1"/>
  <c r="K1274" i="1" s="1"/>
  <c r="J966" i="1"/>
  <c r="K966" i="1" s="1"/>
  <c r="J1303" i="1"/>
  <c r="K1303" i="1" s="1"/>
  <c r="J1230" i="1"/>
  <c r="K1230" i="1" s="1"/>
  <c r="J212" i="1"/>
  <c r="K212" i="1" s="1"/>
  <c r="J1326" i="1"/>
  <c r="K1326" i="1" s="1"/>
  <c r="J1247" i="1"/>
  <c r="K1247" i="1" s="1"/>
  <c r="J1045" i="1"/>
  <c r="K1045" i="1" s="1"/>
  <c r="J1386" i="1"/>
  <c r="K1386" i="1" s="1"/>
  <c r="J688" i="1"/>
  <c r="K688" i="1" s="1"/>
  <c r="J1129" i="1"/>
  <c r="K1129" i="1" s="1"/>
  <c r="J1391" i="1"/>
  <c r="K1391" i="1" s="1"/>
  <c r="J1560" i="1"/>
  <c r="K1560" i="1" s="1"/>
  <c r="J999" i="1"/>
  <c r="K999" i="1" s="1"/>
  <c r="J876" i="1"/>
  <c r="K876" i="1" s="1"/>
  <c r="J562" i="1"/>
  <c r="K562" i="1" s="1"/>
  <c r="J607" i="1"/>
  <c r="K607" i="1" s="1"/>
  <c r="J582" i="1"/>
  <c r="K582" i="1" s="1"/>
  <c r="J721" i="1"/>
  <c r="K721" i="1" s="1"/>
  <c r="J1048" i="1"/>
  <c r="K1048" i="1" s="1"/>
  <c r="J1434" i="1"/>
  <c r="K1434" i="1" s="1"/>
  <c r="J1066" i="1"/>
  <c r="K1066" i="1" s="1"/>
  <c r="J1317" i="1"/>
  <c r="K1317" i="1" s="1"/>
  <c r="J492" i="1"/>
  <c r="K492" i="1" s="1"/>
  <c r="J455" i="1"/>
  <c r="K455" i="1" s="1"/>
  <c r="J551" i="1"/>
  <c r="K551" i="1" s="1"/>
  <c r="J556" i="1"/>
  <c r="K556" i="1" s="1"/>
  <c r="J1143" i="1"/>
  <c r="K1143" i="1" s="1"/>
  <c r="J367" i="1"/>
  <c r="K367" i="1" s="1"/>
  <c r="J1562" i="1"/>
  <c r="K1562" i="1" s="1"/>
  <c r="J1287" i="1"/>
  <c r="K1287" i="1" s="1"/>
  <c r="J979" i="1"/>
  <c r="K979" i="1" s="1"/>
  <c r="J683" i="1"/>
  <c r="K683" i="1" s="1"/>
  <c r="J1520" i="1"/>
  <c r="K1520" i="1" s="1"/>
  <c r="J748" i="1"/>
  <c r="K748" i="1" s="1"/>
  <c r="J1203" i="1"/>
  <c r="K1203" i="1" s="1"/>
  <c r="J1009" i="1"/>
  <c r="K1009" i="1" s="1"/>
  <c r="J781" i="1"/>
  <c r="K781" i="1" s="1"/>
  <c r="J1466" i="1"/>
  <c r="K1466" i="1" s="1"/>
  <c r="J682" i="1"/>
  <c r="K682" i="1" s="1"/>
  <c r="J957" i="1"/>
  <c r="K957" i="1" s="1"/>
  <c r="J558" i="1"/>
  <c r="K558" i="1" s="1"/>
  <c r="J1246" i="1"/>
  <c r="K1246" i="1" s="1"/>
  <c r="J914" i="1"/>
  <c r="K914" i="1" s="1"/>
  <c r="J1582" i="1"/>
  <c r="K1582" i="1" s="1"/>
  <c r="L366" i="1"/>
  <c r="L596" i="1"/>
  <c r="L815" i="1"/>
  <c r="L659" i="1"/>
  <c r="Z16" i="5" s="1"/>
  <c r="L1442" i="1"/>
  <c r="L988" i="1"/>
  <c r="AE21" i="5" s="1"/>
  <c r="L1435" i="1"/>
  <c r="L691" i="1"/>
  <c r="L204" i="1"/>
  <c r="AA9" i="5" s="1"/>
  <c r="L1054" i="1"/>
  <c r="L480" i="1"/>
  <c r="L1156" i="1"/>
  <c r="L648" i="1"/>
  <c r="L1280" i="1"/>
  <c r="L804" i="1"/>
  <c r="L1154" i="1"/>
  <c r="L511" i="1"/>
  <c r="L1238" i="1"/>
  <c r="L1595" i="1"/>
  <c r="L1409" i="1"/>
  <c r="L652" i="1"/>
  <c r="L499" i="1"/>
  <c r="L1076" i="1"/>
  <c r="L1044" i="1"/>
  <c r="O21" i="5" s="1"/>
  <c r="L276" i="1"/>
  <c r="AC10" i="5" s="1"/>
  <c r="L801" i="1"/>
  <c r="L547" i="1"/>
  <c r="L1222" i="1"/>
  <c r="L441" i="1"/>
  <c r="L1623" i="1"/>
  <c r="L267" i="1"/>
  <c r="L395" i="1"/>
  <c r="L97" i="1"/>
  <c r="L84" i="1"/>
  <c r="L189" i="1"/>
  <c r="L117" i="1"/>
  <c r="L667" i="1"/>
  <c r="X16" i="5" s="1"/>
  <c r="L148" i="1"/>
  <c r="L883" i="1"/>
  <c r="L726" i="1"/>
  <c r="Z17" i="5" s="1"/>
  <c r="L1506" i="1"/>
  <c r="L1052" i="1"/>
  <c r="AE22" i="5" s="1"/>
  <c r="L1298" i="1"/>
  <c r="AJ25" i="5" s="1"/>
  <c r="L154" i="1"/>
  <c r="L399" i="1"/>
  <c r="AA12" i="5" s="1"/>
  <c r="L1126" i="1"/>
  <c r="L545" i="1"/>
  <c r="L249" i="1"/>
  <c r="L1170" i="1"/>
  <c r="L524" i="1"/>
  <c r="L787" i="1"/>
  <c r="L1382" i="1"/>
  <c r="L250" i="1"/>
  <c r="L1087" i="1"/>
  <c r="L1040" i="1"/>
  <c r="L696" i="1"/>
  <c r="L1401" i="1"/>
  <c r="L639" i="1"/>
  <c r="L1174" i="1"/>
  <c r="L534" i="1"/>
  <c r="L1591" i="1"/>
  <c r="L850" i="1"/>
  <c r="L1624" i="1"/>
  <c r="O30" i="5" s="1"/>
  <c r="L406" i="1"/>
  <c r="AC12" i="5" s="1"/>
  <c r="L934" i="1"/>
  <c r="L1602" i="1"/>
  <c r="L891" i="1"/>
  <c r="L952" i="1"/>
  <c r="L132" i="1"/>
  <c r="L1510" i="1"/>
  <c r="L403" i="1"/>
  <c r="L818" i="1"/>
  <c r="L472" i="1"/>
  <c r="U13" i="5" s="1"/>
  <c r="L336" i="1"/>
  <c r="Z11" i="5" s="1"/>
  <c r="L284" i="1"/>
  <c r="L124" i="1"/>
  <c r="L314" i="1"/>
  <c r="L177" i="1"/>
  <c r="L94" i="1"/>
  <c r="L730" i="1"/>
  <c r="V17" i="5" s="1"/>
  <c r="L1507" i="1"/>
  <c r="X29" i="5" s="1"/>
  <c r="L408" i="1"/>
  <c r="V12" i="5" s="1"/>
  <c r="L796" i="1"/>
  <c r="L758" i="1"/>
  <c r="L1302" i="1"/>
  <c r="L349" i="1"/>
  <c r="L1193" i="1"/>
  <c r="L1021" i="1"/>
  <c r="L393" i="1"/>
  <c r="L1172" i="1"/>
  <c r="L246" i="1"/>
  <c r="L1022" i="1"/>
  <c r="L785" i="1"/>
  <c r="L1561" i="1"/>
  <c r="L1216" i="1"/>
  <c r="L964" i="1"/>
  <c r="L274" i="1"/>
  <c r="L1147" i="1"/>
  <c r="L456" i="1"/>
  <c r="L471" i="1"/>
  <c r="AC13" i="5" s="1"/>
  <c r="L994" i="1"/>
  <c r="L845" i="1"/>
  <c r="L465" i="1"/>
  <c r="Y13" i="5" s="1"/>
  <c r="L125" i="1"/>
  <c r="L538" i="1"/>
  <c r="L1010" i="1"/>
  <c r="L1477" i="1"/>
  <c r="L1261" i="1"/>
  <c r="L1184" i="1"/>
  <c r="AC24" i="5" s="1"/>
  <c r="L381" i="1"/>
  <c r="L106" i="1"/>
  <c r="L170" i="1"/>
  <c r="L279" i="1"/>
  <c r="L118" i="1"/>
  <c r="L789" i="1"/>
  <c r="L1566" i="1"/>
  <c r="X30" i="5" s="1"/>
  <c r="L918" i="1"/>
  <c r="Z20" i="5" s="1"/>
  <c r="L1124" i="1"/>
  <c r="AE23" i="5" s="1"/>
  <c r="L303" i="1"/>
  <c r="L529" i="1"/>
  <c r="AA14" i="5" s="1"/>
  <c r="L1323" i="1"/>
  <c r="L799" i="1"/>
  <c r="L509" i="1"/>
  <c r="L1279" i="1"/>
  <c r="L650" i="1"/>
  <c r="L485" i="1"/>
  <c r="L825" i="1"/>
  <c r="L1543" i="1"/>
  <c r="L844" i="1"/>
  <c r="L1620" i="1"/>
  <c r="L763" i="1"/>
  <c r="L1537" i="1"/>
  <c r="L513" i="1"/>
  <c r="L593" i="1"/>
  <c r="L1438" i="1"/>
  <c r="L887" i="1"/>
  <c r="L205" i="1"/>
  <c r="Y9" i="5" s="1"/>
  <c r="L1047" i="1"/>
  <c r="AC22" i="5" s="1"/>
  <c r="L1574" i="1"/>
  <c r="L181" i="1"/>
  <c r="L196" i="1"/>
  <c r="L922" i="1"/>
  <c r="L215" i="1"/>
  <c r="L1189" i="1"/>
  <c r="AE24" i="5" s="1"/>
  <c r="L368" i="1"/>
  <c r="L1375" i="1"/>
  <c r="L740" i="1"/>
  <c r="L1405" i="1"/>
  <c r="L587" i="1"/>
  <c r="L1556" i="1"/>
  <c r="L920" i="1"/>
  <c r="L1577" i="1"/>
  <c r="L912" i="1"/>
  <c r="L1269" i="1"/>
  <c r="L151" i="1"/>
  <c r="AE8" i="5" s="1"/>
  <c r="L91" i="1"/>
  <c r="L220" i="1"/>
  <c r="L1356" i="1"/>
  <c r="L890" i="1"/>
  <c r="L404" i="1"/>
  <c r="L75" i="1"/>
  <c r="L72" i="1"/>
  <c r="Y7" i="5" s="1"/>
  <c r="L107" i="1"/>
  <c r="L114" i="1"/>
  <c r="J1522" i="1"/>
  <c r="K1522" i="1" s="1"/>
  <c r="J1017" i="1"/>
  <c r="K1017" i="1" s="1"/>
  <c r="J949" i="1"/>
  <c r="K949" i="1" s="1"/>
  <c r="J1300" i="1"/>
  <c r="K1300" i="1" s="1"/>
  <c r="J944" i="1"/>
  <c r="K944" i="1" s="1"/>
  <c r="J972" i="1"/>
  <c r="K972" i="1" s="1"/>
  <c r="J437" i="1"/>
  <c r="K437" i="1" s="1"/>
  <c r="J546" i="1"/>
  <c r="K546" i="1" s="1"/>
  <c r="J363" i="1"/>
  <c r="K363" i="1" s="1"/>
  <c r="J1073" i="1"/>
  <c r="K1073" i="1" s="1"/>
  <c r="J623" i="1"/>
  <c r="K623" i="1" s="1"/>
  <c r="J1496" i="1"/>
  <c r="K1496" i="1" s="1"/>
  <c r="J1141" i="1"/>
  <c r="K1141" i="1" s="1"/>
  <c r="J1333" i="1"/>
  <c r="K1333" i="1" s="1"/>
  <c r="J643" i="1"/>
  <c r="K643" i="1" s="1"/>
  <c r="J1589" i="1"/>
  <c r="K1589" i="1" s="1"/>
  <c r="J230" i="1"/>
  <c r="K230" i="1" s="1"/>
  <c r="J228" i="1"/>
  <c r="K228" i="1" s="1"/>
  <c r="J520" i="1"/>
  <c r="K520" i="1" s="1"/>
  <c r="J1202" i="1"/>
  <c r="K1202" i="1" s="1"/>
  <c r="J1474" i="1"/>
  <c r="K1474" i="1" s="1"/>
  <c r="J1185" i="1"/>
  <c r="K1185" i="1" s="1"/>
  <c r="J1093" i="1"/>
  <c r="K1093" i="1" s="1"/>
  <c r="J750" i="1"/>
  <c r="K750" i="1" s="1"/>
  <c r="J1424" i="1"/>
  <c r="K1424" i="1" s="1"/>
  <c r="J1418" i="1"/>
  <c r="K1418" i="1" s="1"/>
  <c r="J1380" i="1"/>
  <c r="K1380" i="1" s="1"/>
  <c r="J552" i="1"/>
  <c r="K552" i="1" s="1"/>
  <c r="J1583" i="1"/>
  <c r="K1583" i="1" s="1"/>
  <c r="J580" i="1"/>
  <c r="K580" i="1" s="1"/>
  <c r="J584" i="1"/>
  <c r="K584" i="1" s="1"/>
  <c r="J1346" i="1"/>
  <c r="K1346" i="1" s="1"/>
  <c r="J868" i="1"/>
  <c r="K868" i="1" s="1"/>
  <c r="J1427" i="1"/>
  <c r="K1427" i="1" s="1"/>
  <c r="J247" i="1"/>
  <c r="K247" i="1" s="1"/>
  <c r="J356" i="1"/>
  <c r="K356" i="1" s="1"/>
  <c r="J628" i="1"/>
  <c r="K628" i="1" s="1"/>
  <c r="J483" i="1"/>
  <c r="K483" i="1" s="1"/>
  <c r="J1340" i="1"/>
  <c r="K1340" i="1" s="1"/>
  <c r="J1521" i="1"/>
  <c r="K1521" i="1" s="1"/>
  <c r="J1205" i="1"/>
  <c r="K1205" i="1" s="1"/>
  <c r="J1352" i="1"/>
  <c r="K1352" i="1" s="1"/>
  <c r="J486" i="1"/>
  <c r="K486" i="1" s="1"/>
  <c r="J579" i="1"/>
  <c r="K579" i="1" s="1"/>
  <c r="J583" i="1"/>
  <c r="K583" i="1" s="1"/>
  <c r="J371" i="1"/>
  <c r="K371" i="1" s="1"/>
  <c r="J1580" i="1"/>
  <c r="K1580" i="1" s="1"/>
  <c r="J747" i="1"/>
  <c r="K747" i="1" s="1"/>
  <c r="J751" i="1"/>
  <c r="K751" i="1" s="1"/>
  <c r="J775" i="1"/>
  <c r="K775" i="1" s="1"/>
  <c r="J779" i="1"/>
  <c r="K779" i="1" s="1"/>
  <c r="J1065" i="1"/>
  <c r="K1065" i="1" s="1"/>
  <c r="J1332" i="1"/>
  <c r="K1332" i="1" s="1"/>
  <c r="J1578" i="1"/>
  <c r="K1578" i="1" s="1"/>
  <c r="J1227" i="1"/>
  <c r="K1227" i="1" s="1"/>
  <c r="J1231" i="1"/>
  <c r="K1231" i="1" s="1"/>
  <c r="J627" i="1"/>
  <c r="K627" i="1" s="1"/>
  <c r="J362" i="1"/>
  <c r="K362" i="1" s="1"/>
  <c r="J1540" i="1"/>
  <c r="K1540" i="1" s="1"/>
  <c r="J1576" i="1"/>
  <c r="K1576" i="1" s="1"/>
  <c r="J1399" i="1"/>
  <c r="K1399" i="1" s="1"/>
  <c r="J903" i="1"/>
  <c r="K903" i="1" s="1"/>
  <c r="J694" i="1"/>
  <c r="K694" i="1" s="1"/>
  <c r="J777" i="1"/>
  <c r="K777" i="1" s="1"/>
  <c r="J1361" i="1"/>
  <c r="K1361" i="1" s="1"/>
  <c r="J490" i="1"/>
  <c r="K490" i="1" s="1"/>
  <c r="J1597" i="1"/>
  <c r="K1597" i="1" s="1"/>
  <c r="J1060" i="1"/>
  <c r="K1060" i="1" s="1"/>
  <c r="J1359" i="1"/>
  <c r="K1359" i="1" s="1"/>
  <c r="J1415" i="1"/>
  <c r="K1415" i="1" s="1"/>
  <c r="J698" i="1"/>
  <c r="K698" i="1" s="1"/>
  <c r="J1414" i="1"/>
  <c r="K1414" i="1" s="1"/>
  <c r="J1394" i="1"/>
  <c r="K1394" i="1" s="1"/>
  <c r="J884" i="1"/>
  <c r="K884" i="1" s="1"/>
  <c r="J487" i="1"/>
  <c r="K487" i="1" s="1"/>
  <c r="J746" i="1"/>
  <c r="K746" i="1" s="1"/>
  <c r="J302" i="1"/>
  <c r="K302" i="1" s="1"/>
  <c r="J1538" i="1"/>
  <c r="K1538" i="1" s="1"/>
  <c r="J1530" i="1"/>
  <c r="K1530" i="1" s="1"/>
  <c r="J1003" i="1"/>
  <c r="K1003" i="1" s="1"/>
  <c r="J681" i="1"/>
  <c r="K681" i="1" s="1"/>
  <c r="J1525" i="1"/>
  <c r="K1525" i="1" s="1"/>
  <c r="J1489" i="1"/>
  <c r="K1489" i="1" s="1"/>
  <c r="J1471" i="1"/>
  <c r="K1471" i="1" s="1"/>
  <c r="J288" i="1"/>
  <c r="K288" i="1" s="1"/>
  <c r="J749" i="1"/>
  <c r="K749" i="1" s="1"/>
  <c r="J1334" i="1"/>
  <c r="K1334" i="1" s="1"/>
  <c r="J1621" i="1"/>
  <c r="K1621" i="1" s="1"/>
  <c r="J1005" i="1"/>
  <c r="K1005" i="1" s="1"/>
  <c r="J1254" i="1"/>
  <c r="K1254" i="1" s="1"/>
  <c r="J1145" i="1"/>
  <c r="K1145" i="1" s="1"/>
  <c r="J655" i="1"/>
  <c r="K655" i="1" s="1"/>
  <c r="J1278" i="1"/>
  <c r="K1278" i="1" s="1"/>
  <c r="J1032" i="1"/>
  <c r="K1032" i="1" s="1"/>
  <c r="J973" i="1"/>
  <c r="K973" i="1" s="1"/>
  <c r="J1284" i="1"/>
  <c r="K1284" i="1" s="1"/>
  <c r="J809" i="1"/>
  <c r="K809" i="1" s="1"/>
  <c r="J892" i="1"/>
  <c r="K892" i="1" s="1"/>
  <c r="L341" i="1"/>
  <c r="AC11" i="5" s="1"/>
  <c r="L112" i="1"/>
  <c r="L606" i="1"/>
  <c r="L398" i="1"/>
  <c r="L1118" i="1"/>
  <c r="L1393" i="1"/>
  <c r="L1179" i="1"/>
  <c r="Z24" i="5" s="1"/>
  <c r="L540" i="1"/>
  <c r="L1509" i="1"/>
  <c r="AE29" i="5" s="1"/>
  <c r="L542" i="1"/>
  <c r="L1146" i="1"/>
  <c r="L851" i="1"/>
  <c r="AA19" i="5" s="1"/>
  <c r="L1056" i="1"/>
  <c r="L1265" i="1"/>
  <c r="L909" i="1"/>
  <c r="L459" i="1"/>
  <c r="L594" i="1"/>
  <c r="L1330" i="1"/>
  <c r="L182" i="1"/>
  <c r="L1023" i="1"/>
  <c r="L764" i="1"/>
  <c r="L578" i="1"/>
  <c r="L913" i="1"/>
  <c r="L1011" i="1"/>
  <c r="L1565" i="1"/>
  <c r="O29" i="5" s="1"/>
  <c r="L858" i="1"/>
  <c r="AC19" i="5" s="1"/>
  <c r="L1379" i="1"/>
  <c r="L897" i="1"/>
  <c r="L435" i="1"/>
  <c r="L927" i="1"/>
  <c r="L1177" i="1"/>
  <c r="AA24" i="5" s="1"/>
  <c r="L588" i="1"/>
  <c r="L1158" i="1"/>
  <c r="L373" i="1"/>
  <c r="L102" i="1"/>
  <c r="L299" i="1"/>
  <c r="L161" i="1"/>
  <c r="L383" i="1"/>
  <c r="L139" i="1"/>
  <c r="AA8" i="5" s="1"/>
  <c r="L128" i="1"/>
  <c r="L137" i="1"/>
  <c r="L90" i="1"/>
  <c r="L926" i="1"/>
  <c r="X20" i="5" s="1"/>
  <c r="L1465" i="1"/>
  <c r="L735" i="1"/>
  <c r="L1568" i="1"/>
  <c r="AE30" i="5" s="1"/>
  <c r="L563" i="1"/>
  <c r="L916" i="1"/>
  <c r="AA20" i="5" s="1"/>
  <c r="L219" i="1"/>
  <c r="L1128" i="1"/>
  <c r="L961" i="1"/>
  <c r="L263" i="1"/>
  <c r="L1036" i="1"/>
  <c r="L1313" i="1"/>
  <c r="L103" i="1"/>
  <c r="L962" i="1"/>
  <c r="L1603" i="1"/>
  <c r="L1497" i="1"/>
  <c r="L1151" i="1"/>
  <c r="L382" i="1"/>
  <c r="L1161" i="1"/>
  <c r="L660" i="1"/>
  <c r="L1314" i="1"/>
  <c r="L760" i="1"/>
  <c r="L526" i="1"/>
  <c r="L923" i="1"/>
  <c r="AC20" i="5" s="1"/>
  <c r="L1451" i="1"/>
  <c r="L1422" i="1"/>
  <c r="L1596" i="1"/>
  <c r="L786" i="1"/>
  <c r="L1444" i="1"/>
  <c r="L977" i="1"/>
  <c r="L569" i="1"/>
  <c r="L191" i="1"/>
  <c r="L194" i="1"/>
  <c r="L160" i="1"/>
  <c r="L126" i="1"/>
  <c r="L661" i="1"/>
  <c r="L165" i="1"/>
  <c r="L528" i="1"/>
  <c r="L431" i="1"/>
  <c r="L985" i="1"/>
  <c r="L476" i="1"/>
  <c r="AE13" i="5" s="1"/>
  <c r="L1322" i="1"/>
  <c r="L1343" i="1"/>
  <c r="L722" i="1"/>
  <c r="L931" i="1"/>
  <c r="L701" i="1"/>
  <c r="L1601" i="1"/>
  <c r="L910" i="1"/>
  <c r="L1616" i="1"/>
  <c r="L225" i="1"/>
  <c r="L766" i="1"/>
  <c r="L1479" i="1"/>
  <c r="L1282" i="1"/>
  <c r="L956" i="1"/>
  <c r="L1545" i="1"/>
  <c r="L1239" i="1"/>
  <c r="L788" i="1"/>
  <c r="L240" i="1"/>
  <c r="L983" i="1"/>
  <c r="AC21" i="5" s="1"/>
  <c r="L1515" i="1"/>
  <c r="L140" i="1"/>
  <c r="Y8" i="5" s="1"/>
  <c r="L1119" i="1"/>
  <c r="AC23" i="5" s="1"/>
  <c r="L130" i="1"/>
  <c r="L470" i="1"/>
  <c r="L1321" i="1"/>
  <c r="AE26" i="5" s="1"/>
  <c r="L1419" i="1"/>
  <c r="L978" i="1"/>
  <c r="L73" i="1"/>
  <c r="Z7" i="5" s="1"/>
  <c r="L80" i="1"/>
  <c r="L166" i="1"/>
  <c r="I8" i="5" s="1"/>
  <c r="L163" i="1"/>
  <c r="L391" i="1"/>
  <c r="L185" i="1"/>
  <c r="L192" i="1"/>
  <c r="L1315" i="1"/>
  <c r="L496" i="1"/>
  <c r="L794" i="1"/>
  <c r="L152" i="1"/>
  <c r="L1630" i="1"/>
  <c r="L817" i="1"/>
  <c r="L202" i="1"/>
  <c r="L414" i="1"/>
  <c r="L1325" i="1"/>
  <c r="L1085" i="1"/>
  <c r="L458" i="1"/>
  <c r="L1237" i="1"/>
  <c r="L997" i="1"/>
  <c r="L1351" i="1"/>
  <c r="L637" i="1"/>
  <c r="L1370" i="1"/>
  <c r="L1260" i="1"/>
  <c r="L512" i="1"/>
  <c r="L1089" i="1"/>
  <c r="L692" i="1"/>
  <c r="L1397" i="1"/>
  <c r="L1500" i="1"/>
  <c r="L852" i="1"/>
  <c r="Y19" i="5" s="1"/>
  <c r="L1268" i="1"/>
  <c r="L1344" i="1"/>
  <c r="L344" i="1"/>
  <c r="X11" i="5" s="1"/>
  <c r="L120" i="1"/>
  <c r="L656" i="1"/>
  <c r="W16" i="5" s="1"/>
  <c r="L561" i="1"/>
  <c r="L862" i="1"/>
  <c r="L737" i="1"/>
  <c r="L950" i="1"/>
  <c r="L1112" i="1"/>
  <c r="AA23" i="5" s="1"/>
  <c r="L479" i="1"/>
  <c r="L1377" i="1"/>
  <c r="L702" i="1"/>
  <c r="L1367" i="1"/>
  <c r="L717" i="1"/>
  <c r="L1501" i="1"/>
  <c r="L376" i="1"/>
  <c r="L290" i="1"/>
  <c r="L1186" i="1"/>
  <c r="L1099" i="1"/>
  <c r="L638" i="1"/>
  <c r="L239" i="1"/>
  <c r="L82" i="1"/>
  <c r="L138" i="1"/>
  <c r="L89" i="1"/>
  <c r="L273" i="1"/>
  <c r="L83" i="1"/>
  <c r="AE7" i="5" s="1"/>
  <c r="L190" i="1"/>
  <c r="L193" i="1"/>
  <c r="AB15" i="5" l="1"/>
  <c r="AB11" i="5"/>
  <c r="X14" i="5"/>
  <c r="W17" i="5"/>
  <c r="V20" i="5"/>
  <c r="W13" i="5"/>
  <c r="V13" i="5"/>
  <c r="AP7" i="5"/>
  <c r="V26" i="5"/>
  <c r="AB26" i="5"/>
  <c r="AF19" i="5"/>
  <c r="W9" i="5"/>
  <c r="AB16" i="5"/>
  <c r="V15" i="5"/>
  <c r="V19" i="5"/>
  <c r="V18" i="5"/>
  <c r="AB13" i="5"/>
  <c r="R8" i="5"/>
  <c r="H27" i="5"/>
  <c r="AB10" i="5"/>
  <c r="V23" i="5"/>
  <c r="AB12" i="5"/>
  <c r="AF18" i="5"/>
  <c r="AJ31" i="5"/>
  <c r="AJ3" i="5" s="1"/>
  <c r="AO7" i="5"/>
  <c r="X8" i="5"/>
  <c r="AF29" i="5"/>
  <c r="H21" i="5"/>
  <c r="O31" i="5"/>
  <c r="O3" i="5" s="1"/>
  <c r="AF21" i="5"/>
  <c r="W8" i="5"/>
  <c r="J7" i="5"/>
  <c r="W10" i="5"/>
  <c r="AM8" i="5"/>
  <c r="AD7" i="5"/>
  <c r="H15" i="5"/>
  <c r="AB20" i="5"/>
  <c r="AF26" i="5"/>
  <c r="H17" i="5"/>
  <c r="AN7" i="5"/>
  <c r="AM12" i="5"/>
  <c r="AF8" i="5"/>
  <c r="V14" i="5"/>
  <c r="H8" i="5"/>
  <c r="J8" i="5"/>
  <c r="AB29" i="5"/>
  <c r="AB28" i="5"/>
  <c r="H22" i="5"/>
  <c r="AF13" i="5"/>
  <c r="H20" i="5"/>
  <c r="H18" i="5"/>
  <c r="AF14" i="5"/>
  <c r="H7" i="5"/>
  <c r="AF9" i="5"/>
  <c r="H12" i="5"/>
  <c r="AB7" i="5"/>
  <c r="AD8" i="5"/>
  <c r="V24" i="5"/>
  <c r="H16" i="5"/>
  <c r="AF15" i="5"/>
  <c r="V29" i="5"/>
  <c r="AM7" i="5"/>
  <c r="AF7" i="5"/>
  <c r="W14" i="5"/>
  <c r="V10" i="5"/>
  <c r="AF24" i="5"/>
  <c r="AF10" i="5"/>
  <c r="V11" i="5"/>
  <c r="AF22" i="5"/>
  <c r="AN8" i="5"/>
  <c r="AO8" i="5"/>
  <c r="V7" i="5"/>
  <c r="H14" i="5"/>
  <c r="V22" i="5"/>
  <c r="AF16" i="5"/>
  <c r="AB14" i="5"/>
  <c r="H23" i="5"/>
  <c r="AG7" i="5"/>
  <c r="H9" i="5"/>
  <c r="AF17" i="5"/>
  <c r="H19" i="5"/>
  <c r="AB19" i="5"/>
  <c r="R7" i="5"/>
  <c r="AB21" i="5"/>
  <c r="H28" i="5"/>
  <c r="AG8" i="5"/>
  <c r="AB27" i="5"/>
  <c r="AF11" i="5"/>
  <c r="AB8" i="5"/>
  <c r="AF27" i="5"/>
  <c r="AB22" i="5"/>
  <c r="H24" i="5"/>
  <c r="H26" i="5"/>
  <c r="V28" i="5"/>
  <c r="AB17" i="5"/>
  <c r="AB23" i="5"/>
  <c r="AB30" i="5"/>
  <c r="H13" i="5"/>
  <c r="H29" i="5"/>
  <c r="AP8" i="5"/>
  <c r="AF20" i="5"/>
  <c r="V21" i="5"/>
  <c r="V16" i="5"/>
  <c r="AB9" i="5"/>
  <c r="AB18" i="5"/>
  <c r="AF23" i="5"/>
  <c r="H11" i="5"/>
  <c r="V8" i="5"/>
  <c r="H10" i="5"/>
  <c r="AF30" i="5"/>
  <c r="AF28" i="5"/>
  <c r="W12" i="5"/>
  <c r="AB24" i="5"/>
  <c r="H30" i="5"/>
  <c r="AF12" i="5"/>
  <c r="L1333" i="1"/>
  <c r="L775" i="1"/>
  <c r="L1083" i="1"/>
  <c r="AN22" i="5" s="1"/>
  <c r="L1384" i="1"/>
  <c r="L1062" i="1"/>
  <c r="R22" i="5" s="1"/>
  <c r="L1163" i="1"/>
  <c r="L840" i="1"/>
  <c r="L1517" i="1"/>
  <c r="L644" i="1"/>
  <c r="L655" i="1"/>
  <c r="M15" i="5" s="1"/>
  <c r="L582" i="1"/>
  <c r="L1227" i="1"/>
  <c r="L1096" i="1"/>
  <c r="L685" i="1"/>
  <c r="L1483" i="1"/>
  <c r="L1095" i="1"/>
  <c r="L1078" i="1"/>
  <c r="L567" i="1"/>
  <c r="L1433" i="1"/>
  <c r="L761" i="1"/>
  <c r="L873" i="1"/>
  <c r="R19" i="5" s="1"/>
  <c r="L940" i="1"/>
  <c r="L559" i="1"/>
  <c r="L231" i="1"/>
  <c r="I9" i="5" s="1"/>
  <c r="L1258" i="1"/>
  <c r="L882" i="1"/>
  <c r="L1241" i="1"/>
  <c r="AD25" i="5" s="1"/>
  <c r="L762" i="1"/>
  <c r="L1103" i="1"/>
  <c r="L22" i="5" s="1"/>
  <c r="L232" i="1"/>
  <c r="L1003" i="1"/>
  <c r="I21" i="5" s="1"/>
  <c r="L746" i="1"/>
  <c r="R17" i="5" s="1"/>
  <c r="L1065" i="1"/>
  <c r="L914" i="1"/>
  <c r="L19" i="5" s="1"/>
  <c r="L1389" i="1"/>
  <c r="L1594" i="1"/>
  <c r="L1612" i="1"/>
  <c r="L1530" i="1"/>
  <c r="AM29" i="5" s="1"/>
  <c r="L1415" i="1"/>
  <c r="L747" i="1"/>
  <c r="L1045" i="1"/>
  <c r="Q21" i="5" s="1"/>
  <c r="L521" i="1"/>
  <c r="L996" i="1"/>
  <c r="L389" i="1"/>
  <c r="L1200" i="1"/>
  <c r="L1210" i="1"/>
  <c r="AM24" i="5" s="1"/>
  <c r="L1489" i="1"/>
  <c r="L619" i="1"/>
  <c r="L1138" i="1"/>
  <c r="L753" i="1"/>
  <c r="L1411" i="1"/>
  <c r="L924" i="1"/>
  <c r="U20" i="5" s="1"/>
  <c r="L1229" i="1"/>
  <c r="L1304" i="1"/>
  <c r="L749" i="1"/>
  <c r="L302" i="1"/>
  <c r="AM10" i="5" s="1"/>
  <c r="L969" i="1"/>
  <c r="L1398" i="1"/>
  <c r="L428" i="1"/>
  <c r="L1524" i="1"/>
  <c r="I29" i="5" s="1"/>
  <c r="L492" i="1"/>
  <c r="L419" i="1"/>
  <c r="L323" i="1"/>
  <c r="L1528" i="1"/>
  <c r="L936" i="1"/>
  <c r="L1259" i="1"/>
  <c r="L1337" i="1"/>
  <c r="L680" i="1"/>
  <c r="L1220" i="1"/>
  <c r="AN24" i="5" s="1"/>
  <c r="L995" i="1"/>
  <c r="L777" i="1"/>
  <c r="L1418" i="1"/>
  <c r="L1540" i="1"/>
  <c r="AN29" i="5" s="1"/>
  <c r="L1120" i="1"/>
  <c r="U23" i="5" s="1"/>
  <c r="L427" i="1"/>
  <c r="L874" i="1"/>
  <c r="L421" i="1"/>
  <c r="R12" i="5" s="1"/>
  <c r="L1228" i="1"/>
  <c r="L1140" i="1"/>
  <c r="L935" i="1"/>
  <c r="L429" i="1"/>
  <c r="L776" i="1"/>
  <c r="L255" i="1"/>
  <c r="L291" i="1"/>
  <c r="R10" i="5" s="1"/>
  <c r="L452" i="1"/>
  <c r="L848" i="1"/>
  <c r="M18" i="5" s="1"/>
  <c r="L549" i="1"/>
  <c r="L633" i="1"/>
  <c r="AN15" i="5" s="1"/>
  <c r="L884" i="1"/>
  <c r="AM19" i="5" s="1"/>
  <c r="L1005" i="1"/>
  <c r="L1597" i="1"/>
  <c r="L944" i="1"/>
  <c r="L1587" i="1"/>
  <c r="L1286" i="1"/>
  <c r="M25" i="5" s="1"/>
  <c r="L1234" i="1"/>
  <c r="L1426" i="1"/>
  <c r="M27" i="5" s="1"/>
  <c r="L385" i="1"/>
  <c r="L1001" i="1"/>
  <c r="L1204" i="1"/>
  <c r="I24" i="5" s="1"/>
  <c r="L1139" i="1"/>
  <c r="I23" i="5" s="1"/>
  <c r="L875" i="1"/>
  <c r="L1463" i="1"/>
  <c r="L1063" i="1"/>
  <c r="L954" i="1"/>
  <c r="L1461" i="1"/>
  <c r="L1470" i="1"/>
  <c r="L1486" i="1"/>
  <c r="L1328" i="1"/>
  <c r="L261" i="1"/>
  <c r="L234" i="1"/>
  <c r="L516" i="1"/>
  <c r="L1399" i="1"/>
  <c r="L682" i="1"/>
  <c r="L1339" i="1"/>
  <c r="L1166" i="1"/>
  <c r="L224" i="1"/>
  <c r="L1164" i="1"/>
  <c r="L878" i="1"/>
  <c r="I19" i="5" s="1"/>
  <c r="L307" i="1"/>
  <c r="L811" i="1"/>
  <c r="L365" i="1"/>
  <c r="L554" i="1"/>
  <c r="L1208" i="1"/>
  <c r="L1586" i="1"/>
  <c r="L849" i="1"/>
  <c r="P18" i="5" s="1"/>
  <c r="L1071" i="1"/>
  <c r="L1402" i="1"/>
  <c r="L1292" i="1"/>
  <c r="L493" i="1"/>
  <c r="L809" i="1"/>
  <c r="L1361" i="1"/>
  <c r="L1578" i="1"/>
  <c r="R30" i="5" s="1"/>
  <c r="L751" i="1"/>
  <c r="I17" i="5" s="1"/>
  <c r="L800" i="1"/>
  <c r="S18" i="5" s="1"/>
  <c r="L1549" i="1"/>
  <c r="L488" i="1"/>
  <c r="L647" i="1"/>
  <c r="L1167" i="1"/>
  <c r="L902" i="1"/>
  <c r="L821" i="1"/>
  <c r="L1106" i="1"/>
  <c r="P22" i="5" s="1"/>
  <c r="L289" i="1"/>
  <c r="L237" i="1"/>
  <c r="AM9" i="5" s="1"/>
  <c r="L242" i="1"/>
  <c r="L901" i="1"/>
  <c r="L708" i="1"/>
  <c r="L904" i="1"/>
  <c r="L514" i="1"/>
  <c r="L1276" i="1"/>
  <c r="L1381" i="1"/>
  <c r="L870" i="1"/>
  <c r="L579" i="1"/>
  <c r="L628" i="1"/>
  <c r="L1427" i="1"/>
  <c r="P27" i="5" s="1"/>
  <c r="L1380" i="1"/>
  <c r="L556" i="1"/>
  <c r="I14" i="5" s="1"/>
  <c r="L361" i="1"/>
  <c r="I11" i="5" s="1"/>
  <c r="L690" i="1"/>
  <c r="AM16" i="5" s="1"/>
  <c r="L1365" i="1"/>
  <c r="L780" i="1"/>
  <c r="L1026" i="1"/>
  <c r="L1452" i="1"/>
  <c r="L617" i="1"/>
  <c r="I15" i="5" s="1"/>
  <c r="L838" i="1"/>
  <c r="L1455" i="1"/>
  <c r="R28" i="5" s="1"/>
  <c r="L1523" i="1"/>
  <c r="L495" i="1"/>
  <c r="L970" i="1"/>
  <c r="L1301" i="1"/>
  <c r="C25" i="5" s="1"/>
  <c r="L384" i="1"/>
  <c r="L322" i="1"/>
  <c r="L905" i="1"/>
  <c r="L1254" i="1"/>
  <c r="AM25" i="5" s="1"/>
  <c r="L698" i="1"/>
  <c r="L903" i="1"/>
  <c r="L1332" i="1"/>
  <c r="L1520" i="1"/>
  <c r="L1039" i="1"/>
  <c r="L21" i="5" s="1"/>
  <c r="L306" i="1"/>
  <c r="L356" i="1"/>
  <c r="R11" i="5" s="1"/>
  <c r="L1583" i="1"/>
  <c r="I30" i="5" s="1"/>
  <c r="L228" i="1"/>
  <c r="L558" i="1"/>
  <c r="L212" i="1"/>
  <c r="U9" i="5" s="1"/>
  <c r="L1441" i="1"/>
  <c r="U28" i="5" s="1"/>
  <c r="L1609" i="1"/>
  <c r="L1059" i="1"/>
  <c r="L354" i="1"/>
  <c r="L1293" i="1"/>
  <c r="L1579" i="1"/>
  <c r="L1350" i="1"/>
  <c r="L491" i="1"/>
  <c r="I13" i="5" s="1"/>
  <c r="L834" i="1"/>
  <c r="L1069" i="1"/>
  <c r="L939" i="1"/>
  <c r="L1077" i="1"/>
  <c r="L430" i="1"/>
  <c r="L1352" i="1"/>
  <c r="AN26" i="5" s="1"/>
  <c r="L1340" i="1"/>
  <c r="L1496" i="1"/>
  <c r="L28" i="5" s="1"/>
  <c r="L1484" i="1"/>
  <c r="L297" i="1"/>
  <c r="L906" i="1"/>
  <c r="L423" i="1"/>
  <c r="L640" i="1"/>
  <c r="L1378" i="1"/>
  <c r="S27" i="5" s="1"/>
  <c r="L894" i="1"/>
  <c r="AN19" i="5" s="1"/>
  <c r="L424" i="1"/>
  <c r="L1250" i="1"/>
  <c r="L1585" i="1"/>
  <c r="L802" i="1"/>
  <c r="L560" i="1"/>
  <c r="L454" i="1"/>
  <c r="L396" i="1"/>
  <c r="X12" i="5" s="1"/>
  <c r="L254" i="1"/>
  <c r="L879" i="1"/>
  <c r="L1346" i="1"/>
  <c r="L1287" i="1"/>
  <c r="P25" i="5" s="1"/>
  <c r="L1560" i="1"/>
  <c r="L29" i="5" s="1"/>
  <c r="L1262" i="1"/>
  <c r="L613" i="1"/>
  <c r="L826" i="1"/>
  <c r="AN18" i="5" s="1"/>
  <c r="L1306" i="1"/>
  <c r="X26" i="5" s="1"/>
  <c r="L824" i="1"/>
  <c r="L450" i="1"/>
  <c r="L1362" i="1"/>
  <c r="L679" i="1"/>
  <c r="R16" i="5" s="1"/>
  <c r="L296" i="1"/>
  <c r="I10" i="5" s="1"/>
  <c r="L1185" i="1"/>
  <c r="U24" i="5" s="1"/>
  <c r="L520" i="1"/>
  <c r="L1589" i="1"/>
  <c r="AM30" i="5" s="1"/>
  <c r="L1073" i="1"/>
  <c r="AM22" i="5" s="1"/>
  <c r="L972" i="1"/>
  <c r="L1522" i="1"/>
  <c r="L957" i="1"/>
  <c r="L1466" i="1"/>
  <c r="AM28" i="5" s="1"/>
  <c r="L1203" i="1"/>
  <c r="L367" i="1"/>
  <c r="AM11" i="5" s="1"/>
  <c r="L1143" i="1"/>
  <c r="L455" i="1"/>
  <c r="L1317" i="1"/>
  <c r="U26" i="5" s="1"/>
  <c r="L1048" i="1"/>
  <c r="U22" i="5" s="1"/>
  <c r="L876" i="1"/>
  <c r="L1129" i="1"/>
  <c r="S23" i="5" s="1"/>
  <c r="L966" i="1"/>
  <c r="L517" i="1"/>
  <c r="L674" i="1"/>
  <c r="S16" i="5" s="1"/>
  <c r="L1214" i="1"/>
  <c r="L1057" i="1"/>
  <c r="S22" i="5" s="1"/>
  <c r="L984" i="1"/>
  <c r="U21" i="5" s="1"/>
  <c r="L1335" i="1"/>
  <c r="L1490" i="1"/>
  <c r="L610" i="1"/>
  <c r="L586" i="1"/>
  <c r="L754" i="1"/>
  <c r="L555" i="1"/>
  <c r="L846" i="1"/>
  <c r="L18" i="5" s="1"/>
  <c r="L1610" i="1"/>
  <c r="L778" i="1"/>
  <c r="L1417" i="1"/>
  <c r="L1207" i="1"/>
  <c r="L1360" i="1"/>
  <c r="L1476" i="1"/>
  <c r="AN28" i="5" s="1"/>
  <c r="L1142" i="1"/>
  <c r="L968" i="1"/>
  <c r="L229" i="1"/>
  <c r="L941" i="1"/>
  <c r="L557" i="1"/>
  <c r="L372" i="1"/>
  <c r="L612" i="1"/>
  <c r="R15" i="5" s="1"/>
  <c r="L1519" i="1"/>
  <c r="R29" i="5" s="1"/>
  <c r="L1462" i="1"/>
  <c r="L1392" i="1"/>
  <c r="L695" i="1"/>
  <c r="L300" i="1"/>
  <c r="L744" i="1"/>
  <c r="L501" i="1"/>
  <c r="L353" i="1"/>
  <c r="L816" i="1"/>
  <c r="AM18" i="5" s="1"/>
  <c r="L1457" i="1"/>
  <c r="L585" i="1"/>
  <c r="L713" i="1"/>
  <c r="L1573" i="1"/>
  <c r="S30" i="5" s="1"/>
  <c r="L707" i="1"/>
  <c r="L1251" i="1"/>
  <c r="L1563" i="1"/>
  <c r="P29" i="5" s="1"/>
  <c r="L1499" i="1"/>
  <c r="P28" i="5" s="1"/>
  <c r="L566" i="1"/>
  <c r="L646" i="1"/>
  <c r="L1006" i="1"/>
  <c r="L709" i="1"/>
  <c r="L700" i="1"/>
  <c r="AN16" i="5" s="1"/>
  <c r="L946" i="1"/>
  <c r="L258" i="1"/>
  <c r="L687" i="1"/>
  <c r="L947" i="1"/>
  <c r="L1042" i="1"/>
  <c r="P21" i="5" s="1"/>
  <c r="L1272" i="1"/>
  <c r="L1416" i="1"/>
  <c r="L1277" i="1"/>
  <c r="L1105" i="1"/>
  <c r="M22" i="5" s="1"/>
  <c r="L481" i="1"/>
  <c r="S13" i="5" s="1"/>
  <c r="L1004" i="1"/>
  <c r="L1109" i="1"/>
  <c r="L266" i="1"/>
  <c r="X10" i="5" s="1"/>
  <c r="L570" i="1"/>
  <c r="L971" i="1"/>
  <c r="L377" i="1"/>
  <c r="AN11" i="5" s="1"/>
  <c r="L812" i="1"/>
  <c r="L1628" i="1"/>
  <c r="L665" i="1"/>
  <c r="U16" i="5" s="1"/>
  <c r="L502" i="1"/>
  <c r="L1366" i="1"/>
  <c r="L1033" i="1"/>
  <c r="L1097" i="1"/>
  <c r="L1002" i="1"/>
  <c r="L1153" i="1"/>
  <c r="L257" i="1"/>
  <c r="L518" i="1"/>
  <c r="L1608" i="1"/>
  <c r="L390" i="1"/>
  <c r="L320" i="1"/>
  <c r="L442" i="1"/>
  <c r="AN12" i="5" s="1"/>
  <c r="L1581" i="1"/>
  <c r="L1244" i="1"/>
  <c r="L859" i="1"/>
  <c r="U19" i="5" s="1"/>
  <c r="L519" i="1"/>
  <c r="L837" i="1"/>
  <c r="L227" i="1"/>
  <c r="L1135" i="1"/>
  <c r="L750" i="1"/>
  <c r="L1474" i="1"/>
  <c r="L643" i="1"/>
  <c r="L1141" i="1"/>
  <c r="L363" i="1"/>
  <c r="L949" i="1"/>
  <c r="AM20" i="5" s="1"/>
  <c r="L1582" i="1"/>
  <c r="L781" i="1"/>
  <c r="L748" i="1"/>
  <c r="L979" i="1"/>
  <c r="L20" i="5" s="1"/>
  <c r="L1066" i="1"/>
  <c r="L721" i="1"/>
  <c r="X17" i="5" s="1"/>
  <c r="L607" i="1"/>
  <c r="S15" i="5" s="1"/>
  <c r="L562" i="1"/>
  <c r="AM14" i="5" s="1"/>
  <c r="L999" i="1"/>
  <c r="L1386" i="1"/>
  <c r="L1326" i="1"/>
  <c r="S26" i="5" s="1"/>
  <c r="L1303" i="1"/>
  <c r="L686" i="1"/>
  <c r="L1194" i="1"/>
  <c r="S24" i="5" s="1"/>
  <c r="L616" i="1"/>
  <c r="L387" i="1"/>
  <c r="L489" i="1"/>
  <c r="L1218" i="1"/>
  <c r="L1619" i="1"/>
  <c r="L233" i="1"/>
  <c r="L1165" i="1"/>
  <c r="L422" i="1"/>
  <c r="L1387" i="1"/>
  <c r="L388" i="1"/>
  <c r="L1243" i="1"/>
  <c r="R25" i="5" s="1"/>
  <c r="L1488" i="1"/>
  <c r="L942" i="1"/>
  <c r="L1271" i="1"/>
  <c r="L357" i="1"/>
  <c r="L1007" i="1"/>
  <c r="L1336" i="1"/>
  <c r="I26" i="5" s="1"/>
  <c r="L1464" i="1"/>
  <c r="L1550" i="1"/>
  <c r="L1338" i="1"/>
  <c r="L945" i="1"/>
  <c r="L933" i="1"/>
  <c r="S20" i="5" s="1"/>
  <c r="L319" i="1"/>
  <c r="L836" i="1"/>
  <c r="L741" i="1"/>
  <c r="S17" i="5" s="1"/>
  <c r="L484" i="1"/>
  <c r="L609" i="1"/>
  <c r="L1622" i="1"/>
  <c r="P30" i="5" s="1"/>
  <c r="L1013" i="1"/>
  <c r="L1299" i="1"/>
  <c r="L803" i="1"/>
  <c r="L1030" i="1"/>
  <c r="L1168" i="1"/>
  <c r="L351" i="1"/>
  <c r="S11" i="5" s="1"/>
  <c r="L241" i="1"/>
  <c r="L641" i="1"/>
  <c r="L1068" i="1"/>
  <c r="L677" i="1"/>
  <c r="L806" i="1"/>
  <c r="L1413" i="1"/>
  <c r="L1067" i="1"/>
  <c r="I22" i="5" s="1"/>
  <c r="L712" i="1"/>
  <c r="L1090" i="1"/>
  <c r="L755" i="1"/>
  <c r="L889" i="1"/>
  <c r="L621" i="1"/>
  <c r="L1134" i="1"/>
  <c r="R23" i="5" s="1"/>
  <c r="L1593" i="1"/>
  <c r="L959" i="1"/>
  <c r="AN20" i="5" s="1"/>
  <c r="L1613" i="1"/>
  <c r="L1516" i="1"/>
  <c r="L1607" i="1"/>
  <c r="L998" i="1"/>
  <c r="R21" i="5" s="1"/>
  <c r="L1575" i="1"/>
  <c r="L1551" i="1"/>
  <c r="L993" i="1"/>
  <c r="S21" i="5" s="1"/>
  <c r="L808" i="1"/>
  <c r="L1430" i="1"/>
  <c r="L375" i="1"/>
  <c r="L1155" i="1"/>
  <c r="AN23" i="5" s="1"/>
  <c r="L360" i="1"/>
  <c r="L1456" i="1"/>
  <c r="L1548" i="1"/>
  <c r="L967" i="1"/>
  <c r="L1094" i="1"/>
  <c r="L892" i="1"/>
  <c r="L1284" i="1"/>
  <c r="L1278" i="1"/>
  <c r="L1145" i="1"/>
  <c r="AM23" i="5" s="1"/>
  <c r="L1621" i="1"/>
  <c r="M30" i="5" s="1"/>
  <c r="L288" i="1"/>
  <c r="L1525" i="1"/>
  <c r="L1394" i="1"/>
  <c r="AM27" i="5" s="1"/>
  <c r="L1359" i="1"/>
  <c r="L1576" i="1"/>
  <c r="L362" i="1"/>
  <c r="L627" i="1"/>
  <c r="L486" i="1"/>
  <c r="R13" i="5" s="1"/>
  <c r="L1205" i="1"/>
  <c r="L584" i="1"/>
  <c r="L1599" i="1"/>
  <c r="AN30" i="5" s="1"/>
  <c r="L1110" i="1"/>
  <c r="L877" i="1"/>
  <c r="L615" i="1"/>
  <c r="L1487" i="1"/>
  <c r="L1273" i="1"/>
  <c r="L714" i="1"/>
  <c r="L1388" i="1"/>
  <c r="I27" i="5" s="1"/>
  <c r="L260" i="1"/>
  <c r="L453" i="1"/>
  <c r="L1385" i="1"/>
  <c r="L807" i="1"/>
  <c r="L286" i="1"/>
  <c r="S10" i="5" s="1"/>
  <c r="L1264" i="1"/>
  <c r="AN25" i="5" s="1"/>
  <c r="L938" i="1"/>
  <c r="R20" i="5" s="1"/>
  <c r="L436" i="1"/>
  <c r="L711" i="1"/>
  <c r="L1460" i="1"/>
  <c r="I28" i="5" s="1"/>
  <c r="L1169" i="1"/>
  <c r="L1131" i="1"/>
  <c r="L201" i="1"/>
  <c r="X9" i="5" s="1"/>
  <c r="L888" i="1"/>
  <c r="L1233" i="1"/>
  <c r="L1527" i="1"/>
  <c r="L1092" i="1"/>
  <c r="L907" i="1"/>
  <c r="L1197" i="1"/>
  <c r="L1505" i="1"/>
  <c r="U29" i="5" s="1"/>
  <c r="L1000" i="1"/>
  <c r="L820" i="1"/>
  <c r="L973" i="1"/>
  <c r="L1032" i="1"/>
  <c r="L1334" i="1"/>
  <c r="L1471" i="1"/>
  <c r="L681" i="1"/>
  <c r="L1538" i="1"/>
  <c r="L487" i="1"/>
  <c r="L1414" i="1"/>
  <c r="L1060" i="1"/>
  <c r="L490" i="1"/>
  <c r="L694" i="1"/>
  <c r="L1231" i="1"/>
  <c r="L779" i="1"/>
  <c r="L1580" i="1"/>
  <c r="L371" i="1"/>
  <c r="L1521" i="1"/>
  <c r="L483" i="1"/>
  <c r="L247" i="1"/>
  <c r="AN9" i="5" s="1"/>
  <c r="L868" i="1"/>
  <c r="S19" i="5" s="1"/>
  <c r="L580" i="1"/>
  <c r="L552" i="1"/>
  <c r="L1014" i="1"/>
  <c r="L1627" i="1"/>
  <c r="L461" i="1"/>
  <c r="X13" i="5" s="1"/>
  <c r="L1028" i="1"/>
  <c r="L839" i="1"/>
  <c r="L880" i="1"/>
  <c r="L321" i="1"/>
  <c r="L494" i="1"/>
  <c r="L298" i="1"/>
  <c r="L449" i="1"/>
  <c r="L1606" i="1"/>
  <c r="L235" i="1"/>
  <c r="L1450" i="1"/>
  <c r="S28" i="5" s="1"/>
  <c r="L833" i="1"/>
  <c r="L256" i="1"/>
  <c r="L642" i="1"/>
  <c r="L645" i="1"/>
  <c r="L1363" i="1"/>
  <c r="L1554" i="1"/>
  <c r="L451" i="1"/>
  <c r="L325" i="1"/>
  <c r="L1485" i="1"/>
  <c r="L1404" i="1"/>
  <c r="AN27" i="5" s="1"/>
  <c r="L1232" i="1"/>
  <c r="L1547" i="1"/>
  <c r="L1252" i="1"/>
  <c r="L805" i="1"/>
  <c r="R18" i="5" s="1"/>
  <c r="L618" i="1"/>
  <c r="L871" i="1"/>
  <c r="L1383" i="1"/>
  <c r="R27" i="5" s="1"/>
  <c r="L1091" i="1"/>
  <c r="L1196" i="1"/>
  <c r="AD24" i="5" s="1"/>
  <c r="L1215" i="1"/>
  <c r="L583" i="1"/>
  <c r="L1424" i="1"/>
  <c r="L27" i="5" s="1"/>
  <c r="L1093" i="1"/>
  <c r="L1202" i="1"/>
  <c r="L230" i="1"/>
  <c r="L623" i="1"/>
  <c r="AM15" i="5" s="1"/>
  <c r="L546" i="1"/>
  <c r="S14" i="5" s="1"/>
  <c r="L437" i="1"/>
  <c r="L1300" i="1"/>
  <c r="L1017" i="1"/>
  <c r="L1246" i="1"/>
  <c r="L1009" i="1"/>
  <c r="AM21" i="5" s="1"/>
  <c r="L683" i="1"/>
  <c r="L1562" i="1"/>
  <c r="M29" i="5" s="1"/>
  <c r="L551" i="1"/>
  <c r="R14" i="5" s="1"/>
  <c r="L1434" i="1"/>
  <c r="N27" i="5" s="1"/>
  <c r="L1391" i="1"/>
  <c r="L688" i="1"/>
  <c r="L1247" i="1"/>
  <c r="L1230" i="1"/>
  <c r="L1274" i="1"/>
  <c r="L813" i="1"/>
  <c r="L572" i="1"/>
  <c r="AN14" i="5" s="1"/>
  <c r="L1552" i="1"/>
  <c r="L515" i="1"/>
  <c r="L1458" i="1"/>
  <c r="L1584" i="1"/>
  <c r="L1625" i="1"/>
  <c r="L720" i="1"/>
  <c r="L16" i="5" s="1"/>
  <c r="L221" i="1"/>
  <c r="S9" i="5" s="1"/>
  <c r="L1031" i="1"/>
  <c r="L943" i="1"/>
  <c r="I20" i="5" s="1"/>
  <c r="L1364" i="1"/>
  <c r="L1245" i="1"/>
  <c r="L676" i="1"/>
  <c r="L1626" i="1"/>
  <c r="L1137" i="1"/>
  <c r="L1498" i="1"/>
  <c r="M28" i="5" s="1"/>
  <c r="L407" i="1"/>
  <c r="U12" i="5" s="1"/>
  <c r="L631" i="1"/>
  <c r="L1431" i="1"/>
  <c r="L1132" i="1"/>
  <c r="L1412" i="1"/>
  <c r="L507" i="1"/>
  <c r="AN13" i="5" s="1"/>
  <c r="L1290" i="1"/>
  <c r="L1347" i="1"/>
  <c r="L292" i="1"/>
  <c r="L1162" i="1"/>
  <c r="L1305" i="1"/>
  <c r="G25" i="5" s="1"/>
  <c r="L881" i="1"/>
  <c r="L835" i="1"/>
  <c r="L312" i="1"/>
  <c r="AN10" i="5" s="1"/>
  <c r="L1070" i="1"/>
  <c r="L757" i="1"/>
  <c r="AM17" i="5" s="1"/>
  <c r="L426" i="1"/>
  <c r="I12" i="5" s="1"/>
  <c r="L1249" i="1"/>
  <c r="L548" i="1"/>
  <c r="L1331" i="1"/>
  <c r="R26" i="5" s="1"/>
  <c r="L953" i="1"/>
  <c r="L767" i="1"/>
  <c r="AN17" i="5" s="1"/>
  <c r="L598" i="1"/>
  <c r="U15" i="5" s="1"/>
  <c r="L1342" i="1"/>
  <c r="AM26" i="5" s="1"/>
  <c r="L1453" i="1"/>
  <c r="L752" i="1"/>
  <c r="L684" i="1"/>
  <c r="I16" i="5" s="1"/>
  <c r="L1390" i="1"/>
  <c r="L358" i="1"/>
  <c r="L418" i="1"/>
  <c r="L293" i="1"/>
  <c r="L1535" i="1"/>
  <c r="L1175" i="1"/>
  <c r="L23" i="5" s="1"/>
  <c r="L1136" i="1"/>
  <c r="L810" i="1"/>
  <c r="I18" i="5" s="1"/>
  <c r="L1064" i="1"/>
  <c r="L364" i="1"/>
  <c r="L1150" i="1"/>
  <c r="L1081" i="1"/>
  <c r="L1029" i="1"/>
  <c r="L1041" i="1"/>
  <c r="M21" i="5" s="1"/>
  <c r="L537" i="1"/>
  <c r="U14" i="5" s="1"/>
  <c r="L497" i="1"/>
  <c r="AM13" i="5" s="1"/>
  <c r="L342" i="1"/>
  <c r="U11" i="5" s="1"/>
  <c r="L743" i="1"/>
  <c r="L1027" i="1"/>
  <c r="L774" i="1"/>
  <c r="L386" i="1"/>
  <c r="L1275" i="1"/>
  <c r="L1611" i="1"/>
  <c r="L1534" i="1"/>
  <c r="L1329" i="1"/>
  <c r="L1291" i="1"/>
  <c r="L245" i="1"/>
  <c r="L1553" i="1"/>
  <c r="L359" i="1"/>
  <c r="L1294" i="1"/>
  <c r="N25" i="5" s="1"/>
  <c r="L581" i="1"/>
  <c r="L1201" i="1"/>
  <c r="L223" i="1"/>
  <c r="AD9" i="5" s="1"/>
  <c r="L226" i="1"/>
  <c r="R9" i="5" s="1"/>
  <c r="L1240" i="1"/>
  <c r="L24" i="5" s="1"/>
  <c r="L1199" i="1"/>
  <c r="R24" i="5" s="1"/>
  <c r="L1459" i="1"/>
  <c r="L1432" i="1"/>
  <c r="L1149" i="1"/>
  <c r="L1629" i="1"/>
  <c r="N30" i="5" s="1"/>
  <c r="L614" i="1"/>
  <c r="L324" i="1"/>
  <c r="L553" i="1"/>
  <c r="L1248" i="1"/>
  <c r="I25" i="5" s="1"/>
  <c r="L1526" i="1"/>
  <c r="L1514" i="1"/>
  <c r="S29" i="5" s="1"/>
  <c r="L1019" i="1"/>
  <c r="AN21" i="5" s="1"/>
  <c r="L259" i="1"/>
  <c r="L814" i="1"/>
  <c r="L1296" i="1"/>
  <c r="H25" i="5" s="1"/>
  <c r="AP18" i="5" l="1"/>
  <c r="AD12" i="5"/>
  <c r="AP16" i="5"/>
  <c r="AP22" i="5"/>
  <c r="AD29" i="5"/>
  <c r="AG17" i="5"/>
  <c r="AP15" i="5"/>
  <c r="AP12" i="5"/>
  <c r="AP20" i="5"/>
  <c r="Q30" i="5"/>
  <c r="AO24" i="5"/>
  <c r="AP19" i="5"/>
  <c r="AP14" i="5"/>
  <c r="AD17" i="5"/>
  <c r="AD16" i="5"/>
  <c r="AO30" i="5"/>
  <c r="AO15" i="5"/>
  <c r="AP30" i="5"/>
  <c r="J12" i="5"/>
  <c r="AD11" i="5"/>
  <c r="AD10" i="5"/>
  <c r="F25" i="5"/>
  <c r="F31" i="5" s="1"/>
  <c r="F3" i="5" s="1"/>
  <c r="N31" i="5"/>
  <c r="N3" i="5" s="1"/>
  <c r="AD20" i="5"/>
  <c r="AP11" i="5"/>
  <c r="AD13" i="5"/>
  <c r="AP13" i="5"/>
  <c r="AG30" i="5"/>
  <c r="AP9" i="5"/>
  <c r="AO14" i="5"/>
  <c r="AD14" i="5"/>
  <c r="AP10" i="5"/>
  <c r="AO17" i="5"/>
  <c r="AD21" i="5"/>
  <c r="C31" i="5"/>
  <c r="AV8" i="5"/>
  <c r="M31" i="5"/>
  <c r="M3" i="5" s="1"/>
  <c r="AV7" i="5"/>
  <c r="J18" i="5"/>
  <c r="P31" i="5"/>
  <c r="P3" i="5" s="1"/>
  <c r="G31" i="5"/>
  <c r="G3" i="5" s="1"/>
  <c r="AG12" i="5"/>
  <c r="AP21" i="5"/>
  <c r="AP29" i="5"/>
  <c r="J10" i="5"/>
  <c r="L25" i="5"/>
  <c r="AD15" i="5"/>
  <c r="Q25" i="5"/>
  <c r="AG18" i="5"/>
  <c r="AO21" i="5"/>
  <c r="AG9" i="5"/>
  <c r="AD19" i="5"/>
  <c r="J22" i="5"/>
  <c r="AO23" i="5"/>
  <c r="AG28" i="5"/>
  <c r="AO29" i="5"/>
  <c r="J30" i="5"/>
  <c r="AO9" i="5"/>
  <c r="AO16" i="5"/>
  <c r="AG10" i="5"/>
  <c r="J11" i="5"/>
  <c r="J25" i="5"/>
  <c r="AG20" i="5"/>
  <c r="J15" i="5"/>
  <c r="AG15" i="5"/>
  <c r="AO13" i="5"/>
  <c r="J24" i="5"/>
  <c r="J28" i="5"/>
  <c r="AD30" i="5"/>
  <c r="D25" i="5"/>
  <c r="AG25" i="5"/>
  <c r="AG16" i="5"/>
  <c r="AG13" i="5"/>
  <c r="AD26" i="5"/>
  <c r="AO20" i="5"/>
  <c r="J19" i="5"/>
  <c r="J16" i="5"/>
  <c r="AP17" i="5"/>
  <c r="AG24" i="5"/>
  <c r="J27" i="5"/>
  <c r="AT7" i="5"/>
  <c r="AO22" i="5"/>
  <c r="L30" i="5"/>
  <c r="AD18" i="5"/>
  <c r="J20" i="5"/>
  <c r="AD22" i="5"/>
  <c r="AD27" i="5"/>
  <c r="AO12" i="5"/>
  <c r="AO26" i="5"/>
  <c r="AG27" i="5"/>
  <c r="AO27" i="5"/>
  <c r="AT8" i="5"/>
  <c r="J13" i="5"/>
  <c r="AP23" i="5"/>
  <c r="AO25" i="5"/>
  <c r="AG23" i="5"/>
  <c r="AG29" i="5"/>
  <c r="AD23" i="5"/>
  <c r="AO11" i="5"/>
  <c r="J23" i="5"/>
  <c r="AO10" i="5"/>
  <c r="AG11" i="5"/>
  <c r="AD28" i="5"/>
  <c r="AP28" i="5"/>
  <c r="AP27" i="5"/>
  <c r="J14" i="5"/>
  <c r="AG22" i="5"/>
  <c r="J21" i="5"/>
  <c r="J9" i="5"/>
  <c r="AP26" i="5"/>
  <c r="J29" i="5"/>
  <c r="AG21" i="5"/>
  <c r="AG19" i="5"/>
  <c r="AO28" i="5"/>
  <c r="AP25" i="5"/>
  <c r="AG26" i="5"/>
  <c r="Q27" i="5"/>
  <c r="Q22" i="5"/>
  <c r="AP24" i="5"/>
  <c r="AO19" i="5"/>
  <c r="J26" i="5"/>
  <c r="AG14" i="5"/>
  <c r="AO18" i="5"/>
  <c r="J17" i="5"/>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I48" i="1" s="1"/>
  <c r="G49" i="1"/>
  <c r="G50" i="1"/>
  <c r="G51" i="1"/>
  <c r="G52" i="1"/>
  <c r="G53" i="1"/>
  <c r="G54" i="1"/>
  <c r="G55" i="1"/>
  <c r="G56" i="1"/>
  <c r="G57" i="1"/>
  <c r="G58" i="1"/>
  <c r="G59" i="1"/>
  <c r="G60" i="1"/>
  <c r="G61" i="1"/>
  <c r="G62" i="1"/>
  <c r="G63" i="1"/>
  <c r="G64" i="1"/>
  <c r="G65" i="1"/>
  <c r="G66" i="1"/>
  <c r="G67" i="1"/>
  <c r="G68" i="1"/>
  <c r="G69" i="1"/>
  <c r="G70" i="1"/>
  <c r="G6" i="1"/>
  <c r="AT12" i="5" l="1"/>
  <c r="L31" i="5"/>
  <c r="L3" i="5" s="1"/>
  <c r="AT10" i="5"/>
  <c r="AT18" i="5"/>
  <c r="AT15" i="5"/>
  <c r="AT17" i="5"/>
  <c r="AT20" i="5"/>
  <c r="AT25" i="5"/>
  <c r="AV29" i="5"/>
  <c r="AT9" i="5"/>
  <c r="AV13" i="5"/>
  <c r="AT22" i="5"/>
  <c r="AV26" i="5"/>
  <c r="AT13" i="5"/>
  <c r="AV16" i="5"/>
  <c r="AV25" i="5"/>
  <c r="AV21" i="5"/>
  <c r="AV23" i="5"/>
  <c r="AV19" i="5"/>
  <c r="AV28" i="5"/>
  <c r="AV11" i="5"/>
  <c r="AV24" i="5"/>
  <c r="AV10" i="5"/>
  <c r="AV18" i="5"/>
  <c r="AT14" i="5"/>
  <c r="AV27" i="5"/>
  <c r="AV30" i="5"/>
  <c r="AV12" i="5"/>
  <c r="AV15" i="5"/>
  <c r="AV14" i="5"/>
  <c r="AT29" i="5"/>
  <c r="AV20" i="5"/>
  <c r="AV17" i="5"/>
  <c r="AV9" i="5"/>
  <c r="AV22" i="5"/>
  <c r="AT16" i="5"/>
  <c r="Q31" i="5"/>
  <c r="Q3" i="5" s="1"/>
  <c r="AT26" i="5"/>
  <c r="AT21" i="5"/>
  <c r="AT19" i="5"/>
  <c r="AT28" i="5"/>
  <c r="AT11" i="5"/>
  <c r="AT24" i="5"/>
  <c r="AT23" i="5"/>
  <c r="AT27" i="5"/>
  <c r="AT30" i="5"/>
  <c r="D31" i="5"/>
  <c r="C3" i="5"/>
  <c r="I44" i="1"/>
  <c r="J44" i="1" s="1"/>
  <c r="K44" i="1" s="1"/>
  <c r="I40" i="1"/>
  <c r="J40" i="1" s="1"/>
  <c r="K40" i="1" s="1"/>
  <c r="I28" i="1"/>
  <c r="J28" i="1" s="1"/>
  <c r="K28" i="1" s="1"/>
  <c r="I8" i="1"/>
  <c r="J8" i="1" s="1"/>
  <c r="K8" i="1" s="1"/>
  <c r="I19" i="1"/>
  <c r="J19" i="1" s="1"/>
  <c r="K19" i="1" s="1"/>
  <c r="I11" i="1"/>
  <c r="J11" i="1" s="1"/>
  <c r="K11" i="1" s="1"/>
  <c r="I31" i="1"/>
  <c r="J31" i="1" s="1"/>
  <c r="K31" i="1" s="1"/>
  <c r="I24" i="1"/>
  <c r="J24" i="1" s="1"/>
  <c r="K24" i="1" s="1"/>
  <c r="J48" i="1"/>
  <c r="K48" i="1" s="1"/>
  <c r="I20" i="1"/>
  <c r="I16" i="1"/>
  <c r="I49" i="1"/>
  <c r="I29" i="1"/>
  <c r="I12" i="1"/>
  <c r="I37" i="1"/>
  <c r="I36" i="1"/>
  <c r="I32" i="1"/>
  <c r="I7" i="1"/>
  <c r="I35" i="1"/>
  <c r="I17" i="1"/>
  <c r="I53" i="1"/>
  <c r="I67" i="1"/>
  <c r="I47" i="1"/>
  <c r="I43" i="1"/>
  <c r="I39" i="1"/>
  <c r="I27" i="1"/>
  <c r="I23" i="1"/>
  <c r="I15" i="1"/>
  <c r="J15" i="1" s="1"/>
  <c r="I69" i="1"/>
  <c r="I61" i="1"/>
  <c r="I45" i="1"/>
  <c r="I41" i="1"/>
  <c r="I33" i="1"/>
  <c r="I25" i="1"/>
  <c r="I21" i="1"/>
  <c r="I13" i="1"/>
  <c r="I9" i="1"/>
  <c r="I56" i="1"/>
  <c r="I63" i="1"/>
  <c r="I59" i="1"/>
  <c r="I55" i="1"/>
  <c r="I51" i="1"/>
  <c r="I65" i="1"/>
  <c r="I57" i="1"/>
  <c r="I68" i="1"/>
  <c r="I64" i="1"/>
  <c r="I60" i="1"/>
  <c r="I52" i="1"/>
  <c r="I70" i="1"/>
  <c r="I62" i="1"/>
  <c r="I54" i="1"/>
  <c r="I46" i="1"/>
  <c r="I38" i="1"/>
  <c r="I30" i="1"/>
  <c r="I26" i="1"/>
  <c r="I18" i="1"/>
  <c r="I10" i="1"/>
  <c r="I22" i="1"/>
  <c r="I14" i="1"/>
  <c r="I6" i="1"/>
  <c r="J6" i="1" s="1"/>
  <c r="I66" i="1"/>
  <c r="I58" i="1"/>
  <c r="I50" i="1"/>
  <c r="I42" i="1"/>
  <c r="I34" i="1"/>
  <c r="D3" i="5" l="1"/>
  <c r="K15" i="1"/>
  <c r="I1632" i="1"/>
  <c r="L11" i="1"/>
  <c r="Z6" i="5" s="1"/>
  <c r="L40" i="1"/>
  <c r="J34" i="1"/>
  <c r="K34" i="1" s="1"/>
  <c r="J63" i="1"/>
  <c r="K63" i="1" s="1"/>
  <c r="J61" i="1"/>
  <c r="K61" i="1" s="1"/>
  <c r="J43" i="1"/>
  <c r="K43" i="1" s="1"/>
  <c r="J12" i="1"/>
  <c r="K12" i="1" s="1"/>
  <c r="J42" i="1"/>
  <c r="K42" i="1" s="1"/>
  <c r="J46" i="1"/>
  <c r="K46" i="1" s="1"/>
  <c r="J52" i="1"/>
  <c r="K52" i="1" s="1"/>
  <c r="J9" i="1"/>
  <c r="K9" i="1" s="1"/>
  <c r="J69" i="1"/>
  <c r="K69" i="1" s="1"/>
  <c r="J47" i="1"/>
  <c r="K47" i="1" s="1"/>
  <c r="J29" i="1"/>
  <c r="K29" i="1" s="1"/>
  <c r="L48" i="1"/>
  <c r="L24" i="1"/>
  <c r="J54" i="1"/>
  <c r="K54" i="1" s="1"/>
  <c r="J60" i="1"/>
  <c r="K60" i="1" s="1"/>
  <c r="J13" i="1"/>
  <c r="K13" i="1" s="1"/>
  <c r="J67" i="1"/>
  <c r="K67" i="1" s="1"/>
  <c r="J49" i="1"/>
  <c r="K49" i="1" s="1"/>
  <c r="J22" i="1"/>
  <c r="K22" i="1" s="1"/>
  <c r="J50" i="1"/>
  <c r="K50" i="1" s="1"/>
  <c r="J62" i="1"/>
  <c r="K62" i="1" s="1"/>
  <c r="J57" i="1"/>
  <c r="K57" i="1" s="1"/>
  <c r="J21" i="1"/>
  <c r="K21" i="1" s="1"/>
  <c r="J35" i="1"/>
  <c r="K35" i="1" s="1"/>
  <c r="J16" i="1"/>
  <c r="K16" i="1" s="1"/>
  <c r="J66" i="1"/>
  <c r="K66" i="1" s="1"/>
  <c r="J10" i="1"/>
  <c r="K10" i="1" s="1"/>
  <c r="J70" i="1"/>
  <c r="K70" i="1" s="1"/>
  <c r="J68" i="1"/>
  <c r="K68" i="1" s="1"/>
  <c r="J65" i="1"/>
  <c r="K65" i="1" s="1"/>
  <c r="J25" i="1"/>
  <c r="K25" i="1" s="1"/>
  <c r="J7" i="1"/>
  <c r="K7" i="1" s="1"/>
  <c r="J18" i="1"/>
  <c r="K18" i="1" s="1"/>
  <c r="J51" i="1"/>
  <c r="K51" i="1" s="1"/>
  <c r="J56" i="1"/>
  <c r="K56" i="1" s="1"/>
  <c r="J33" i="1"/>
  <c r="K33" i="1" s="1"/>
  <c r="J23" i="1"/>
  <c r="K23" i="1" s="1"/>
  <c r="J53" i="1"/>
  <c r="K53" i="1" s="1"/>
  <c r="J32" i="1"/>
  <c r="K32" i="1" s="1"/>
  <c r="J20" i="1"/>
  <c r="K20" i="1" s="1"/>
  <c r="L28" i="1"/>
  <c r="L44" i="1"/>
  <c r="J38" i="1"/>
  <c r="K38" i="1" s="1"/>
  <c r="J58" i="1"/>
  <c r="K58" i="1" s="1"/>
  <c r="J64" i="1"/>
  <c r="K64" i="1" s="1"/>
  <c r="J26" i="1"/>
  <c r="K26" i="1" s="1"/>
  <c r="J55" i="1"/>
  <c r="K55" i="1" s="1"/>
  <c r="J41" i="1"/>
  <c r="K41" i="1" s="1"/>
  <c r="J27" i="1"/>
  <c r="K27" i="1" s="1"/>
  <c r="J17" i="1"/>
  <c r="K17" i="1" s="1"/>
  <c r="J36" i="1"/>
  <c r="K36" i="1" s="1"/>
  <c r="J14" i="1"/>
  <c r="K14" i="1" s="1"/>
  <c r="J30" i="1"/>
  <c r="K30" i="1" s="1"/>
  <c r="J59" i="1"/>
  <c r="K59" i="1" s="1"/>
  <c r="J45" i="1"/>
  <c r="K45" i="1" s="1"/>
  <c r="J39" i="1"/>
  <c r="K39" i="1" s="1"/>
  <c r="J37" i="1"/>
  <c r="K37" i="1" s="1"/>
  <c r="L19" i="1"/>
  <c r="L31" i="1"/>
  <c r="L8" i="1"/>
  <c r="Z31" i="5" l="1"/>
  <c r="Z3" i="5" s="1"/>
  <c r="AD6" i="5"/>
  <c r="L15" i="1"/>
  <c r="J1632" i="1"/>
  <c r="L50" i="1"/>
  <c r="L55" i="1"/>
  <c r="L32" i="1"/>
  <c r="L65" i="1"/>
  <c r="L27" i="1"/>
  <c r="L64" i="1"/>
  <c r="L38" i="1"/>
  <c r="L53" i="1"/>
  <c r="L51" i="1"/>
  <c r="L68" i="1"/>
  <c r="L66" i="1"/>
  <c r="L21" i="1"/>
  <c r="AE6" i="5" s="1"/>
  <c r="L67" i="1"/>
  <c r="L47" i="1"/>
  <c r="L43" i="1"/>
  <c r="L17" i="1"/>
  <c r="U6" i="5" s="1"/>
  <c r="L18" i="1"/>
  <c r="L59" i="1"/>
  <c r="L45" i="1"/>
  <c r="L41" i="1"/>
  <c r="L23" i="1"/>
  <c r="L25" i="1"/>
  <c r="L70" i="1"/>
  <c r="L16" i="1"/>
  <c r="AC6" i="5" s="1"/>
  <c r="L57" i="1"/>
  <c r="L22" i="1"/>
  <c r="L60" i="1"/>
  <c r="L69" i="1"/>
  <c r="L52" i="1"/>
  <c r="L42" i="1"/>
  <c r="L61" i="1"/>
  <c r="K6" i="1"/>
  <c r="K1632" i="1" s="1"/>
  <c r="L14" i="1"/>
  <c r="L56" i="1"/>
  <c r="L63" i="1"/>
  <c r="L39" i="1"/>
  <c r="L37" i="1"/>
  <c r="L30" i="1"/>
  <c r="R6" i="5" s="1"/>
  <c r="L36" i="1"/>
  <c r="I6" i="5" s="1"/>
  <c r="L26" i="1"/>
  <c r="S6" i="5" s="1"/>
  <c r="L58" i="1"/>
  <c r="L20" i="1"/>
  <c r="L33" i="1"/>
  <c r="L7" i="1"/>
  <c r="W6" i="5" s="1"/>
  <c r="L10" i="1"/>
  <c r="Y6" i="5" s="1"/>
  <c r="L35" i="1"/>
  <c r="L62" i="1"/>
  <c r="L49" i="1"/>
  <c r="AN6" i="5" s="1"/>
  <c r="L13" i="1"/>
  <c r="L54" i="1"/>
  <c r="L29" i="1"/>
  <c r="L9" i="1"/>
  <c r="AA6" i="5" s="1"/>
  <c r="L46" i="1"/>
  <c r="L12" i="1"/>
  <c r="L34" i="1"/>
  <c r="H6" i="5" l="1"/>
  <c r="H31" i="5" s="1"/>
  <c r="V6" i="5"/>
  <c r="V31" i="5" s="1"/>
  <c r="V3" i="5" s="1"/>
  <c r="AF6" i="5"/>
  <c r="AF31" i="5" s="1"/>
  <c r="AF3" i="5" s="1"/>
  <c r="AC31" i="5"/>
  <c r="AC3" i="5" s="1"/>
  <c r="AA31" i="5"/>
  <c r="AA3" i="5" s="1"/>
  <c r="U31" i="5"/>
  <c r="U3" i="5" s="1"/>
  <c r="W31" i="5"/>
  <c r="W3" i="5" s="1"/>
  <c r="AN31" i="5"/>
  <c r="AN3" i="5" s="1"/>
  <c r="R31" i="5"/>
  <c r="R3" i="5" s="1"/>
  <c r="AP6" i="5"/>
  <c r="S31" i="5"/>
  <c r="S3" i="5" s="1"/>
  <c r="AD31" i="5"/>
  <c r="AD3" i="5" s="1"/>
  <c r="I31" i="5"/>
  <c r="I3" i="5" s="1"/>
  <c r="Y31" i="5"/>
  <c r="Y3" i="5" s="1"/>
  <c r="AE31" i="5"/>
  <c r="AE3" i="5" s="1"/>
  <c r="J6" i="5"/>
  <c r="AO6" i="5"/>
  <c r="AG6" i="5"/>
  <c r="AB6" i="5"/>
  <c r="AM6" i="5"/>
  <c r="L6" i="1"/>
  <c r="AB31" i="5" l="1"/>
  <c r="AB3" i="5" s="1"/>
  <c r="AO31" i="5"/>
  <c r="AO3" i="5" s="1"/>
  <c r="AP31" i="5"/>
  <c r="J31" i="5"/>
  <c r="J3" i="5" s="1"/>
  <c r="AG31" i="5"/>
  <c r="AG3" i="5" s="1"/>
  <c r="AM31" i="5"/>
  <c r="AM3" i="5" s="1"/>
  <c r="L1632" i="1"/>
  <c r="AR35" i="5" s="1"/>
  <c r="X6" i="5"/>
  <c r="AT6" i="5" s="1"/>
  <c r="H3" i="5"/>
  <c r="AV6" i="5" l="1"/>
  <c r="AV32" i="5" s="1"/>
  <c r="X31" i="5"/>
  <c r="X3" i="5" s="1"/>
  <c r="AP3" i="5"/>
  <c r="AT31" i="5" l="1"/>
  <c r="AS32" i="5"/>
  <c r="AR34" i="5"/>
  <c r="AR36" i="5" s="1"/>
  <c r="CR16" i="19"/>
  <c r="CQ110" i="19"/>
  <c r="CR15" i="19"/>
  <c r="CL110" i="19"/>
  <c r="CM15" i="19"/>
  <c r="CN15" i="19" s="1"/>
  <c r="CN110" i="19" s="1"/>
  <c r="CR110" i="19" l="1"/>
  <c r="CM110" i="19"/>
  <c r="CO15" i="19"/>
  <c r="CO110" i="19" s="1"/>
  <c r="O11" i="17" s="1"/>
  <c r="CQ112" i="19"/>
  <c r="O12" i="17" l="1"/>
  <c r="O14"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Carlos Rodriguez</author>
  </authors>
  <commentList>
    <comment ref="H40" authorId="0" shapeId="0" xr:uid="{00000000-0006-0000-0D00-000001000000}">
      <text>
        <r>
          <rPr>
            <b/>
            <sz val="9"/>
            <color indexed="81"/>
            <rFont val="Tahoma"/>
            <family val="2"/>
          </rPr>
          <t>Juan Carlos Rodriguez:SE PIDIERON 120 PAQUETES ADICIONALES</t>
        </r>
      </text>
    </comment>
    <comment ref="H44" authorId="0" shapeId="0" xr:uid="{00000000-0006-0000-0D00-000002000000}">
      <text>
        <r>
          <rPr>
            <b/>
            <sz val="9"/>
            <color indexed="81"/>
            <rFont val="Tahoma"/>
            <family val="2"/>
          </rPr>
          <t>Juan Carlos Rodriguez:</t>
        </r>
        <r>
          <rPr>
            <sz val="9"/>
            <color indexed="81"/>
            <rFont val="Tahoma"/>
            <family val="2"/>
          </rPr>
          <t xml:space="preserve">
SE PIDIERON 450 UNIDADES MÁS</t>
        </r>
      </text>
    </comment>
  </commentList>
</comments>
</file>

<file path=xl/sharedStrings.xml><?xml version="1.0" encoding="utf-8"?>
<sst xmlns="http://schemas.openxmlformats.org/spreadsheetml/2006/main" count="23631" uniqueCount="1186">
  <si>
    <t>CRA 8 No. 10-65</t>
  </si>
  <si>
    <t>ITEMS</t>
  </si>
  <si>
    <t>COD RUBRO</t>
  </si>
  <si>
    <t>PRODUCTO</t>
  </si>
  <si>
    <t>CANTIDAD</t>
  </si>
  <si>
    <t>Jabón para loza 1 (Compra)</t>
  </si>
  <si>
    <t>Jabones en pasta para lavar</t>
  </si>
  <si>
    <t>Jabón para loza 3 (Compra)</t>
  </si>
  <si>
    <t>Jabón en barra azul (Compra)</t>
  </si>
  <si>
    <t>Detergentes en polvo</t>
  </si>
  <si>
    <t>Jabón abrasivo (Compra)</t>
  </si>
  <si>
    <t>Jabón de tocador 2 (Compra)</t>
  </si>
  <si>
    <t>Jabón de dispensador para manos 2 (Compra)</t>
  </si>
  <si>
    <t>Productos químicos especiales para tratamiento de pisos</t>
  </si>
  <si>
    <t>Limpiador multiusos 1 (Compra)</t>
  </si>
  <si>
    <t>Limpiador desinfectante para pisos (Compra)</t>
  </si>
  <si>
    <t>Preparaciones para limpieza y desengrase</t>
  </si>
  <si>
    <t>Líquido desengrasante (Compra)</t>
  </si>
  <si>
    <t>Desinfectantes</t>
  </si>
  <si>
    <t>Pastilla desinfectante para sanitario (Compra)</t>
  </si>
  <si>
    <t>Preparaciones para limpiar vidrios</t>
  </si>
  <si>
    <t>Líquido para limpiar vidrios 1 (Compra)</t>
  </si>
  <si>
    <t>Hipoclorito de sodio</t>
  </si>
  <si>
    <t>Blanqueador o hipoclorito 1 (Compra)</t>
  </si>
  <si>
    <t>Creolina 2 (Compra)</t>
  </si>
  <si>
    <t>Champú para alfombras y tapizados 1 (Compra)</t>
  </si>
  <si>
    <t>Líquido cubre rasguños para madera (Compra)</t>
  </si>
  <si>
    <t>Ceras para pisos</t>
  </si>
  <si>
    <t>Cera polimérica (Compra)</t>
  </si>
  <si>
    <t>Sellante para pisos (Compra)</t>
  </si>
  <si>
    <t>Mantenedor de pisos (Compra)</t>
  </si>
  <si>
    <t>Removedor de cera (Compra)</t>
  </si>
  <si>
    <t>Jabón neutro para pisos 1 (Compra)</t>
  </si>
  <si>
    <t>Varsol-disolvente núm. 4</t>
  </si>
  <si>
    <t>Varsol ecológico 2 (Compra)</t>
  </si>
  <si>
    <t>Brillametal en crema (Compra)</t>
  </si>
  <si>
    <t>Purificadores líquidos de ambiente</t>
  </si>
  <si>
    <t>Ambientador 1 (Compra)</t>
  </si>
  <si>
    <t>Ambientador 2 (Compra)</t>
  </si>
  <si>
    <t>Solventes para insecticida</t>
  </si>
  <si>
    <t>Insecticida 1 (Compra)</t>
  </si>
  <si>
    <t>Insecticida 2 (Compra)</t>
  </si>
  <si>
    <t>Limpiones 1 (Compra)</t>
  </si>
  <si>
    <t>Bayetilla 1 (Compra)</t>
  </si>
  <si>
    <t>Bayetilla 2 (Compra)</t>
  </si>
  <si>
    <t>Toalla en tela blanca para pisos por metro (repuesto de haraganes) (Compra)</t>
  </si>
  <si>
    <t>Paños absorbentes desechables para uso doméstico</t>
  </si>
  <si>
    <t>Paño absorbente multiusos 1 (Compra)</t>
  </si>
  <si>
    <t>Esponjilla 1 (Compra)</t>
  </si>
  <si>
    <t>Esponjilla 2 (Compra)</t>
  </si>
  <si>
    <t>Esponjilla 3 (Compra)</t>
  </si>
  <si>
    <t>Esponjilla 4 (Compra)</t>
  </si>
  <si>
    <t>Esponjilla 5 (Compra)</t>
  </si>
  <si>
    <t>Escobas</t>
  </si>
  <si>
    <t>Escoba 1 (Compra)</t>
  </si>
  <si>
    <t>Escoba 2 (Compra)</t>
  </si>
  <si>
    <t>Escoba 3 (Compra)</t>
  </si>
  <si>
    <t>Escoba 4 (Compra)</t>
  </si>
  <si>
    <t>Mango metálico escoba 1 (Compra)</t>
  </si>
  <si>
    <t>Mango madera escoba 1 (Compra)</t>
  </si>
  <si>
    <t>Cepillos para lavar o fregar</t>
  </si>
  <si>
    <t>Cepillos 2 (Compra)</t>
  </si>
  <si>
    <t>Cepillos 3 (Compra)</t>
  </si>
  <si>
    <t>Trapero 3 (Compra)</t>
  </si>
  <si>
    <t>Mango metálico trapero (Compra)</t>
  </si>
  <si>
    <t>Cepillo para sanitario (churrusco) (Compra)</t>
  </si>
  <si>
    <t>Filtros de material textil, para usos técnicos e industriales</t>
  </si>
  <si>
    <t>Pads 1 (Compra)</t>
  </si>
  <si>
    <t>Pads 2 (Compra)</t>
  </si>
  <si>
    <t>Pads 3 (Compra)</t>
  </si>
  <si>
    <t>Pads 4 (Compra)</t>
  </si>
  <si>
    <t>Boneth 1 (Compra)</t>
  </si>
  <si>
    <t>Boneth 2 (Compra)</t>
  </si>
  <si>
    <t>Bolsas plásticas 1 (Compra)</t>
  </si>
  <si>
    <t>Bolsas plásticas 15 (Compra)</t>
  </si>
  <si>
    <t>Bolsas plásticas 16 (Compra)</t>
  </si>
  <si>
    <t>Bolsas plásticas 17 (Compra)</t>
  </si>
  <si>
    <t>Bolsas plásticas 21 (Compra)</t>
  </si>
  <si>
    <t>Bolsas plásticas 22 (Compra)</t>
  </si>
  <si>
    <t>Bolsas plásticas 23 (Compra)</t>
  </si>
  <si>
    <t>Guantes 1 (Compra)</t>
  </si>
  <si>
    <t>Guantes 2 (Compra)</t>
  </si>
  <si>
    <t>Guantes 4 (Compra)</t>
  </si>
  <si>
    <t>Guantes 6 (Compra)</t>
  </si>
  <si>
    <t>Guantes 7 (Compra)</t>
  </si>
  <si>
    <t>Guantes 9 (Compra)</t>
  </si>
  <si>
    <t>Tapabocas Desechable (Compra)</t>
  </si>
  <si>
    <t>Papel del tipo utilizado para papel higiénico</t>
  </si>
  <si>
    <t>Papel higiénico 1 (Compra)</t>
  </si>
  <si>
    <t>Papel higiénico 3 (Compra)</t>
  </si>
  <si>
    <t xml:space="preserve">Toallas de papel </t>
  </si>
  <si>
    <t>Toallas para manos 6 (Compra)</t>
  </si>
  <si>
    <t>Toallas para manos 7 (Compra)</t>
  </si>
  <si>
    <t>Pañuelos de papel</t>
  </si>
  <si>
    <t>Pañuelos (Compra)</t>
  </si>
  <si>
    <t>Vasos biodegradables 1 (Compra)</t>
  </si>
  <si>
    <t>Vasos biodegradables 2 (Compra)</t>
  </si>
  <si>
    <t>Vasos biodegradables 3 (Compra)</t>
  </si>
  <si>
    <t>Mezclador 1 (Compra)</t>
  </si>
  <si>
    <t>Servilleta papel (Compra)</t>
  </si>
  <si>
    <t>Filtro para greca 1 (Compra)</t>
  </si>
  <si>
    <t>Filtro para greca 2 (Compra)</t>
  </si>
  <si>
    <t>Churrusco para tubos de greca (Compra)</t>
  </si>
  <si>
    <t>Envases n.c.p. de vidrio</t>
  </si>
  <si>
    <t>Termo para café 2 (Compra)</t>
  </si>
  <si>
    <t>Café molido</t>
  </si>
  <si>
    <t>Café 1 (Compra)</t>
  </si>
  <si>
    <t>Crema para café (Compra)</t>
  </si>
  <si>
    <t>Azucar refinada</t>
  </si>
  <si>
    <t>Azúcar 1 (Compra)</t>
  </si>
  <si>
    <t>Azúcar 3 (Compra)</t>
  </si>
  <si>
    <t>Aromática con panela 2 (Compra)</t>
  </si>
  <si>
    <t>Aromática de fruta 2 (Compra)</t>
  </si>
  <si>
    <t>Agua potable 4 (Compra)</t>
  </si>
  <si>
    <t>Válvula dispensadora para botellón de agua (Compra)</t>
  </si>
  <si>
    <t>Cepillo para paredes y techos (Compra)</t>
  </si>
  <si>
    <t>Destapador para sanitario (chupa) (Compra)</t>
  </si>
  <si>
    <t>Atomizadores (Compra)</t>
  </si>
  <si>
    <t>Combustible  (Compra)</t>
  </si>
  <si>
    <t>SEDE</t>
  </si>
  <si>
    <t>Suma de SEDE 1 - MANZANA LIEVANO - ALCALDÍA MAYOR</t>
  </si>
  <si>
    <t>VALOR TOTAL</t>
  </si>
  <si>
    <t xml:space="preserve">Suma de SEDE 2 - DIRECCIÓN DISTRITAL DE ARCHIVO DE  BOGOTA </t>
  </si>
  <si>
    <t>Suma de SEDE 3 - IMPRENTA DISTRITAL</t>
  </si>
  <si>
    <t xml:space="preserve">Suma de SEDE 4 - SEDE ALTERNA RESTREPO </t>
  </si>
  <si>
    <t xml:space="preserve">Suma de SEDE 5 - SUPERCADE CAD CARRERA </t>
  </si>
  <si>
    <t xml:space="preserve">Suma de SEDE 6 - SUPERCADE AMERICAS </t>
  </si>
  <si>
    <t xml:space="preserve">Suma de SEDE 7 - SUPERCADE BOSA </t>
  </si>
  <si>
    <t xml:space="preserve">Suma de SEDE 8 - SUPERCADE CALLE 13 </t>
  </si>
  <si>
    <t xml:space="preserve">Suma de SEDE 9 - SUPERCADE 20 DE JULIO </t>
  </si>
  <si>
    <t xml:space="preserve">Suma de SEDE 10 - SUPERCADE MANITAS </t>
  </si>
  <si>
    <t xml:space="preserve">Suma de SEDE 11 - SUPERCADE SUBA </t>
  </si>
  <si>
    <t>Suma de SEDE 12 - SUPERCADE SOCIAL</t>
  </si>
  <si>
    <t xml:space="preserve">Suma de SEDE 13 - CADE SERVITA </t>
  </si>
  <si>
    <t xml:space="preserve">Suma de SEDE 14 - CADE LA VICTORIA </t>
  </si>
  <si>
    <t xml:space="preserve">Suma de SEDE 15 - CADE LA GAITANA </t>
  </si>
  <si>
    <t xml:space="preserve">Suma de SEDE 16 - SUPERCADE ENGATIVA </t>
  </si>
  <si>
    <t xml:space="preserve">Suma de SEDE 17 - CADE LOS LUCEROS </t>
  </si>
  <si>
    <t xml:space="preserve">Suma de SEDE 18 - CENTRO DE MEMORIA, PAZ Y RECONCILIACIÓN </t>
  </si>
  <si>
    <t xml:space="preserve">Suma de SEDE 19 - CENTRO DE ENCUENTRO BOSA </t>
  </si>
  <si>
    <t xml:space="preserve">Suma de SEDE 20 - CENTRO DE ENCUENTRO CHAPINERO </t>
  </si>
  <si>
    <t xml:space="preserve">Suma de SEDE 21 - CENTRO DE ENCUENTRO CIUDAD BOLIVAR </t>
  </si>
  <si>
    <t xml:space="preserve">Suma de SEDE 22 - CENTRO DE ENCUENTRO KENNEDY PATIO BONITO </t>
  </si>
  <si>
    <t xml:space="preserve">Suma de SEDE 23 - CENTRO DE ENCUENTRO RAFAEL URIBE </t>
  </si>
  <si>
    <t xml:space="preserve">Suma de SEDE 24 - CENTRO DE ENCUENTRO SUBA </t>
  </si>
  <si>
    <t xml:space="preserve">Suma de SEDE 25 - CENTRO DE ENCUENTRO - CADE YOMASA </t>
  </si>
  <si>
    <t>AIU</t>
  </si>
  <si>
    <t>IVA</t>
  </si>
  <si>
    <t>GRAN TOTAL</t>
  </si>
  <si>
    <t xml:space="preserve">Productos aromáticos diversos </t>
  </si>
  <si>
    <t xml:space="preserve">Agua purificada (envasada) </t>
  </si>
  <si>
    <t>Filtros de algodón</t>
  </si>
  <si>
    <t xml:space="preserve">Aplicadores, bajalenguas y otros para usos higiénicos, de madera </t>
  </si>
  <si>
    <t>Papel para servilletas, toallas y similares</t>
  </si>
  <si>
    <t>Vasos de papel o cartón</t>
  </si>
  <si>
    <t>Jabones líquidos para lavar</t>
  </si>
  <si>
    <t xml:space="preserve">Jabones industriales </t>
  </si>
  <si>
    <t xml:space="preserve">Jabones de tocador </t>
  </si>
  <si>
    <t>Bolsas de material plástico sin impresión</t>
  </si>
  <si>
    <t>Esponjas y esponjillas metálicas</t>
  </si>
  <si>
    <t>Mangos metálicos</t>
  </si>
  <si>
    <t>SEDE 1 - MANZANA LIEVANO - ALCALDÍA MAYOR</t>
  </si>
  <si>
    <t>SEDE 2 - DIRECCIÓN DISTRITAL DE ARCHIVO DE  BOGOTA</t>
  </si>
  <si>
    <t>SEDE 3 - IMPRENTA DISTRITAL</t>
  </si>
  <si>
    <t>SEDE 4 - SEDE ALTERNA RESTREPO</t>
  </si>
  <si>
    <t>SEDE 5 - SUPERCADE CAD CARRERA</t>
  </si>
  <si>
    <t>SEDE 6 - SUPERCADE AMERICAS</t>
  </si>
  <si>
    <t>SEDE 7 - SUPERCADE BOSA</t>
  </si>
  <si>
    <t>SEDE 8 - SUPERCADE CALLE 13</t>
  </si>
  <si>
    <t>SEDE 9 - SUPERCADE 20 DE JULIO</t>
  </si>
  <si>
    <t>SEDE 10 - SUPERCADE MANITAS</t>
  </si>
  <si>
    <t>SEDE 11 - SUPERCADE SUBA</t>
  </si>
  <si>
    <t>SEDE 12 - SUPERCADE SOCIAL</t>
  </si>
  <si>
    <t>SEDE 13 - CADE SERVITA</t>
  </si>
  <si>
    <t>SEDE 14 - CADE LA VICTORIA</t>
  </si>
  <si>
    <t>SEDE 15 - CADE LA GAITANA</t>
  </si>
  <si>
    <t>SEDE 16 - SUPERCADE ENGATIVA</t>
  </si>
  <si>
    <t>SEDE 17 - CADE LOS LUCEROS</t>
  </si>
  <si>
    <t>SEDE 18 - CENTRO DE MEMORIA, PAZ Y RECONCILIACIÓN</t>
  </si>
  <si>
    <t>SEDE 19 - CENTRO DE ENCUENTRO BOSA</t>
  </si>
  <si>
    <t>SEDE 20 - CENTRO DE ENCUENTRO CHAPINERO</t>
  </si>
  <si>
    <t>SEDE 21 - CENTRO DE ENCUENTRO CIUDAD BOLIVAR</t>
  </si>
  <si>
    <t>SEDE 22 - CENTRO DE ENCUENTRO KENNEDY PATIO BONITO</t>
  </si>
  <si>
    <t>SEDE 23 - CENTRO DE ENCUENTRO RAFAEL URIBE</t>
  </si>
  <si>
    <t>SEDE 24 - CENTRO DE ENCUENTRO SUBA</t>
  </si>
  <si>
    <t>SEDE 25 - CENTRO DE ENCUENTRO - CADE YOMASA</t>
  </si>
  <si>
    <t xml:space="preserve">
INSUMOS MES DE ABRIL 2026 ALCALDIA MAYOR DE BOGOTA ENTREGAR DE ACUERDO A LA DISTRIBUCION, L-V DE 7AM A 3PM EDGAR EDIDIER AVILA BENAVIDES" EEAVILA@ALCALDIABOGOTA.GOV.CO</t>
  </si>
  <si>
    <t>CALLE 6B No. 5 75</t>
  </si>
  <si>
    <t>CALLE 11 SUR No. 1-60</t>
  </si>
  <si>
    <t>CARRERA 8 No. 11-39</t>
  </si>
  <si>
    <t>CARRERA 30 No. 35-90</t>
  </si>
  <si>
    <t>AV. CARRERA 86 No. 43-55</t>
  </si>
  <si>
    <t>AV CALLE 57 R 72 D 12</t>
  </si>
  <si>
    <t>CALLE 13 No. 37-35</t>
  </si>
  <si>
    <t>CARRERA 5 A No. 30C-20SUR</t>
  </si>
  <si>
    <t>CARRERA 18 L No. 70B - 50SUR</t>
  </si>
  <si>
    <t>AVENIDA CALLE 145 No. 103B-90</t>
  </si>
  <si>
    <t>DIAGONAL 23 No. 69A 55 MÓDULO 5 LOCAL 124</t>
  </si>
  <si>
    <t>CALLE 165 No. 7-52</t>
  </si>
  <si>
    <t>DIAGONAL 37 SUR No. 2-00 ESTE</t>
  </si>
  <si>
    <t>DIAGONAL 37SUR No. 2-00 ESTE</t>
  </si>
  <si>
    <t>TV 113B No. 66-54</t>
  </si>
  <si>
    <t>CARRERA 17 F No. 69 A - 32SUR</t>
  </si>
  <si>
    <t>Carrera 19b No. 24-82</t>
  </si>
  <si>
    <t>Calle 69 A No. 92-47 Sur Bosa</t>
  </si>
  <si>
    <t>Calle 63 No. 15-58</t>
  </si>
  <si>
    <t>Carrera 17F No. 69A - 32 Sur</t>
  </si>
  <si>
    <t>Carrera 87 No. 5B - 21</t>
  </si>
  <si>
    <t>Calle 22 Sur No. 14A -99</t>
  </si>
  <si>
    <t>TV 126 No. 133-32</t>
  </si>
  <si>
    <t>CALLE 78SUR No. 14-55</t>
  </si>
  <si>
    <t xml:space="preserve">INSUMOS </t>
  </si>
  <si>
    <t>Manzana Liévano</t>
  </si>
  <si>
    <t>Archivo de Bogotá</t>
  </si>
  <si>
    <t>Imprenta Distrital</t>
  </si>
  <si>
    <t>Edificio Restrepo</t>
  </si>
  <si>
    <t>SuperCADE CAD</t>
  </si>
  <si>
    <t>SuperCADE Américas</t>
  </si>
  <si>
    <t>SuperCADE Bosa</t>
  </si>
  <si>
    <t>SuperCADE Calle 13</t>
  </si>
  <si>
    <t>SuperCADE 20 de Julio</t>
  </si>
  <si>
    <t>SuperCADE Manitas</t>
  </si>
  <si>
    <t>SuperCADE Suba</t>
  </si>
  <si>
    <t>SuperCADE Social</t>
  </si>
  <si>
    <t>CADE Servitá</t>
  </si>
  <si>
    <t>CADE la Victoria</t>
  </si>
  <si>
    <t>CADE la Gaitana</t>
  </si>
  <si>
    <t>SuperCADE Engativa</t>
  </si>
  <si>
    <t>CADE los Luceros</t>
  </si>
  <si>
    <t>Centro de Memoría, Paz y reconciliación</t>
  </si>
  <si>
    <t>C.E. Bosa</t>
  </si>
  <si>
    <t>C.E. Chapinero</t>
  </si>
  <si>
    <t>C.E. Ciudad Bolívar</t>
  </si>
  <si>
    <t>C.E. Kennedy - Patio Bonito</t>
  </si>
  <si>
    <t>C.E. Rafael Uribe Uribe</t>
  </si>
  <si>
    <t>C.E. Suba</t>
  </si>
  <si>
    <t>C.E. - CADE Yomasa</t>
  </si>
  <si>
    <t>No.</t>
  </si>
  <si>
    <t>Bien</t>
  </si>
  <si>
    <t>Total</t>
  </si>
  <si>
    <t>Cantidad Mensual</t>
  </si>
  <si>
    <t>Sede 1</t>
  </si>
  <si>
    <t>Sede 2</t>
  </si>
  <si>
    <t>Sede 3</t>
  </si>
  <si>
    <t>Sede 4</t>
  </si>
  <si>
    <t>Sede 5</t>
  </si>
  <si>
    <t>Sede 6</t>
  </si>
  <si>
    <t>Sede 7</t>
  </si>
  <si>
    <t>Sede 8</t>
  </si>
  <si>
    <t>Sede 9</t>
  </si>
  <si>
    <t>Sede 10</t>
  </si>
  <si>
    <t>Sede 11</t>
  </si>
  <si>
    <t>Sede 12</t>
  </si>
  <si>
    <t>Sede 13</t>
  </si>
  <si>
    <t>Sede 14</t>
  </si>
  <si>
    <t>Sede 15</t>
  </si>
  <si>
    <t>Sede 16</t>
  </si>
  <si>
    <t>Sede 17</t>
  </si>
  <si>
    <t>Sede 18</t>
  </si>
  <si>
    <t>Sede 19</t>
  </si>
  <si>
    <t>Sede 20</t>
  </si>
  <si>
    <t>Sede 21</t>
  </si>
  <si>
    <t>Sede 22</t>
  </si>
  <si>
    <t>Sede 23</t>
  </si>
  <si>
    <t>Sede 24</t>
  </si>
  <si>
    <t>Sede 25</t>
  </si>
  <si>
    <t>- Con agente(s) tensoactivo(s) principal(es) con efecto limpiador y desengrasante en una concentración mínima del 8%.
- Disponible en mínimo (2) dos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Debe contener concentraciones de fósforo iguales o inferiores a 0.65% de fósforo (Resolución 0689 de 2016)</t>
  </si>
  <si>
    <t>Líquido, en recipiente plástico con capacidad mínima de 3.785 ml</t>
  </si>
  <si>
    <t xml:space="preserve"> - Con agente(s) tensoactivo(s) principal(es) con efecto limpiador y desengrasante en una concentración mínima del 15%.
 - Disponible en mínimo (2) dos fragancias
- El envase debe estar correctamente etiquetados bajo los parámetros establecidos en el sistema globalmente armonizado (Decreto 1496 de 2018) indicando: nombre comercial del producto, pictogramas de los compuestos peligrosos si aplica e instrucciones de uso.
- Debe contener concentraciones de fósforo iguales o inferiores a 0.65% de fósforo (Resolución 0689 de 2016)</t>
  </si>
  <si>
    <t>Crema, en recipiente plástico de mínimo 850 g</t>
  </si>
  <si>
    <t>- Jabón de tocador para manos en espuma
- Líquido para manos en bolsa para dispensador spray y con boquilla especial de dispensador
- Tapa tipo válvula, para dispensador, antibacterial y antiséptico 
- Con agente limpiador en una concentración mínima del 6%
- Con agente humectante en una concentración mínima del 3%
- Disponible en múltiples fragancias
- Producto biodegradable basado en ingredientes orgánicos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Elaborado en material reciclable
- No debe contener PVC, Poliestireno expandido u otros plásticos de un solo uso tanto en el envase como en el embalaje.
- Debe contener concentraciones de fósforo iguales o inferiores a 0.65% de fósforo (Resolución 0689 de 2016)</t>
  </si>
  <si>
    <t>Barra, unidad con peso mínimo de 250 g en
envoltura individual</t>
  </si>
  <si>
    <t>- Con agente limpiador en una concentración mínima del 6%
- Con agente humectante en una concentración mínima del 3%
- pH entre 5,5 a 7
- Disponible en mínimo (2) dos fragancias
- Debe contener concentraciones de fósforo iguales o inferiores a 0.65% de fósforo (Resolución 0689 de 2016)</t>
  </si>
  <si>
    <t>En polvo, en tarro de mínimo 500 g</t>
  </si>
  <si>
    <t>- Con agente(s) tensoactivo(s) principal(es) con efecto limpiador en una concentración mínima del 8%
- Disponible en mínimo (2) dos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t>
  </si>
  <si>
    <t xml:space="preserve">Líquido, en recipiente plástico con capacidad mínima de 3.785 ml </t>
  </si>
  <si>
    <t>- Apariencia: Líquido transparente
- Color y olor: De acuerdo a la fragancia
- Producto biodegradable que no afectas la capa de ozono
- Solubilidad: Total en agua
- PH: 7.5 - 8.5
- Composición: Tensoactivos, espesante, coadyuvante, colorante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Elaborado en material reciclable
- No debe contener PVC, poliestireno expandido u otros plásticos de un solo uso tanto en el envase como en el embalaje.</t>
  </si>
  <si>
    <t>Líquido, en garrafa  con capacidad mínima de 3.785 ml</t>
  </si>
  <si>
    <t>- Con agentes bactericidas, fungicidas y virucidas.</t>
  </si>
  <si>
    <t>Unidad con peso mínimo de 45 g</t>
  </si>
  <si>
    <t>- Con agente(s) principal(es) con efecto limpiador y desengrasante en una concentración mínima del 4%
- Disponible mínimo en dos (2) fragancias
 - El envase debe estar  correctamente etiquetados bajo los parámetros establecidos en el sistema globalmente armonizado indicando: nombre comercial del producto, pictogramas de los compuestos peligrosos e instrucciones de uso</t>
  </si>
  <si>
    <t>- Solución con una concentración mínima del 5%
 - El  envase del producto deberá estar correctamente etiquetado, indicando: nombre comercial del producto, pictogramas de los compuestos peligrosos e instrucciones de uso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t>
  </si>
  <si>
    <t>Líquido, en recipiente plástico con capacidad
mínima de 3.785 ml</t>
  </si>
  <si>
    <t>- Solución con una concentración mínima de fenoles de 4%</t>
  </si>
  <si>
    <t>- Con agentes limpiadores y abrillantadores en una concentración mínima del 5%
- De color oscuro para coayudar a cubrir rasguños en maderas oscuras</t>
  </si>
  <si>
    <t>En recipiente plástico
con capacidad mínima de 200 ml</t>
  </si>
  <si>
    <t>- Polimérico autobrillante.
- Con polímeros acrílicos, nivelantes y plastificantes.
- Contenido mínimo de sólidos del 20%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t>
  </si>
  <si>
    <t>- Con agente activo alcalino en una concentración mínima del 9%
- pH entre 11 y 14</t>
  </si>
  <si>
    <t>- Solución con agentes desinfectantes, desmanchadores y desengrasantes  en concentración mínima del 15%.
- Biodegradable mínimo en un 95%</t>
  </si>
  <si>
    <t>- Con agentes con efecto limpiador, pulidor y brillador.
- Para todo tipo de metales
 - El  envase del producto deberá estar correctamente etiquetado, indicando: nombre comercial del producto, pictogramas de los compuestos peligrosos e instrucciones de uso</t>
  </si>
  <si>
    <t>En crema de mínimo 70 g</t>
  </si>
  <si>
    <t>- Solución con alcohol etílico y solventes.
- Con fragancia en una concentración del 1,5%
- En múltiples fragancias (Mínimo 5 tipos de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t>
  </si>
  <si>
    <t>- Solución con alcohol etílico y solventes.
- Con fragancia en una concentración del 1,5%
- En múltiples fragancias
- libre de CFC
 - Envase correctamente etiquetado bajo los parámetros establecidos indicando: nombre comercial del producto, pictogramas de los compuestos peligrosos e instrucciones de uso.
- Elaborado en material reciclable</t>
  </si>
  <si>
    <t>Líquido, en aerosol seguro para la capa de ozono con capacidad mínima de 360 ml</t>
  </si>
  <si>
    <t>- Para eliminar insectos rastreros.
-  Con acción residual hasta por 4 semanas o de larga duración
- Sin fuertes olores químicos
- Libre de CFC
 - El  envase del producto deberá estar correctamente etiquetado, indicando: nombre comercial del producto, pictogramas de los compuestos peligrosos e instrucciones de uso</t>
  </si>
  <si>
    <t>Líquido, en aerosol seguro para la capa de ozono con capacidad
mínima de 350 ml</t>
  </si>
  <si>
    <t>- Para eliminar insectos voladores
-  Con acción residual hasta por 4 semanas o de larga duración
- Sin fuertes olores químicos
- Libre de CFC
 - El  envase del producto deberá estar correctamente etiquetado, indicando: nombre comercial del producto, pictogramas de los compuestos peligrosos e instrucciones de uso</t>
  </si>
  <si>
    <t>- En tela de toalla fileteada
- Color blanco sin estampado
- Tamaño mínimo de 45cm de largo por 45cm de ancho.</t>
  </si>
  <si>
    <t>Unidad</t>
  </si>
  <si>
    <t xml:space="preserve"> - En tela fileteada
 -  100% algodón y fibra natural 
- Color blanco sin estampado
-Tamaño mínimo de 100 cm de largo por 70 cm de ancho</t>
  </si>
  <si>
    <t xml:space="preserve"> - En tela fileteada
 - 100% algodón y fibra natural 
 - Color rojo sin estampado
 -Tamaño mínimo de 100 cm de largo por 70 cm de ancho</t>
  </si>
  <si>
    <t xml:space="preserve"> - Elaborado  en microfibras
 - Color blanco
 - Tamaño mínimo de 100 cm de largo por 70 cm de ancho</t>
  </si>
  <si>
    <t>- Retira el polvo sin dejar residuos ni pelusas
- Antibacterial reutilizable
- Tela con microporos
- Tamaño mínimo de 58 cm de largo por 33 cm de ancho</t>
  </si>
  <si>
    <t>Paquete X 6 unidades</t>
  </si>
  <si>
    <t>- Espuma enmallada
- Tamaño mínimo de 7 cm de largo por 10 cm de ancho</t>
  </si>
  <si>
    <t>- Doble uso (material de esponjilla blanda y abrasiva)
- Tamaño mínimo de 7 cm de largo por 10 cm de ancho
- No debe contener PVC o Poliestireno expandido u otros plásticos de un solo uso tanto en el envase como en el embalaje</t>
  </si>
  <si>
    <t>- Abrasiva
- Tamaño mínimo de 9 cm de largo por 12 cm de</t>
  </si>
  <si>
    <t>- Elaborada con fibra de acero inoxidable para dar brillo
- Tamaño mínimo de 5 cm de largo por 5 cm de ancho</t>
  </si>
  <si>
    <t>- Elaborada con alambre de acero inoxidable
- Tamaño mínimo de 7 cm de largo por 10 cm de ancho</t>
  </si>
  <si>
    <t xml:space="preserve">- Cerdas suaves elaboradas con PET calibre entre 0,3 y 0,4 mm.
- Área de barrido mínima de 35 cm de largo por 8 cm de ancho por 10 cm de alto
- Material de base en plástico con acople tipo rosca
</t>
  </si>
  <si>
    <t xml:space="preserve">- Extensión mínima de 140 cm
 -Acople plástico o rosca para palos de escoba
 </t>
  </si>
  <si>
    <t>- Para pisos
- Cuerpo elaborado en plástico
- Cerdas duras en fibra plástica
- Tamaño mínimo de 23 cm de largo por 6 cm de ancho por 7 cm de alto.
- Mango metálico con una extensión mínima de
140 cm</t>
  </si>
  <si>
    <t>- Elaborado con hilaza de algodón natural
- Mecha con peso mínimo de 435 gr y extensión mínima de 32 cm de largo
- Material de base en plástico con acople tipo rosca</t>
  </si>
  <si>
    <t xml:space="preserve">- Extensión mínima de 140 cm
- Acople plástico o rosca para palos de escoba
 </t>
  </si>
  <si>
    <t>- Cerdas duras elaboradas en fibras plásticas
- Extensión mínima de las cerdas es de 2,5 cm
- Base y mango elaborados en plástico
- Mango con longitud mínima de 33 cm (incluida la medida del cepillo)</t>
  </si>
  <si>
    <t>- Elaborada en polietileno de baja densidad
- De color negro
- Calibre de mínimo 1
- Tamaño de 40 cm de ancho por 55 cm de largo</t>
  </si>
  <si>
    <t>Paquete de mínimo 6</t>
  </si>
  <si>
    <t>- Elaborada en polietileno de baja densidad
- De color negro
- Calibre de mínimo 2
- Tamaño de 70 cm de ancho por 90 cm de largo</t>
  </si>
  <si>
    <t>- Elaborada en polietileno de baja densidad
- De color verde
- Calibre de mínimo 2
- Tamaño de 70 cm de ancho por 90 cm de largo</t>
  </si>
  <si>
    <t>- Elaborada en polietileno de baja densidad
- De color blanco
- Calibre de mínimo 2
- Tamaño de 70 cm de ancho por 90 cm de largo</t>
  </si>
  <si>
    <t>- Elaborada en polietileno de baja densidad
- De color negro
- Calibre de mínimo 3
- Tamaño de 80 cm de ancho por 110 cm de largo</t>
  </si>
  <si>
    <t>- Elaborada en polietileno de baja densidad
- De color verde
- Calibre de mínimo 3
- Tamaño de 80 cm de ancho por 110 cm de largo</t>
  </si>
  <si>
    <t>- Elaborada en polietileno de baja densidad
- De color blanco
-Calibre de mínimo 3
- Tamaño de 80 cm de ancho por 110 cm de largo</t>
  </si>
  <si>
    <t xml:space="preserve"> - Rollo con longitud mínima de 20 metros
 - Doble hoja blanca
 - Sin fragancia</t>
  </si>
  <si>
    <t>Rollo</t>
  </si>
  <si>
    <t>- Rollo con longitud mínima de 250 metros
- Doble hoja de color natural
- Sin fragancia</t>
  </si>
  <si>
    <t>Paca X 4 rollos</t>
  </si>
  <si>
    <t>- Toallas interdobladas, paquete con mínimo 150 unidades
- Doble hoja con un tamaño mínimo de 20 cm de largo por 15 cm de ancho
 - Hoja color blanco</t>
  </si>
  <si>
    <t xml:space="preserve"> - Elaborado en cartón 97% biodegradable
- Capacidad mínima de 4 oz</t>
  </si>
  <si>
    <t>Paquete de mínimo 50 unidades</t>
  </si>
  <si>
    <t xml:space="preserve"> - Elaborado en cartón 97% biodegradable
 - Capacidad mínima de 6 oz</t>
  </si>
  <si>
    <t>Paquete de mínimo 50</t>
  </si>
  <si>
    <t xml:space="preserve"> - Elaborado en cartón 97% biodegradable
- Capacidad mínima de 9 oz</t>
  </si>
  <si>
    <t>Paquete de mínimo 40 unidades</t>
  </si>
  <si>
    <t>- Mezcladores  elaborados en madera y/o apartir de recursos renovables como la caña de azucar y/o almidón de maíz
- Longitud mínima de 11 cm</t>
  </si>
  <si>
    <t>Paquete de mínimo 500</t>
  </si>
  <si>
    <t>- Tipo cafetería
 - Dobe hoja
- Color blanco
- Dimensiones mínimas de 20 cm de largo y 12 cm de ancho
- 100% Biodegradable 
- Elaborado a base de papel reciclado no clorado
- No debe contener PVC o Poliestireno expandido u otros plásticos de un solo uso tanto en el envase como en el embalaje.</t>
  </si>
  <si>
    <t>Paquete de mínimo 100 unidades</t>
  </si>
  <si>
    <t>- Elaborada en tela
- Para greca
- Capacidad de una 1 libra
- No debe contener PVC o Poliestireno expandido u otros plásticos de un solo uso tanto en el envase como en el embalaje.</t>
  </si>
  <si>
    <t>- Cepillo para lavado y fregado de grecas.  
- No debe contener PVC, Poliestireno expandido u otros plásticos de un solo uso tanto en el envase como en el embalaje.
- Base y mango elaborados en alambre</t>
  </si>
  <si>
    <t xml:space="preserve"> - Térmico, con bomba tipo dispensador. Portatil.  
 - Bomba manual para dispensar la bebida.  
 - Acero inoxidable y plastico. 
 - Agarradera plastica, tapa con empaque, bomba manual. 
 - Capacidad mínima de 3 litros</t>
  </si>
  <si>
    <t>- 100% café tostado y molido.   
- Tostión media.                                          
- Denominación de Origen (Anexo 6)
- Empacada en bolsa de polipropileno aluminizada resistente a la humedad y al oxígeno.  
- Debe cumplir con las Resoluciones 333 de 2011 y 2674 de 2013 hasta la entrada en vigencia de la Resolución 810 de 2021 y aquellas que la modifiquen, adicionen o deroguen.
- Para cambio de marca, se requiere certificar la cadena de distribución.</t>
  </si>
  <si>
    <t>Libra</t>
  </si>
  <si>
    <t>- Blanca
- Empaque elaborado en materiales atóxicos
- Debe cumplir con Resolución 333 de 2011 sobre rotulado y etiquetado nutricional y las normas que la modifiquen</t>
  </si>
  <si>
    <t>Bolsa de mínimo 200 sobres o tubipacks de 5 g</t>
  </si>
  <si>
    <t>- Contiene sobres de mínimo 6g
- Debe cumplir con Resolución 2492 de 2022 sobre rotulado y etiquetado nutricional y las normas que la modifiquen
- Debe cumplir con la Resolución 779 de 2006
- Mínimo 12  meses de vida útil desde la fecha de fabricación
- Sabores: Naranja, Jengibre, Papayuela, Frutos rojos, Maracuyá, Limoncillo (Entrega mínima de 3 sabores)
- 100% natural</t>
  </si>
  <si>
    <t>Caja de 20 unidades</t>
  </si>
  <si>
    <t>- Debe cumplir con Resolución 2492 de 2022 sobre rotulado y etiquetado nutricional y las normas que la modifiquen
- Mínimo 12  meses de vida útil desde la fecha de fabricación
- Sabores: Papayuela, Mora, Maracuya, Uchuva, Uva, Fresa, Piña, Durazno, Naranja, Manzana y Arandano (Entrega mínima de 3 sabores)
- 100% natural</t>
  </si>
  <si>
    <t>- Agua potable potable purificada</t>
  </si>
  <si>
    <t>Botellón de mínimo 18.9 L</t>
  </si>
  <si>
    <t>-Válvula en material plástico con boquilla ajustable a los diferentes tipos de botellones</t>
  </si>
  <si>
    <t xml:space="preserve"> - Cuerpo elaborado en plástico
 - Cerdas duras en fibra plástica
 - Largo mínimo de 140 cm</t>
  </si>
  <si>
    <t>- Tipo campana
- Chupa elaborada en caucho
- Diámetro mínimo de 12 cm
- Mango elaborado en madera
- Mango con longitud mínima de 33 cm</t>
  </si>
  <si>
    <t>- Elaborado en plástico
- Reutilizable
- Capacidad mínima de 500 cc
- con pistola</t>
  </si>
  <si>
    <t xml:space="preserve"> - Gasolina 
- Para cortadora de césped, sopladora de hojas y guadañas</t>
  </si>
  <si>
    <t>Galón</t>
  </si>
  <si>
    <t>TOTAL</t>
  </si>
  <si>
    <t>COD</t>
  </si>
  <si>
    <t>CODIGO SEDE</t>
  </si>
  <si>
    <t>O2120201002032352001</t>
  </si>
  <si>
    <t>O2120201002032381302</t>
  </si>
  <si>
    <t>O2120201002032391101</t>
  </si>
  <si>
    <t>O2120201002032399921</t>
  </si>
  <si>
    <t>O2120201002042441001</t>
  </si>
  <si>
    <t>O2120201002072719007</t>
  </si>
  <si>
    <t>O2120201002072719009</t>
  </si>
  <si>
    <t>O2120201002072792104</t>
  </si>
  <si>
    <t>O2120201002082823803</t>
  </si>
  <si>
    <t>O2120201003013191409</t>
  </si>
  <si>
    <t>O2120201003023213101</t>
  </si>
  <si>
    <t>O2120201003023213102</t>
  </si>
  <si>
    <t>O2120201003023219303</t>
  </si>
  <si>
    <t>O2120201003023219304</t>
  </si>
  <si>
    <t>O2120201003023219907</t>
  </si>
  <si>
    <t>O2120201003033335001</t>
  </si>
  <si>
    <t>O2120201003033335004</t>
  </si>
  <si>
    <t>O2120201003043113</t>
  </si>
  <si>
    <t>O2120201003043424014</t>
  </si>
  <si>
    <t>O2120201003043466401</t>
  </si>
  <si>
    <t>O2120201003053532101</t>
  </si>
  <si>
    <t>O2120201003053532103</t>
  </si>
  <si>
    <t>O2120201003053532104</t>
  </si>
  <si>
    <t>O2120201003053532105</t>
  </si>
  <si>
    <t>O2120201003053532201</t>
  </si>
  <si>
    <t>O2120201003053532</t>
  </si>
  <si>
    <t>O2120201003053532204</t>
  </si>
  <si>
    <t>O2120201003053533102</t>
  </si>
  <si>
    <t>O2120201003053533202</t>
  </si>
  <si>
    <t>O2120201003053549945</t>
  </si>
  <si>
    <t>O2120201003063641001</t>
  </si>
  <si>
    <t>O2120201003063694012</t>
  </si>
  <si>
    <t>O2120201003063694016</t>
  </si>
  <si>
    <t>O2120201003073719199</t>
  </si>
  <si>
    <t>O2120201003073719305</t>
  </si>
  <si>
    <t>O2120201003073722101</t>
  </si>
  <si>
    <t>O2120201003083899302</t>
  </si>
  <si>
    <t>O2120201003083899303</t>
  </si>
  <si>
    <t>O2120201004024291231</t>
  </si>
  <si>
    <t>O2120201004024299</t>
  </si>
  <si>
    <t>O21202020070373122</t>
  </si>
  <si>
    <t>O21202020070373230</t>
  </si>
  <si>
    <t>O21202020080585330</t>
  </si>
  <si>
    <t>VALOR DISPONIBLE</t>
  </si>
  <si>
    <t>TOTAL DESPUES DE PAGO</t>
  </si>
  <si>
    <t>RUBRO</t>
  </si>
  <si>
    <t>Azucar refinada (174- 176)</t>
  </si>
  <si>
    <t>Café molido (170,173)</t>
  </si>
  <si>
    <t>Té elaborado</t>
  </si>
  <si>
    <t>Productos aromáticos diversos (192, 195)</t>
  </si>
  <si>
    <t>Agua purificada (envasada) (204,205)</t>
  </si>
  <si>
    <t>Filtros de material textil, para usos técnicos e industriales (103, 104, 105, 106, 108, 109, 162)</t>
  </si>
  <si>
    <t>Paños absorbentes desechables para uso doméstico (74,213)</t>
  </si>
  <si>
    <t>Filtros de algodón (66, 71, 72, 73, 98,161, 208, 209, 210, 211)</t>
  </si>
  <si>
    <t>Guantes de fibras artificiales y sintéticas</t>
  </si>
  <si>
    <t>Aplicadores, bajalenguas y otros para usos higiénicos, de madera (135, 159)</t>
  </si>
  <si>
    <t>Papel del tipo utilizado para papel higiénico (137, 139)</t>
  </si>
  <si>
    <t>Papel para servilletas, toallas y similares (160)</t>
  </si>
  <si>
    <t>Pañuelos de papel (154)</t>
  </si>
  <si>
    <t>Toallas de papel (151, 152)</t>
  </si>
  <si>
    <t>Vasos de papel o cartón (155, 156, 157)</t>
  </si>
  <si>
    <t>Solventes para insecticida (64, 65)</t>
  </si>
  <si>
    <t>Varsol-disolvente núm. 4 (57; 251)</t>
  </si>
  <si>
    <t>Alcoholes n.c.p.</t>
  </si>
  <si>
    <t>Hipoclorito de sodio (32)</t>
  </si>
  <si>
    <t>Desinfectantes (28, 38)</t>
  </si>
  <si>
    <t>Jabones en pasta para lavar (5, 8)</t>
  </si>
  <si>
    <t>Jabones líquidos para lavar (3, 41)</t>
  </si>
  <si>
    <t>Jabones industriales (11)</t>
  </si>
  <si>
    <t>Jabones de tocador (13)</t>
  </si>
  <si>
    <t>Detergentes en polvo (9)</t>
  </si>
  <si>
    <t>Preparaciones para limpieza y desengrase (21, 44, 59)</t>
  </si>
  <si>
    <t>Preparaciones para limpiar vidrios (29)</t>
  </si>
  <si>
    <t>Purificadores líquidos de ambiente (62, 63)</t>
  </si>
  <si>
    <t>Ceras para pisos (46)</t>
  </si>
  <si>
    <t>Productos químicos especiales para tratamiento de pisos (17, 20, 50, 51, 52, 54)</t>
  </si>
  <si>
    <t>Bolsas de material plástico sin impresión (110, 118, 119, 120, 122, 123,124, 126, 127, 129, 131, 132, 134)</t>
  </si>
  <si>
    <t>Recipientes de material plástico-canecas para la basura (260, 291)</t>
  </si>
  <si>
    <t>Recogedores plásticos de basura (215, 216, 218)</t>
  </si>
  <si>
    <t>Envases n.c.p. de vidrio (169)</t>
  </si>
  <si>
    <t>Vasos y jarros de vidrio</t>
  </si>
  <si>
    <t>Vajillas de loza-pedernal</t>
  </si>
  <si>
    <t>Escobas (86, 87, 88, 89)</t>
  </si>
  <si>
    <t>Cepillos para lavar o fregar (94, 95, 102, 164,207,212, 255, 257)</t>
  </si>
  <si>
    <t>Esponjas y esponjillas metálicas (79, 80, 81, 82, 83)</t>
  </si>
  <si>
    <t>Mangos metálicos (91, 92, 100)</t>
  </si>
  <si>
    <t>Servicios de arrendamiento o de alquiler de maquinaria y equipo de construcción sin operario</t>
  </si>
  <si>
    <t>Servicios de arrendamiento sin opción de compra de muebles y otros aparatos domésticos</t>
  </si>
  <si>
    <t>Servicios de limpieza general</t>
  </si>
  <si>
    <t>Maquinaria e insumos</t>
  </si>
  <si>
    <t>Recipientes de material plástico-canecas para la basura</t>
  </si>
  <si>
    <t>Recogedores plásticos de basura</t>
  </si>
  <si>
    <t>INSUMOS DISCRIMINADOS</t>
  </si>
  <si>
    <t>Balde (Arrendamiento)</t>
  </si>
  <si>
    <t>Terno para café  (Arrendamiento)</t>
  </si>
  <si>
    <t>Bandeja 1 (Arrendamiento)</t>
  </si>
  <si>
    <t>Bandeja 2 (Arrendamiento)</t>
  </si>
  <si>
    <t>Olleta (Arrendamiento)</t>
  </si>
  <si>
    <t>Carro exprimidor de trapero 2 (Arrendamiento)</t>
  </si>
  <si>
    <t>Carro de bebidas (Arrendamiento)</t>
  </si>
  <si>
    <t>Escalera 2 (Arrendamiento)</t>
  </si>
  <si>
    <t>Escalera de tipo industrial (Arrendamiento)</t>
  </si>
  <si>
    <t>Mangueras 3 (Arrendamiento)</t>
  </si>
  <si>
    <t>Señales peatonales de prevención y atención 3 (Arrendamiento)</t>
  </si>
  <si>
    <t>Greca para tintos 3 (Arrendamiento)</t>
  </si>
  <si>
    <t>Horno microondas de tipo industrial (Arrendamiento)</t>
  </si>
  <si>
    <t>Estufa 1 (Arrendamiento)</t>
  </si>
  <si>
    <t>Extensión eléctrica 2 (Arrendamiento)</t>
  </si>
  <si>
    <t>Aspiradora 2 (Arrendamiento)</t>
  </si>
  <si>
    <t>Lavabrilladora de pisos 1 (Arrendamiento)</t>
  </si>
  <si>
    <t>Brilladora de alta revolución (Arrendamiento)</t>
  </si>
  <si>
    <t>Hidrolavadora Industrial (Arrendamiento)</t>
  </si>
  <si>
    <t>Sopladora de hojas (Arrendamiento)</t>
  </si>
  <si>
    <t>Cortadora de cesped  (Arrendamiento)</t>
  </si>
  <si>
    <t>Guadañas (Arrendamiento)</t>
  </si>
  <si>
    <t>TOTAL ARRENDAMIENTOS POR SEDE</t>
  </si>
  <si>
    <t>TOTAL ARRENDAMIENTOS POR SEDE 2026</t>
  </si>
  <si>
    <t xml:space="preserve">SEDE 2- DIRECCIÓN DISTRITAL DE ARCHIVO DE  BOGOTA </t>
  </si>
  <si>
    <t xml:space="preserve">SEDE 4 - SEDE ALTERNA RESTREPO </t>
  </si>
  <si>
    <t xml:space="preserve">SEDE 5 - SUPERCADE CAD CARRERA </t>
  </si>
  <si>
    <t xml:space="preserve">SEDE 6 - SUPERCADE AMERICAS </t>
  </si>
  <si>
    <t xml:space="preserve">SEDE 7 - SUPERCADE BOSA </t>
  </si>
  <si>
    <t xml:space="preserve">SEDE 8 - SUPERCADE CALLE 13 </t>
  </si>
  <si>
    <t xml:space="preserve">SEDE 9 - SUPERCADE 20 DE JULIO </t>
  </si>
  <si>
    <t xml:space="preserve">SEDE 10 - SUPERCADE MANITAS </t>
  </si>
  <si>
    <t xml:space="preserve">SEDE 11 - SUPERCADE SUBA </t>
  </si>
  <si>
    <t xml:space="preserve">SEDE 13 - CADE SERVITA </t>
  </si>
  <si>
    <t xml:space="preserve">SEDE 14 - CADE LA VICTORIA </t>
  </si>
  <si>
    <t xml:space="preserve">SEDE 15 - CADE LA GAITANA </t>
  </si>
  <si>
    <t xml:space="preserve">SEDE 16 - SUPERCADE ENGATIVA </t>
  </si>
  <si>
    <t xml:space="preserve">SEDE 17 - CADE LOS LUCEROS </t>
  </si>
  <si>
    <t xml:space="preserve">SEDE 18 - CENTRO DE MEMORIA, PAZ Y RECONCILIACIÓN </t>
  </si>
  <si>
    <t xml:space="preserve">SEDE 19 - CENTRO DE ENCUENTRO BOSA </t>
  </si>
  <si>
    <t xml:space="preserve">SEDE 20 - CENTRO DE ENCUENTRO CHAPINERO </t>
  </si>
  <si>
    <t xml:space="preserve">SEDE 21 - CENTRO DE ENCUENTRO CIUDAD BOLIVAR </t>
  </si>
  <si>
    <t xml:space="preserve">SEDE 22 - CENTRO DE ENCUENTRO KENNEDY PATIO BONITO </t>
  </si>
  <si>
    <t xml:space="preserve">SEDE 23 - CENTRO DE ENCUENTRO RAFAEL URIBE </t>
  </si>
  <si>
    <t xml:space="preserve">SEDE 24 - CENTRO DE ENCUENTRO SUBA </t>
  </si>
  <si>
    <t>SEDE 25 - SEDE YOMASA</t>
  </si>
  <si>
    <t xml:space="preserve">Nombre del Proveedor: </t>
  </si>
  <si>
    <t>ZV SERVIASEAMOS UNION TEMPORAL</t>
  </si>
  <si>
    <t>Valor Dia</t>
  </si>
  <si>
    <t>Nuevo precio cláusula 8</t>
  </si>
  <si>
    <t>Valor Mensual / Valor X Unidad</t>
  </si>
  <si>
    <t>Recargo por Trabajo nocturno, extra, dominical y festivo</t>
  </si>
  <si>
    <t>Recargo por dotación especial</t>
  </si>
  <si>
    <t>Valor Total</t>
  </si>
  <si>
    <t>Operario de aseo y cafetería</t>
  </si>
  <si>
    <t>Operario de mantenimiento</t>
  </si>
  <si>
    <t>Jardinero</t>
  </si>
  <si>
    <t>Coordinador de tiempo completo</t>
  </si>
  <si>
    <t>TOTAL PERSONAL</t>
  </si>
  <si>
    <t xml:space="preserve"> </t>
  </si>
  <si>
    <t>SEDE 1</t>
  </si>
  <si>
    <t>SEDE 2</t>
  </si>
  <si>
    <t>SEDE 3</t>
  </si>
  <si>
    <t>SEDE 4</t>
  </si>
  <si>
    <t>SEDE 5</t>
  </si>
  <si>
    <t>SEDE 6</t>
  </si>
  <si>
    <t>SEDE 7</t>
  </si>
  <si>
    <t>SEDE 8</t>
  </si>
  <si>
    <t>SEDE 9</t>
  </si>
  <si>
    <t>SEDE 10</t>
  </si>
  <si>
    <t>SEDE 11</t>
  </si>
  <si>
    <t>SEDE 12</t>
  </si>
  <si>
    <t>SEDE 13</t>
  </si>
  <si>
    <t>SEDE 14</t>
  </si>
  <si>
    <t>SEDE 15</t>
  </si>
  <si>
    <t>SEDE 16</t>
  </si>
  <si>
    <t>SEDE 17</t>
  </si>
  <si>
    <t>SEDE 18</t>
  </si>
  <si>
    <t>SEDE 19</t>
  </si>
  <si>
    <t>SEDE 20</t>
  </si>
  <si>
    <t>SEDE 21</t>
  </si>
  <si>
    <t>SEDE 22</t>
  </si>
  <si>
    <t>SEDE 23</t>
  </si>
  <si>
    <t>SEDE 24</t>
  </si>
  <si>
    <t>SEDE 25</t>
  </si>
  <si>
    <t xml:space="preserve">VALOR OPERARIOS ASEO Y CAFETERIA TIEMPO COMPLETO </t>
  </si>
  <si>
    <t>Regional/Sede</t>
  </si>
  <si>
    <t>Dias Trab.</t>
  </si>
  <si>
    <t>Cantidad Op</t>
  </si>
  <si>
    <t>Total Dias</t>
  </si>
  <si>
    <t>TOTAL OPERARIOS TIEMPO COMPLETO</t>
  </si>
  <si>
    <t>VALOR OPERARIOS MANTENIMIENTO TIEMPO COMPLETO</t>
  </si>
  <si>
    <t>VALOR OPERARIOS JARDINERIA TIEMPO COMPLETO</t>
  </si>
  <si>
    <t>VALOR COORDINADOR TIEMPO COMPLETO</t>
  </si>
  <si>
    <t>Total Horas</t>
  </si>
  <si>
    <t>ABRIL</t>
  </si>
  <si>
    <t>CONTROL Y ASISTENCIA DE PERSONAL</t>
  </si>
  <si>
    <t>DOCUMENTO</t>
  </si>
  <si>
    <t>NOMBRE Y APELLIDO</t>
  </si>
  <si>
    <t>SUPERVISORA</t>
  </si>
  <si>
    <t>CARGO</t>
  </si>
  <si>
    <t>TELEFONO</t>
  </si>
  <si>
    <t>FECHA INGRESO</t>
  </si>
  <si>
    <t>AUS</t>
  </si>
  <si>
    <t>PNR</t>
  </si>
  <si>
    <t>D</t>
  </si>
  <si>
    <t>INC</t>
  </si>
  <si>
    <t>S</t>
  </si>
  <si>
    <t>LNR</t>
  </si>
  <si>
    <t>VAC</t>
  </si>
  <si>
    <t>CD</t>
  </si>
  <si>
    <t>REN</t>
  </si>
  <si>
    <t>TC</t>
  </si>
  <si>
    <t>LT</t>
  </si>
  <si>
    <t>TS</t>
  </si>
  <si>
    <t>OK</t>
  </si>
  <si>
    <t>TOTAL LABORADO</t>
  </si>
  <si>
    <t>AUSENCIAS</t>
  </si>
  <si>
    <t>PERMISO NO REMUNERADO</t>
  </si>
  <si>
    <t xml:space="preserve">DESCANSO </t>
  </si>
  <si>
    <t>INCAPACIDAD</t>
  </si>
  <si>
    <t>SUSPENSION</t>
  </si>
  <si>
    <t>LICENCIA NO REMUNERADA</t>
  </si>
  <si>
    <t>VACACIONES</t>
  </si>
  <si>
    <t>CALAMIDAS DOMESTICA</t>
  </si>
  <si>
    <t>RENUNCIA</t>
  </si>
  <si>
    <t>TERMINACION CONTRATO</t>
  </si>
  <si>
    <t>LICENCIA DE LUTO</t>
  </si>
  <si>
    <t>TRASLADO</t>
  </si>
  <si>
    <t>LABORÓ</t>
  </si>
  <si>
    <t xml:space="preserve">JUAN ALEJANDRO FAGUA ROMERO </t>
  </si>
  <si>
    <t>REPETIDOS</t>
  </si>
  <si>
    <r>
      <rPr>
        <sz val="11"/>
        <color rgb="FF000000"/>
        <rFont val="Calibri"/>
        <family val="2"/>
      </rPr>
      <t>SUPERNUMERARIA</t>
    </r>
  </si>
  <si>
    <t>YEIMI MORENO</t>
  </si>
  <si>
    <t>UNIDAD ADMINISTRATIVA ESPECIAL DE LA JUSTICIA PENAL MILITAR Y POLICIAL</t>
  </si>
  <si>
    <t>DIRECCION SECCIONAL DE ADMINISTRACION JUDICIAL DE CUNDINAMARCA -AMAZONA</t>
  </si>
  <si>
    <t>SEDE 17 - CADE LUCEROS</t>
  </si>
  <si>
    <t>SEDE 20 - CENTRO DE ENCUENTRO CIUDAD BOLIVAR</t>
  </si>
  <si>
    <t>SEDE 26 - CADE PATIO BONITO</t>
  </si>
  <si>
    <t xml:space="preserve">TODAS LAS SEDES (SUPERNUMERARIA) </t>
  </si>
  <si>
    <t>EDNA BERNAL</t>
  </si>
  <si>
    <t>escuela de guerra</t>
  </si>
  <si>
    <t>OPERARIO DE ASEO Y CAFETERIA</t>
  </si>
  <si>
    <t>SUPERNUMERARIA ASEO Y CAFETERIA</t>
  </si>
  <si>
    <t xml:space="preserve">RODRIGO VELOZA GALINDO </t>
  </si>
  <si>
    <t>18/10/2025</t>
  </si>
  <si>
    <t>3151006455</t>
  </si>
  <si>
    <t>01/12/2025</t>
  </si>
  <si>
    <t>21/10/2025</t>
  </si>
  <si>
    <t>3118538436</t>
  </si>
  <si>
    <t>23/10/2025</t>
  </si>
  <si>
    <t>06/01/2026</t>
  </si>
  <si>
    <t>12/12/2025</t>
  </si>
  <si>
    <t>3187091610</t>
  </si>
  <si>
    <t>04/12/2025</t>
  </si>
  <si>
    <t>02/02/2026</t>
  </si>
  <si>
    <t>3008787026</t>
  </si>
  <si>
    <t>Total empleados</t>
  </si>
  <si>
    <t>Dias Mensuales</t>
  </si>
  <si>
    <t>Dias totales</t>
  </si>
  <si>
    <t>Empleados</t>
  </si>
  <si>
    <t>Renuncias</t>
  </si>
  <si>
    <t>Licencia Luto</t>
  </si>
  <si>
    <t>Calamidad</t>
  </si>
  <si>
    <t>Inc</t>
  </si>
  <si>
    <t>Ausencias</t>
  </si>
  <si>
    <t>Supernumerarias</t>
  </si>
  <si>
    <t>CODIGO</t>
  </si>
  <si>
    <t>CANTIDAD ORDEN</t>
  </si>
  <si>
    <t>DIFERENCIA PEDIDO</t>
  </si>
  <si>
    <t>VALOR UNIT</t>
  </si>
  <si>
    <t>DIFERENCIA CANTIDAD</t>
  </si>
  <si>
    <t>CANTIDAD MAX PRECIO ACUERDO</t>
  </si>
  <si>
    <t>COSTO UNITARIO PRECIO ACUERDO</t>
  </si>
  <si>
    <t>COSTO TOTAL PRECIO ACUERDO</t>
  </si>
  <si>
    <t>CANTIDAD A PRECIO FULL</t>
  </si>
  <si>
    <t>COSTO UNITARIO PRECIO FULL</t>
  </si>
  <si>
    <t>COSTO TOTAL PRECIO FULL</t>
  </si>
  <si>
    <t>COSTO TOTAL</t>
  </si>
  <si>
    <t>C</t>
  </si>
  <si>
    <t>V</t>
  </si>
  <si>
    <t>F</t>
  </si>
  <si>
    <t>Brillador 1 (Compra)</t>
  </si>
  <si>
    <t>Brillador 2 (Compra)</t>
  </si>
  <si>
    <t>Repuestos brillador 1 (Compra)</t>
  </si>
  <si>
    <t>Repuestos brillador 2 (Compra)</t>
  </si>
  <si>
    <t>Plumero o limpia polvo (Compra)</t>
  </si>
  <si>
    <t>Rastrillo 2 (Compra)</t>
  </si>
  <si>
    <t>Recogedor de basura 1 (Compra)</t>
  </si>
  <si>
    <t>Haraganes 2  (Compra)</t>
  </si>
  <si>
    <t>Haraganes 4  (Compra)</t>
  </si>
  <si>
    <t>Balde (Compra)</t>
  </si>
  <si>
    <t>Soporte para Botellón de agua (Compra)</t>
  </si>
  <si>
    <t xml:space="preserve">Especificación </t>
  </si>
  <si>
    <t xml:space="preserve">Presentación </t>
  </si>
  <si>
    <t>DIFERENCIA</t>
  </si>
  <si>
    <t>PRECIO FULL 2026</t>
  </si>
  <si>
    <t>TOTAL PRECIO TECHO</t>
  </si>
  <si>
    <t>PRECIO TECHO 10%</t>
  </si>
  <si>
    <t>TOTAL FACTURACION INSUMOS ADICIONALES 10%</t>
  </si>
  <si>
    <t>CANTIDAD A PRECIO CON DESCUENTO</t>
  </si>
  <si>
    <t>PRECIO CON DESCUENTO</t>
  </si>
  <si>
    <t>TOTAL FACTURACION INSUMOS OC</t>
  </si>
  <si>
    <t>TOTAL FACTURA INSUMOS MES ENERO</t>
  </si>
  <si>
    <t>- Todo tipo de uso
- Biodegradable
- No debe contener PVC o Poliestireno expandido u otros plásticos de un solo uso tanto en el envase como en el embalaje.
- Debe contener concentraciones de fósforo iguales o inferiores a 0.65% de fósforo (Resolución 0689 de 2016)</t>
  </si>
  <si>
    <t>-Con agente(s) tensoactivo(s) pincipal(es) con efecto limpiador, pulidor y desengrasante
- Con agente activo mínimo del 5%
- Debe contener concentraciones de fósforo iguales o inferiores a 0.65% de fósforo (Resolución 0689 de 2016)</t>
  </si>
  <si>
    <t>Líquido, en bolsa  con capacidad mínima de 800 ml</t>
  </si>
  <si>
    <t xml:space="preserve"> - Con agente(s) tensoactivo(s) principal(es) con efecto limpiador y desengrasante en una concentración mínima del 10%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Debe contener concentraciones de fósforo iguales o inferiores a 0.65% de fósforo (Resolución 0689 de 2016)</t>
  </si>
  <si>
    <t>- Con agente(s) principal(es) con efecto limpiador en una concentración mínima del 8%
 - El envase debe estar  correctamente etiquetado: nombre comercial del producto, pictogramas de los compuestos peligrosos e instrucciones de uso</t>
  </si>
  <si>
    <t>- Polimérica autobrillante.
- Con polímeros acrílicos, nivelantes y plastificantes.
- Neutra (para pisos de todos los colores)
- Contenido mínimo de sólidos del 10%</t>
  </si>
  <si>
    <t>- Polimérico autobrillante.
- Con polímeros acrílicos, nivelantes y plastificantes.
- Contenido mínimo de sólidos del 8%</t>
  </si>
  <si>
    <t>Líquido, en recipiente
plástico con capacidad mínima de 3.785 ml</t>
  </si>
  <si>
    <t xml:space="preserve"> - Jabón multiusos
 - PH Neutro, 
 - No corrosivo ni tóxico
- Debe contener concentraciones de fósforo iguales o inferiores a 0.65% de fósforo (Resolución 0689 de 2016)</t>
  </si>
  <si>
    <t xml:space="preserve">- Cerdas suaves elaboradas con PET calibre entre 0,3 y 0,4 mm.
- Área de barrido mínima de 25 cm de largo por 8 cm de ancho por 10 cm de alto
- Material de base en plástico con acople tipo rosca
</t>
  </si>
  <si>
    <t xml:space="preserve">- Cerdas duras elaboradas con PET calibre entre 0,4 y 0,6 mm.
- Área de barrido mínima de 25 cm de largo por 8 cm de ancho por 10 cm de alto
- Material de base en plástico con acople tipo rosca
</t>
  </si>
  <si>
    <t xml:space="preserve">- Cerdas duras elaboradas con PET calibre entre 0,4 y 0,6 mm.
- Área de barrido mínima de 35 cm de largo por 8 cm de ancho por 10 cm de alto
- Material de base en plástico con acople tipo rosca
</t>
  </si>
  <si>
    <t>- Para pisos
- Cuerpo elaborado en plástico
- Cerdas duras en fibra plástica
- Tamaño mínimo de 35 cm de largo por 6 cm de ancho por 7 cm de alto.
- Mango metálico con una extensión mínima de
140 cm</t>
  </si>
  <si>
    <t>- Para brillo
- Diámetro mínimo de 16 pulgadas
- Rojo o blanco</t>
  </si>
  <si>
    <t>- Para remoción
- Diámetro mínimo de 16 pulgadas
- Café o negro</t>
  </si>
  <si>
    <t>- Para brillo
- Diámetro mínimo de 20 pulgadas
- Rojo o blanco</t>
  </si>
  <si>
    <t>- Para remoción
- Diámetro mínimo de 20 pulgadas
- Café o negro</t>
  </si>
  <si>
    <t>- Diámetro mínimo de 16 pulgadas
- Elaborado en hilaza de algodón</t>
  </si>
  <si>
    <t>- Diámetro mínimo de 20 pulgadas
- Elaborado en hilaza de algodón</t>
  </si>
  <si>
    <t>- Tipo doméstico
- Elaborados en látex
- Calibre mínimo de 18
- Tallas 7 a 9 o S a XL
- Color amarillo</t>
  </si>
  <si>
    <t>Par</t>
  </si>
  <si>
    <t>- Tipo doméstico
- Elaborados en látex
- Calibre mínimo de 18
- Tallas 7 a 9 o S a XL
- Color negro</t>
  </si>
  <si>
    <t>- Tipo doméstico
- Elaborados en látex
- Calibre mínimo de 25
- Tallas 7 a 9 o S a XL
- Color rojo</t>
  </si>
  <si>
    <t>- Elaborados en látex desechable (tipo cirugía)
- Empovaldos
- Tallas XS a XXL</t>
  </si>
  <si>
    <t>Caja de mínimo 100 unidades</t>
  </si>
  <si>
    <t>- Elaborados en carnaza
- Tallas 7 a 9 o S a XL</t>
  </si>
  <si>
    <t>- Elaborados en hilaza
- Tallas 7 a 9 o S a XL</t>
  </si>
  <si>
    <t>- Elaborado en tela no tejida
- Desechable
- Con tiras elásticas</t>
  </si>
  <si>
    <t>Caja de mínimo 50 unidades</t>
  </si>
  <si>
    <t>- Toallas con precorte
- Rollo con longitud mínima de 100 metros
- Doble hoja con tamaño mínimo de 15 cms de ancho
- Color Blanco
- Sin fragancia</t>
  </si>
  <si>
    <t>- Doble hoja
- Color blanco</t>
  </si>
  <si>
    <t>- Elaborada en tela
- Para greca
- Capacidad de media libra
- No debe contener PVC o Poliestireno expandido u otros plásticos de un solo uso tanto en el envase como en el embalaje</t>
  </si>
  <si>
    <t>- No láctea
- Debe cumplir con Resolución 333 de 2011 sobre rotulado y etiquetado nutricional y las normas que la modifiquen</t>
  </si>
  <si>
    <t>Bolsas de mínimo 100 sobres de mínimo 4 g</t>
  </si>
  <si>
    <t>- Mopa elaborada en algodón
- Área de barrido mínima de 90 cm de largo por 16cm de ancho
- Armazón y mango metálico</t>
  </si>
  <si>
    <t>- Mopa elaborada en algodón
- Área de barrido mínima de 60 cm de largo por 16cm de ancho
- Armazón y mango metálico</t>
  </si>
  <si>
    <t>- Mopa elaborada en algodón
- Área de barrido mínima de 90 cm de largo por 16 cm de ancho</t>
  </si>
  <si>
    <t>- Mopa elaborada en algodón
- Área de barrido mínima de 60 cm de largo por 16 cm de ancho</t>
  </si>
  <si>
    <t>- Fibras sintéticas
- Mango de plástico
- Largo total mínimo de 65 cm
- Electrostático</t>
  </si>
  <si>
    <t>- Barra dentada metálica con mínimo 18 dientes
- Mango metálico plastificado con longitud mínima de 120 cm</t>
  </si>
  <si>
    <t>- Elaborado en plástico
- Con banda de goma y dientas barrescobas
- Mango con longitud mínima de 70 cm</t>
  </si>
  <si>
    <t>- Para limpiar vidrios
- Con banda de goma con longitud mínima de 50 cm.
- Mango metálico extensible con longitud mínima
de 60 cm y máxima de 150 cm</t>
  </si>
  <si>
    <t>- Para escurrir pisos
-Con banda de goma con longitud mínima de 50 cm.
- Mango metálico extensible con longitud mínima
de 60 cm y máxima de 150 cm</t>
  </si>
  <si>
    <t xml:space="preserve">- Capacidad mínima de 10 litros
- Con manija móvil
- Con "pico" antiderrames
- Disponibles en diferentes colores
- Elaborado en material reciclable
- Marcado de acuerdo con la norma ISO 11469 y ISO 1043. </t>
  </si>
  <si>
    <t xml:space="preserve"> - Metálico
- Plegable</t>
  </si>
  <si>
    <t>PEDIDO ABRIL</t>
  </si>
  <si>
    <t>Tc</t>
  </si>
  <si>
    <t>Descripcion</t>
  </si>
  <si>
    <t>NOMINA</t>
  </si>
  <si>
    <t>MAQUNARIA</t>
  </si>
  <si>
    <t>FACTURA</t>
  </si>
  <si>
    <t>VALOR UNITARIO FULL</t>
  </si>
  <si>
    <t>VALOR UNITARIO NEGOCIACION</t>
  </si>
  <si>
    <t xml:space="preserve">SEDE 25 - CENTRO DE ENCUENTRO - CADE YOMASA </t>
  </si>
  <si>
    <t xml:space="preserve">COSTO UNITARIO </t>
  </si>
  <si>
    <t>TOTA</t>
  </si>
  <si>
    <t>Supernumeraria Aseo Y Cafeteria</t>
  </si>
  <si>
    <t>REPETIDO</t>
  </si>
  <si>
    <t xml:space="preserve">SEDE  -  CADE MUZÚ </t>
  </si>
  <si>
    <t xml:space="preserve">PARRA ESPITIA ANGELICA </t>
  </si>
  <si>
    <t>RUIZ PENA DIEGO ARMANDO</t>
  </si>
  <si>
    <t>3054585093</t>
  </si>
  <si>
    <t>06/04/2026</t>
  </si>
  <si>
    <t>SEDE - CADE KENEDDY</t>
  </si>
  <si>
    <t>MALAVE HERNANDEZ DIANA VALENTINA</t>
  </si>
  <si>
    <t>ALVARADO RAMIREZ WHITNEY GIANNINA</t>
  </si>
  <si>
    <t>3014499286</t>
  </si>
  <si>
    <t xml:space="preserve">CADE SANTA HELENITA </t>
  </si>
  <si>
    <t>25/03/2026</t>
  </si>
  <si>
    <t>HERNANDEZ  CINDY LORENA</t>
  </si>
  <si>
    <t>VILLANUEVA VALENCIA JOSE DANIEL</t>
  </si>
  <si>
    <t>3123017813</t>
  </si>
  <si>
    <t>SUAREZ GARCIA JUAN PABLO</t>
  </si>
  <si>
    <t>3208179264</t>
  </si>
  <si>
    <t>HERNANDEZ VERGARA MARILIN DEL VALLE</t>
  </si>
  <si>
    <t xml:space="preserve">BARRERA  INGRI </t>
  </si>
  <si>
    <t>3108832491</t>
  </si>
  <si>
    <t>TOTAL AUSENCIAS</t>
  </si>
  <si>
    <t>TOTAL SUPERNUMERARIAS</t>
  </si>
  <si>
    <t>TOTAL NOMINA</t>
  </si>
  <si>
    <t>Total Nomina</t>
  </si>
  <si>
    <t>Total Orden</t>
  </si>
  <si>
    <t>COMPRAS</t>
  </si>
  <si>
    <t>ESCALERA 2 PASOS</t>
  </si>
  <si>
    <t>ESCALERA 5 PASOS</t>
  </si>
  <si>
    <t>BOMBA ASPERSION</t>
  </si>
  <si>
    <t>VALOR UNITARIO</t>
  </si>
  <si>
    <t>RUDA GONZALEZ YADIRA MILAGROS</t>
  </si>
  <si>
    <t>3223827570</t>
  </si>
  <si>
    <t xml:space="preserve">MARTINEZ ROMERO MIRIAM </t>
  </si>
  <si>
    <t>3103180180</t>
  </si>
  <si>
    <t>22/10/2025</t>
  </si>
  <si>
    <t>RODRIGUEZ DELGADO DIEGO ALEXANDER</t>
  </si>
  <si>
    <t>3138079922</t>
  </si>
  <si>
    <t xml:space="preserve">LOZANO MANRIQUE JAYDI </t>
  </si>
  <si>
    <t>3118958109</t>
  </si>
  <si>
    <t>OROZCO MEDINA MARTHA ROCIO</t>
  </si>
  <si>
    <t>3208313300</t>
  </si>
  <si>
    <t>TRIANA MANCILLA ANA EGRID</t>
  </si>
  <si>
    <t>3107991322</t>
  </si>
  <si>
    <t>GIRALDO LOPEZ LUZ ESTELLA</t>
  </si>
  <si>
    <t>3244809972</t>
  </si>
  <si>
    <t>GUAYARA MOSCOSO MARIS MELDA</t>
  </si>
  <si>
    <t>3208232057</t>
  </si>
  <si>
    <t>GONZALEZ GUTIERREZ MICHAEL STIVEN</t>
  </si>
  <si>
    <t>3204873500</t>
  </si>
  <si>
    <t>ALBORNOZ MINA MARIA ELVIA</t>
  </si>
  <si>
    <t>3232930382</t>
  </si>
  <si>
    <t>DIAZ HERNANDEZ ANGIE PAOLA</t>
  </si>
  <si>
    <t>3125503477</t>
  </si>
  <si>
    <t xml:space="preserve">GIL RANGEL WILSON </t>
  </si>
  <si>
    <t>3133500092</t>
  </si>
  <si>
    <t xml:space="preserve">PALACIOS SEVILLA SIRLEY </t>
  </si>
  <si>
    <t>3023858780</t>
  </si>
  <si>
    <t>23/04/2026</t>
  </si>
  <si>
    <t>PINZON RIVERA OSCAR GIOVANNY</t>
  </si>
  <si>
    <t>3209777575</t>
  </si>
  <si>
    <t>25/05/2026</t>
  </si>
  <si>
    <t>QUINTERO  YENNY KATHERINE</t>
  </si>
  <si>
    <t>3138720037</t>
  </si>
  <si>
    <t>INSUMOS</t>
  </si>
  <si>
    <t>cod</t>
  </si>
  <si>
    <t>nom</t>
  </si>
  <si>
    <t>Direccion</t>
  </si>
  <si>
    <t>Seede</t>
  </si>
  <si>
    <t>Nombre</t>
  </si>
  <si>
    <t>Valor Unitario</t>
  </si>
  <si>
    <t>Febrero</t>
  </si>
  <si>
    <t>Marzo</t>
  </si>
  <si>
    <t>Abril</t>
  </si>
  <si>
    <t>Mayo</t>
  </si>
  <si>
    <t>Junio</t>
  </si>
  <si>
    <t>Gran Total</t>
  </si>
  <si>
    <t>TOTAL GENERAL</t>
  </si>
  <si>
    <t>RESUMEN GENERAL POR SEDE</t>
  </si>
  <si>
    <t>JULIO</t>
  </si>
  <si>
    <t>LILIANA - JOHANNA</t>
  </si>
  <si>
    <t>LUZ HELENA</t>
  </si>
  <si>
    <t>YEIMI  MORENO</t>
  </si>
  <si>
    <t>- Con agente limpiador en una concentración mínima del 6%.
- Con agente antibacterial en una concentración mínima del 0,2%
- Con agente humectante en una concentración mínima del 3%
- pH entre 5,5 a 7
- Disponible en mínimo (2) dos fragancias
- Debe contener concentraciones de fósforo iguales o inferiores a 0.65% de fósforo (Resolución 0689 de 2016)</t>
  </si>
  <si>
    <t xml:space="preserve">   </t>
  </si>
  <si>
    <t>PEDIDO JULIO</t>
  </si>
  <si>
    <t>mié</t>
  </si>
  <si>
    <t>jue</t>
  </si>
  <si>
    <t>vie</t>
  </si>
  <si>
    <t>sáb</t>
  </si>
  <si>
    <t>dom</t>
  </si>
  <si>
    <t>lun</t>
  </si>
  <si>
    <t>mar</t>
  </si>
  <si>
    <t xml:space="preserve">RAMIREZ NINO ANDREA </t>
  </si>
  <si>
    <t>3114415852</t>
  </si>
  <si>
    <t>GARZON LUGO EDWARD MIGUEL</t>
  </si>
  <si>
    <t>3219008529</t>
  </si>
  <si>
    <t xml:space="preserve">ALTURO FLORIAN JACQUELINE </t>
  </si>
  <si>
    <t>3114788014</t>
  </si>
  <si>
    <t>BAENA JIMENEZ GINA ISABEL</t>
  </si>
  <si>
    <t>3223120404</t>
  </si>
  <si>
    <t xml:space="preserve">MEDINA ANGEL GILBERTO </t>
  </si>
  <si>
    <t>3123921438</t>
  </si>
  <si>
    <t>JIMENEZ POLO ANA LUCIA</t>
  </si>
  <si>
    <t>3245191705</t>
  </si>
  <si>
    <t>ROMERO SERRANO JAIME LUIS</t>
  </si>
  <si>
    <t>3206857725</t>
  </si>
  <si>
    <t>CATUCHE PIAMBA LUZ MARINA</t>
  </si>
  <si>
    <t>3202450652</t>
  </si>
  <si>
    <t>AROCA AROCA ANA ELIZA</t>
  </si>
  <si>
    <t>3114512807</t>
  </si>
  <si>
    <t>MONTEJO  LINA MARIA</t>
  </si>
  <si>
    <t>3216148373</t>
  </si>
  <si>
    <t xml:space="preserve">LADINO ARDILA DAMARIS </t>
  </si>
  <si>
    <t>3102549778</t>
  </si>
  <si>
    <t>LOAIZA PERDOMO MARITZA FERNANDA</t>
  </si>
  <si>
    <t>3228994379</t>
  </si>
  <si>
    <t>LOPEZ DORIA PEDRO ANTONIO</t>
  </si>
  <si>
    <t>3154054819</t>
  </si>
  <si>
    <t>CRISTANCHO ZUNIGA SANDRA JINETH</t>
  </si>
  <si>
    <t>3115212734</t>
  </si>
  <si>
    <t>SOTO BARRIOS ANA MERCEDES</t>
  </si>
  <si>
    <t>3144022071</t>
  </si>
  <si>
    <t>TIQUE  MARIA NURY</t>
  </si>
  <si>
    <t>3228078172</t>
  </si>
  <si>
    <t>SARMIENTO CORREDOR DORA MARCELA</t>
  </si>
  <si>
    <t>3017347739</t>
  </si>
  <si>
    <t>OROZCO GUALDRON DARWIN ENRIQUE</t>
  </si>
  <si>
    <t>3045456809</t>
  </si>
  <si>
    <t xml:space="preserve">PUENTES CORREDOR DORA </t>
  </si>
  <si>
    <t>3125879804</t>
  </si>
  <si>
    <t>BARBOSA HERRERA DIANA MILENA</t>
  </si>
  <si>
    <t>3118706732</t>
  </si>
  <si>
    <t>MUNOZ QUINTERO GLORIA ESPERANZA</t>
  </si>
  <si>
    <t>3011868966</t>
  </si>
  <si>
    <t>ALARCON URA MINI JOHANA</t>
  </si>
  <si>
    <t>3194618677</t>
  </si>
  <si>
    <t>TORRES GIRALDO JAIRO HERNAN</t>
  </si>
  <si>
    <t>3017371363</t>
  </si>
  <si>
    <t>PLAZAS GARCIA MARIA CRISTINA</t>
  </si>
  <si>
    <t>3506428274</t>
  </si>
  <si>
    <t xml:space="preserve">REAL  ESPERANZA </t>
  </si>
  <si>
    <t>3107617116</t>
  </si>
  <si>
    <t>POLO DIAZ QUINTY JUNIOR</t>
  </si>
  <si>
    <t>3008025152</t>
  </si>
  <si>
    <t xml:space="preserve">TIBAQUIRA MARIA ISABEL </t>
  </si>
  <si>
    <t>3143112254</t>
  </si>
  <si>
    <t xml:space="preserve">CABANZO LUQUE NELLY </t>
  </si>
  <si>
    <t>3192897028</t>
  </si>
  <si>
    <t>RUIZ TRIVINO CAMILO ANDRES</t>
  </si>
  <si>
    <t>3025915374</t>
  </si>
  <si>
    <t>MELO PARRA EDITH JOHANNA</t>
  </si>
  <si>
    <t>3202280367</t>
  </si>
  <si>
    <t>REY PARDO YUDI JASBLEIDI</t>
  </si>
  <si>
    <t>3103251895</t>
  </si>
  <si>
    <t>RIVAS SOTO BRIGTIH VICTORIA</t>
  </si>
  <si>
    <t>3208455267</t>
  </si>
  <si>
    <t xml:space="preserve">ASPRILLA LONDONO ROSAURA </t>
  </si>
  <si>
    <t>3045479405</t>
  </si>
  <si>
    <t>HERNANDEZ GRANADOS ASLY TATIANA</t>
  </si>
  <si>
    <t>3219123660</t>
  </si>
  <si>
    <t>QUINTIN BAQUERO ELIDA KATERINE</t>
  </si>
  <si>
    <t>3144909914</t>
  </si>
  <si>
    <t>09/12/2025</t>
  </si>
  <si>
    <t>ECHEVERRI VARGAS ELSA YOLANDA</t>
  </si>
  <si>
    <t>3202003857</t>
  </si>
  <si>
    <t>CASTRO POSADA DORIS CAROLINA</t>
  </si>
  <si>
    <t>3138695545</t>
  </si>
  <si>
    <t xml:space="preserve">PARRADO LEYTON EDWIN </t>
  </si>
  <si>
    <t>3143288879</t>
  </si>
  <si>
    <t>02/01/2026</t>
  </si>
  <si>
    <t>MARIN SANCHEZ LINA CLEMENCIA</t>
  </si>
  <si>
    <t>3133094459</t>
  </si>
  <si>
    <t xml:space="preserve">PARRA RINCON GLORIA </t>
  </si>
  <si>
    <t>3208107667</t>
  </si>
  <si>
    <t>TORRES SOTO MARIA TERESA</t>
  </si>
  <si>
    <t>3003866003</t>
  </si>
  <si>
    <t>LOPEZ REINA YENNY ANDREA</t>
  </si>
  <si>
    <t>3102772175</t>
  </si>
  <si>
    <t>14/01/2026</t>
  </si>
  <si>
    <t>AMAYA DIAZ YURI LISETH</t>
  </si>
  <si>
    <t>3204487421</t>
  </si>
  <si>
    <t>07/07/2026</t>
  </si>
  <si>
    <t>ORTIZ MOJICA HEIDY YELENY</t>
  </si>
  <si>
    <t>3192455998</t>
  </si>
  <si>
    <t>BERNAL AVILA LUZ YEY</t>
  </si>
  <si>
    <t>3238979217</t>
  </si>
  <si>
    <t>PULIDO PULIDO HEIDY ANDREA</t>
  </si>
  <si>
    <t>3114769963</t>
  </si>
  <si>
    <t>VEGA MANFULA YEYSON YOTSUA</t>
  </si>
  <si>
    <t>3115389988</t>
  </si>
  <si>
    <t xml:space="preserve">GALEANO CARDOZO CLAUDIA </t>
  </si>
  <si>
    <t>3214522349</t>
  </si>
  <si>
    <t>10/04/2026</t>
  </si>
  <si>
    <t>RODRIGUEZ ZEA CINDY YAZMIN</t>
  </si>
  <si>
    <t>3206838202</t>
  </si>
  <si>
    <t>CANTE MELO NELLY FARID</t>
  </si>
  <si>
    <t>3242549695</t>
  </si>
  <si>
    <t xml:space="preserve">CITA MARTINEZ ORLANDO </t>
  </si>
  <si>
    <t>3214213047</t>
  </si>
  <si>
    <t>YANGUMA  NINI YOANA</t>
  </si>
  <si>
    <t>3213976040</t>
  </si>
  <si>
    <t>PAJARO PANIZZA MARIANA DEJESUS</t>
  </si>
  <si>
    <t>3223884422</t>
  </si>
  <si>
    <t>RUBIO HERRERA WILLIAM ALEJANDRO</t>
  </si>
  <si>
    <t>3222853281</t>
  </si>
  <si>
    <t>UMAÑA SANCHEZ JHON FREDDY</t>
  </si>
  <si>
    <t/>
  </si>
  <si>
    <t>SECTOR 50</t>
  </si>
  <si>
    <t>VILLARREAL ROYER JULIO ABEL</t>
  </si>
  <si>
    <t>3145730019</t>
  </si>
  <si>
    <t>DIAZ RIVERA LORENA PATRICIA</t>
  </si>
  <si>
    <t>3205662589</t>
  </si>
  <si>
    <t>ROMERO MEDINA NELLY LILIANA</t>
  </si>
  <si>
    <t>3167372238</t>
  </si>
  <si>
    <t>GUTIERREZ TARQUINO YORLEY CAMILO</t>
  </si>
  <si>
    <t>16/07/2026</t>
  </si>
  <si>
    <t xml:space="preserve">ZAMORA ZAMORA JOHANNA </t>
  </si>
  <si>
    <t>3507896880</t>
  </si>
  <si>
    <t>CAMACHO TORRES MARIA EDILIA</t>
  </si>
  <si>
    <t>3142957281</t>
  </si>
  <si>
    <t>ALARCON HERNANDEZ YENNY MARCELA</t>
  </si>
  <si>
    <t>3222575884</t>
  </si>
  <si>
    <t>MEDINA CASTRO PEDRO ANTONIO</t>
  </si>
  <si>
    <t>3114917055</t>
  </si>
  <si>
    <t>GACHA SANCHEZ NATALIA SILBINA</t>
  </si>
  <si>
    <t>3209552545</t>
  </si>
  <si>
    <t>ORTIZ RESTREPO NANCY JANET</t>
  </si>
  <si>
    <t>3112552620</t>
  </si>
  <si>
    <t>MARTINEZ VERANO LEYDY BRIYITH</t>
  </si>
  <si>
    <t>3209980970</t>
  </si>
  <si>
    <t>29/05/2026</t>
  </si>
  <si>
    <t>BERNAL MUNOZ DEISY JOHANNA</t>
  </si>
  <si>
    <t>3008721363</t>
  </si>
  <si>
    <t>23/09/2025</t>
  </si>
  <si>
    <t>POVEDA GONZALEZ MIGUEL ANGEL</t>
  </si>
  <si>
    <t>3219768700</t>
  </si>
  <si>
    <t>RODRIGUEZ MATEUS NASLY JULIETH</t>
  </si>
  <si>
    <t>3228841284</t>
  </si>
  <si>
    <t>ZAPATA CAMACHO NUBIA AMPARO</t>
  </si>
  <si>
    <t>3202892554</t>
  </si>
  <si>
    <t>RAMIREZ TORRES PAOLA ANDREA</t>
  </si>
  <si>
    <t>3132204307</t>
  </si>
  <si>
    <t>MATEUS PIRACOA MARTHA JANETH</t>
  </si>
  <si>
    <t>3193602960</t>
  </si>
  <si>
    <t>TRIVINO SUAREZ LURY HEYDE</t>
  </si>
  <si>
    <t>3112814259</t>
  </si>
  <si>
    <t>DELGADO GUEVARA NELLYS ALEJANDRA</t>
  </si>
  <si>
    <t>3243453295</t>
  </si>
  <si>
    <t>BERMUDEZ RANGEL RONALD DAVID</t>
  </si>
  <si>
    <t>3136802598</t>
  </si>
  <si>
    <t xml:space="preserve">YESQUEN SINISTERRA XIMENA </t>
  </si>
  <si>
    <t>3232931329</t>
  </si>
  <si>
    <t>AREVALO MEDINA MARIA GLADYS</t>
  </si>
  <si>
    <t>3174516626</t>
  </si>
  <si>
    <t xml:space="preserve">CELIS SANDRA VICTORIA </t>
  </si>
  <si>
    <t>3125313860</t>
  </si>
  <si>
    <t>GUZMAN RODRIGUEZ AINED LORENA</t>
  </si>
  <si>
    <t>3143404528</t>
  </si>
  <si>
    <t>TORO CAMARGO BLANCA AYDEE</t>
  </si>
  <si>
    <t>3224117250</t>
  </si>
  <si>
    <t>LEDESMA PERALTA YULISA PAOLA</t>
  </si>
  <si>
    <t>3146433570</t>
  </si>
  <si>
    <t>PANCHE SERNA ADRIANA MARIA</t>
  </si>
  <si>
    <t>3102373775</t>
  </si>
  <si>
    <t>ROZO TORRES JONATHAN ALEJANDRO</t>
  </si>
  <si>
    <t>3027415192</t>
  </si>
  <si>
    <t>NINO CONTRERAS CARLOS EDUARDO</t>
  </si>
  <si>
    <t>3108049421</t>
  </si>
  <si>
    <t>11/05/2026</t>
  </si>
  <si>
    <t>RAMIREZ ALZATE MONICA ALEXANDRA</t>
  </si>
  <si>
    <t>3005713443</t>
  </si>
  <si>
    <t>16/01/2026</t>
  </si>
  <si>
    <t>VALENCIA PERILLA KAREN JOHANA</t>
  </si>
  <si>
    <t>3219453295</t>
  </si>
  <si>
    <t>ROJAS RODRIGUEZ ADA LUCIA</t>
  </si>
  <si>
    <t>3138798248</t>
  </si>
  <si>
    <t>DAZA VARELA LINDA MARY</t>
  </si>
  <si>
    <t>3115141324</t>
  </si>
  <si>
    <t>TOVAR CONTRERAS HECTOR RICARDO</t>
  </si>
  <si>
    <t>3185879016</t>
  </si>
  <si>
    <t>PERALTA GUTIERREZ OSCAR HUMBERTO</t>
  </si>
  <si>
    <t>3196483500</t>
  </si>
  <si>
    <t>MANOTAS SERNA DAVID ENRIQUE</t>
  </si>
  <si>
    <t>3002072224</t>
  </si>
  <si>
    <t>AMARIS MARTINEZ MARYURIS TATIANA</t>
  </si>
  <si>
    <t>3008041039</t>
  </si>
  <si>
    <t>15/12/2025</t>
  </si>
  <si>
    <t>PENA TORRES NILSA MILENA</t>
  </si>
  <si>
    <t>31257833441</t>
  </si>
  <si>
    <t>FUQUENE CANON SANDRA YAMILE</t>
  </si>
  <si>
    <t>3222872318</t>
  </si>
  <si>
    <t>TORRES ANGEL JOSE MANUEL</t>
  </si>
  <si>
    <t>3143305278</t>
  </si>
  <si>
    <t>CASAS CASAS DORIS HELENA</t>
  </si>
  <si>
    <t>3202101872</t>
  </si>
  <si>
    <t xml:space="preserve">PULIDO GONZALEZ BERTULIO </t>
  </si>
  <si>
    <t>3124113303</t>
  </si>
  <si>
    <t xml:space="preserve">RUBIO SANCHEZ ALISON </t>
  </si>
  <si>
    <t>3018506304</t>
  </si>
  <si>
    <t>17/12/2025</t>
  </si>
  <si>
    <t>ARDILA PULIDO JEIMMY CAROLINA</t>
  </si>
  <si>
    <t>3123848118</t>
  </si>
  <si>
    <t>RODRIGUEZ REYES ELENA YOHANA</t>
  </si>
  <si>
    <t>3134818719</t>
  </si>
  <si>
    <t xml:space="preserve">GONZALEZ CHACON KARINA </t>
  </si>
  <si>
    <t>3137051086</t>
  </si>
  <si>
    <t>RINCON MALDONADO LUCENIT ISABEL</t>
  </si>
  <si>
    <t>3118629826</t>
  </si>
  <si>
    <t xml:space="preserve">MARTINEZ CICHACA JOSEFINA </t>
  </si>
  <si>
    <t>3112226086</t>
  </si>
  <si>
    <t>MONTIEL MENDEZ ANA MARIA</t>
  </si>
  <si>
    <t>3123627867</t>
  </si>
  <si>
    <t>24/03/2026</t>
  </si>
  <si>
    <t>CARDENAS SIERRA ANGELA VIVIANA</t>
  </si>
  <si>
    <t>3213794807</t>
  </si>
  <si>
    <t>SALGUERO VASCO ALISON DAYANA</t>
  </si>
  <si>
    <t>3102870395</t>
  </si>
  <si>
    <t>MURILLO ALFONSO LUZ ELENA</t>
  </si>
  <si>
    <t>3115750649</t>
  </si>
  <si>
    <t>05/12/2025</t>
  </si>
  <si>
    <t>AYALA HERMOSA YURANY ALEJANDRA</t>
  </si>
  <si>
    <t>3134753344</t>
  </si>
  <si>
    <t>LOPEZ SANCHEZ MARIA DEL PILAR</t>
  </si>
  <si>
    <t>3212444338</t>
  </si>
  <si>
    <t xml:space="preserve">ARAQUE SILVA MIRYAM </t>
  </si>
  <si>
    <t>3115155557</t>
  </si>
  <si>
    <t>CRUZ DIAZ KAREN DAYANA</t>
  </si>
  <si>
    <t>3146834455</t>
  </si>
  <si>
    <t>CASTILLO GONZALEZ JENIFER TATIANA</t>
  </si>
  <si>
    <t>3504640587</t>
  </si>
  <si>
    <t>12/02/2026</t>
  </si>
  <si>
    <t>MADRIGAL DIAZ LUIS ENRIQUE</t>
  </si>
  <si>
    <t>3248362025</t>
  </si>
  <si>
    <t>CARO VARGAS MARIA YOLANDA</t>
  </si>
  <si>
    <t>3123908254</t>
  </si>
  <si>
    <t>AVILA SALINAS CARLOS ALBERTO</t>
  </si>
  <si>
    <t>3246890914</t>
  </si>
  <si>
    <t>RAMOS BUITRAGO DORIS JANNETH</t>
  </si>
  <si>
    <t>3203253608</t>
  </si>
  <si>
    <t xml:space="preserve">SOTO PACHECO BRANDON </t>
  </si>
  <si>
    <t>3009886043</t>
  </si>
  <si>
    <t xml:space="preserve">MOSQUERA CORREA LEIDA </t>
  </si>
  <si>
    <t>3212184703</t>
  </si>
  <si>
    <t>10/07/2026</t>
  </si>
  <si>
    <t>TORRES GOMEZ SANDI YUSVELI</t>
  </si>
  <si>
    <t>3209567199</t>
  </si>
  <si>
    <t>CHAMORRO OSPINO EMILI PAOLA</t>
  </si>
  <si>
    <t>3013527159</t>
  </si>
  <si>
    <t xml:space="preserve">LARA TELLEZ YESID </t>
  </si>
  <si>
    <t>3042009163</t>
  </si>
  <si>
    <t xml:space="preserve">ROMERO SOTO YUDY </t>
  </si>
  <si>
    <t>3233719798</t>
  </si>
  <si>
    <t>14/07/2026</t>
  </si>
  <si>
    <t xml:space="preserve">HERNANDEZ LUNA MARIBEL </t>
  </si>
  <si>
    <t>3134219368</t>
  </si>
  <si>
    <t>AVILA DURAN BRAYAN STEVEN</t>
  </si>
  <si>
    <t>3229057219</t>
  </si>
  <si>
    <t>02/06/2026</t>
  </si>
  <si>
    <t>AREVALO  LUZ MIRELLA</t>
  </si>
  <si>
    <t>3134433828</t>
  </si>
  <si>
    <t xml:space="preserve">MARTINEZ ORTIZ VERONICA </t>
  </si>
  <si>
    <t>3043801757</t>
  </si>
  <si>
    <t>BELTRAN  ANGEL ANTONIO</t>
  </si>
  <si>
    <t>3124825793</t>
  </si>
  <si>
    <t>13/11/2025</t>
  </si>
  <si>
    <t xml:space="preserve">CUADROS VALDERRAMA FRANCEID </t>
  </si>
  <si>
    <t>3016896216</t>
  </si>
  <si>
    <t>ROJAS CAMACHO SONIA YEMILE</t>
  </si>
  <si>
    <t>3115585946</t>
  </si>
  <si>
    <t>GUERRERO RINCON ROSA MARIA</t>
  </si>
  <si>
    <t>3004534624</t>
  </si>
  <si>
    <t xml:space="preserve">CALDERON APONTE YANED </t>
  </si>
  <si>
    <t>3127020342</t>
  </si>
  <si>
    <t>BOTIA AVILA MARIA CONSUELO</t>
  </si>
  <si>
    <t>3197541624</t>
  </si>
  <si>
    <t>ALVAREZ ALVAREZ YENI MARITZA</t>
  </si>
  <si>
    <t>3124526294</t>
  </si>
  <si>
    <t>ABDO CORTES YANNA ZORAYA</t>
  </si>
  <si>
    <t>3136280582</t>
  </si>
  <si>
    <t>HERNANDEZ POLO LINDA MARCELA</t>
  </si>
  <si>
    <t>3143197463</t>
  </si>
  <si>
    <t>RIOS FRANCO HECTOR ALONSO</t>
  </si>
  <si>
    <t>3162682712</t>
  </si>
  <si>
    <t>10/12/2025</t>
  </si>
  <si>
    <t xml:space="preserve">MARTINEZ HERNANDEZ MARITZA </t>
  </si>
  <si>
    <t>3012369349</t>
  </si>
  <si>
    <t>BELTRAN BELTRAN OLGA PATRICIA</t>
  </si>
  <si>
    <t>3162337947</t>
  </si>
  <si>
    <t xml:space="preserve">RAMIREZ WILCHES FABIO </t>
  </si>
  <si>
    <t>3107679676</t>
  </si>
  <si>
    <t>18/11/2025</t>
  </si>
  <si>
    <t>CASTRO GUTIERREZ RUTH MARINELA</t>
  </si>
  <si>
    <t>3214480481</t>
  </si>
  <si>
    <t>CAMARGO HERNANDEZ LUISA FERNANDA</t>
  </si>
  <si>
    <t>3229227877</t>
  </si>
  <si>
    <t xml:space="preserve">SIERRA BOTERO JENNIFER </t>
  </si>
  <si>
    <t>3204997455</t>
  </si>
  <si>
    <t xml:space="preserve">LONDONO VILLEGAS EDILSON </t>
  </si>
  <si>
    <t>3144212888</t>
  </si>
  <si>
    <t>SUAREZ SANCHEZ JOSE PARMENIO</t>
  </si>
  <si>
    <t>3213585385</t>
  </si>
  <si>
    <t xml:space="preserve">RODRIGUEZ CASTILLO ELIZABETH </t>
  </si>
  <si>
    <t>3125181881</t>
  </si>
  <si>
    <t>26/03/2026</t>
  </si>
  <si>
    <t xml:space="preserve">BERNAL HOYOS EDNA </t>
  </si>
  <si>
    <t>3112290273</t>
  </si>
  <si>
    <t>MURCIA CHICUE CONSUELO MATILDE</t>
  </si>
  <si>
    <t>3229044250</t>
  </si>
  <si>
    <t>EPINAYU ARIAS MARIA JOSE</t>
  </si>
  <si>
    <t>3243657620</t>
  </si>
  <si>
    <t>05/11/2025</t>
  </si>
  <si>
    <t>PEREZ  SANDRA MARCELA</t>
  </si>
  <si>
    <t>3046515188</t>
  </si>
  <si>
    <t>BERMUDEZ MARTINEZ JENNY KIMBERLY</t>
  </si>
  <si>
    <t>3154173171</t>
  </si>
  <si>
    <t xml:space="preserve">JIMENEZ RIGOBERTO ANTONIO </t>
  </si>
  <si>
    <t>3150448123</t>
  </si>
  <si>
    <t xml:space="preserve">TORRES AREVALO SEBASTIAN </t>
  </si>
  <si>
    <t>3148873264</t>
  </si>
  <si>
    <t>PEDRAZA BENITEZ SANDRA MILENA</t>
  </si>
  <si>
    <t>3046415013</t>
  </si>
  <si>
    <t>SANCHEZ HERNANDEZ YEIMY PATRISIA</t>
  </si>
  <si>
    <t>3004027594</t>
  </si>
  <si>
    <t>GOMEZ SANCHEZ ANDERSON ALEXANDER</t>
  </si>
  <si>
    <t>3228909822</t>
  </si>
  <si>
    <t>GUERRERO CHISABA ADRIANA ROCIO</t>
  </si>
  <si>
    <t>3217036234</t>
  </si>
  <si>
    <t>ZABALA BERDUGO EMILCE ISABEL</t>
  </si>
  <si>
    <t>3118562202</t>
  </si>
  <si>
    <t>TORRES MONTES DIANA PAOLA</t>
  </si>
  <si>
    <t>3506655015</t>
  </si>
  <si>
    <t>25/02/2026</t>
  </si>
  <si>
    <t>PRIETO BELTRAN MARIA EDIMELSA</t>
  </si>
  <si>
    <t>3004466553</t>
  </si>
  <si>
    <t>MATIZ CANTOR ERIKA PAMELA</t>
  </si>
  <si>
    <t>3102935990</t>
  </si>
  <si>
    <t>19/01/2026</t>
  </si>
  <si>
    <t>TR</t>
  </si>
  <si>
    <t>GUARIN TORRES LILIANA PAOLA</t>
  </si>
  <si>
    <t>3187766237</t>
  </si>
  <si>
    <t>TAO ULTENGO CESAR MAURICIO</t>
  </si>
  <si>
    <t>3138228706</t>
  </si>
  <si>
    <t>CASTELLAR CHAVEZ YULIETH PAOLA</t>
  </si>
  <si>
    <t>3227517511</t>
  </si>
  <si>
    <t>15/07/2026</t>
  </si>
  <si>
    <t>BAQUERO ORTIZ LUISA FERNANDA</t>
  </si>
  <si>
    <t>3005075170</t>
  </si>
  <si>
    <t>CALDERON MEDRANO MARIA ALEJANDRA</t>
  </si>
  <si>
    <t>3234039310</t>
  </si>
  <si>
    <t>DUARTE FORERO ANA JULIA</t>
  </si>
  <si>
    <t>3193470687</t>
  </si>
  <si>
    <t>LOZANO OCHOA GLADYS STELLA</t>
  </si>
  <si>
    <t>3115077400</t>
  </si>
  <si>
    <t>PUERTO ROA ANGELICA MERCEDES</t>
  </si>
  <si>
    <t>3186439873</t>
  </si>
  <si>
    <t>JARAMILLO TOBON SIRLEY ADRIANA</t>
  </si>
  <si>
    <t>3125406945</t>
  </si>
  <si>
    <t>FLORIAN ZAMBRANO NILDA ROSA</t>
  </si>
  <si>
    <t>3122993319</t>
  </si>
  <si>
    <t xml:space="preserve">RUIZ VALERO CAROLINA </t>
  </si>
  <si>
    <t>3229490411</t>
  </si>
  <si>
    <t>MORENO MELO YEIMI CATALINA</t>
  </si>
  <si>
    <t>3133337120</t>
  </si>
  <si>
    <t>27/10/2025</t>
  </si>
  <si>
    <t>Pnr</t>
  </si>
  <si>
    <t>Julio</t>
  </si>
  <si>
    <t>Agosto</t>
  </si>
  <si>
    <t>Septiembre</t>
  </si>
  <si>
    <t>Octubre</t>
  </si>
  <si>
    <t>Noviembre</t>
  </si>
  <si>
    <t>Diciembre</t>
  </si>
  <si>
    <t>Total Sede</t>
  </si>
  <si>
    <t>IVA-AIU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</si>
</sst>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_-&quot;$&quot;\ * #,##0_-;\-&quot;$&quot;\ * #,##0_-;_-&quot;$&quot;\ * &quot;-&quot;??_-;_-@_-"/>
    <numFmt numFmtId="165" formatCode="#,##0.00_ ;\-#,##0.00\ "/>
    <numFmt numFmtId="166" formatCode="_-* #,##0_-;\-* #,##0_-;_-* &quot;-&quot;??_-;_-@_-"/>
    <numFmt numFmtId="167" formatCode="&quot;$&quot;#,##0.00"/>
    <numFmt numFmtId="169" formatCode="_ * #,##0_ ;_ * \-#,##0_ ;_ * &quot;-&quot;_ ;_ @_ "/>
    <numFmt numFmtId="170" formatCode="d"/>
    <numFmt numFmtId="171" formatCode="0.0"/>
  </numFmts>
  <fonts count="52">
    <font>
      <sz val="11"/>
      <color theme="1"/>
      <name val="Calibri"/>
      <family val="2"/>
      <scheme val="minor"/>
    </font>
    <font>
      <sz val="11"/>
      <color theme="1"/>
      <name val="Calibri"/>
      <family val="2"/>
      <scheme val="minor"/>
    </font>
    <font>
      <b/>
      <sz val="11"/>
      <color theme="1"/>
      <name val="Calibri"/>
      <family val="2"/>
      <scheme val="minor"/>
    </font>
    <font>
      <sz val="10"/>
      <color theme="1"/>
      <name val="Century Gothic"/>
      <family val="2"/>
    </font>
    <font>
      <b/>
      <sz val="9"/>
      <name val="Century Gothic"/>
      <family val="2"/>
    </font>
    <font>
      <b/>
      <sz val="10"/>
      <name val="Century Gothic"/>
      <family val="2"/>
    </font>
    <font>
      <b/>
      <sz val="10"/>
      <color theme="1"/>
      <name val="Century Gothic"/>
      <family val="2"/>
    </font>
    <font>
      <sz val="10"/>
      <color rgb="FF000000"/>
      <name val="Century Gothic"/>
      <family val="2"/>
    </font>
    <font>
      <sz val="10"/>
      <name val="Century Gothic"/>
      <family val="2"/>
    </font>
    <font>
      <b/>
      <sz val="11"/>
      <color theme="0"/>
      <name val="Century Gothic"/>
      <family val="2"/>
    </font>
    <font>
      <b/>
      <sz val="12"/>
      <color theme="0"/>
      <name val="Century Gothic"/>
      <family val="2"/>
    </font>
    <font>
      <b/>
      <sz val="10"/>
      <color theme="0"/>
      <name val="Century Gothic"/>
      <family val="2"/>
    </font>
    <font>
      <b/>
      <sz val="12"/>
      <color theme="1"/>
      <name val="Arial"/>
      <family val="2"/>
    </font>
    <font>
      <sz val="11"/>
      <color theme="1"/>
      <name val="Arial"/>
      <family val="2"/>
    </font>
    <font>
      <b/>
      <sz val="11"/>
      <color theme="0"/>
      <name val="Arial"/>
      <family val="2"/>
    </font>
    <font>
      <b/>
      <sz val="20"/>
      <color rgb="FF4E4D4D"/>
      <name val="Arial"/>
      <family val="2"/>
    </font>
    <font>
      <b/>
      <sz val="8"/>
      <name val="Arial"/>
      <family val="2"/>
    </font>
    <font>
      <b/>
      <sz val="8"/>
      <color theme="0" tint="-4.9989318521683403E-2"/>
      <name val="Arial"/>
      <family val="2"/>
    </font>
    <font>
      <sz val="10"/>
      <color rgb="FF000000"/>
      <name val="Arial"/>
      <family val="2"/>
    </font>
    <font>
      <sz val="10"/>
      <name val="Arial"/>
      <family val="2"/>
    </font>
    <font>
      <sz val="10"/>
      <color theme="1"/>
      <name val="Arial"/>
      <family val="2"/>
    </font>
    <font>
      <sz val="10"/>
      <color theme="1"/>
      <name val="Verdana"/>
      <family val="2"/>
    </font>
    <font>
      <b/>
      <sz val="12"/>
      <name val="Arial"/>
      <family val="2"/>
    </font>
    <font>
      <sz val="11"/>
      <color theme="0"/>
      <name val="Arial"/>
      <family val="2"/>
    </font>
    <font>
      <sz val="11"/>
      <name val="Arial"/>
      <family val="2"/>
    </font>
    <font>
      <b/>
      <sz val="11"/>
      <color theme="0"/>
      <name val="Calibri"/>
      <family val="2"/>
      <scheme val="minor"/>
    </font>
    <font>
      <b/>
      <sz val="10"/>
      <name val="Arial"/>
      <family val="2"/>
    </font>
    <font>
      <b/>
      <sz val="10"/>
      <color theme="0"/>
      <name val="Arial"/>
      <family val="2"/>
    </font>
    <font>
      <b/>
      <sz val="12"/>
      <color theme="1"/>
      <name val="Calibri"/>
      <family val="2"/>
      <scheme val="minor"/>
    </font>
    <font>
      <sz val="20"/>
      <color theme="1"/>
      <name val="Arial"/>
      <family val="2"/>
    </font>
    <font>
      <b/>
      <sz val="10"/>
      <color theme="1"/>
      <name val="Arial"/>
      <family val="2"/>
    </font>
    <font>
      <b/>
      <sz val="9"/>
      <color theme="0"/>
      <name val="Arial"/>
      <family val="2"/>
    </font>
    <font>
      <sz val="9"/>
      <name val="Arial"/>
      <family val="2"/>
    </font>
    <font>
      <b/>
      <sz val="14"/>
      <color theme="1"/>
      <name val="Calibri"/>
      <family val="2"/>
      <scheme val="minor"/>
    </font>
    <font>
      <sz val="12"/>
      <color theme="1"/>
      <name val="Arial"/>
      <family val="2"/>
    </font>
    <font>
      <b/>
      <sz val="12"/>
      <color theme="1"/>
      <name val="Century Gothic"/>
      <family val="2"/>
    </font>
    <font>
      <sz val="12"/>
      <color theme="1"/>
      <name val="Century Gothic"/>
      <family val="2"/>
    </font>
    <font>
      <b/>
      <sz val="12"/>
      <name val="Century Gothic"/>
      <family val="2"/>
    </font>
    <font>
      <sz val="11"/>
      <color indexed="8"/>
      <name val="Calibri"/>
      <family val="2"/>
    </font>
    <font>
      <sz val="12"/>
      <color rgb="FF000000"/>
      <name val="Century Gothic"/>
      <family val="2"/>
    </font>
    <font>
      <sz val="11"/>
      <color rgb="FF000000"/>
      <name val="Calibri"/>
      <family val="2"/>
    </font>
    <font>
      <sz val="12"/>
      <name val="Century Gothic"/>
      <family val="2"/>
    </font>
    <font>
      <sz val="12"/>
      <name val="Calibri"/>
      <family val="2"/>
    </font>
    <font>
      <sz val="12"/>
      <color theme="1"/>
      <name val="Calibri"/>
      <family val="2"/>
    </font>
    <font>
      <sz val="11"/>
      <color theme="1"/>
      <name val="Century Gothic"/>
      <family val="2"/>
    </font>
    <font>
      <b/>
      <sz val="11"/>
      <color theme="1"/>
      <name val="Century Gothic"/>
      <family val="2"/>
    </font>
    <font>
      <b/>
      <sz val="11"/>
      <name val="Calibri"/>
      <family val="2"/>
      <scheme val="minor"/>
    </font>
    <font>
      <sz val="12"/>
      <color rgb="FFFF0000"/>
      <name val="Calibri"/>
      <family val="2"/>
      <scheme val="minor"/>
    </font>
    <font>
      <b/>
      <sz val="12"/>
      <color theme="0"/>
      <name val="Arial"/>
      <family val="2"/>
    </font>
    <font>
      <sz val="12"/>
      <color rgb="FF000000"/>
      <name val="Calibri"/>
      <charset val="134"/>
      <scheme val="minor"/>
    </font>
    <font>
      <sz val="9"/>
      <color indexed="81"/>
      <name val="Tahoma"/>
      <family val="2"/>
    </font>
    <font>
      <b/>
      <sz val="9"/>
      <color indexed="81"/>
      <name val="Tahoma"/>
      <family val="2"/>
    </font>
  </fonts>
  <fills count="41">
    <fill>
      <patternFill patternType="none"/>
    </fill>
    <fill>
      <patternFill patternType="gray125"/>
    </fill>
    <fill>
      <patternFill patternType="solid">
        <fgColor theme="7" tint="0.39997558519241921"/>
        <bgColor rgb="FF000000"/>
      </patternFill>
    </fill>
    <fill>
      <patternFill patternType="solid">
        <fgColor rgb="FF00B0F0"/>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rgb="FF00B050"/>
        <bgColor indexed="64"/>
      </patternFill>
    </fill>
    <fill>
      <patternFill patternType="solid">
        <fgColor rgb="FF1C4F9E"/>
        <bgColor indexed="64"/>
      </patternFill>
    </fill>
    <fill>
      <patternFill patternType="solid">
        <fgColor theme="0" tint="-4.9989318521683403E-2"/>
        <bgColor indexed="64"/>
      </patternFill>
    </fill>
    <fill>
      <patternFill patternType="solid">
        <fgColor rgb="FFEFF6FB"/>
        <bgColor indexed="64"/>
      </patternFill>
    </fill>
    <fill>
      <patternFill patternType="solid">
        <fgColor rgb="FFFFFF00"/>
        <bgColor indexed="64"/>
      </patternFill>
    </fill>
    <fill>
      <patternFill patternType="solid">
        <fgColor rgb="FF92D050"/>
        <bgColor indexed="64"/>
      </patternFill>
    </fill>
    <fill>
      <patternFill patternType="solid">
        <fgColor theme="1" tint="0.249977111117893"/>
        <bgColor indexed="64"/>
      </patternFill>
    </fill>
    <fill>
      <patternFill patternType="solid">
        <fgColor rgb="FFE6F8FE"/>
        <bgColor indexed="64"/>
      </patternFill>
    </fill>
    <fill>
      <patternFill patternType="solid">
        <fgColor theme="9"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theme="7" tint="0.59999389629810485"/>
        <bgColor indexed="64"/>
      </patternFill>
    </fill>
    <fill>
      <patternFill patternType="solid">
        <fgColor rgb="FFFF0000"/>
        <bgColor indexed="64"/>
      </patternFill>
    </fill>
    <fill>
      <patternFill patternType="solid">
        <fgColor theme="9" tint="-0.249977111117893"/>
        <bgColor indexed="64"/>
      </patternFill>
    </fill>
    <fill>
      <patternFill patternType="solid">
        <fgColor theme="2" tint="-0.499984740745262"/>
        <bgColor indexed="64"/>
      </patternFill>
    </fill>
    <fill>
      <patternFill patternType="solid">
        <fgColor theme="8" tint="-0.249977111117893"/>
        <bgColor indexed="64"/>
      </patternFill>
    </fill>
    <fill>
      <patternFill patternType="solid">
        <fgColor rgb="FFFFC000"/>
        <bgColor indexed="64"/>
      </patternFill>
    </fill>
    <fill>
      <patternFill patternType="solid">
        <fgColor rgb="FF7030A0"/>
        <bgColor indexed="64"/>
      </patternFill>
    </fill>
    <fill>
      <patternFill patternType="solid">
        <fgColor theme="1" tint="0.14999847407452621"/>
        <bgColor indexed="64"/>
      </patternFill>
    </fill>
    <fill>
      <patternFill patternType="solid">
        <fgColor rgb="FF009999"/>
        <bgColor indexed="64"/>
      </patternFill>
    </fill>
    <fill>
      <patternFill patternType="solid">
        <fgColor rgb="FF66FFFF"/>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1" tint="0.34998626667073579"/>
        <bgColor indexed="64"/>
      </patternFill>
    </fill>
    <fill>
      <patternFill patternType="solid">
        <fgColor theme="8" tint="0.39997558519241921"/>
        <bgColor indexed="64"/>
      </patternFill>
    </fill>
    <fill>
      <patternFill patternType="solid">
        <fgColor rgb="FF002060"/>
        <bgColor indexed="64"/>
      </patternFill>
    </fill>
    <fill>
      <patternFill patternType="solid">
        <fgColor theme="5" tint="0.59999389629810485"/>
        <bgColor indexed="64"/>
      </patternFill>
    </fill>
    <fill>
      <patternFill patternType="solid">
        <fgColor rgb="FF00FFFF"/>
        <bgColor indexed="64"/>
      </patternFill>
    </fill>
    <fill>
      <patternFill patternType="solid">
        <fgColor theme="6" tint="0.39997558519241921"/>
        <bgColor indexed="64"/>
      </patternFill>
    </fill>
    <fill>
      <patternFill patternType="solid">
        <fgColor rgb="FF99FF66"/>
        <bgColor indexed="64"/>
      </patternFill>
    </fill>
    <fill>
      <patternFill patternType="solid">
        <fgColor rgb="FF99F1B2"/>
        <bgColor indexed="64"/>
      </patternFill>
    </fill>
    <fill>
      <patternFill patternType="solid">
        <fgColor theme="8" tint="0.59999389629810485"/>
        <bgColor indexed="64"/>
      </patternFill>
    </fill>
  </fills>
  <borders count="32">
    <border>
      <left/>
      <right/>
      <top/>
      <bottom/>
      <diagonal/>
    </border>
    <border>
      <left style="thin">
        <color rgb="FFBFBFBF"/>
      </left>
      <right/>
      <top style="thin">
        <color rgb="FFBFBFBF"/>
      </top>
      <bottom style="thin">
        <color indexed="64"/>
      </bottom>
      <diagonal/>
    </border>
    <border>
      <left/>
      <right/>
      <top style="thin">
        <color rgb="FFBFBFBF"/>
      </top>
      <bottom style="thin">
        <color indexed="64"/>
      </bottom>
      <diagonal/>
    </border>
    <border>
      <left/>
      <right style="thin">
        <color rgb="FFBFBFBF"/>
      </right>
      <top style="thin">
        <color rgb="FFBFBFBF"/>
      </top>
      <bottom style="thin">
        <color indexed="64"/>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A6A6A6"/>
      </left>
      <right style="thin">
        <color rgb="FFA6A6A6"/>
      </right>
      <top style="thin">
        <color rgb="FFA6A6A6"/>
      </top>
      <bottom style="thin">
        <color rgb="FFA6A6A6"/>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theme="0" tint="-0.24994659260841701"/>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right style="medium">
        <color indexed="64"/>
      </right>
      <top/>
      <bottom/>
      <diagonal/>
    </border>
    <border>
      <left style="thin">
        <color indexed="64"/>
      </left>
      <right/>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right/>
      <top/>
      <bottom style="double">
        <color indexed="64"/>
      </bottom>
      <diagonal/>
    </border>
    <border>
      <left style="thin">
        <color theme="0" tint="-0.24994659260841701"/>
      </left>
      <right style="thin">
        <color theme="0" tint="-0.24994659260841701"/>
      </right>
      <top/>
      <bottom/>
      <diagonal/>
    </border>
    <border>
      <left style="thin">
        <color rgb="FFBFBFBF"/>
      </left>
      <right style="thin">
        <color rgb="FFBFBFBF"/>
      </right>
      <top style="thin">
        <color rgb="FFBFBFBF"/>
      </top>
      <bottom style="thin">
        <color rgb="FFBFBFBF"/>
      </bottom>
      <diagonal/>
    </border>
  </borders>
  <cellStyleXfs count="10">
    <xf numFmtId="0" fontId="0" fillId="0" borderId="0"/>
    <xf numFmtId="44"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0" fontId="19" fillId="0" borderId="0"/>
    <xf numFmtId="9" fontId="1" fillId="0" borderId="0" applyFont="0" applyFill="0" applyBorder="0" applyAlignment="0" applyProtection="0"/>
    <xf numFmtId="169" fontId="19" fillId="0" borderId="0" applyFont="0" applyFill="0" applyBorder="0" applyAlignment="0" applyProtection="0"/>
    <xf numFmtId="0" fontId="34" fillId="0" borderId="0"/>
    <xf numFmtId="0" fontId="38" fillId="0" borderId="0"/>
    <xf numFmtId="9" fontId="1" fillId="0" borderId="0" applyFont="0" applyFill="0" applyBorder="0" applyAlignment="0" applyProtection="0"/>
  </cellStyleXfs>
  <cellXfs count="309">
    <xf numFmtId="0" fontId="0" fillId="0" borderId="0" xfId="0"/>
    <xf numFmtId="0" fontId="3" fillId="0" borderId="0" xfId="0" applyFont="1"/>
    <xf numFmtId="0" fontId="6" fillId="0" borderId="0" xfId="0" applyFont="1" applyAlignment="1">
      <alignment vertical="center"/>
    </xf>
    <xf numFmtId="0" fontId="3" fillId="0" borderId="4" xfId="0" applyFont="1" applyBorder="1" applyAlignment="1">
      <alignment horizontal="center"/>
    </xf>
    <xf numFmtId="0" fontId="8" fillId="0" borderId="4" xfId="0" applyFont="1" applyBorder="1" applyAlignment="1">
      <alignment horizontal="left" vertical="center" wrapText="1"/>
    </xf>
    <xf numFmtId="0" fontId="8" fillId="5" borderId="4" xfId="0" applyFont="1" applyFill="1" applyBorder="1" applyAlignment="1">
      <alignment horizontal="left" vertical="center" wrapText="1"/>
    </xf>
    <xf numFmtId="0" fontId="2" fillId="0" borderId="4" xfId="0" applyFont="1" applyBorder="1"/>
    <xf numFmtId="0" fontId="7" fillId="0" borderId="4" xfId="0" applyFont="1" applyBorder="1" applyAlignment="1">
      <alignment horizontal="left" vertical="center"/>
    </xf>
    <xf numFmtId="44" fontId="3" fillId="0" borderId="4" xfId="1" applyFont="1" applyBorder="1" applyAlignment="1">
      <alignment horizontal="center" vertical="center" wrapText="1"/>
    </xf>
    <xf numFmtId="0" fontId="5" fillId="3" borderId="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4" xfId="0" applyFont="1" applyFill="1" applyBorder="1" applyAlignment="1">
      <alignment horizontal="center" vertical="center" wrapText="1"/>
    </xf>
    <xf numFmtId="1" fontId="3" fillId="0" borderId="4" xfId="1" applyNumberFormat="1" applyFont="1" applyBorder="1" applyAlignment="1">
      <alignment horizontal="center" vertical="center" wrapText="1"/>
    </xf>
    <xf numFmtId="1" fontId="3" fillId="0" borderId="0" xfId="0" applyNumberFormat="1" applyFont="1"/>
    <xf numFmtId="44" fontId="3" fillId="0" borderId="0" xfId="1" applyFont="1"/>
    <xf numFmtId="164" fontId="3" fillId="0" borderId="0" xfId="1" applyNumberFormat="1" applyFont="1"/>
    <xf numFmtId="164" fontId="5" fillId="4" borderId="4" xfId="1" applyNumberFormat="1" applyFont="1" applyFill="1" applyBorder="1" applyAlignment="1">
      <alignment horizontal="center" vertical="center" wrapText="1"/>
    </xf>
    <xf numFmtId="44" fontId="9" fillId="6" borderId="0" xfId="1" applyFont="1" applyFill="1"/>
    <xf numFmtId="1" fontId="10" fillId="6" borderId="0" xfId="0" applyNumberFormat="1" applyFont="1" applyFill="1" applyAlignment="1">
      <alignment horizontal="center"/>
    </xf>
    <xf numFmtId="44" fontId="3" fillId="0" borderId="0" xfId="0" applyNumberFormat="1" applyFont="1"/>
    <xf numFmtId="0" fontId="11" fillId="6" borderId="0" xfId="0" applyFont="1" applyFill="1" applyAlignment="1">
      <alignment horizontal="center" vertical="center"/>
    </xf>
    <xf numFmtId="0" fontId="13" fillId="0" borderId="0" xfId="0" applyFont="1" applyAlignment="1" applyProtection="1">
      <alignment horizontal="center" vertical="center" wrapText="1"/>
      <protection hidden="1"/>
    </xf>
    <xf numFmtId="43" fontId="13" fillId="0" borderId="0" xfId="2" applyFont="1" applyFill="1" applyAlignment="1" applyProtection="1">
      <alignment horizontal="center" vertical="center" wrapText="1"/>
      <protection hidden="1"/>
    </xf>
    <xf numFmtId="0" fontId="14" fillId="7" borderId="5" xfId="0" applyFont="1" applyFill="1" applyBorder="1" applyAlignment="1" applyProtection="1">
      <alignment horizontal="center" vertical="center" wrapText="1"/>
      <protection hidden="1"/>
    </xf>
    <xf numFmtId="0" fontId="16" fillId="8" borderId="7" xfId="0" applyFont="1" applyFill="1" applyBorder="1" applyAlignment="1" applyProtection="1">
      <alignment horizontal="center" vertical="center" wrapText="1"/>
      <protection hidden="1"/>
    </xf>
    <xf numFmtId="49" fontId="17" fillId="6" borderId="8" xfId="0" applyNumberFormat="1" applyFont="1" applyFill="1" applyBorder="1" applyAlignment="1" applyProtection="1">
      <alignment horizontal="center" vertical="center" wrapText="1"/>
      <protection hidden="1"/>
    </xf>
    <xf numFmtId="1" fontId="18" fillId="0" borderId="9" xfId="0" applyNumberFormat="1" applyFont="1" applyBorder="1" applyAlignment="1">
      <alignment horizontal="center" vertical="center" shrinkToFit="1"/>
    </xf>
    <xf numFmtId="0" fontId="19" fillId="0" borderId="9" xfId="0" applyFont="1" applyBorder="1" applyAlignment="1">
      <alignment horizontal="center" vertical="center" wrapText="1"/>
    </xf>
    <xf numFmtId="49" fontId="18" fillId="0" borderId="9" xfId="0" applyNumberFormat="1" applyFont="1" applyBorder="1" applyAlignment="1">
      <alignment horizontal="left" vertical="center" wrapText="1"/>
    </xf>
    <xf numFmtId="42" fontId="19" fillId="0" borderId="9" xfId="0" applyNumberFormat="1" applyFont="1" applyBorder="1" applyAlignment="1">
      <alignment horizontal="center" vertical="center" wrapText="1"/>
    </xf>
    <xf numFmtId="49" fontId="19" fillId="0" borderId="9" xfId="0" applyNumberFormat="1" applyFont="1" applyBorder="1" applyAlignment="1">
      <alignment horizontal="left" vertical="center" wrapText="1"/>
    </xf>
    <xf numFmtId="1" fontId="18" fillId="9" borderId="9" xfId="0" applyNumberFormat="1" applyFont="1" applyFill="1" applyBorder="1" applyAlignment="1">
      <alignment horizontal="center" vertical="center" shrinkToFit="1"/>
    </xf>
    <xf numFmtId="0" fontId="19" fillId="9" borderId="9" xfId="0" applyFont="1" applyFill="1" applyBorder="1" applyAlignment="1">
      <alignment horizontal="center" vertical="center" wrapText="1"/>
    </xf>
    <xf numFmtId="49" fontId="19" fillId="0" borderId="9" xfId="0" applyNumberFormat="1" applyFont="1" applyBorder="1" applyAlignment="1">
      <alignment horizontal="center" vertical="center" wrapText="1"/>
    </xf>
    <xf numFmtId="0" fontId="19" fillId="0" borderId="9" xfId="0" applyFont="1" applyBorder="1" applyAlignment="1">
      <alignment horizontal="left" vertical="center" wrapText="1"/>
    </xf>
    <xf numFmtId="1" fontId="13" fillId="0" borderId="0" xfId="0" applyNumberFormat="1" applyFont="1" applyAlignment="1" applyProtection="1">
      <alignment horizontal="center" vertical="center" wrapText="1"/>
      <protection hidden="1"/>
    </xf>
    <xf numFmtId="0" fontId="23" fillId="0" borderId="0" xfId="0" applyFont="1" applyAlignment="1" applyProtection="1">
      <alignment horizontal="center" vertical="center" wrapText="1"/>
      <protection hidden="1"/>
    </xf>
    <xf numFmtId="0" fontId="24" fillId="0" borderId="0" xfId="0" applyFont="1" applyAlignment="1" applyProtection="1">
      <alignment horizontal="center" vertical="center" wrapText="1"/>
      <protection hidden="1"/>
    </xf>
    <xf numFmtId="0" fontId="23" fillId="6" borderId="0" xfId="0" applyFont="1" applyFill="1" applyAlignment="1" applyProtection="1">
      <alignment horizontal="center" vertical="center" wrapText="1"/>
      <protection hidden="1"/>
    </xf>
    <xf numFmtId="1" fontId="18" fillId="6" borderId="9" xfId="0" applyNumberFormat="1" applyFont="1" applyFill="1" applyBorder="1" applyAlignment="1">
      <alignment horizontal="center" vertical="center" shrinkToFit="1"/>
    </xf>
    <xf numFmtId="0" fontId="2" fillId="0" borderId="4" xfId="0" applyFont="1" applyBorder="1" applyAlignment="1">
      <alignment horizontal="center" vertical="center" wrapText="1"/>
    </xf>
    <xf numFmtId="164" fontId="2" fillId="0" borderId="4" xfId="1" applyNumberFormat="1" applyFont="1" applyFill="1" applyBorder="1" applyAlignment="1">
      <alignment horizontal="center" vertical="center" wrapText="1"/>
    </xf>
    <xf numFmtId="164" fontId="0" fillId="0" borderId="0" xfId="0" applyNumberFormat="1"/>
    <xf numFmtId="0" fontId="2" fillId="0" borderId="4" xfId="0" applyFont="1" applyBorder="1" applyAlignment="1">
      <alignment vertical="center" wrapText="1"/>
    </xf>
    <xf numFmtId="0" fontId="2" fillId="10" borderId="4"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lignment horizontal="center" vertical="center" wrapText="1"/>
    </xf>
    <xf numFmtId="44" fontId="0" fillId="0" borderId="4" xfId="1" applyFont="1" applyFill="1" applyBorder="1"/>
    <xf numFmtId="164" fontId="0" fillId="0" borderId="4" xfId="1" applyNumberFormat="1" applyFont="1" applyFill="1" applyBorder="1"/>
    <xf numFmtId="44" fontId="0" fillId="0" borderId="0" xfId="1" applyFont="1" applyFill="1"/>
    <xf numFmtId="166" fontId="2" fillId="0" borderId="4" xfId="2" applyNumberFormat="1" applyFont="1" applyFill="1" applyBorder="1"/>
    <xf numFmtId="44" fontId="0" fillId="0" borderId="0" xfId="1" applyFont="1"/>
    <xf numFmtId="44" fontId="0" fillId="0" borderId="0" xfId="0" applyNumberFormat="1"/>
    <xf numFmtId="166" fontId="0" fillId="0" borderId="0" xfId="0" applyNumberFormat="1"/>
    <xf numFmtId="164" fontId="0" fillId="0" borderId="0" xfId="1" applyNumberFormat="1" applyFont="1" applyFill="1" applyBorder="1"/>
    <xf numFmtId="1" fontId="0" fillId="0" borderId="0" xfId="0" applyNumberFormat="1"/>
    <xf numFmtId="0" fontId="0" fillId="0" borderId="0" xfId="0" applyAlignment="1">
      <alignment horizontal="center"/>
    </xf>
    <xf numFmtId="44" fontId="0" fillId="11" borderId="16" xfId="1" applyFont="1" applyFill="1" applyBorder="1"/>
    <xf numFmtId="44" fontId="26" fillId="0" borderId="4" xfId="1" applyFont="1" applyBorder="1" applyAlignment="1">
      <alignment horizontal="center" vertical="center" wrapText="1"/>
    </xf>
    <xf numFmtId="0" fontId="26" fillId="0" borderId="4" xfId="0" applyFont="1" applyBorder="1" applyAlignment="1">
      <alignment horizontal="center" vertical="center" wrapText="1"/>
    </xf>
    <xf numFmtId="0" fontId="26" fillId="0" borderId="15" xfId="0" applyFont="1" applyBorder="1" applyAlignment="1">
      <alignment horizontal="center" vertical="center" wrapText="1"/>
    </xf>
    <xf numFmtId="10" fontId="26" fillId="0" borderId="4" xfId="0" applyNumberFormat="1" applyFont="1" applyBorder="1" applyAlignment="1">
      <alignment horizontal="center" vertical="center"/>
    </xf>
    <xf numFmtId="0" fontId="27" fillId="6" borderId="4" xfId="0" applyFont="1" applyFill="1" applyBorder="1" applyAlignment="1">
      <alignment horizontal="center" vertical="center" wrapText="1"/>
    </xf>
    <xf numFmtId="0" fontId="0" fillId="0" borderId="4" xfId="0" applyBorder="1" applyAlignment="1">
      <alignment horizontal="center" vertical="center"/>
    </xf>
    <xf numFmtId="44" fontId="19" fillId="0" borderId="4" xfId="1" applyFont="1" applyBorder="1" applyAlignment="1">
      <alignment horizontal="center" vertical="center" wrapText="1"/>
    </xf>
    <xf numFmtId="44" fontId="19" fillId="0" borderId="4" xfId="0" applyNumberFormat="1" applyFont="1" applyBorder="1" applyAlignment="1">
      <alignment horizontal="center" vertical="center" wrapText="1"/>
    </xf>
    <xf numFmtId="44" fontId="2" fillId="0" borderId="4" xfId="0" applyNumberFormat="1" applyFont="1" applyBorder="1"/>
    <xf numFmtId="44" fontId="0" fillId="0" borderId="4" xfId="0" applyNumberFormat="1" applyBorder="1"/>
    <xf numFmtId="44" fontId="0" fillId="0" borderId="4" xfId="1" applyFont="1" applyBorder="1"/>
    <xf numFmtId="44" fontId="0" fillId="0" borderId="4" xfId="1" applyFont="1" applyBorder="1" applyAlignment="1">
      <alignment horizontal="center"/>
    </xf>
    <xf numFmtId="44" fontId="28" fillId="11" borderId="4" xfId="0" applyNumberFormat="1" applyFont="1" applyFill="1" applyBorder="1"/>
    <xf numFmtId="44" fontId="28" fillId="11" borderId="17" xfId="0" applyNumberFormat="1" applyFont="1" applyFill="1" applyBorder="1"/>
    <xf numFmtId="0" fontId="31" fillId="12" borderId="8" xfId="4" applyFont="1" applyFill="1" applyBorder="1" applyAlignment="1" applyProtection="1">
      <alignment horizontal="center" vertical="center" wrapText="1"/>
      <protection hidden="1"/>
    </xf>
    <xf numFmtId="167" fontId="32" fillId="0" borderId="8" xfId="4" applyNumberFormat="1" applyFont="1" applyBorder="1" applyAlignment="1" applyProtection="1">
      <alignment horizontal="center" vertical="center" wrapText="1"/>
      <protection locked="0"/>
    </xf>
    <xf numFmtId="44" fontId="26" fillId="0" borderId="0" xfId="1" applyFont="1"/>
    <xf numFmtId="0" fontId="2" fillId="0" borderId="0" xfId="0" applyFont="1" applyAlignment="1">
      <alignment horizontal="center"/>
    </xf>
    <xf numFmtId="0" fontId="2" fillId="0" borderId="0" xfId="0" applyFont="1"/>
    <xf numFmtId="0" fontId="0" fillId="0" borderId="4" xfId="0" applyBorder="1"/>
    <xf numFmtId="0" fontId="32" fillId="0" borderId="4" xfId="0" applyFont="1" applyBorder="1" applyAlignment="1">
      <alignment vertical="center" wrapText="1"/>
    </xf>
    <xf numFmtId="0" fontId="23" fillId="12" borderId="18" xfId="4" applyFont="1" applyFill="1" applyBorder="1" applyAlignment="1" applyProtection="1">
      <alignment horizontal="center" vertical="center"/>
      <protection hidden="1"/>
    </xf>
    <xf numFmtId="0" fontId="23" fillId="12" borderId="19" xfId="4" applyFont="1" applyFill="1" applyBorder="1" applyAlignment="1" applyProtection="1">
      <alignment horizontal="center" vertical="center"/>
      <protection hidden="1"/>
    </xf>
    <xf numFmtId="0" fontId="0" fillId="0" borderId="20" xfId="0" applyBorder="1" applyAlignment="1">
      <alignment horizontal="center"/>
    </xf>
    <xf numFmtId="0" fontId="0" fillId="0" borderId="20" xfId="0" applyBorder="1"/>
    <xf numFmtId="44" fontId="2" fillId="0" borderId="4" xfId="1" applyFont="1" applyBorder="1"/>
    <xf numFmtId="0" fontId="0" fillId="15" borderId="20" xfId="0" applyFill="1" applyBorder="1"/>
    <xf numFmtId="44" fontId="28" fillId="0" borderId="0" xfId="1" applyFont="1"/>
    <xf numFmtId="44" fontId="33" fillId="11" borderId="0" xfId="1" applyFont="1" applyFill="1"/>
    <xf numFmtId="0" fontId="10" fillId="0" borderId="0" xfId="7" applyFont="1" applyAlignment="1">
      <alignment vertical="center" wrapText="1"/>
    </xf>
    <xf numFmtId="0" fontId="35" fillId="0" borderId="0" xfId="7" applyFont="1" applyAlignment="1">
      <alignment horizontal="left" vertical="center" wrapText="1"/>
    </xf>
    <xf numFmtId="0" fontId="35" fillId="0" borderId="0" xfId="7" applyFont="1" applyAlignment="1">
      <alignment horizontal="center" vertical="center" wrapText="1"/>
    </xf>
    <xf numFmtId="0" fontId="36" fillId="0" borderId="0" xfId="0" applyFont="1"/>
    <xf numFmtId="0" fontId="10" fillId="3" borderId="0" xfId="7" applyFont="1" applyFill="1" applyAlignment="1">
      <alignment horizontal="center" vertical="center" wrapText="1"/>
    </xf>
    <xf numFmtId="0" fontId="10" fillId="6" borderId="0" xfId="7" applyFont="1" applyFill="1" applyAlignment="1">
      <alignment horizontal="center" wrapText="1"/>
    </xf>
    <xf numFmtId="0" fontId="10" fillId="0" borderId="0" xfId="7" applyFont="1" applyAlignment="1">
      <alignment horizontal="left" vertical="center" wrapText="1"/>
    </xf>
    <xf numFmtId="0" fontId="35" fillId="0" borderId="0" xfId="7" applyFont="1" applyAlignment="1">
      <alignment vertical="center" wrapText="1"/>
    </xf>
    <xf numFmtId="0" fontId="37" fillId="19" borderId="4" xfId="0" applyFont="1" applyFill="1" applyBorder="1" applyAlignment="1">
      <alignment horizontal="center" vertical="center"/>
    </xf>
    <xf numFmtId="0" fontId="10" fillId="20" borderId="4" xfId="0" applyFont="1" applyFill="1" applyBorder="1" applyAlignment="1">
      <alignment horizontal="center" vertical="center"/>
    </xf>
    <xf numFmtId="0" fontId="37" fillId="0" borderId="4" xfId="0" applyFont="1" applyBorder="1" applyAlignment="1">
      <alignment horizontal="center" vertical="center"/>
    </xf>
    <xf numFmtId="0" fontId="37" fillId="10" borderId="4" xfId="0" applyFont="1" applyFill="1" applyBorder="1" applyAlignment="1">
      <alignment horizontal="center" vertical="center"/>
    </xf>
    <xf numFmtId="0" fontId="10" fillId="21" borderId="4" xfId="0" applyFont="1" applyFill="1" applyBorder="1" applyAlignment="1">
      <alignment horizontal="center" vertical="center"/>
    </xf>
    <xf numFmtId="0" fontId="10" fillId="22" borderId="4" xfId="0" applyFont="1" applyFill="1" applyBorder="1" applyAlignment="1">
      <alignment horizontal="center" vertical="center"/>
    </xf>
    <xf numFmtId="0" fontId="10" fillId="6" borderId="4" xfId="0" applyFont="1" applyFill="1" applyBorder="1" applyAlignment="1">
      <alignment horizontal="center" vertical="center"/>
    </xf>
    <xf numFmtId="0" fontId="10" fillId="23" borderId="4" xfId="0" applyFont="1" applyFill="1" applyBorder="1" applyAlignment="1">
      <alignment horizontal="center" vertical="center"/>
    </xf>
    <xf numFmtId="0" fontId="37" fillId="24" borderId="4" xfId="0" applyFont="1" applyFill="1" applyBorder="1" applyAlignment="1">
      <alignment horizontal="center" vertical="center"/>
    </xf>
    <xf numFmtId="0" fontId="10" fillId="25" borderId="4" xfId="0" applyFont="1" applyFill="1" applyBorder="1" applyAlignment="1">
      <alignment horizontal="center" vertical="center"/>
    </xf>
    <xf numFmtId="0" fontId="10" fillId="26" borderId="4" xfId="0" applyFont="1" applyFill="1" applyBorder="1" applyAlignment="1">
      <alignment horizontal="center" vertical="center"/>
    </xf>
    <xf numFmtId="0" fontId="10" fillId="27" borderId="4" xfId="0" applyFont="1" applyFill="1" applyBorder="1" applyAlignment="1">
      <alignment horizontal="center" vertical="center"/>
    </xf>
    <xf numFmtId="0" fontId="10" fillId="6" borderId="4" xfId="0" applyFont="1" applyFill="1" applyBorder="1" applyAlignment="1">
      <alignment horizontal="center" vertical="center" wrapText="1"/>
    </xf>
    <xf numFmtId="170" fontId="37" fillId="19" borderId="27" xfId="8" applyNumberFormat="1" applyFont="1" applyFill="1" applyBorder="1" applyAlignment="1">
      <alignment horizontal="center" vertical="center"/>
    </xf>
    <xf numFmtId="170" fontId="37" fillId="19" borderId="20" xfId="0" applyNumberFormat="1" applyFont="1" applyFill="1" applyBorder="1" applyAlignment="1">
      <alignment horizontal="center" vertical="center"/>
    </xf>
    <xf numFmtId="0" fontId="10" fillId="6" borderId="15" xfId="0" applyFont="1" applyFill="1" applyBorder="1" applyAlignment="1">
      <alignment horizontal="center" vertical="center"/>
    </xf>
    <xf numFmtId="0" fontId="10" fillId="6" borderId="15" xfId="0" applyFont="1" applyFill="1" applyBorder="1" applyAlignment="1">
      <alignment horizontal="center" vertical="center" wrapText="1"/>
    </xf>
    <xf numFmtId="0" fontId="36" fillId="0" borderId="4" xfId="0" applyFont="1" applyBorder="1" applyAlignment="1">
      <alignment horizontal="center" vertical="center"/>
    </xf>
    <xf numFmtId="0" fontId="39" fillId="0" borderId="4" xfId="0" applyFont="1" applyBorder="1" applyAlignment="1">
      <alignment horizontal="center" vertical="center" wrapText="1" readingOrder="1"/>
    </xf>
    <xf numFmtId="0" fontId="39" fillId="0" borderId="4" xfId="0" applyFont="1" applyBorder="1" applyAlignment="1">
      <alignment vertical="center" wrapText="1" readingOrder="1"/>
    </xf>
    <xf numFmtId="0" fontId="39" fillId="0" borderId="4" xfId="0" applyFont="1" applyBorder="1"/>
    <xf numFmtId="0" fontId="37" fillId="0" borderId="14" xfId="0" applyFont="1" applyBorder="1" applyAlignment="1">
      <alignment horizontal="center" vertical="center"/>
    </xf>
    <xf numFmtId="0" fontId="35" fillId="28" borderId="4" xfId="0" applyFont="1" applyFill="1" applyBorder="1" applyAlignment="1">
      <alignment horizontal="center"/>
    </xf>
    <xf numFmtId="0" fontId="10" fillId="0" borderId="0" xfId="0" applyFont="1"/>
    <xf numFmtId="0" fontId="35" fillId="28" borderId="0" xfId="0" applyFont="1" applyFill="1" applyAlignment="1">
      <alignment horizontal="center" vertical="center"/>
    </xf>
    <xf numFmtId="0" fontId="40" fillId="0" borderId="28" xfId="0" applyFont="1" applyBorder="1" applyAlignment="1">
      <alignment horizontal="left" vertical="top"/>
    </xf>
    <xf numFmtId="0" fontId="41" fillId="0" borderId="4" xfId="0" applyFont="1" applyBorder="1" applyAlignment="1">
      <alignment horizontal="center" vertical="center" wrapText="1" readingOrder="1"/>
    </xf>
    <xf numFmtId="0" fontId="41" fillId="0" borderId="4" xfId="0" applyFont="1" applyBorder="1" applyAlignment="1">
      <alignment vertical="center" wrapText="1" readingOrder="1"/>
    </xf>
    <xf numFmtId="0" fontId="42" fillId="0" borderId="4" xfId="0" applyFont="1" applyBorder="1" applyAlignment="1">
      <alignment vertical="center"/>
    </xf>
    <xf numFmtId="0" fontId="43" fillId="0" borderId="4" xfId="0" applyFont="1" applyBorder="1"/>
    <xf numFmtId="0" fontId="36" fillId="29" borderId="0" xfId="0" applyFont="1" applyFill="1"/>
    <xf numFmtId="0" fontId="41" fillId="29" borderId="4" xfId="0" applyFont="1" applyFill="1" applyBorder="1" applyAlignment="1">
      <alignment horizontal="center" vertical="center" wrapText="1" readingOrder="1"/>
    </xf>
    <xf numFmtId="0" fontId="41" fillId="29" borderId="4" xfId="0" applyFont="1" applyFill="1" applyBorder="1" applyAlignment="1">
      <alignment vertical="center" wrapText="1" readingOrder="1"/>
    </xf>
    <xf numFmtId="0" fontId="42" fillId="29" borderId="4" xfId="0" applyFont="1" applyFill="1" applyBorder="1" applyAlignment="1">
      <alignment vertical="center"/>
    </xf>
    <xf numFmtId="0" fontId="43" fillId="29" borderId="4" xfId="0" applyFont="1" applyFill="1" applyBorder="1"/>
    <xf numFmtId="0" fontId="39" fillId="29" borderId="4" xfId="0" applyFont="1" applyFill="1" applyBorder="1" applyAlignment="1">
      <alignment vertical="center" wrapText="1" readingOrder="1"/>
    </xf>
    <xf numFmtId="0" fontId="36" fillId="21" borderId="0" xfId="0" applyFont="1" applyFill="1"/>
    <xf numFmtId="0" fontId="41" fillId="0" borderId="4" xfId="0" applyFont="1" applyBorder="1" applyAlignment="1">
      <alignment horizontal="left" vertical="center" wrapText="1" readingOrder="1"/>
    </xf>
    <xf numFmtId="0" fontId="36" fillId="0" borderId="4" xfId="0" applyFont="1" applyBorder="1" applyAlignment="1">
      <alignment horizontal="left"/>
    </xf>
    <xf numFmtId="0" fontId="41" fillId="0" borderId="4" xfId="0" applyFont="1" applyBorder="1" applyAlignment="1">
      <alignment horizontal="left" vertical="center"/>
    </xf>
    <xf numFmtId="0" fontId="41" fillId="29" borderId="4" xfId="0" applyFont="1" applyFill="1" applyBorder="1" applyAlignment="1">
      <alignment horizontal="left" vertical="center"/>
    </xf>
    <xf numFmtId="0" fontId="36" fillId="0" borderId="0" xfId="0" applyFont="1" applyAlignment="1">
      <alignment horizontal="left"/>
    </xf>
    <xf numFmtId="0" fontId="36" fillId="0" borderId="0" xfId="0" applyFont="1" applyAlignment="1">
      <alignment horizontal="center"/>
    </xf>
    <xf numFmtId="0" fontId="10" fillId="6" borderId="0" xfId="0" applyFont="1" applyFill="1" applyAlignment="1">
      <alignment horizontal="center" vertical="center"/>
    </xf>
    <xf numFmtId="0" fontId="35" fillId="0" borderId="0" xfId="0" applyFont="1" applyAlignment="1">
      <alignment horizontal="center"/>
    </xf>
    <xf numFmtId="0" fontId="25" fillId="6" borderId="0" xfId="0" applyFont="1" applyFill="1" applyAlignment="1">
      <alignment horizontal="center" vertical="center" wrapText="1"/>
    </xf>
    <xf numFmtId="0" fontId="37" fillId="0" borderId="0" xfId="0" applyFont="1"/>
    <xf numFmtId="0" fontId="5" fillId="3" borderId="20"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6" fillId="0" borderId="0" xfId="0" applyFont="1" applyAlignment="1">
      <alignment horizontal="center" vertical="center"/>
    </xf>
    <xf numFmtId="0" fontId="11" fillId="6" borderId="20"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2" fillId="10" borderId="20" xfId="0" applyFont="1" applyFill="1" applyBorder="1" applyAlignment="1" applyProtection="1">
      <alignment horizontal="center" vertical="center" wrapText="1"/>
      <protection hidden="1"/>
    </xf>
    <xf numFmtId="0" fontId="6" fillId="10" borderId="20" xfId="0" applyFont="1" applyFill="1" applyBorder="1" applyAlignment="1">
      <alignment horizontal="center" vertical="center" wrapText="1"/>
    </xf>
    <xf numFmtId="0" fontId="7" fillId="0" borderId="4" xfId="0" applyFont="1" applyBorder="1" applyAlignment="1">
      <alignment horizontal="center" vertical="center"/>
    </xf>
    <xf numFmtId="0" fontId="3" fillId="0" borderId="4" xfId="0" applyFont="1" applyBorder="1" applyAlignment="1">
      <alignment horizontal="center" vertical="center" wrapText="1"/>
    </xf>
    <xf numFmtId="44" fontId="3" fillId="0" borderId="4" xfId="1" applyFont="1" applyFill="1" applyBorder="1" applyAlignment="1">
      <alignment horizontal="center" vertical="center" wrapText="1"/>
    </xf>
    <xf numFmtId="164" fontId="44" fillId="0" borderId="4" xfId="0" applyNumberFormat="1" applyFont="1" applyBorder="1" applyAlignment="1">
      <alignment horizontal="center" vertical="center"/>
    </xf>
    <xf numFmtId="44" fontId="44" fillId="0" borderId="4" xfId="0" applyNumberFormat="1" applyFont="1" applyBorder="1" applyAlignment="1">
      <alignment horizontal="center" vertical="center"/>
    </xf>
    <xf numFmtId="164" fontId="3" fillId="0" borderId="4" xfId="1" applyNumberFormat="1" applyFont="1" applyFill="1" applyBorder="1" applyAlignment="1">
      <alignment horizontal="center" vertical="center" wrapText="1"/>
    </xf>
    <xf numFmtId="0" fontId="45" fillId="8" borderId="4" xfId="0" applyFont="1" applyFill="1" applyBorder="1" applyAlignment="1">
      <alignment horizontal="center" vertical="center"/>
    </xf>
    <xf numFmtId="0" fontId="44" fillId="0" borderId="4" xfId="0" applyFont="1" applyBorder="1" applyAlignment="1">
      <alignment horizontal="center" vertical="center"/>
    </xf>
    <xf numFmtId="44" fontId="3" fillId="0" borderId="4" xfId="1" applyFont="1" applyBorder="1"/>
    <xf numFmtId="44" fontId="45" fillId="8" borderId="4" xfId="1" applyFont="1" applyFill="1" applyBorder="1" applyAlignment="1">
      <alignment horizontal="center" vertical="center"/>
    </xf>
    <xf numFmtId="0" fontId="3" fillId="5" borderId="4" xfId="0" applyFont="1" applyFill="1" applyBorder="1" applyAlignment="1">
      <alignment horizontal="center" vertical="center" wrapText="1"/>
    </xf>
    <xf numFmtId="0" fontId="45" fillId="5" borderId="4" xfId="0" applyFont="1" applyFill="1" applyBorder="1" applyAlignment="1">
      <alignment horizontal="center" vertical="center"/>
    </xf>
    <xf numFmtId="0" fontId="44" fillId="5" borderId="4" xfId="0" applyFont="1" applyFill="1" applyBorder="1" applyAlignment="1">
      <alignment horizontal="center" vertical="center"/>
    </xf>
    <xf numFmtId="0" fontId="45" fillId="0" borderId="4" xfId="0" applyFont="1" applyBorder="1" applyAlignment="1">
      <alignment horizontal="center" vertical="center"/>
    </xf>
    <xf numFmtId="164" fontId="8" fillId="0" borderId="4" xfId="1" applyNumberFormat="1" applyFont="1" applyFill="1" applyBorder="1" applyAlignment="1">
      <alignment horizontal="center" vertical="center" wrapText="1"/>
    </xf>
    <xf numFmtId="0" fontId="3" fillId="0" borderId="29" xfId="0" applyFont="1" applyBorder="1"/>
    <xf numFmtId="0" fontId="10" fillId="6" borderId="29" xfId="0" applyFont="1" applyFill="1" applyBorder="1" applyAlignment="1">
      <alignment horizontal="center" vertical="center"/>
    </xf>
    <xf numFmtId="0" fontId="10" fillId="20" borderId="29" xfId="0" applyFont="1" applyFill="1" applyBorder="1" applyAlignment="1">
      <alignment horizontal="center" vertical="center"/>
    </xf>
    <xf numFmtId="164" fontId="10" fillId="6" borderId="29" xfId="0" applyNumberFormat="1" applyFont="1" applyFill="1" applyBorder="1" applyAlignment="1">
      <alignment horizontal="center" vertical="center"/>
    </xf>
    <xf numFmtId="164" fontId="10" fillId="6" borderId="29" xfId="1" applyNumberFormat="1" applyFont="1" applyFill="1" applyBorder="1" applyAlignment="1">
      <alignment horizontal="center" vertical="center"/>
    </xf>
    <xf numFmtId="164" fontId="3" fillId="0" borderId="0" xfId="0" applyNumberFormat="1" applyFont="1"/>
    <xf numFmtId="43" fontId="3" fillId="0" borderId="0" xfId="0" applyNumberFormat="1" applyFont="1"/>
    <xf numFmtId="49" fontId="16" fillId="8" borderId="7" xfId="0" applyNumberFormat="1" applyFont="1" applyFill="1" applyBorder="1" applyAlignment="1" applyProtection="1">
      <alignment horizontal="center" vertical="center" wrapText="1"/>
      <protection hidden="1"/>
    </xf>
    <xf numFmtId="43" fontId="16" fillId="16" borderId="8" xfId="2" applyFont="1" applyFill="1" applyBorder="1" applyAlignment="1" applyProtection="1">
      <alignment horizontal="center" vertical="center" wrapText="1"/>
      <protection hidden="1"/>
    </xf>
    <xf numFmtId="0" fontId="46" fillId="10" borderId="30" xfId="0" applyFont="1" applyFill="1" applyBorder="1" applyAlignment="1" applyProtection="1">
      <alignment horizontal="center" vertical="center" wrapText="1"/>
      <protection hidden="1"/>
    </xf>
    <xf numFmtId="0" fontId="2" fillId="20" borderId="0" xfId="0" applyFont="1" applyFill="1" applyAlignment="1">
      <alignment horizontal="center" vertical="center"/>
    </xf>
    <xf numFmtId="9" fontId="2" fillId="5" borderId="0" xfId="0" applyNumberFormat="1" applyFont="1" applyFill="1" applyAlignment="1">
      <alignment horizontal="center" vertical="center"/>
    </xf>
    <xf numFmtId="0" fontId="2" fillId="30" borderId="0" xfId="0" applyFont="1" applyFill="1" applyAlignment="1">
      <alignment horizontal="center" vertical="center" wrapText="1"/>
    </xf>
    <xf numFmtId="9" fontId="2" fillId="5" borderId="0" xfId="0" applyNumberFormat="1" applyFont="1" applyFill="1" applyAlignment="1">
      <alignment horizontal="center" vertical="center" wrapText="1"/>
    </xf>
    <xf numFmtId="44" fontId="0" fillId="0" borderId="0" xfId="1" applyFont="1" applyAlignment="1">
      <alignment horizontal="center" vertical="center"/>
    </xf>
    <xf numFmtId="44" fontId="2" fillId="0" borderId="0" xfId="1" applyFont="1" applyAlignment="1">
      <alignment horizontal="center" vertical="center" wrapText="1"/>
    </xf>
    <xf numFmtId="39" fontId="20" fillId="16" borderId="10" xfId="2" applyNumberFormat="1" applyFont="1" applyFill="1" applyBorder="1" applyAlignment="1" applyProtection="1">
      <alignment horizontal="center" vertical="center" wrapText="1"/>
      <protection hidden="1"/>
    </xf>
    <xf numFmtId="0" fontId="0" fillId="10" borderId="0" xfId="0" applyFill="1" applyAlignment="1">
      <alignment horizontal="center" vertical="center"/>
    </xf>
    <xf numFmtId="165" fontId="0" fillId="0" borderId="0" xfId="0" applyNumberFormat="1" applyAlignment="1">
      <alignment horizontal="center" vertical="center"/>
    </xf>
    <xf numFmtId="2" fontId="0" fillId="0" borderId="0" xfId="9" applyNumberFormat="1" applyFont="1" applyAlignment="1">
      <alignment horizontal="center" vertical="center"/>
    </xf>
    <xf numFmtId="44" fontId="0" fillId="0" borderId="0" xfId="1" applyFont="1" applyFill="1" applyAlignment="1">
      <alignment horizontal="center" vertical="center"/>
    </xf>
    <xf numFmtId="44" fontId="0" fillId="0" borderId="0" xfId="0" applyNumberFormat="1" applyAlignment="1">
      <alignment horizontal="center" vertical="center"/>
    </xf>
    <xf numFmtId="44" fontId="0" fillId="14" borderId="0" xfId="0" applyNumberFormat="1" applyFill="1" applyAlignment="1">
      <alignment horizontal="center" vertical="center"/>
    </xf>
    <xf numFmtId="49" fontId="18" fillId="9" borderId="9" xfId="0" applyNumberFormat="1" applyFont="1" applyFill="1" applyBorder="1" applyAlignment="1">
      <alignment horizontal="left" vertical="center" wrapText="1"/>
    </xf>
    <xf numFmtId="49" fontId="19" fillId="9" borderId="9" xfId="0" applyNumberFormat="1" applyFont="1" applyFill="1" applyBorder="1" applyAlignment="1">
      <alignment horizontal="left" vertical="center" wrapText="1"/>
    </xf>
    <xf numFmtId="165" fontId="2" fillId="10" borderId="0" xfId="0" applyNumberFormat="1" applyFont="1" applyFill="1"/>
    <xf numFmtId="0" fontId="0" fillId="0" borderId="0" xfId="0" applyAlignment="1">
      <alignment horizontal="center" vertical="center"/>
    </xf>
    <xf numFmtId="44" fontId="2" fillId="0" borderId="0" xfId="0" applyNumberFormat="1" applyFont="1" applyAlignment="1">
      <alignment horizontal="center" vertical="center"/>
    </xf>
    <xf numFmtId="44" fontId="2" fillId="0" borderId="0" xfId="1" applyFont="1" applyAlignment="1">
      <alignment horizontal="center" vertical="center"/>
    </xf>
    <xf numFmtId="165" fontId="0" fillId="0" borderId="0" xfId="0" applyNumberFormat="1"/>
    <xf numFmtId="39" fontId="25" fillId="6" borderId="0" xfId="0" applyNumberFormat="1" applyFont="1" applyFill="1"/>
    <xf numFmtId="39" fontId="0" fillId="0" borderId="0" xfId="0" applyNumberFormat="1" applyAlignment="1">
      <alignment horizontal="center" vertical="center"/>
    </xf>
    <xf numFmtId="164" fontId="25" fillId="6" borderId="0" xfId="1" applyNumberFormat="1" applyFont="1" applyFill="1"/>
    <xf numFmtId="37" fontId="25" fillId="6" borderId="0" xfId="0" applyNumberFormat="1" applyFont="1" applyFill="1"/>
    <xf numFmtId="165" fontId="0" fillId="31" borderId="0" xfId="0" applyNumberFormat="1" applyFill="1" applyAlignment="1">
      <alignment horizontal="center" vertical="center"/>
    </xf>
    <xf numFmtId="0" fontId="28" fillId="0" borderId="0" xfId="0" applyFont="1" applyAlignment="1">
      <alignment horizontal="center" vertical="center"/>
    </xf>
    <xf numFmtId="171" fontId="10" fillId="6" borderId="29" xfId="0" applyNumberFormat="1" applyFont="1" applyFill="1" applyBorder="1" applyAlignment="1">
      <alignment horizontal="center" vertical="center"/>
    </xf>
    <xf numFmtId="1" fontId="10" fillId="6" borderId="29" xfId="0" applyNumberFormat="1" applyFont="1" applyFill="1" applyBorder="1" applyAlignment="1">
      <alignment horizontal="center" vertical="center"/>
    </xf>
    <xf numFmtId="9" fontId="0" fillId="0" borderId="0" xfId="0" applyNumberFormat="1"/>
    <xf numFmtId="164" fontId="0" fillId="0" borderId="0" xfId="1" applyNumberFormat="1" applyFont="1"/>
    <xf numFmtId="164" fontId="0" fillId="10" borderId="0" xfId="1" applyNumberFormat="1" applyFont="1" applyFill="1"/>
    <xf numFmtId="164" fontId="33" fillId="10" borderId="0" xfId="1" applyNumberFormat="1" applyFont="1" applyFill="1"/>
    <xf numFmtId="44" fontId="45" fillId="11" borderId="4" xfId="1" applyFont="1" applyFill="1" applyBorder="1" applyAlignment="1">
      <alignment horizontal="center" vertical="center"/>
    </xf>
    <xf numFmtId="0" fontId="11" fillId="3" borderId="4" xfId="0" applyFont="1" applyFill="1" applyBorder="1" applyAlignment="1">
      <alignment horizontal="center" vertical="center" wrapText="1"/>
    </xf>
    <xf numFmtId="1" fontId="11" fillId="6" borderId="0" xfId="0" applyNumberFormat="1" applyFont="1" applyFill="1" applyAlignment="1">
      <alignment horizontal="center"/>
    </xf>
    <xf numFmtId="164" fontId="11" fillId="6" borderId="0" xfId="1" applyNumberFormat="1" applyFont="1" applyFill="1" applyAlignment="1">
      <alignment horizontal="center"/>
    </xf>
    <xf numFmtId="0" fontId="0" fillId="0" borderId="0" xfId="0" applyAlignment="1">
      <alignment horizontal="left"/>
    </xf>
    <xf numFmtId="0" fontId="0" fillId="28" borderId="20" xfId="0" applyFill="1" applyBorder="1"/>
    <xf numFmtId="0" fontId="32" fillId="28" borderId="4" xfId="0" applyFont="1" applyFill="1" applyBorder="1" applyAlignment="1">
      <alignment vertical="center" wrapText="1"/>
    </xf>
    <xf numFmtId="44" fontId="0" fillId="28" borderId="4" xfId="1" applyFont="1" applyFill="1" applyBorder="1"/>
    <xf numFmtId="0" fontId="35" fillId="0" borderId="0" xfId="0" applyFont="1" applyAlignment="1">
      <alignment horizontal="center" vertical="center"/>
    </xf>
    <xf numFmtId="0" fontId="41" fillId="0" borderId="4" xfId="0" applyFont="1" applyBorder="1"/>
    <xf numFmtId="0" fontId="25" fillId="6" borderId="16" xfId="0" applyFont="1" applyFill="1" applyBorder="1"/>
    <xf numFmtId="44" fontId="25" fillId="6" borderId="0" xfId="0" applyNumberFormat="1" applyFont="1" applyFill="1"/>
    <xf numFmtId="0" fontId="25" fillId="6" borderId="0" xfId="0" applyFont="1" applyFill="1" applyAlignment="1">
      <alignment horizontal="center" vertical="center"/>
    </xf>
    <xf numFmtId="164" fontId="25" fillId="6" borderId="16" xfId="0" applyNumberFormat="1" applyFont="1" applyFill="1" applyBorder="1"/>
    <xf numFmtId="0" fontId="0" fillId="31" borderId="0" xfId="0" applyFill="1"/>
    <xf numFmtId="0" fontId="0" fillId="31" borderId="0" xfId="0" applyFill="1" applyAlignment="1">
      <alignment horizontal="center"/>
    </xf>
    <xf numFmtId="0" fontId="2" fillId="31" borderId="0" xfId="0" applyFont="1" applyFill="1"/>
    <xf numFmtId="0" fontId="15" fillId="0" borderId="0" xfId="0" applyFont="1" applyAlignment="1" applyProtection="1">
      <alignment horizontal="center" vertical="center"/>
      <protection hidden="1"/>
    </xf>
    <xf numFmtId="42" fontId="21" fillId="0" borderId="9" xfId="3" applyFont="1" applyBorder="1" applyAlignment="1">
      <alignment horizontal="center" vertical="center"/>
    </xf>
    <xf numFmtId="39" fontId="25" fillId="6" borderId="0" xfId="0" applyNumberFormat="1" applyFont="1" applyFill="1" applyAlignment="1">
      <alignment horizontal="center"/>
    </xf>
    <xf numFmtId="39" fontId="2" fillId="10" borderId="0" xfId="0" applyNumberFormat="1" applyFont="1" applyFill="1" applyAlignment="1">
      <alignment horizontal="center"/>
    </xf>
    <xf numFmtId="0" fontId="25" fillId="32" borderId="0" xfId="0" applyFont="1" applyFill="1" applyAlignment="1">
      <alignment horizontal="center" vertical="center"/>
    </xf>
    <xf numFmtId="0" fontId="46" fillId="0" borderId="0" xfId="0" applyFont="1" applyAlignment="1">
      <alignment horizontal="left"/>
    </xf>
    <xf numFmtId="49" fontId="16" fillId="0" borderId="8" xfId="0" applyNumberFormat="1" applyFont="1" applyBorder="1" applyAlignment="1" applyProtection="1">
      <alignment horizontal="left" vertical="center" wrapText="1"/>
      <protection hidden="1"/>
    </xf>
    <xf numFmtId="0" fontId="16" fillId="0" borderId="31" xfId="0" applyFont="1" applyBorder="1" applyAlignment="1">
      <alignment horizontal="left" vertical="center"/>
    </xf>
    <xf numFmtId="8" fontId="19" fillId="0" borderId="31" xfId="0" applyNumberFormat="1" applyFont="1" applyBorder="1" applyAlignment="1">
      <alignment horizontal="center" vertical="center" wrapText="1"/>
    </xf>
    <xf numFmtId="0" fontId="26" fillId="0" borderId="31" xfId="0" applyFont="1" applyBorder="1" applyAlignment="1">
      <alignment horizontal="center" vertical="center" wrapText="1"/>
    </xf>
    <xf numFmtId="44" fontId="26" fillId="0" borderId="0" xfId="1" applyFont="1" applyFill="1" applyBorder="1" applyAlignment="1">
      <alignment horizontal="left" vertical="center" wrapText="1"/>
    </xf>
    <xf numFmtId="44" fontId="2" fillId="5" borderId="0" xfId="0" applyNumberFormat="1" applyFont="1" applyFill="1"/>
    <xf numFmtId="1" fontId="25" fillId="6" borderId="0" xfId="0" applyNumberFormat="1" applyFont="1" applyFill="1" applyAlignment="1">
      <alignment horizontal="center" vertical="center"/>
    </xf>
    <xf numFmtId="164" fontId="25" fillId="6" borderId="0" xfId="0" applyNumberFormat="1" applyFont="1" applyFill="1"/>
    <xf numFmtId="164" fontId="0" fillId="3" borderId="0" xfId="0" applyNumberFormat="1" applyFill="1"/>
    <xf numFmtId="0" fontId="31" fillId="12" borderId="30" xfId="4" applyFont="1" applyFill="1" applyBorder="1" applyAlignment="1" applyProtection="1">
      <alignment horizontal="center" vertical="center" wrapText="1"/>
      <protection hidden="1"/>
    </xf>
    <xf numFmtId="0" fontId="2" fillId="31" borderId="16" xfId="0" applyFont="1" applyFill="1" applyBorder="1" applyAlignment="1">
      <alignment horizontal="center"/>
    </xf>
    <xf numFmtId="44" fontId="0" fillId="0" borderId="16" xfId="1" applyFont="1" applyBorder="1"/>
    <xf numFmtId="44" fontId="2" fillId="31" borderId="16" xfId="1" applyFont="1" applyFill="1" applyBorder="1"/>
    <xf numFmtId="9" fontId="2" fillId="0" borderId="0" xfId="0" applyNumberFormat="1" applyFont="1" applyAlignment="1">
      <alignment horizontal="center"/>
    </xf>
    <xf numFmtId="39" fontId="30" fillId="35" borderId="10" xfId="2" applyNumberFormat="1" applyFont="1" applyFill="1" applyBorder="1" applyAlignment="1" applyProtection="1">
      <alignment horizontal="center" vertical="center" wrapText="1"/>
      <protection hidden="1"/>
    </xf>
    <xf numFmtId="42" fontId="21" fillId="0" borderId="0" xfId="3" applyFont="1" applyAlignment="1">
      <alignment horizontal="center" vertical="center"/>
    </xf>
    <xf numFmtId="0" fontId="22" fillId="8" borderId="12" xfId="0" applyFont="1" applyFill="1" applyBorder="1" applyAlignment="1" applyProtection="1">
      <alignment vertical="center" wrapText="1"/>
      <protection hidden="1"/>
    </xf>
    <xf numFmtId="0" fontId="22" fillId="8" borderId="0" xfId="0" applyFont="1" applyFill="1" applyAlignment="1" applyProtection="1">
      <alignment vertical="center" wrapText="1"/>
      <protection hidden="1"/>
    </xf>
    <xf numFmtId="39" fontId="48" fillId="34" borderId="10" xfId="2" applyNumberFormat="1" applyFont="1" applyFill="1" applyBorder="1" applyAlignment="1" applyProtection="1">
      <alignment horizontal="center" vertical="center" wrapText="1"/>
      <protection hidden="1"/>
    </xf>
    <xf numFmtId="0" fontId="22" fillId="8" borderId="11" xfId="0" applyFont="1" applyFill="1" applyBorder="1" applyAlignment="1" applyProtection="1">
      <alignment vertical="center" wrapText="1"/>
      <protection hidden="1"/>
    </xf>
    <xf numFmtId="0" fontId="3" fillId="33" borderId="4" xfId="0" applyFont="1" applyFill="1" applyBorder="1" applyAlignment="1">
      <alignment horizontal="center" vertical="center" wrapText="1"/>
    </xf>
    <xf numFmtId="0" fontId="3" fillId="10" borderId="4" xfId="0" applyFont="1" applyFill="1" applyBorder="1" applyAlignment="1">
      <alignment horizontal="center" vertical="center" wrapText="1"/>
    </xf>
    <xf numFmtId="0" fontId="39" fillId="37" borderId="4" xfId="0" applyFont="1" applyFill="1" applyBorder="1" applyAlignment="1">
      <alignment vertical="center" wrapText="1" readingOrder="1"/>
    </xf>
    <xf numFmtId="0" fontId="39" fillId="10" borderId="4" xfId="0" applyFont="1" applyFill="1" applyBorder="1" applyAlignment="1">
      <alignment vertical="center" wrapText="1" readingOrder="1"/>
    </xf>
    <xf numFmtId="0" fontId="39" fillId="38" borderId="4" xfId="0" applyFont="1" applyFill="1" applyBorder="1" applyAlignment="1">
      <alignment vertical="center" wrapText="1" readingOrder="1"/>
    </xf>
    <xf numFmtId="0" fontId="36" fillId="39" borderId="0" xfId="0" applyFont="1" applyFill="1"/>
    <xf numFmtId="0" fontId="39" fillId="39" borderId="4" xfId="0" applyFont="1" applyFill="1" applyBorder="1" applyAlignment="1">
      <alignment vertical="center" wrapText="1" readingOrder="1"/>
    </xf>
    <xf numFmtId="0" fontId="39" fillId="40" borderId="4" xfId="0" applyFont="1" applyFill="1" applyBorder="1" applyAlignment="1">
      <alignment vertical="center" wrapText="1" readingOrder="1"/>
    </xf>
    <xf numFmtId="0" fontId="39" fillId="36" borderId="4" xfId="0" applyFont="1" applyFill="1" applyBorder="1" applyAlignment="1">
      <alignment vertical="center" wrapText="1" readingOrder="1"/>
    </xf>
    <xf numFmtId="0" fontId="0" fillId="28" borderId="4" xfId="0" applyFill="1" applyBorder="1"/>
    <xf numFmtId="0" fontId="28" fillId="28" borderId="4" xfId="0" applyFont="1" applyFill="1" applyBorder="1"/>
    <xf numFmtId="0" fontId="47" fillId="28" borderId="4" xfId="0" applyFont="1" applyFill="1" applyBorder="1"/>
    <xf numFmtId="0" fontId="49" fillId="0" borderId="4" xfId="0" applyFont="1" applyBorder="1"/>
    <xf numFmtId="0" fontId="49" fillId="10" borderId="4" xfId="0" applyFont="1" applyFill="1" applyBorder="1"/>
    <xf numFmtId="0" fontId="0" fillId="40" borderId="20" xfId="0" applyFill="1" applyBorder="1" applyAlignment="1">
      <alignment horizontal="center"/>
    </xf>
    <xf numFmtId="0" fontId="19" fillId="24" borderId="9" xfId="0" applyFont="1" applyFill="1" applyBorder="1" applyAlignment="1">
      <alignment horizontal="center" vertical="center" wrapText="1"/>
    </xf>
    <xf numFmtId="0" fontId="19" fillId="28" borderId="9" xfId="0" applyFont="1" applyFill="1" applyBorder="1" applyAlignment="1">
      <alignment horizontal="center" vertical="center" wrapText="1"/>
    </xf>
    <xf numFmtId="1" fontId="18" fillId="28" borderId="9" xfId="0" applyNumberFormat="1" applyFont="1" applyFill="1" applyBorder="1" applyAlignment="1">
      <alignment horizontal="center" vertical="center" shrinkToFit="1"/>
    </xf>
    <xf numFmtId="49" fontId="18" fillId="28" borderId="9" xfId="0" applyNumberFormat="1" applyFont="1" applyFill="1" applyBorder="1" applyAlignment="1">
      <alignment horizontal="left" vertical="center" wrapText="1"/>
    </xf>
    <xf numFmtId="42" fontId="21" fillId="28" borderId="9" xfId="3" applyFont="1" applyFill="1" applyBorder="1" applyAlignment="1">
      <alignment horizontal="center" vertical="center"/>
    </xf>
    <xf numFmtId="42" fontId="19" fillId="28" borderId="9" xfId="0" applyNumberFormat="1" applyFont="1" applyFill="1" applyBorder="1" applyAlignment="1">
      <alignment horizontal="center" vertical="center" wrapText="1"/>
    </xf>
    <xf numFmtId="42" fontId="21" fillId="28" borderId="0" xfId="3" applyFont="1" applyFill="1" applyAlignment="1">
      <alignment horizontal="center" vertical="center"/>
    </xf>
    <xf numFmtId="171" fontId="3" fillId="0" borderId="0" xfId="0" applyNumberFormat="1" applyFont="1"/>
    <xf numFmtId="165" fontId="0" fillId="28" borderId="0" xfId="0" applyNumberFormat="1" applyFill="1" applyAlignment="1">
      <alignment horizontal="center" vertical="center"/>
    </xf>
    <xf numFmtId="44" fontId="0" fillId="11" borderId="0" xfId="0" applyNumberFormat="1" applyFill="1"/>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29" fillId="13" borderId="19" xfId="4" applyFont="1" applyFill="1" applyBorder="1" applyAlignment="1" applyProtection="1">
      <alignment horizontal="center" vertical="center" wrapText="1"/>
      <protection locked="0" hidden="1"/>
    </xf>
    <xf numFmtId="0" fontId="37" fillId="19" borderId="4" xfId="0" applyFont="1" applyFill="1" applyBorder="1" applyAlignment="1">
      <alignment horizontal="center" vertical="center" wrapText="1"/>
    </xf>
    <xf numFmtId="0" fontId="37" fillId="19" borderId="20" xfId="0" applyFont="1" applyFill="1" applyBorder="1" applyAlignment="1">
      <alignment horizontal="center" vertical="center" wrapText="1"/>
    </xf>
    <xf numFmtId="0" fontId="10" fillId="3" borderId="0" xfId="7" applyFont="1" applyFill="1" applyAlignment="1">
      <alignment horizontal="center" vertical="center" wrapText="1"/>
    </xf>
    <xf numFmtId="0" fontId="10" fillId="3" borderId="25" xfId="7" applyFont="1" applyFill="1" applyBorder="1" applyAlignment="1">
      <alignment horizontal="center" vertical="center" wrapText="1"/>
    </xf>
    <xf numFmtId="0" fontId="37" fillId="19" borderId="4" xfId="7" applyFont="1" applyFill="1" applyBorder="1" applyAlignment="1">
      <alignment horizontal="center" vertical="center"/>
    </xf>
    <xf numFmtId="0" fontId="37" fillId="19" borderId="20" xfId="7" applyFont="1" applyFill="1" applyBorder="1" applyAlignment="1">
      <alignment horizontal="center" vertical="center"/>
    </xf>
    <xf numFmtId="0" fontId="37" fillId="19" borderId="15" xfId="7" applyFont="1" applyFill="1" applyBorder="1" applyAlignment="1">
      <alignment horizontal="center" vertical="center"/>
    </xf>
    <xf numFmtId="0" fontId="37" fillId="6" borderId="4" xfId="7" applyFont="1" applyFill="1" applyBorder="1" applyAlignment="1">
      <alignment horizontal="center" vertical="center"/>
    </xf>
    <xf numFmtId="0" fontId="37" fillId="6" borderId="20" xfId="7" applyFont="1" applyFill="1" applyBorder="1" applyAlignment="1">
      <alignment horizontal="center" vertical="center"/>
    </xf>
    <xf numFmtId="0" fontId="37" fillId="19" borderId="4" xfId="0" applyFont="1" applyFill="1" applyBorder="1" applyAlignment="1">
      <alignment horizontal="center" vertical="center"/>
    </xf>
    <xf numFmtId="0" fontId="37" fillId="19" borderId="20" xfId="0" applyFont="1" applyFill="1" applyBorder="1" applyAlignment="1">
      <alignment horizontal="center" vertical="center"/>
    </xf>
    <xf numFmtId="0" fontId="10" fillId="18" borderId="26" xfId="7" applyFont="1" applyFill="1" applyBorder="1" applyAlignment="1">
      <alignment horizontal="center" vertical="center" wrapText="1"/>
    </xf>
    <xf numFmtId="0" fontId="10" fillId="18" borderId="0" xfId="7" applyFont="1" applyFill="1" applyAlignment="1">
      <alignment horizontal="center" vertical="center" wrapText="1"/>
    </xf>
    <xf numFmtId="0" fontId="30" fillId="17" borderId="13" xfId="0" applyFont="1" applyFill="1" applyBorder="1" applyAlignment="1">
      <alignment horizontal="right" vertical="center"/>
    </xf>
    <xf numFmtId="0" fontId="30" fillId="17" borderId="21" xfId="0" applyFont="1" applyFill="1" applyBorder="1" applyAlignment="1">
      <alignment horizontal="right" vertical="center"/>
    </xf>
    <xf numFmtId="0" fontId="30" fillId="17" borderId="14" xfId="0" applyFont="1" applyFill="1" applyBorder="1" applyAlignment="1">
      <alignment horizontal="right" vertical="center"/>
    </xf>
    <xf numFmtId="167" fontId="26" fillId="13" borderId="22" xfId="4" applyNumberFormat="1" applyFont="1" applyFill="1" applyBorder="1" applyAlignment="1" applyProtection="1">
      <alignment horizontal="center" vertical="center" wrapText="1"/>
      <protection locked="0"/>
    </xf>
    <xf numFmtId="167" fontId="26" fillId="13" borderId="23" xfId="4" applyNumberFormat="1" applyFont="1" applyFill="1" applyBorder="1" applyAlignment="1" applyProtection="1">
      <alignment horizontal="center" vertical="center" wrapText="1"/>
      <protection locked="0"/>
    </xf>
    <xf numFmtId="167" fontId="26" fillId="13" borderId="24" xfId="4" applyNumberFormat="1" applyFont="1" applyFill="1" applyBorder="1" applyAlignment="1" applyProtection="1">
      <alignment horizontal="center" vertical="center" wrapText="1"/>
      <protection locked="0"/>
    </xf>
    <xf numFmtId="167" fontId="26" fillId="13" borderId="11" xfId="4" applyNumberFormat="1" applyFont="1" applyFill="1" applyBorder="1" applyAlignment="1" applyProtection="1">
      <alignment horizontal="center" vertical="center" wrapText="1"/>
      <protection locked="0"/>
    </xf>
    <xf numFmtId="167" fontId="26" fillId="13" borderId="12" xfId="4" applyNumberFormat="1" applyFont="1" applyFill="1" applyBorder="1" applyAlignment="1" applyProtection="1">
      <alignment horizontal="center" vertical="center" wrapText="1"/>
      <protection locked="0"/>
    </xf>
    <xf numFmtId="167" fontId="26" fillId="13" borderId="10" xfId="4" applyNumberFormat="1" applyFont="1" applyFill="1" applyBorder="1" applyAlignment="1" applyProtection="1">
      <alignment horizontal="center" vertical="center" wrapText="1"/>
      <protection locked="0"/>
    </xf>
    <xf numFmtId="0" fontId="25" fillId="6" borderId="16" xfId="0" applyFont="1" applyFill="1" applyBorder="1" applyAlignment="1">
      <alignment horizontal="center"/>
    </xf>
    <xf numFmtId="0" fontId="12" fillId="0" borderId="0" xfId="0" applyFont="1" applyAlignment="1" applyProtection="1">
      <alignment horizontal="left" vertical="top" wrapText="1"/>
      <protection hidden="1"/>
    </xf>
    <xf numFmtId="0" fontId="15" fillId="0" borderId="0" xfId="0" applyFont="1" applyAlignment="1" applyProtection="1">
      <alignment horizontal="center" vertical="center"/>
      <protection hidden="1"/>
    </xf>
    <xf numFmtId="0" fontId="15" fillId="0" borderId="6" xfId="0" applyFont="1" applyBorder="1" applyAlignment="1" applyProtection="1">
      <alignment horizontal="center" vertical="center"/>
      <protection hidden="1"/>
    </xf>
    <xf numFmtId="0" fontId="25" fillId="32" borderId="0" xfId="0" applyFont="1" applyFill="1" applyAlignment="1">
      <alignment horizontal="center" vertical="center"/>
    </xf>
  </cellXfs>
  <cellStyles count="10">
    <cellStyle name="Excel Built-in Normal" xfId="8" xr:uid="{00000000-0005-0000-0000-000000000000}"/>
    <cellStyle name="Millares" xfId="2" builtinId="3"/>
    <cellStyle name="Millares [0] 3" xfId="6" xr:uid="{00000000-0005-0000-0000-000002000000}"/>
    <cellStyle name="Moneda" xfId="1" builtinId="4"/>
    <cellStyle name="Moneda [0]" xfId="3" builtinId="7"/>
    <cellStyle name="Normal" xfId="0" builtinId="0"/>
    <cellStyle name="Normal 10 2" xfId="4" xr:uid="{00000000-0005-0000-0000-000006000000}"/>
    <cellStyle name="Normal 12" xfId="7" xr:uid="{00000000-0005-0000-0000-000007000000}"/>
    <cellStyle name="Porcentaje" xfId="9" builtinId="5"/>
    <cellStyle name="Porcentaje 4" xfId="5" xr:uid="{00000000-0005-0000-0000-000009000000}"/>
  </cellStyles>
  <dxfs count="942">
    <dxf>
      <font>
        <color rgb="FF9C0006"/>
      </font>
      <fill>
        <patternFill>
          <bgColor rgb="FFFFC7CE"/>
        </patternFill>
      </fill>
    </dxf>
    <dxf>
      <font>
        <color rgb="FF9C0006"/>
      </font>
      <fill>
        <patternFill>
          <bgColor rgb="FFFFC7CE"/>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auto="1"/>
      </font>
      <fill>
        <patternFill>
          <bgColor rgb="FFFFFF00"/>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ont>
        <b/>
        <i val="0"/>
        <color auto="1"/>
      </font>
      <fill>
        <patternFill>
          <bgColor rgb="FFFFFF00"/>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theme="0"/>
      </font>
      <fill>
        <patternFill>
          <bgColor rgb="FF00206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theme="0"/>
      </font>
      <fill>
        <patternFill>
          <bgColor rgb="FF00206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b/>
        <i val="0"/>
        <color theme="0"/>
      </font>
      <fill>
        <patternFill>
          <bgColor rgb="FF009999"/>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theme="0"/>
      </font>
    </dxf>
    <dxf>
      <font>
        <color rgb="FFE6F8FE"/>
      </font>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theme="0"/>
      </font>
      <fill>
        <patternFill>
          <bgColor rgb="FF00206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b/>
        <i val="0"/>
        <color theme="0"/>
      </font>
      <fill>
        <patternFill>
          <bgColor rgb="FF009999"/>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rgb="FF00FF99"/>
        </patternFill>
      </fill>
    </dxf>
    <dxf>
      <fill>
        <patternFill>
          <bgColor rgb="FF00FFFF"/>
        </patternFill>
      </fill>
    </dxf>
    <dxf>
      <fill>
        <patternFill>
          <bgColor theme="9" tint="0.39994506668294322"/>
        </patternFill>
      </fill>
    </dxf>
    <dxf>
      <font>
        <color rgb="FF9C0006"/>
      </font>
      <fill>
        <patternFill>
          <bgColor rgb="FFFFC7CE"/>
        </patternFill>
      </fill>
    </dxf>
    <dxf>
      <font>
        <color rgb="FF9C0006"/>
      </font>
      <fill>
        <patternFill>
          <bgColor rgb="FFFFC7CE"/>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theme="0"/>
      </font>
      <fill>
        <patternFill>
          <bgColor rgb="FF00206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b/>
        <i val="0"/>
        <color theme="0"/>
      </font>
      <fill>
        <patternFill>
          <bgColor rgb="FF009999"/>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rgb="FF00FF99"/>
        </patternFill>
      </fill>
    </dxf>
    <dxf>
      <fill>
        <patternFill>
          <bgColor rgb="FF00FFFF"/>
        </patternFill>
      </fill>
    </dxf>
    <dxf>
      <fill>
        <patternFill>
          <bgColor theme="9"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theme="0"/>
      </font>
      <fill>
        <patternFill>
          <bgColor rgb="FF00206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b/>
        <i val="0"/>
        <color theme="0"/>
      </font>
      <fill>
        <patternFill>
          <bgColor rgb="FF009999"/>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rgb="FF00FF99"/>
        </patternFill>
      </fill>
    </dxf>
    <dxf>
      <fill>
        <patternFill>
          <bgColor rgb="FF00FFFF"/>
        </patternFill>
      </fill>
    </dxf>
    <dxf>
      <fill>
        <patternFill>
          <bgColor theme="9"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theme="0"/>
      </font>
      <fill>
        <patternFill>
          <bgColor rgb="FF00206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b/>
        <i val="0"/>
        <color theme="0"/>
      </font>
      <fill>
        <patternFill>
          <bgColor rgb="FF009999"/>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rgb="FF00FF99"/>
        </patternFill>
      </fill>
    </dxf>
    <dxf>
      <fill>
        <patternFill>
          <bgColor rgb="FF00FFFF"/>
        </patternFill>
      </fill>
    </dxf>
    <dxf>
      <fill>
        <patternFill>
          <bgColor theme="9" tint="0.39994506668294322"/>
        </patternFill>
      </fill>
    </dxf>
    <dxf>
      <font>
        <color rgb="FF9C0006"/>
      </font>
      <fill>
        <patternFill>
          <bgColor rgb="FFFFC7CE"/>
        </patternFill>
      </fill>
    </dxf>
    <dxf>
      <font>
        <color rgb="FF9C0006"/>
      </font>
      <fill>
        <patternFill>
          <bgColor rgb="FFFFC7CE"/>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theme="0"/>
      </font>
      <fill>
        <patternFill>
          <bgColor rgb="FF00206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b/>
        <i val="0"/>
        <color theme="0"/>
      </font>
      <fill>
        <patternFill>
          <bgColor rgb="FF009999"/>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rgb="FF00FF99"/>
        </patternFill>
      </fill>
    </dxf>
    <dxf>
      <fill>
        <patternFill>
          <bgColor rgb="FF00FFFF"/>
        </patternFill>
      </fill>
    </dxf>
    <dxf>
      <fill>
        <patternFill>
          <bgColor theme="9"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theme="0"/>
      </font>
      <fill>
        <patternFill>
          <bgColor rgb="FF00206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b/>
        <i val="0"/>
        <color theme="0"/>
      </font>
      <fill>
        <patternFill>
          <bgColor rgb="FF009999"/>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rgb="FF00FF99"/>
        </patternFill>
      </fill>
    </dxf>
    <dxf>
      <fill>
        <patternFill>
          <bgColor rgb="FF00FFFF"/>
        </patternFill>
      </fill>
    </dxf>
    <dxf>
      <fill>
        <patternFill>
          <bgColor theme="9"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auto="1"/>
      </font>
      <fill>
        <patternFill>
          <bgColor rgb="FFFFFF00"/>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ont>
        <b/>
        <i val="0"/>
        <color auto="1"/>
      </font>
      <fill>
        <patternFill>
          <bgColor rgb="FFFFFF00"/>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theme="0"/>
      </font>
      <fill>
        <patternFill>
          <bgColor rgb="FF00206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b/>
        <i val="0"/>
        <color theme="0"/>
      </font>
      <fill>
        <patternFill>
          <bgColor rgb="FF009999"/>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rgb="FF00FF99"/>
        </patternFill>
      </fill>
    </dxf>
    <dxf>
      <fill>
        <patternFill>
          <bgColor rgb="FF00FFFF"/>
        </patternFill>
      </fill>
    </dxf>
    <dxf>
      <fill>
        <patternFill>
          <bgColor theme="9"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auto="1"/>
      </font>
      <fill>
        <patternFill>
          <bgColor rgb="FFFFFF00"/>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ont>
        <b/>
        <i val="0"/>
        <color auto="1"/>
      </font>
      <fill>
        <patternFill>
          <bgColor rgb="FFFFFF00"/>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b/>
        <i val="0"/>
        <color theme="0"/>
      </font>
      <fill>
        <patternFill>
          <bgColor rgb="FF00B0F0"/>
        </patternFill>
      </fill>
    </dxf>
    <dxf>
      <font>
        <b/>
        <i val="0"/>
        <color auto="1"/>
      </font>
      <fill>
        <patternFill>
          <bgColor rgb="FFFFFF00"/>
        </patternFill>
      </fill>
    </dxf>
    <dxf>
      <font>
        <b/>
        <i val="0"/>
        <color theme="0"/>
      </font>
      <fill>
        <patternFill>
          <bgColor theme="9" tint="0.39994506668294322"/>
        </patternFill>
      </fill>
    </dxf>
    <dxf>
      <font>
        <b/>
        <i val="0"/>
        <color theme="0"/>
      </font>
      <fill>
        <patternFill>
          <bgColor rgb="FFFF0000"/>
        </patternFill>
      </fill>
    </dxf>
    <dxf>
      <font>
        <b/>
        <i val="0"/>
        <color theme="0"/>
      </font>
      <fill>
        <patternFill>
          <bgColor theme="5" tint="-0.24994659260841701"/>
        </patternFill>
      </fill>
    </dxf>
    <dxf>
      <font>
        <b/>
        <i val="0"/>
        <color theme="0"/>
      </font>
      <fill>
        <patternFill>
          <bgColor rgb="FF00B050"/>
        </patternFill>
      </fill>
    </dxf>
    <dxf>
      <font>
        <b/>
        <i val="0"/>
        <color theme="0"/>
      </font>
      <fill>
        <patternFill>
          <bgColor rgb="FF002060"/>
        </patternFill>
      </fill>
    </dxf>
    <dxf>
      <font>
        <b/>
        <i val="0"/>
        <color theme="0"/>
      </font>
      <fill>
        <patternFill>
          <bgColor rgb="FF0070C0"/>
        </patternFill>
      </fill>
    </dxf>
    <dxf>
      <font>
        <b/>
        <i val="0"/>
        <color theme="0"/>
      </font>
      <fill>
        <patternFill>
          <bgColor rgb="FF7030A0"/>
        </patternFill>
      </fill>
    </dxf>
    <dxf>
      <font>
        <b/>
        <i val="0"/>
        <color theme="0"/>
      </font>
      <fill>
        <patternFill>
          <bgColor theme="1"/>
        </patternFill>
      </fill>
    </dxf>
    <dxf>
      <font>
        <b/>
        <i val="0"/>
        <color auto="1"/>
      </font>
      <fill>
        <patternFill patternType="none">
          <bgColor auto="1"/>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color rgb="FF9C0006"/>
      </font>
      <fill>
        <patternFill>
          <bgColor rgb="FFFFC7CE"/>
        </patternFill>
      </fill>
    </dxf>
    <dxf>
      <fill>
        <patternFill>
          <bgColor theme="0" tint="-0.24994659260841701"/>
        </patternFill>
      </fill>
    </dxf>
    <dxf>
      <font>
        <b/>
        <i val="0"/>
        <color theme="1"/>
      </font>
      <fill>
        <patternFill>
          <bgColor rgb="FFFFFF00"/>
        </patternFill>
      </fill>
    </dxf>
    <dxf>
      <font>
        <b/>
        <i val="0"/>
        <color auto="1"/>
      </font>
      <fill>
        <patternFill>
          <bgColor rgb="FFCCECFF"/>
        </patternFill>
      </fill>
    </dxf>
    <dxf>
      <font>
        <b/>
        <i val="0"/>
        <color auto="1"/>
      </font>
      <fill>
        <patternFill>
          <bgColor rgb="FFFFFF00"/>
        </patternFill>
      </fill>
    </dxf>
    <dxf>
      <font>
        <b/>
        <i val="0"/>
        <color theme="0"/>
      </font>
      <fill>
        <patternFill>
          <bgColor rgb="FFFF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F0"/>
        </patternFill>
      </fill>
    </dxf>
    <dxf>
      <font>
        <b/>
        <i val="0"/>
        <color theme="0"/>
      </font>
      <fill>
        <patternFill>
          <bgColor theme="0" tint="-0.34998626667073579"/>
        </patternFill>
      </fill>
    </dxf>
    <dxf>
      <font>
        <b/>
        <i val="0"/>
        <color theme="0"/>
      </font>
      <fill>
        <patternFill>
          <bgColor rgb="FF7030A0"/>
        </patternFill>
      </fill>
    </dxf>
    <dxf>
      <font>
        <b/>
        <i val="0"/>
        <color theme="0"/>
      </font>
      <fill>
        <patternFill>
          <bgColor rgb="FF002060"/>
        </patternFill>
      </fill>
    </dxf>
    <dxf>
      <font>
        <b/>
        <i val="0"/>
        <color auto="1"/>
      </font>
      <fill>
        <patternFill>
          <bgColor rgb="FFFF66FF"/>
        </patternFill>
      </fill>
    </dxf>
    <dxf>
      <font>
        <b/>
        <i val="0"/>
        <color theme="1"/>
      </font>
      <fill>
        <patternFill>
          <bgColor rgb="FFFFC000"/>
        </patternFill>
      </fill>
    </dxf>
    <dxf>
      <font>
        <b/>
        <i val="0"/>
        <color theme="0"/>
      </font>
      <fill>
        <patternFill>
          <bgColor rgb="FF7030A0"/>
        </patternFill>
      </fill>
    </dxf>
    <dxf>
      <fill>
        <patternFill>
          <bgColor theme="0" tint="-0.34998626667073579"/>
        </patternFill>
      </fill>
    </dxf>
    <dxf>
      <font>
        <b/>
        <i val="0"/>
        <color theme="0"/>
      </font>
      <fill>
        <patternFill>
          <bgColor rgb="FF009999"/>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rgb="FF00FF99"/>
        </patternFill>
      </fill>
    </dxf>
    <dxf>
      <fill>
        <patternFill>
          <bgColor rgb="FF00FFFF"/>
        </patternFill>
      </fill>
    </dxf>
    <dxf>
      <fill>
        <patternFill>
          <bgColor theme="9"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s>
  <tableStyles count="0" defaultTableStyle="TableStyleMedium2" defaultPivotStyle="PivotStyleLight16"/>
  <colors>
    <mruColors>
      <color rgb="FF66FFFF"/>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crodriguez\OneDrive%20-%20Serviasesorias%20SAS\Documentos\JUAN%20CARLOS%20OPERACIONES%202025\ALCALDIA%20DE%20BOGOTA\PREFACTURA%20%20MARZO%20%20ALCALDIA%20MAYOR%20DE%20BOGOTA%2016-03-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crodriguez\OneDrive%20-%20Serviasesorias%20SAS\Documentos\JUAN%20CARLOS%20OPERACIONES%202025\ALCALDIA%20DE%20BOGOTA\7.%20JULIO\PLANILLA%20CONTROL%20PERSONAL%20JULIO%20ALCALDIA%20SUPERVISOR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jcrodriguez\OneDrive%20-%20Serviasesorias%20SAS\Documentos\DIAN\NOMINA%20COORDINADORES%20ENERO%20202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jcrodriguez\OneDrive%20-%20Serviasesorias%20SAS\Documentos\JUAN%20CARLOS%20OPERACIONES%202025\ALCALDIA%20DE%20BOGOTA\INSUMOS%20FEBRERO%20ALCALDI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jcrodriguez\OneDrive%20-%20Serviasesorias%20SAS\Documentos\JUAN%20CARLOS%20OPERACIONES%202025\ALCALDIA%20DE%20BOGOTA\PREFACTURA%20%20MARZO%20%20ALCALDIA%20MAYOR%20DE%20BOGOTA%2015-04-2025%20DEFINITIV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jcrodriguez\OneDrive%20-%20Serviasesorias%20SAS\Documentos\JUAN%20CARLOS%20OPERACIONES%202025\ALCALDIA%20DE%20BOGOTA\PREFACTURA%20%20FEBRERO%20%20ALCALDIA%20MAYOR%20DE%20BOGOT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jcrodriguez\Downloads\CONRTROL%20PERSONAL%20ALCALDIA%20DE%20BOGOTA.%20AB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 FACTURA ENERO"/>
      <sheetName val="PRE FACTURA FEBRERO"/>
      <sheetName val="NOM"/>
      <sheetName val="PRE FACTURA MARZO"/>
      <sheetName val="RUBROS"/>
      <sheetName val="MAQ POR SEDES MARZO"/>
      <sheetName val="INSUMOS DISCRIMINADOS"/>
      <sheetName val="NOMINA FEBRERO"/>
      <sheetName val="INSUMO POR SEDES MARZO"/>
      <sheetName val="NOMINA MARZO"/>
      <sheetName val="PERSONAL MARZO"/>
      <sheetName val="PERSONAL FEBRERO"/>
      <sheetName val="PERSONAL"/>
      <sheetName val="PERSONAL FEBRERO (Sup)"/>
      <sheetName val="PERSONAL (2)"/>
      <sheetName val="BD"/>
      <sheetName val="RUBROS COPIA"/>
      <sheetName val="INSUMO POR SEDES MARZO PRUEBA"/>
      <sheetName val="PEDIDO MARZO"/>
      <sheetName val="INSUMOS MARZO"/>
      <sheetName val="Z21"/>
      <sheetName val="COT"/>
      <sheetName val="COT (2)"/>
      <sheetName val="SALARIO 2026"/>
      <sheetName val="Incluir en segunda"/>
      <sheetName val="NOMINA MARZO Q"/>
    </sheetNames>
    <sheetDataSet>
      <sheetData sheetId="0"/>
      <sheetData sheetId="1"/>
      <sheetData sheetId="2"/>
      <sheetData sheetId="3"/>
      <sheetData sheetId="4"/>
      <sheetData sheetId="5"/>
      <sheetData sheetId="6"/>
      <sheetData sheetId="7"/>
      <sheetData sheetId="8">
        <row r="110">
          <cell r="CO110">
            <v>60898185.6589977</v>
          </cell>
        </row>
      </sheetData>
      <sheetData sheetId="9"/>
      <sheetData sheetId="10"/>
      <sheetData sheetId="11"/>
      <sheetData sheetId="12"/>
      <sheetData sheetId="13"/>
      <sheetData sheetId="14"/>
      <sheetData sheetId="15"/>
      <sheetData sheetId="16"/>
      <sheetData sheetId="17">
        <row r="6">
          <cell r="B6">
            <v>3</v>
          </cell>
          <cell r="C6" t="str">
            <v xml:space="preserve">Jabones líquidos para lavar </v>
          </cell>
          <cell r="D6" t="str">
            <v>Jabón para loza 1 (Compra)</v>
          </cell>
          <cell r="E6">
            <v>30</v>
          </cell>
          <cell r="F6">
            <v>38</v>
          </cell>
          <cell r="G6">
            <v>8</v>
          </cell>
          <cell r="H6">
            <v>0</v>
          </cell>
          <cell r="I6">
            <v>7268.7160000000003</v>
          </cell>
          <cell r="J6">
            <v>0</v>
          </cell>
          <cell r="K6">
            <v>10</v>
          </cell>
          <cell r="L6">
            <v>7268.7160000000003</v>
          </cell>
          <cell r="M6">
            <v>72687.16</v>
          </cell>
          <cell r="N6">
            <v>2</v>
          </cell>
          <cell r="O6">
            <v>7268.7160000000003</v>
          </cell>
          <cell r="P6">
            <v>14537.432000000001</v>
          </cell>
          <cell r="Q6">
            <v>0</v>
          </cell>
          <cell r="R6">
            <v>7268.7160000000003</v>
          </cell>
          <cell r="S6">
            <v>0</v>
          </cell>
          <cell r="T6">
            <v>0</v>
          </cell>
          <cell r="U6">
            <v>7268.7160000000003</v>
          </cell>
          <cell r="V6">
            <v>0</v>
          </cell>
          <cell r="W6">
            <v>0</v>
          </cell>
          <cell r="X6">
            <v>7268.7160000000003</v>
          </cell>
          <cell r="Y6">
            <v>0</v>
          </cell>
          <cell r="Z6">
            <v>0</v>
          </cell>
          <cell r="AA6">
            <v>7268.7160000000003</v>
          </cell>
          <cell r="AB6">
            <v>0</v>
          </cell>
          <cell r="AC6">
            <v>0</v>
          </cell>
          <cell r="AD6">
            <v>7268.7160000000003</v>
          </cell>
          <cell r="AE6">
            <v>0</v>
          </cell>
          <cell r="AF6">
            <v>0</v>
          </cell>
          <cell r="AG6">
            <v>7268.7160000000003</v>
          </cell>
          <cell r="AH6">
            <v>0</v>
          </cell>
          <cell r="AI6">
            <v>5</v>
          </cell>
          <cell r="AJ6">
            <v>7268.7160000000003</v>
          </cell>
          <cell r="AK6">
            <v>36343.58</v>
          </cell>
          <cell r="AL6">
            <v>3</v>
          </cell>
          <cell r="AM6">
            <v>7268.7160000000003</v>
          </cell>
          <cell r="AN6">
            <v>21806.148000000001</v>
          </cell>
          <cell r="AO6">
            <v>2</v>
          </cell>
          <cell r="AP6">
            <v>7268.7160000000003</v>
          </cell>
          <cell r="AQ6">
            <v>14537.432000000001</v>
          </cell>
          <cell r="AR6">
            <v>2</v>
          </cell>
          <cell r="AS6">
            <v>7268.7160000000003</v>
          </cell>
          <cell r="AT6">
            <v>14537.432000000001</v>
          </cell>
          <cell r="AU6">
            <v>1</v>
          </cell>
          <cell r="AV6">
            <v>14727.663</v>
          </cell>
          <cell r="AW6">
            <v>14727.663</v>
          </cell>
          <cell r="AX6">
            <v>2</v>
          </cell>
          <cell r="AY6">
            <v>7268.7160000000003</v>
          </cell>
          <cell r="AZ6">
            <v>14537.432000000001</v>
          </cell>
          <cell r="BA6">
            <v>0</v>
          </cell>
          <cell r="BB6">
            <v>7268.7160000000003</v>
          </cell>
          <cell r="BC6">
            <v>0</v>
          </cell>
          <cell r="BD6">
            <v>3</v>
          </cell>
          <cell r="BE6">
            <v>7268.7160000000003</v>
          </cell>
          <cell r="BF6">
            <v>21806.148000000001</v>
          </cell>
          <cell r="BG6">
            <v>0</v>
          </cell>
          <cell r="BH6">
            <v>7268.7160000000003</v>
          </cell>
          <cell r="BI6">
            <v>0</v>
          </cell>
          <cell r="BJ6">
            <v>4</v>
          </cell>
          <cell r="BK6">
            <v>7268.7160000000003</v>
          </cell>
          <cell r="BL6">
            <v>29074.864000000001</v>
          </cell>
          <cell r="BM6">
            <v>0</v>
          </cell>
          <cell r="BN6">
            <v>7268.7160000000003</v>
          </cell>
          <cell r="BO6">
            <v>0</v>
          </cell>
          <cell r="BP6">
            <v>4</v>
          </cell>
          <cell r="BQ6">
            <v>7268.7160000000003</v>
          </cell>
          <cell r="BR6">
            <v>29074.864000000001</v>
          </cell>
          <cell r="BS6">
            <v>0</v>
          </cell>
          <cell r="BT6">
            <v>7268.7160000000003</v>
          </cell>
          <cell r="BU6">
            <v>0</v>
          </cell>
          <cell r="BV6">
            <v>0</v>
          </cell>
          <cell r="BW6">
            <v>7268.7160000000003</v>
          </cell>
          <cell r="BX6">
            <v>0</v>
          </cell>
          <cell r="BY6">
            <v>0</v>
          </cell>
          <cell r="BZ6">
            <v>7268.7160000000003</v>
          </cell>
          <cell r="CA6">
            <v>0</v>
          </cell>
          <cell r="CB6">
            <v>0</v>
          </cell>
          <cell r="CC6">
            <v>7268.7160000000003</v>
          </cell>
          <cell r="CD6">
            <v>0</v>
          </cell>
        </row>
        <row r="7">
          <cell r="B7">
            <v>5</v>
          </cell>
          <cell r="C7" t="str">
            <v>Jabones en pasta para lavar</v>
          </cell>
          <cell r="D7" t="str">
            <v>Jabón para loza 3 (Compra)</v>
          </cell>
          <cell r="E7">
            <v>6</v>
          </cell>
          <cell r="F7">
            <v>7</v>
          </cell>
          <cell r="G7">
            <v>1</v>
          </cell>
          <cell r="H7">
            <v>0</v>
          </cell>
          <cell r="I7">
            <v>6494.1289999999999</v>
          </cell>
          <cell r="J7">
            <v>0</v>
          </cell>
          <cell r="K7">
            <v>0</v>
          </cell>
          <cell r="L7">
            <v>6494.1289999999999</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4</v>
          </cell>
          <cell r="AJ7">
            <v>6494.1289999999999</v>
          </cell>
          <cell r="AK7">
            <v>25976.516</v>
          </cell>
          <cell r="AL7">
            <v>0</v>
          </cell>
          <cell r="AM7">
            <v>0</v>
          </cell>
          <cell r="AN7">
            <v>0</v>
          </cell>
          <cell r="AO7">
            <v>0</v>
          </cell>
          <cell r="AP7">
            <v>6494.1289999999999</v>
          </cell>
          <cell r="AQ7">
            <v>0</v>
          </cell>
          <cell r="AR7">
            <v>0</v>
          </cell>
          <cell r="AS7">
            <v>0</v>
          </cell>
          <cell r="AT7">
            <v>0</v>
          </cell>
          <cell r="AU7">
            <v>1</v>
          </cell>
          <cell r="AV7">
            <v>6494.1289999999999</v>
          </cell>
          <cell r="AW7">
            <v>6494.1289999999999</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2</v>
          </cell>
          <cell r="BW7">
            <v>6494.1289999999999</v>
          </cell>
          <cell r="BX7">
            <v>12988.258</v>
          </cell>
          <cell r="BY7">
            <v>0</v>
          </cell>
          <cell r="BZ7">
            <v>0</v>
          </cell>
          <cell r="CA7">
            <v>0</v>
          </cell>
          <cell r="CB7">
            <v>0</v>
          </cell>
          <cell r="CC7">
            <v>0</v>
          </cell>
          <cell r="CD7">
            <v>0</v>
          </cell>
        </row>
        <row r="8">
          <cell r="B8">
            <v>8</v>
          </cell>
          <cell r="C8" t="str">
            <v>Jabones en pasta para lavar</v>
          </cell>
          <cell r="D8" t="str">
            <v>Jabón en barra azul (Compra)</v>
          </cell>
          <cell r="E8">
            <v>116</v>
          </cell>
          <cell r="F8">
            <v>72</v>
          </cell>
          <cell r="G8">
            <v>-44</v>
          </cell>
          <cell r="H8">
            <v>15</v>
          </cell>
          <cell r="I8">
            <v>2211.3040000000001</v>
          </cell>
          <cell r="J8">
            <v>33169.56</v>
          </cell>
          <cell r="K8">
            <v>8</v>
          </cell>
          <cell r="L8">
            <v>2211.3040000000001</v>
          </cell>
          <cell r="M8">
            <v>17690.432000000001</v>
          </cell>
          <cell r="N8">
            <v>4</v>
          </cell>
          <cell r="O8">
            <v>2211.3040000000001</v>
          </cell>
          <cell r="P8">
            <v>8845.2160000000003</v>
          </cell>
          <cell r="Q8">
            <v>0</v>
          </cell>
          <cell r="R8">
            <v>0</v>
          </cell>
          <cell r="S8">
            <v>0</v>
          </cell>
          <cell r="T8">
            <v>0</v>
          </cell>
          <cell r="U8">
            <v>0</v>
          </cell>
          <cell r="V8">
            <v>0</v>
          </cell>
          <cell r="W8">
            <v>6</v>
          </cell>
          <cell r="X8">
            <v>2211.3040000000001</v>
          </cell>
          <cell r="Y8">
            <v>13267.824000000001</v>
          </cell>
          <cell r="Z8">
            <v>5</v>
          </cell>
          <cell r="AA8">
            <v>2211.3040000000001</v>
          </cell>
          <cell r="AB8">
            <v>11056.52</v>
          </cell>
          <cell r="AC8">
            <v>0</v>
          </cell>
          <cell r="AD8">
            <v>0</v>
          </cell>
          <cell r="AE8">
            <v>0</v>
          </cell>
          <cell r="AF8">
            <v>0</v>
          </cell>
          <cell r="AG8">
            <v>0</v>
          </cell>
          <cell r="AH8">
            <v>0</v>
          </cell>
          <cell r="AI8">
            <v>5</v>
          </cell>
          <cell r="AJ8">
            <v>2211.3040000000001</v>
          </cell>
          <cell r="AK8">
            <v>11056.52</v>
          </cell>
          <cell r="AL8">
            <v>2</v>
          </cell>
          <cell r="AM8">
            <v>2211.3040000000001</v>
          </cell>
          <cell r="AN8">
            <v>4422.6080000000002</v>
          </cell>
          <cell r="AO8">
            <v>2</v>
          </cell>
          <cell r="AP8">
            <v>2211.3040000000001</v>
          </cell>
          <cell r="AQ8">
            <v>4422.6080000000002</v>
          </cell>
          <cell r="AR8">
            <v>0</v>
          </cell>
          <cell r="AS8">
            <v>0</v>
          </cell>
          <cell r="AT8">
            <v>0</v>
          </cell>
          <cell r="AU8">
            <v>0</v>
          </cell>
          <cell r="AV8">
            <v>0</v>
          </cell>
          <cell r="AW8">
            <v>0</v>
          </cell>
          <cell r="AX8">
            <v>0</v>
          </cell>
          <cell r="AY8">
            <v>0</v>
          </cell>
          <cell r="AZ8">
            <v>0</v>
          </cell>
          <cell r="BA8">
            <v>0</v>
          </cell>
          <cell r="BB8">
            <v>0</v>
          </cell>
          <cell r="BC8">
            <v>0</v>
          </cell>
          <cell r="BD8">
            <v>5</v>
          </cell>
          <cell r="BE8">
            <v>2211.3040000000001</v>
          </cell>
          <cell r="BF8">
            <v>11056.52</v>
          </cell>
          <cell r="BG8">
            <v>0</v>
          </cell>
          <cell r="BH8">
            <v>0</v>
          </cell>
          <cell r="BI8">
            <v>0</v>
          </cell>
          <cell r="BJ8">
            <v>5</v>
          </cell>
          <cell r="BK8">
            <v>2211.3040000000001</v>
          </cell>
          <cell r="BL8">
            <v>11056.52</v>
          </cell>
          <cell r="BM8">
            <v>0</v>
          </cell>
          <cell r="BN8">
            <v>0</v>
          </cell>
          <cell r="BO8">
            <v>0</v>
          </cell>
          <cell r="BP8">
            <v>5</v>
          </cell>
          <cell r="BQ8">
            <v>2211.3040000000001</v>
          </cell>
          <cell r="BR8">
            <v>11056.52</v>
          </cell>
          <cell r="BS8">
            <v>5</v>
          </cell>
          <cell r="BT8">
            <v>2211.3040000000001</v>
          </cell>
          <cell r="BU8">
            <v>11056.52</v>
          </cell>
          <cell r="BV8">
            <v>0</v>
          </cell>
          <cell r="BW8">
            <v>0</v>
          </cell>
          <cell r="BX8">
            <v>0</v>
          </cell>
          <cell r="BY8">
            <v>0</v>
          </cell>
          <cell r="BZ8">
            <v>0</v>
          </cell>
          <cell r="CA8">
            <v>0</v>
          </cell>
          <cell r="CB8">
            <v>5</v>
          </cell>
          <cell r="CC8">
            <v>2211.3040000000001</v>
          </cell>
          <cell r="CD8">
            <v>11056.52</v>
          </cell>
        </row>
        <row r="9">
          <cell r="B9">
            <v>9</v>
          </cell>
          <cell r="C9" t="str">
            <v>Detergentes en polvo</v>
          </cell>
          <cell r="D9" t="str">
            <v>Jabón abrasivo (Compra)</v>
          </cell>
          <cell r="E9">
            <v>91</v>
          </cell>
          <cell r="F9">
            <v>40</v>
          </cell>
          <cell r="G9">
            <v>-51</v>
          </cell>
          <cell r="H9">
            <v>0</v>
          </cell>
          <cell r="I9">
            <v>3298.0379999999996</v>
          </cell>
          <cell r="J9">
            <v>0</v>
          </cell>
          <cell r="K9">
            <v>7</v>
          </cell>
          <cell r="L9">
            <v>3298.0379999999996</v>
          </cell>
          <cell r="M9">
            <v>23086.265999999996</v>
          </cell>
          <cell r="N9">
            <v>3</v>
          </cell>
          <cell r="O9">
            <v>3298.0379999999996</v>
          </cell>
          <cell r="P9">
            <v>9894.1139999999978</v>
          </cell>
          <cell r="Q9">
            <v>0</v>
          </cell>
          <cell r="R9">
            <v>0</v>
          </cell>
          <cell r="S9">
            <v>0</v>
          </cell>
          <cell r="T9">
            <v>0</v>
          </cell>
          <cell r="U9">
            <v>0</v>
          </cell>
          <cell r="V9">
            <v>0</v>
          </cell>
          <cell r="W9">
            <v>3</v>
          </cell>
          <cell r="X9">
            <v>3298.0379999999996</v>
          </cell>
          <cell r="Y9">
            <v>9894.1139999999978</v>
          </cell>
          <cell r="Z9">
            <v>0</v>
          </cell>
          <cell r="AA9">
            <v>0</v>
          </cell>
          <cell r="AB9">
            <v>0</v>
          </cell>
          <cell r="AC9">
            <v>0</v>
          </cell>
          <cell r="AD9">
            <v>0</v>
          </cell>
          <cell r="AE9">
            <v>0</v>
          </cell>
          <cell r="AF9">
            <v>0</v>
          </cell>
          <cell r="AG9">
            <v>0</v>
          </cell>
          <cell r="AH9">
            <v>0</v>
          </cell>
          <cell r="AI9">
            <v>3</v>
          </cell>
          <cell r="AJ9">
            <v>3298.0379999999996</v>
          </cell>
          <cell r="AK9">
            <v>9894.1139999999978</v>
          </cell>
          <cell r="AL9">
            <v>2</v>
          </cell>
          <cell r="AM9">
            <v>3298.0379999999996</v>
          </cell>
          <cell r="AN9">
            <v>6596.0759999999991</v>
          </cell>
          <cell r="AO9">
            <v>2</v>
          </cell>
          <cell r="AP9">
            <v>3298.0379999999996</v>
          </cell>
          <cell r="AQ9">
            <v>6596.0759999999991</v>
          </cell>
          <cell r="AR9">
            <v>2</v>
          </cell>
          <cell r="AS9">
            <v>3298.0379999999996</v>
          </cell>
          <cell r="AT9">
            <v>6596.0759999999991</v>
          </cell>
          <cell r="AU9">
            <v>0</v>
          </cell>
          <cell r="AV9">
            <v>0</v>
          </cell>
          <cell r="AW9">
            <v>0</v>
          </cell>
          <cell r="AX9">
            <v>2</v>
          </cell>
          <cell r="AY9">
            <v>3298.0379999999996</v>
          </cell>
          <cell r="AZ9">
            <v>6596.0759999999991</v>
          </cell>
          <cell r="BA9">
            <v>0</v>
          </cell>
          <cell r="BB9">
            <v>0</v>
          </cell>
          <cell r="BC9">
            <v>0</v>
          </cell>
          <cell r="BD9">
            <v>3</v>
          </cell>
          <cell r="BE9">
            <v>3298.0379999999996</v>
          </cell>
          <cell r="BF9">
            <v>9894.1139999999978</v>
          </cell>
          <cell r="BG9">
            <v>0</v>
          </cell>
          <cell r="BH9">
            <v>0</v>
          </cell>
          <cell r="BI9">
            <v>0</v>
          </cell>
          <cell r="BJ9">
            <v>3</v>
          </cell>
          <cell r="BK9">
            <v>3298.0379999999996</v>
          </cell>
          <cell r="BL9">
            <v>9894.1139999999978</v>
          </cell>
          <cell r="BM9">
            <v>2</v>
          </cell>
          <cell r="BN9">
            <v>3298.0379999999996</v>
          </cell>
          <cell r="BO9">
            <v>6596.0759999999991</v>
          </cell>
          <cell r="BP9">
            <v>3</v>
          </cell>
          <cell r="BQ9">
            <v>3298.0379999999996</v>
          </cell>
          <cell r="BR9">
            <v>9894.1139999999978</v>
          </cell>
          <cell r="BS9">
            <v>3</v>
          </cell>
          <cell r="BT9">
            <v>3298.0379999999996</v>
          </cell>
          <cell r="BU9">
            <v>9894.1139999999978</v>
          </cell>
          <cell r="BV9">
            <v>0</v>
          </cell>
          <cell r="BW9">
            <v>0</v>
          </cell>
          <cell r="BX9">
            <v>0</v>
          </cell>
          <cell r="BY9">
            <v>2</v>
          </cell>
          <cell r="BZ9">
            <v>3298.0379999999996</v>
          </cell>
          <cell r="CA9">
            <v>6596.0759999999991</v>
          </cell>
          <cell r="CB9">
            <v>0</v>
          </cell>
          <cell r="CC9">
            <v>0</v>
          </cell>
          <cell r="CD9">
            <v>0</v>
          </cell>
        </row>
        <row r="10">
          <cell r="B10">
            <v>11</v>
          </cell>
          <cell r="C10" t="str">
            <v>Jabones industriales</v>
          </cell>
          <cell r="D10" t="str">
            <v>Jabón de tocador 2 (Compra)</v>
          </cell>
          <cell r="E10">
            <v>10</v>
          </cell>
          <cell r="F10">
            <v>10</v>
          </cell>
          <cell r="G10">
            <v>0</v>
          </cell>
          <cell r="H10">
            <v>10</v>
          </cell>
          <cell r="I10">
            <v>7739.5639999999985</v>
          </cell>
          <cell r="J10">
            <v>77395.639999999985</v>
          </cell>
          <cell r="K10">
            <v>0</v>
          </cell>
          <cell r="L10">
            <v>7739.5639999999985</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row>
        <row r="11">
          <cell r="B11">
            <v>13</v>
          </cell>
          <cell r="C11" t="str">
            <v>Jabones de tocador</v>
          </cell>
          <cell r="D11" t="str">
            <v>Jabón de dispensador para manos 2 (Compra)</v>
          </cell>
          <cell r="E11">
            <v>81</v>
          </cell>
          <cell r="F11">
            <v>35</v>
          </cell>
          <cell r="G11">
            <v>-46</v>
          </cell>
          <cell r="H11">
            <v>0</v>
          </cell>
          <cell r="I11">
            <v>6507.7919999999995</v>
          </cell>
          <cell r="J11">
            <v>0</v>
          </cell>
          <cell r="K11">
            <v>5</v>
          </cell>
          <cell r="L11">
            <v>6507.7919999999995</v>
          </cell>
          <cell r="M11">
            <v>32538.959999999999</v>
          </cell>
          <cell r="N11">
            <v>0</v>
          </cell>
          <cell r="O11">
            <v>6507.7919999999995</v>
          </cell>
          <cell r="P11">
            <v>0</v>
          </cell>
          <cell r="Q11">
            <v>0</v>
          </cell>
          <cell r="R11">
            <v>0</v>
          </cell>
          <cell r="S11">
            <v>0</v>
          </cell>
          <cell r="T11">
            <v>2</v>
          </cell>
          <cell r="U11">
            <v>6507.7919999999995</v>
          </cell>
          <cell r="V11">
            <v>13015.583999999999</v>
          </cell>
          <cell r="W11">
            <v>0</v>
          </cell>
          <cell r="X11">
            <v>0</v>
          </cell>
          <cell r="Y11">
            <v>0</v>
          </cell>
          <cell r="Z11">
            <v>6</v>
          </cell>
          <cell r="AA11">
            <v>6507.7919999999995</v>
          </cell>
          <cell r="AB11">
            <v>39046.751999999993</v>
          </cell>
          <cell r="AC11">
            <v>0</v>
          </cell>
          <cell r="AD11">
            <v>0</v>
          </cell>
          <cell r="AE11">
            <v>0</v>
          </cell>
          <cell r="AF11">
            <v>1</v>
          </cell>
          <cell r="AG11">
            <v>6507.7919999999995</v>
          </cell>
          <cell r="AH11">
            <v>6507.7919999999995</v>
          </cell>
          <cell r="AI11">
            <v>6</v>
          </cell>
          <cell r="AJ11">
            <v>6507.7919999999995</v>
          </cell>
          <cell r="AK11">
            <v>39046.751999999993</v>
          </cell>
          <cell r="AL11">
            <v>2</v>
          </cell>
          <cell r="AM11">
            <v>6507.7919999999995</v>
          </cell>
          <cell r="AN11">
            <v>13015.583999999999</v>
          </cell>
          <cell r="AO11">
            <v>1</v>
          </cell>
          <cell r="AP11">
            <v>6507.7919999999995</v>
          </cell>
          <cell r="AQ11">
            <v>6507.7919999999995</v>
          </cell>
          <cell r="AR11">
            <v>1</v>
          </cell>
          <cell r="AS11">
            <v>6507.7919999999995</v>
          </cell>
          <cell r="AT11">
            <v>6507.7919999999995</v>
          </cell>
          <cell r="AU11">
            <v>1</v>
          </cell>
          <cell r="AV11">
            <v>6507.7919999999995</v>
          </cell>
          <cell r="AW11">
            <v>6507.7919999999995</v>
          </cell>
          <cell r="AX11">
            <v>0</v>
          </cell>
          <cell r="AY11">
            <v>0</v>
          </cell>
          <cell r="AZ11">
            <v>0</v>
          </cell>
          <cell r="BA11">
            <v>0</v>
          </cell>
          <cell r="BB11">
            <v>0</v>
          </cell>
          <cell r="BC11">
            <v>0</v>
          </cell>
          <cell r="BD11">
            <v>2</v>
          </cell>
          <cell r="BE11">
            <v>6507.7919999999995</v>
          </cell>
          <cell r="BF11">
            <v>13015.583999999999</v>
          </cell>
          <cell r="BG11">
            <v>0</v>
          </cell>
          <cell r="BH11">
            <v>0</v>
          </cell>
          <cell r="BI11">
            <v>0</v>
          </cell>
          <cell r="BJ11">
            <v>3</v>
          </cell>
          <cell r="BK11">
            <v>6507.7919999999995</v>
          </cell>
          <cell r="BL11">
            <v>19523.375999999997</v>
          </cell>
          <cell r="BM11">
            <v>0</v>
          </cell>
          <cell r="BN11">
            <v>0</v>
          </cell>
          <cell r="BO11">
            <v>0</v>
          </cell>
          <cell r="BP11">
            <v>2</v>
          </cell>
          <cell r="BQ11">
            <v>6507.7919999999995</v>
          </cell>
          <cell r="BR11">
            <v>13015.583999999999</v>
          </cell>
          <cell r="BS11">
            <v>3</v>
          </cell>
          <cell r="BT11">
            <v>6507.7919999999995</v>
          </cell>
          <cell r="BU11">
            <v>19523.375999999997</v>
          </cell>
          <cell r="BV11">
            <v>0</v>
          </cell>
          <cell r="BW11">
            <v>0</v>
          </cell>
          <cell r="BX11">
            <v>0</v>
          </cell>
          <cell r="BY11">
            <v>0</v>
          </cell>
          <cell r="BZ11">
            <v>0</v>
          </cell>
          <cell r="CA11">
            <v>0</v>
          </cell>
          <cell r="CB11">
            <v>0</v>
          </cell>
          <cell r="CC11">
            <v>0</v>
          </cell>
          <cell r="CD11">
            <v>0</v>
          </cell>
        </row>
        <row r="12">
          <cell r="B12">
            <v>17</v>
          </cell>
          <cell r="C12" t="str">
            <v>Productos químicos especiales para tratamiento de pisos</v>
          </cell>
          <cell r="D12" t="str">
            <v>Limpiador multiusos 1 (Compra)</v>
          </cell>
          <cell r="E12">
            <v>116</v>
          </cell>
          <cell r="F12">
            <v>59</v>
          </cell>
          <cell r="G12">
            <v>-57</v>
          </cell>
          <cell r="H12">
            <v>20</v>
          </cell>
          <cell r="I12">
            <v>5647.0229999999992</v>
          </cell>
          <cell r="J12">
            <v>112940.45999999999</v>
          </cell>
          <cell r="K12">
            <v>0</v>
          </cell>
          <cell r="L12">
            <v>5647.0229999999992</v>
          </cell>
          <cell r="M12">
            <v>0</v>
          </cell>
          <cell r="N12">
            <v>0</v>
          </cell>
          <cell r="O12">
            <v>5647.0229999999992</v>
          </cell>
          <cell r="P12">
            <v>0</v>
          </cell>
          <cell r="Q12">
            <v>0</v>
          </cell>
          <cell r="R12">
            <v>0</v>
          </cell>
          <cell r="S12">
            <v>0</v>
          </cell>
          <cell r="T12">
            <v>0</v>
          </cell>
          <cell r="U12">
            <v>0</v>
          </cell>
          <cell r="V12">
            <v>0</v>
          </cell>
          <cell r="W12">
            <v>10</v>
          </cell>
          <cell r="X12">
            <v>5647.0229999999992</v>
          </cell>
          <cell r="Y12">
            <v>56470.229999999996</v>
          </cell>
          <cell r="Z12">
            <v>6</v>
          </cell>
          <cell r="AA12">
            <v>5647.0229999999992</v>
          </cell>
          <cell r="AB12">
            <v>33882.137999999992</v>
          </cell>
          <cell r="AC12">
            <v>0</v>
          </cell>
          <cell r="AD12">
            <v>5647.0229999999992</v>
          </cell>
          <cell r="AE12">
            <v>0</v>
          </cell>
          <cell r="AF12">
            <v>1</v>
          </cell>
          <cell r="AG12">
            <v>5647.0229999999992</v>
          </cell>
          <cell r="AH12">
            <v>5647.0229999999992</v>
          </cell>
          <cell r="AI12">
            <v>8</v>
          </cell>
          <cell r="AJ12">
            <v>5647.0229999999992</v>
          </cell>
          <cell r="AK12">
            <v>45176.183999999994</v>
          </cell>
          <cell r="AL12">
            <v>2</v>
          </cell>
          <cell r="AM12">
            <v>5647.0229999999992</v>
          </cell>
          <cell r="AN12">
            <v>11294.045999999998</v>
          </cell>
          <cell r="AO12">
            <v>1</v>
          </cell>
          <cell r="AP12">
            <v>5647.0229999999992</v>
          </cell>
          <cell r="AQ12">
            <v>5647.0229999999992</v>
          </cell>
          <cell r="AR12">
            <v>0</v>
          </cell>
          <cell r="AS12">
            <v>0</v>
          </cell>
          <cell r="AT12">
            <v>0</v>
          </cell>
          <cell r="AU12">
            <v>2</v>
          </cell>
          <cell r="AV12">
            <v>5647.0229999999992</v>
          </cell>
          <cell r="AW12">
            <v>11294.045999999998</v>
          </cell>
          <cell r="AX12">
            <v>1</v>
          </cell>
          <cell r="AY12">
            <v>5647.0229999999992</v>
          </cell>
          <cell r="AZ12">
            <v>5647.0229999999992</v>
          </cell>
          <cell r="BA12">
            <v>0</v>
          </cell>
          <cell r="BB12">
            <v>0</v>
          </cell>
          <cell r="BC12">
            <v>0</v>
          </cell>
          <cell r="BD12">
            <v>2</v>
          </cell>
          <cell r="BE12">
            <v>5647.0229999999992</v>
          </cell>
          <cell r="BF12">
            <v>11294.045999999998</v>
          </cell>
          <cell r="BG12">
            <v>0</v>
          </cell>
          <cell r="BH12">
            <v>0</v>
          </cell>
          <cell r="BI12">
            <v>0</v>
          </cell>
          <cell r="BJ12">
            <v>2</v>
          </cell>
          <cell r="BK12">
            <v>5647.0229999999992</v>
          </cell>
          <cell r="BL12">
            <v>11294.045999999998</v>
          </cell>
          <cell r="BM12">
            <v>1</v>
          </cell>
          <cell r="BN12">
            <v>5647.0229999999992</v>
          </cell>
          <cell r="BO12">
            <v>5647.0229999999992</v>
          </cell>
          <cell r="BP12">
            <v>2</v>
          </cell>
          <cell r="BQ12">
            <v>5647.0229999999992</v>
          </cell>
          <cell r="BR12">
            <v>11294.045999999998</v>
          </cell>
          <cell r="BS12">
            <v>0</v>
          </cell>
          <cell r="BT12">
            <v>0</v>
          </cell>
          <cell r="BU12">
            <v>0</v>
          </cell>
          <cell r="BV12">
            <v>0</v>
          </cell>
          <cell r="BW12">
            <v>0</v>
          </cell>
          <cell r="BX12">
            <v>0</v>
          </cell>
          <cell r="BY12">
            <v>1</v>
          </cell>
          <cell r="BZ12">
            <v>5647.0229999999992</v>
          </cell>
          <cell r="CA12">
            <v>5647.0229999999992</v>
          </cell>
          <cell r="CB12">
            <v>0</v>
          </cell>
          <cell r="CC12">
            <v>0</v>
          </cell>
          <cell r="CD12">
            <v>0</v>
          </cell>
        </row>
        <row r="13">
          <cell r="B13">
            <v>20</v>
          </cell>
          <cell r="C13" t="str">
            <v>Productos químicos especiales para tratamiento de pisos</v>
          </cell>
          <cell r="D13" t="str">
            <v>Limpiador desinfectante para pisos (Compra)</v>
          </cell>
          <cell r="E13">
            <v>96</v>
          </cell>
          <cell r="F13">
            <v>48</v>
          </cell>
          <cell r="G13">
            <v>-48</v>
          </cell>
          <cell r="H13">
            <v>0</v>
          </cell>
          <cell r="I13">
            <v>0</v>
          </cell>
          <cell r="J13">
            <v>0</v>
          </cell>
          <cell r="K13">
            <v>0</v>
          </cell>
          <cell r="L13">
            <v>0</v>
          </cell>
          <cell r="M13">
            <v>0</v>
          </cell>
          <cell r="N13">
            <v>0</v>
          </cell>
          <cell r="O13">
            <v>0</v>
          </cell>
          <cell r="P13">
            <v>0</v>
          </cell>
          <cell r="Q13">
            <v>0</v>
          </cell>
          <cell r="R13">
            <v>0</v>
          </cell>
          <cell r="S13">
            <v>0</v>
          </cell>
          <cell r="T13">
            <v>5</v>
          </cell>
          <cell r="U13">
            <v>0</v>
          </cell>
          <cell r="V13">
            <v>0</v>
          </cell>
          <cell r="W13">
            <v>6</v>
          </cell>
          <cell r="X13">
            <v>0</v>
          </cell>
          <cell r="Y13">
            <v>0</v>
          </cell>
          <cell r="Z13">
            <v>6</v>
          </cell>
          <cell r="AA13">
            <v>0</v>
          </cell>
          <cell r="AB13">
            <v>0</v>
          </cell>
          <cell r="AC13">
            <v>0</v>
          </cell>
          <cell r="AD13">
            <v>0</v>
          </cell>
          <cell r="AE13">
            <v>0</v>
          </cell>
          <cell r="AF13">
            <v>0</v>
          </cell>
          <cell r="AG13">
            <v>0</v>
          </cell>
          <cell r="AH13">
            <v>0</v>
          </cell>
          <cell r="AI13">
            <v>6</v>
          </cell>
          <cell r="AJ13">
            <v>0</v>
          </cell>
          <cell r="AK13">
            <v>0</v>
          </cell>
          <cell r="AL13">
            <v>4</v>
          </cell>
          <cell r="AM13">
            <v>0</v>
          </cell>
          <cell r="AN13">
            <v>0</v>
          </cell>
          <cell r="AO13">
            <v>2</v>
          </cell>
          <cell r="AP13">
            <v>0</v>
          </cell>
          <cell r="AQ13">
            <v>0</v>
          </cell>
          <cell r="AR13">
            <v>0</v>
          </cell>
          <cell r="AS13">
            <v>0</v>
          </cell>
          <cell r="AT13">
            <v>0</v>
          </cell>
          <cell r="AU13">
            <v>2</v>
          </cell>
          <cell r="AV13">
            <v>0</v>
          </cell>
          <cell r="AW13">
            <v>0</v>
          </cell>
          <cell r="AX13">
            <v>2</v>
          </cell>
          <cell r="AY13">
            <v>0</v>
          </cell>
          <cell r="AZ13">
            <v>0</v>
          </cell>
          <cell r="BA13">
            <v>0</v>
          </cell>
          <cell r="BB13">
            <v>0</v>
          </cell>
          <cell r="BC13">
            <v>0</v>
          </cell>
          <cell r="BD13">
            <v>2</v>
          </cell>
          <cell r="BE13">
            <v>0</v>
          </cell>
          <cell r="BF13">
            <v>0</v>
          </cell>
          <cell r="BG13">
            <v>0</v>
          </cell>
          <cell r="BH13">
            <v>0</v>
          </cell>
          <cell r="BI13">
            <v>0</v>
          </cell>
          <cell r="BJ13">
            <v>2</v>
          </cell>
          <cell r="BK13">
            <v>0</v>
          </cell>
          <cell r="BL13">
            <v>0</v>
          </cell>
          <cell r="BM13">
            <v>2</v>
          </cell>
          <cell r="BN13">
            <v>0</v>
          </cell>
          <cell r="BO13">
            <v>0</v>
          </cell>
          <cell r="BP13">
            <v>2</v>
          </cell>
          <cell r="BQ13">
            <v>0</v>
          </cell>
          <cell r="BR13">
            <v>0</v>
          </cell>
          <cell r="BS13">
            <v>2</v>
          </cell>
          <cell r="BT13">
            <v>0</v>
          </cell>
          <cell r="BU13">
            <v>0</v>
          </cell>
          <cell r="BV13">
            <v>3</v>
          </cell>
          <cell r="BW13">
            <v>0</v>
          </cell>
          <cell r="BX13">
            <v>0</v>
          </cell>
          <cell r="BY13">
            <v>2</v>
          </cell>
          <cell r="BZ13">
            <v>0</v>
          </cell>
          <cell r="CA13">
            <v>0</v>
          </cell>
          <cell r="CB13">
            <v>0</v>
          </cell>
          <cell r="CC13">
            <v>0</v>
          </cell>
          <cell r="CD13">
            <v>0</v>
          </cell>
        </row>
        <row r="14">
          <cell r="B14">
            <v>21</v>
          </cell>
          <cell r="C14" t="str">
            <v>Preparaciones para limpieza y desengrase</v>
          </cell>
          <cell r="D14" t="str">
            <v>Líquido desengrasante (Compra)</v>
          </cell>
          <cell r="E14">
            <v>96</v>
          </cell>
          <cell r="F14">
            <v>35</v>
          </cell>
          <cell r="G14">
            <v>-61</v>
          </cell>
          <cell r="H14">
            <v>0</v>
          </cell>
          <cell r="I14">
            <v>5932.8950000000013</v>
          </cell>
          <cell r="J14">
            <v>0</v>
          </cell>
          <cell r="K14">
            <v>0</v>
          </cell>
          <cell r="L14">
            <v>5932.8950000000013</v>
          </cell>
          <cell r="M14">
            <v>0</v>
          </cell>
          <cell r="N14">
            <v>0</v>
          </cell>
          <cell r="O14">
            <v>5932.8950000000013</v>
          </cell>
          <cell r="P14">
            <v>0</v>
          </cell>
          <cell r="Q14">
            <v>0</v>
          </cell>
          <cell r="R14">
            <v>0</v>
          </cell>
          <cell r="S14">
            <v>0</v>
          </cell>
          <cell r="T14">
            <v>0</v>
          </cell>
          <cell r="U14">
            <v>0</v>
          </cell>
          <cell r="V14">
            <v>0</v>
          </cell>
          <cell r="W14">
            <v>8</v>
          </cell>
          <cell r="X14">
            <v>5932.8950000000013</v>
          </cell>
          <cell r="Y14">
            <v>47463.160000000011</v>
          </cell>
          <cell r="Z14">
            <v>8</v>
          </cell>
          <cell r="AA14">
            <v>5932.8950000000013</v>
          </cell>
          <cell r="AB14">
            <v>47463.160000000011</v>
          </cell>
          <cell r="AC14">
            <v>0</v>
          </cell>
          <cell r="AD14">
            <v>0</v>
          </cell>
          <cell r="AE14">
            <v>0</v>
          </cell>
          <cell r="AF14">
            <v>0</v>
          </cell>
          <cell r="AG14">
            <v>0</v>
          </cell>
          <cell r="AH14">
            <v>0</v>
          </cell>
          <cell r="AI14">
            <v>8</v>
          </cell>
          <cell r="AJ14">
            <v>5932.8950000000013</v>
          </cell>
          <cell r="AK14">
            <v>47463.160000000011</v>
          </cell>
          <cell r="AL14">
            <v>2</v>
          </cell>
          <cell r="AM14">
            <v>5932.8950000000013</v>
          </cell>
          <cell r="AN14">
            <v>11865.790000000003</v>
          </cell>
          <cell r="AO14">
            <v>0</v>
          </cell>
          <cell r="AP14">
            <v>5932.8950000000013</v>
          </cell>
          <cell r="AQ14">
            <v>0</v>
          </cell>
          <cell r="AR14">
            <v>0</v>
          </cell>
          <cell r="AS14">
            <v>0</v>
          </cell>
          <cell r="AT14">
            <v>0</v>
          </cell>
          <cell r="AU14">
            <v>0</v>
          </cell>
          <cell r="AV14">
            <v>0</v>
          </cell>
          <cell r="AW14">
            <v>0</v>
          </cell>
          <cell r="AX14">
            <v>0</v>
          </cell>
          <cell r="AY14">
            <v>0</v>
          </cell>
          <cell r="AZ14">
            <v>0</v>
          </cell>
          <cell r="BA14">
            <v>0</v>
          </cell>
          <cell r="BB14">
            <v>0</v>
          </cell>
          <cell r="BC14">
            <v>0</v>
          </cell>
          <cell r="BD14">
            <v>2</v>
          </cell>
          <cell r="BE14">
            <v>5932.8950000000013</v>
          </cell>
          <cell r="BF14">
            <v>11865.790000000003</v>
          </cell>
          <cell r="BG14">
            <v>0</v>
          </cell>
          <cell r="BH14">
            <v>0</v>
          </cell>
          <cell r="BI14">
            <v>0</v>
          </cell>
          <cell r="BJ14">
            <v>3</v>
          </cell>
          <cell r="BK14">
            <v>5932.8950000000013</v>
          </cell>
          <cell r="BL14">
            <v>17798.685000000005</v>
          </cell>
          <cell r="BM14">
            <v>0</v>
          </cell>
          <cell r="BN14">
            <v>0</v>
          </cell>
          <cell r="BO14">
            <v>0</v>
          </cell>
          <cell r="BP14">
            <v>2</v>
          </cell>
          <cell r="BQ14">
            <v>5932.8950000000013</v>
          </cell>
          <cell r="BR14">
            <v>11865.790000000003</v>
          </cell>
          <cell r="BS14">
            <v>2</v>
          </cell>
          <cell r="BT14">
            <v>5932.8950000000013</v>
          </cell>
          <cell r="BU14">
            <v>11865.790000000003</v>
          </cell>
          <cell r="BV14">
            <v>0</v>
          </cell>
          <cell r="BW14">
            <v>0</v>
          </cell>
          <cell r="BX14">
            <v>0</v>
          </cell>
          <cell r="BY14">
            <v>0</v>
          </cell>
          <cell r="BZ14">
            <v>0</v>
          </cell>
          <cell r="CA14">
            <v>0</v>
          </cell>
          <cell r="CB14">
            <v>0</v>
          </cell>
          <cell r="CC14">
            <v>0</v>
          </cell>
          <cell r="CD14">
            <v>0</v>
          </cell>
        </row>
        <row r="15">
          <cell r="B15">
            <v>28</v>
          </cell>
          <cell r="C15" t="str">
            <v>Desinfectantes</v>
          </cell>
          <cell r="D15" t="str">
            <v>Pastilla desinfectante para sanitario (Compra)</v>
          </cell>
          <cell r="E15">
            <v>155</v>
          </cell>
          <cell r="F15">
            <v>148</v>
          </cell>
          <cell r="G15">
            <v>-7</v>
          </cell>
          <cell r="H15">
            <v>0</v>
          </cell>
          <cell r="I15">
            <v>2764.13</v>
          </cell>
          <cell r="J15">
            <v>0</v>
          </cell>
          <cell r="K15">
            <v>0</v>
          </cell>
          <cell r="L15">
            <v>2764.13</v>
          </cell>
          <cell r="M15">
            <v>0</v>
          </cell>
          <cell r="N15">
            <v>6</v>
          </cell>
          <cell r="O15">
            <v>2764.13</v>
          </cell>
          <cell r="P15">
            <v>16584.78</v>
          </cell>
          <cell r="Q15">
            <v>0</v>
          </cell>
          <cell r="R15">
            <v>0</v>
          </cell>
          <cell r="S15">
            <v>0</v>
          </cell>
          <cell r="T15">
            <v>0</v>
          </cell>
          <cell r="U15">
            <v>0</v>
          </cell>
          <cell r="V15">
            <v>0</v>
          </cell>
          <cell r="W15">
            <v>15</v>
          </cell>
          <cell r="X15">
            <v>2764.13</v>
          </cell>
          <cell r="Y15">
            <v>41461.950000000004</v>
          </cell>
          <cell r="Z15">
            <v>12</v>
          </cell>
          <cell r="AA15">
            <v>2764.13</v>
          </cell>
          <cell r="AB15">
            <v>33169.56</v>
          </cell>
          <cell r="AC15">
            <v>0</v>
          </cell>
          <cell r="AD15">
            <v>0</v>
          </cell>
          <cell r="AE15">
            <v>0</v>
          </cell>
          <cell r="AF15">
            <v>0</v>
          </cell>
          <cell r="AG15">
            <v>0</v>
          </cell>
          <cell r="AH15">
            <v>0</v>
          </cell>
          <cell r="AI15">
            <v>0</v>
          </cell>
          <cell r="AJ15">
            <v>0</v>
          </cell>
          <cell r="AK15">
            <v>0</v>
          </cell>
          <cell r="AL15">
            <v>0</v>
          </cell>
          <cell r="AM15">
            <v>2764.13</v>
          </cell>
          <cell r="AN15">
            <v>0</v>
          </cell>
          <cell r="AO15">
            <v>5</v>
          </cell>
          <cell r="AP15">
            <v>2764.13</v>
          </cell>
          <cell r="AQ15">
            <v>13820.650000000001</v>
          </cell>
          <cell r="AR15">
            <v>5</v>
          </cell>
          <cell r="AS15">
            <v>2764.13</v>
          </cell>
          <cell r="AT15">
            <v>13820.650000000001</v>
          </cell>
          <cell r="AU15">
            <v>5</v>
          </cell>
          <cell r="AV15">
            <v>2764.13</v>
          </cell>
          <cell r="AW15">
            <v>13820.650000000001</v>
          </cell>
          <cell r="AX15">
            <v>5</v>
          </cell>
          <cell r="AY15">
            <v>2764.13</v>
          </cell>
          <cell r="AZ15">
            <v>13820.650000000001</v>
          </cell>
          <cell r="BA15">
            <v>15</v>
          </cell>
          <cell r="BB15">
            <v>2764.13</v>
          </cell>
          <cell r="BC15">
            <v>41461.950000000004</v>
          </cell>
          <cell r="BD15">
            <v>8</v>
          </cell>
          <cell r="BE15">
            <v>2764.13</v>
          </cell>
          <cell r="BF15">
            <v>22113.040000000001</v>
          </cell>
          <cell r="BG15">
            <v>40</v>
          </cell>
          <cell r="BH15">
            <v>2764.13</v>
          </cell>
          <cell r="BI15">
            <v>110565.20000000001</v>
          </cell>
          <cell r="BJ15">
            <v>10</v>
          </cell>
          <cell r="BK15">
            <v>2764.13</v>
          </cell>
          <cell r="BL15">
            <v>27641.300000000003</v>
          </cell>
          <cell r="BM15">
            <v>0</v>
          </cell>
          <cell r="BN15">
            <v>0</v>
          </cell>
          <cell r="BO15">
            <v>0</v>
          </cell>
          <cell r="BP15">
            <v>6</v>
          </cell>
          <cell r="BQ15">
            <v>2764.13</v>
          </cell>
          <cell r="BR15">
            <v>16584.78</v>
          </cell>
          <cell r="BS15">
            <v>6</v>
          </cell>
          <cell r="BT15">
            <v>2764.13</v>
          </cell>
          <cell r="BU15">
            <v>16584.78</v>
          </cell>
          <cell r="BV15">
            <v>10</v>
          </cell>
          <cell r="BW15">
            <v>2764.13</v>
          </cell>
          <cell r="BX15">
            <v>27641.300000000003</v>
          </cell>
          <cell r="BY15">
            <v>0</v>
          </cell>
          <cell r="BZ15">
            <v>0</v>
          </cell>
          <cell r="CA15">
            <v>0</v>
          </cell>
          <cell r="CB15">
            <v>0</v>
          </cell>
          <cell r="CC15">
            <v>0</v>
          </cell>
          <cell r="CD15">
            <v>0</v>
          </cell>
        </row>
        <row r="16">
          <cell r="B16">
            <v>29</v>
          </cell>
          <cell r="C16" t="str">
            <v>Preparaciones para limpiar vidrios</v>
          </cell>
          <cell r="D16" t="str">
            <v>Líquido para limpiar vidrios 1 (Compra)</v>
          </cell>
          <cell r="E16">
            <v>96</v>
          </cell>
          <cell r="F16">
            <v>112</v>
          </cell>
          <cell r="G16">
            <v>16</v>
          </cell>
          <cell r="H16">
            <v>15</v>
          </cell>
          <cell r="I16">
            <v>4829.3450000000012</v>
          </cell>
          <cell r="J16">
            <v>72440.175000000017</v>
          </cell>
          <cell r="K16">
            <v>10</v>
          </cell>
          <cell r="L16">
            <v>4829.3450000000012</v>
          </cell>
          <cell r="M16">
            <v>48293.450000000012</v>
          </cell>
          <cell r="N16">
            <v>2</v>
          </cell>
          <cell r="O16">
            <v>4829.3450000000012</v>
          </cell>
          <cell r="P16">
            <v>9658.6900000000023</v>
          </cell>
          <cell r="Q16">
            <v>0</v>
          </cell>
          <cell r="R16">
            <v>0</v>
          </cell>
          <cell r="S16">
            <v>0</v>
          </cell>
          <cell r="T16">
            <v>10</v>
          </cell>
          <cell r="U16">
            <v>4829.3450000000012</v>
          </cell>
          <cell r="V16">
            <v>48293.450000000012</v>
          </cell>
          <cell r="W16">
            <v>10</v>
          </cell>
          <cell r="X16">
            <v>4829.3450000000012</v>
          </cell>
          <cell r="Y16">
            <v>48293.450000000012</v>
          </cell>
          <cell r="Z16">
            <v>12</v>
          </cell>
          <cell r="AA16">
            <v>4829.3450000000012</v>
          </cell>
          <cell r="AB16">
            <v>57952.140000000014</v>
          </cell>
          <cell r="AC16">
            <v>0</v>
          </cell>
          <cell r="AD16">
            <v>0</v>
          </cell>
          <cell r="AE16">
            <v>0</v>
          </cell>
          <cell r="AF16">
            <v>3</v>
          </cell>
          <cell r="AG16">
            <v>4829.3450000000012</v>
          </cell>
          <cell r="AH16">
            <v>14488.035000000003</v>
          </cell>
          <cell r="AI16">
            <v>10</v>
          </cell>
          <cell r="AJ16">
            <v>4829.3450000000012</v>
          </cell>
          <cell r="AK16">
            <v>48293.450000000012</v>
          </cell>
          <cell r="AL16">
            <v>4</v>
          </cell>
          <cell r="AM16">
            <v>4829.3450000000012</v>
          </cell>
          <cell r="AN16">
            <v>19317.380000000005</v>
          </cell>
          <cell r="AO16">
            <v>1</v>
          </cell>
          <cell r="AP16">
            <v>4829.3450000000012</v>
          </cell>
          <cell r="AQ16">
            <v>4829.3450000000012</v>
          </cell>
          <cell r="AR16">
            <v>0</v>
          </cell>
          <cell r="AS16">
            <v>0</v>
          </cell>
          <cell r="AT16">
            <v>0</v>
          </cell>
          <cell r="AU16">
            <v>2</v>
          </cell>
          <cell r="AV16">
            <v>4829.3450000000012</v>
          </cell>
          <cell r="AW16">
            <v>9658.6900000000023</v>
          </cell>
          <cell r="AX16">
            <v>2</v>
          </cell>
          <cell r="AY16">
            <v>4829.3450000000012</v>
          </cell>
          <cell r="AZ16">
            <v>9658.6900000000023</v>
          </cell>
          <cell r="BA16">
            <v>8</v>
          </cell>
          <cell r="BB16">
            <v>4829.3450000000012</v>
          </cell>
          <cell r="BC16">
            <v>38634.760000000009</v>
          </cell>
          <cell r="BD16">
            <v>5</v>
          </cell>
          <cell r="BE16">
            <v>4829.3450000000012</v>
          </cell>
          <cell r="BF16">
            <v>24146.725000000006</v>
          </cell>
          <cell r="BG16">
            <v>0</v>
          </cell>
          <cell r="BH16">
            <v>0</v>
          </cell>
          <cell r="BI16">
            <v>0</v>
          </cell>
          <cell r="BJ16">
            <v>5</v>
          </cell>
          <cell r="BK16">
            <v>4829.3450000000012</v>
          </cell>
          <cell r="BL16">
            <v>24146.725000000006</v>
          </cell>
          <cell r="BM16">
            <v>0</v>
          </cell>
          <cell r="BN16">
            <v>0</v>
          </cell>
          <cell r="BO16">
            <v>0</v>
          </cell>
          <cell r="BP16">
            <v>4</v>
          </cell>
          <cell r="BQ16">
            <v>4829.3450000000012</v>
          </cell>
          <cell r="BR16">
            <v>19317.380000000005</v>
          </cell>
          <cell r="BS16">
            <v>4</v>
          </cell>
          <cell r="BT16">
            <v>4829.3450000000012</v>
          </cell>
          <cell r="BU16">
            <v>19317.380000000005</v>
          </cell>
          <cell r="BV16">
            <v>0</v>
          </cell>
          <cell r="BW16">
            <v>0</v>
          </cell>
          <cell r="BX16">
            <v>0</v>
          </cell>
          <cell r="BY16">
            <v>0</v>
          </cell>
          <cell r="BZ16">
            <v>0</v>
          </cell>
          <cell r="CA16">
            <v>0</v>
          </cell>
          <cell r="CB16">
            <v>5</v>
          </cell>
          <cell r="CC16">
            <v>4829.3450000000012</v>
          </cell>
          <cell r="CD16">
            <v>24146.725000000006</v>
          </cell>
        </row>
        <row r="17">
          <cell r="B17">
            <v>32</v>
          </cell>
          <cell r="C17" t="str">
            <v>Hipoclorito de sodio</v>
          </cell>
          <cell r="D17" t="str">
            <v>Blanqueador o hipoclorito 1 (Compra)</v>
          </cell>
          <cell r="E17">
            <v>96</v>
          </cell>
          <cell r="F17">
            <v>125</v>
          </cell>
          <cell r="G17">
            <v>29</v>
          </cell>
          <cell r="H17">
            <v>40</v>
          </cell>
          <cell r="I17">
            <v>4115.7160000000003</v>
          </cell>
          <cell r="J17">
            <v>164628.64000000001</v>
          </cell>
          <cell r="K17">
            <v>6</v>
          </cell>
          <cell r="L17">
            <v>4115.7160000000003</v>
          </cell>
          <cell r="M17">
            <v>24694.296000000002</v>
          </cell>
          <cell r="N17">
            <v>4</v>
          </cell>
          <cell r="O17">
            <v>4115.7160000000003</v>
          </cell>
          <cell r="P17">
            <v>16462.864000000001</v>
          </cell>
          <cell r="Q17">
            <v>0</v>
          </cell>
          <cell r="R17">
            <v>4115.7160000000003</v>
          </cell>
          <cell r="S17">
            <v>0</v>
          </cell>
          <cell r="T17">
            <v>0</v>
          </cell>
          <cell r="U17">
            <v>4115.7160000000003</v>
          </cell>
          <cell r="V17">
            <v>0</v>
          </cell>
          <cell r="W17">
            <v>5</v>
          </cell>
          <cell r="X17">
            <v>4115.7160000000003</v>
          </cell>
          <cell r="Y17">
            <v>20578.580000000002</v>
          </cell>
          <cell r="Z17">
            <v>12</v>
          </cell>
          <cell r="AA17">
            <v>4115.7160000000003</v>
          </cell>
          <cell r="AB17">
            <v>49388.592000000004</v>
          </cell>
          <cell r="AC17">
            <v>0</v>
          </cell>
          <cell r="AD17">
            <v>4115.7160000000003</v>
          </cell>
          <cell r="AE17">
            <v>0</v>
          </cell>
          <cell r="AF17">
            <v>0</v>
          </cell>
          <cell r="AG17">
            <v>0</v>
          </cell>
          <cell r="AH17">
            <v>0</v>
          </cell>
          <cell r="AI17">
            <v>12</v>
          </cell>
          <cell r="AJ17">
            <v>4115.7160000000003</v>
          </cell>
          <cell r="AK17">
            <v>49388.592000000004</v>
          </cell>
          <cell r="AL17">
            <v>3</v>
          </cell>
          <cell r="AM17">
            <v>4115.7160000000003</v>
          </cell>
          <cell r="AN17">
            <v>12347.148000000001</v>
          </cell>
          <cell r="AO17">
            <v>1</v>
          </cell>
          <cell r="AP17">
            <v>4115.7160000000003</v>
          </cell>
          <cell r="AQ17">
            <v>4115.7160000000003</v>
          </cell>
          <cell r="AR17">
            <v>3</v>
          </cell>
          <cell r="AS17">
            <v>4115.7160000000003</v>
          </cell>
          <cell r="AT17">
            <v>12347.148000000001</v>
          </cell>
          <cell r="AU17">
            <v>1</v>
          </cell>
          <cell r="AV17">
            <v>4115.7160000000003</v>
          </cell>
          <cell r="AW17">
            <v>4115.7160000000003</v>
          </cell>
          <cell r="AX17">
            <v>2</v>
          </cell>
          <cell r="AY17">
            <v>4115.7160000000003</v>
          </cell>
          <cell r="AZ17">
            <v>8231.4320000000007</v>
          </cell>
          <cell r="BA17">
            <v>0</v>
          </cell>
          <cell r="BB17">
            <v>0</v>
          </cell>
          <cell r="BC17">
            <v>0</v>
          </cell>
          <cell r="BD17">
            <v>4</v>
          </cell>
          <cell r="BE17">
            <v>4115.7160000000003</v>
          </cell>
          <cell r="BF17">
            <v>16462.864000000001</v>
          </cell>
          <cell r="BG17">
            <v>15</v>
          </cell>
          <cell r="BH17">
            <v>4115.7160000000003</v>
          </cell>
          <cell r="BI17">
            <v>61735.740000000005</v>
          </cell>
          <cell r="BJ17">
            <v>5</v>
          </cell>
          <cell r="BK17">
            <v>6716.8359</v>
          </cell>
          <cell r="BL17">
            <v>33584.179499999998</v>
          </cell>
          <cell r="BM17">
            <v>0</v>
          </cell>
          <cell r="BN17">
            <v>0</v>
          </cell>
          <cell r="BO17">
            <v>0</v>
          </cell>
          <cell r="BP17">
            <v>4</v>
          </cell>
          <cell r="BQ17">
            <v>4115.7160000000003</v>
          </cell>
          <cell r="BR17">
            <v>16462.864000000001</v>
          </cell>
          <cell r="BS17">
            <v>4</v>
          </cell>
          <cell r="BT17">
            <v>4115.7160000000003</v>
          </cell>
          <cell r="BU17">
            <v>16462.864000000001</v>
          </cell>
          <cell r="BV17">
            <v>0</v>
          </cell>
          <cell r="BW17">
            <v>0</v>
          </cell>
          <cell r="BX17">
            <v>0</v>
          </cell>
          <cell r="BY17">
            <v>0</v>
          </cell>
          <cell r="BZ17">
            <v>0</v>
          </cell>
          <cell r="CA17">
            <v>0</v>
          </cell>
          <cell r="CB17">
            <v>4</v>
          </cell>
          <cell r="CC17">
            <v>4115.7160000000003</v>
          </cell>
          <cell r="CD17">
            <v>16462.864000000001</v>
          </cell>
        </row>
        <row r="18">
          <cell r="B18">
            <v>38</v>
          </cell>
          <cell r="C18" t="str">
            <v>Desinfectantes</v>
          </cell>
          <cell r="D18" t="str">
            <v>Creolina 2 (Compra)</v>
          </cell>
          <cell r="E18">
            <v>25</v>
          </cell>
          <cell r="F18">
            <v>104</v>
          </cell>
          <cell r="G18">
            <v>79</v>
          </cell>
          <cell r="H18">
            <v>0</v>
          </cell>
          <cell r="I18">
            <v>11100.662</v>
          </cell>
          <cell r="J18">
            <v>0</v>
          </cell>
          <cell r="K18">
            <v>0</v>
          </cell>
          <cell r="L18">
            <v>11100.662</v>
          </cell>
          <cell r="M18">
            <v>0</v>
          </cell>
          <cell r="N18">
            <v>0</v>
          </cell>
          <cell r="O18">
            <v>0</v>
          </cell>
          <cell r="P18">
            <v>0</v>
          </cell>
          <cell r="Q18">
            <v>0</v>
          </cell>
          <cell r="R18">
            <v>0</v>
          </cell>
          <cell r="S18">
            <v>0</v>
          </cell>
          <cell r="T18">
            <v>0</v>
          </cell>
          <cell r="U18">
            <v>0</v>
          </cell>
          <cell r="V18">
            <v>0</v>
          </cell>
          <cell r="W18">
            <v>15</v>
          </cell>
          <cell r="X18">
            <v>11100.662</v>
          </cell>
          <cell r="Y18">
            <v>166509.93</v>
          </cell>
          <cell r="Z18">
            <v>12</v>
          </cell>
          <cell r="AA18">
            <v>11100.662</v>
          </cell>
          <cell r="AB18">
            <v>133207.94400000002</v>
          </cell>
          <cell r="AC18">
            <v>15</v>
          </cell>
          <cell r="AD18">
            <v>15622.484399999999</v>
          </cell>
          <cell r="AE18">
            <v>234337.266</v>
          </cell>
          <cell r="AF18">
            <v>5</v>
          </cell>
          <cell r="AG18">
            <v>11100.662</v>
          </cell>
          <cell r="AH18">
            <v>55503.31</v>
          </cell>
          <cell r="AI18">
            <v>6</v>
          </cell>
          <cell r="AJ18">
            <v>15622.484399999999</v>
          </cell>
          <cell r="AK18">
            <v>93734.906399999993</v>
          </cell>
          <cell r="AL18">
            <v>5</v>
          </cell>
          <cell r="AM18">
            <v>15622.484399999999</v>
          </cell>
          <cell r="AN18">
            <v>78112.421999999991</v>
          </cell>
          <cell r="AO18">
            <v>1</v>
          </cell>
          <cell r="AP18">
            <v>15622.484399999999</v>
          </cell>
          <cell r="AQ18">
            <v>15622.484399999999</v>
          </cell>
          <cell r="AR18">
            <v>0</v>
          </cell>
          <cell r="AS18">
            <v>0</v>
          </cell>
          <cell r="AT18">
            <v>0</v>
          </cell>
          <cell r="AU18">
            <v>0</v>
          </cell>
          <cell r="AV18">
            <v>0</v>
          </cell>
          <cell r="AW18">
            <v>0</v>
          </cell>
          <cell r="AX18">
            <v>1</v>
          </cell>
          <cell r="AY18">
            <v>15622.484399999999</v>
          </cell>
          <cell r="AZ18">
            <v>15622.484399999999</v>
          </cell>
          <cell r="BA18">
            <v>8</v>
          </cell>
          <cell r="BB18">
            <v>15622.484399999999</v>
          </cell>
          <cell r="BC18">
            <v>124979.87519999999</v>
          </cell>
          <cell r="BD18">
            <v>4</v>
          </cell>
          <cell r="BE18">
            <v>15622.484399999999</v>
          </cell>
          <cell r="BF18">
            <v>62489.937599999997</v>
          </cell>
          <cell r="BG18">
            <v>6</v>
          </cell>
          <cell r="BH18">
            <v>15622.484399999999</v>
          </cell>
          <cell r="BI18">
            <v>93734.906399999993</v>
          </cell>
          <cell r="BJ18">
            <v>6</v>
          </cell>
          <cell r="BK18">
            <v>15622.484399999999</v>
          </cell>
          <cell r="BL18">
            <v>93734.906399999993</v>
          </cell>
          <cell r="BM18">
            <v>0</v>
          </cell>
          <cell r="BN18">
            <v>0</v>
          </cell>
          <cell r="BO18">
            <v>0</v>
          </cell>
          <cell r="BP18">
            <v>4</v>
          </cell>
          <cell r="BQ18">
            <v>15622.484399999999</v>
          </cell>
          <cell r="BR18">
            <v>62489.937599999997</v>
          </cell>
          <cell r="BS18">
            <v>4</v>
          </cell>
          <cell r="BT18">
            <v>15622.484399999999</v>
          </cell>
          <cell r="BU18">
            <v>62489.937599999997</v>
          </cell>
          <cell r="BV18">
            <v>10</v>
          </cell>
          <cell r="BW18">
            <v>15622.484399999999</v>
          </cell>
          <cell r="BX18">
            <v>156224.84399999998</v>
          </cell>
          <cell r="BY18">
            <v>2</v>
          </cell>
          <cell r="BZ18">
            <v>15622.484399999999</v>
          </cell>
          <cell r="CA18">
            <v>31244.968799999999</v>
          </cell>
          <cell r="CB18">
            <v>0</v>
          </cell>
          <cell r="CC18">
            <v>0</v>
          </cell>
          <cell r="CD18">
            <v>0</v>
          </cell>
        </row>
        <row r="19">
          <cell r="B19">
            <v>41</v>
          </cell>
          <cell r="C19" t="str">
            <v xml:space="preserve">Jabones líquidos para lavar </v>
          </cell>
          <cell r="D19" t="str">
            <v>Champú para alfombras y tapizados 1 (Compra)</v>
          </cell>
          <cell r="E19">
            <v>25</v>
          </cell>
          <cell r="F19">
            <v>0</v>
          </cell>
          <cell r="G19">
            <v>-25</v>
          </cell>
          <cell r="H19">
            <v>0</v>
          </cell>
          <cell r="I19">
            <v>7034.3429999999989</v>
          </cell>
          <cell r="J19">
            <v>0</v>
          </cell>
          <cell r="K19">
            <v>0</v>
          </cell>
          <cell r="L19">
            <v>7034.3429999999989</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row>
        <row r="20">
          <cell r="B20">
            <v>44</v>
          </cell>
          <cell r="C20" t="str">
            <v>Preparaciones para limpieza y desengrase</v>
          </cell>
          <cell r="D20" t="str">
            <v>Líquido cubre rasguños para madera (Compra)</v>
          </cell>
          <cell r="E20">
            <v>6</v>
          </cell>
          <cell r="F20">
            <v>0</v>
          </cell>
          <cell r="G20">
            <v>-6</v>
          </cell>
          <cell r="H20">
            <v>0</v>
          </cell>
          <cell r="I20">
            <v>2787.2520000000004</v>
          </cell>
          <cell r="J20">
            <v>0</v>
          </cell>
          <cell r="K20">
            <v>0</v>
          </cell>
          <cell r="L20">
            <v>2787.2520000000004</v>
          </cell>
          <cell r="M20">
            <v>0</v>
          </cell>
          <cell r="N20">
            <v>0</v>
          </cell>
          <cell r="O20">
            <v>2787.2520000000004</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row>
        <row r="21">
          <cell r="B21">
            <v>46</v>
          </cell>
          <cell r="C21" t="str">
            <v>Ceras para pisos</v>
          </cell>
          <cell r="D21" t="str">
            <v>Cera polimérica (Compra)</v>
          </cell>
          <cell r="E21">
            <v>25</v>
          </cell>
          <cell r="F21">
            <v>10</v>
          </cell>
          <cell r="G21">
            <v>-15</v>
          </cell>
          <cell r="H21">
            <v>0</v>
          </cell>
          <cell r="I21">
            <v>7739.5640000000021</v>
          </cell>
          <cell r="J21">
            <v>0</v>
          </cell>
          <cell r="K21">
            <v>0</v>
          </cell>
          <cell r="L21">
            <v>7739.5640000000021</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10</v>
          </cell>
          <cell r="AJ21">
            <v>7739.5640000000021</v>
          </cell>
          <cell r="AK21">
            <v>77395.640000000014</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row>
        <row r="22">
          <cell r="B22">
            <v>50</v>
          </cell>
          <cell r="C22" t="str">
            <v>Productos químicos especiales para tratamiento de pisos</v>
          </cell>
          <cell r="D22" t="str">
            <v>Sellante para pisos (Compra)</v>
          </cell>
          <cell r="E22">
            <v>25</v>
          </cell>
          <cell r="F22">
            <v>5</v>
          </cell>
          <cell r="G22">
            <v>-20</v>
          </cell>
          <cell r="H22">
            <v>0</v>
          </cell>
          <cell r="I22">
            <v>38567.495999999999</v>
          </cell>
          <cell r="J22">
            <v>0</v>
          </cell>
          <cell r="K22">
            <v>0</v>
          </cell>
          <cell r="L22">
            <v>38567.495999999999</v>
          </cell>
          <cell r="M22">
            <v>0</v>
          </cell>
          <cell r="N22">
            <v>0</v>
          </cell>
          <cell r="O22">
            <v>0</v>
          </cell>
          <cell r="P22">
            <v>0</v>
          </cell>
          <cell r="Q22">
            <v>0</v>
          </cell>
          <cell r="R22">
            <v>0</v>
          </cell>
          <cell r="S22">
            <v>0</v>
          </cell>
          <cell r="T22">
            <v>5</v>
          </cell>
          <cell r="U22">
            <v>38567.495999999999</v>
          </cell>
          <cell r="V22">
            <v>192837.47999999998</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row>
        <row r="23">
          <cell r="B23">
            <v>51</v>
          </cell>
          <cell r="C23" t="str">
            <v>Productos químicos especiales para tratamiento de pisos</v>
          </cell>
          <cell r="D23" t="str">
            <v>Mantenedor de pisos (Compra)</v>
          </cell>
          <cell r="E23">
            <v>25</v>
          </cell>
          <cell r="F23">
            <v>0</v>
          </cell>
          <cell r="G23">
            <v>-25</v>
          </cell>
          <cell r="H23">
            <v>0</v>
          </cell>
          <cell r="I23">
            <v>7739.5640000000021</v>
          </cell>
          <cell r="J23">
            <v>0</v>
          </cell>
          <cell r="K23">
            <v>0</v>
          </cell>
          <cell r="L23">
            <v>7739.5640000000021</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row>
        <row r="24">
          <cell r="B24">
            <v>52</v>
          </cell>
          <cell r="C24" t="str">
            <v>Productos químicos especiales para tratamiento de pisos</v>
          </cell>
          <cell r="D24" t="str">
            <v>Removedor de cera (Compra)</v>
          </cell>
          <cell r="E24">
            <v>96</v>
          </cell>
          <cell r="F24">
            <v>20</v>
          </cell>
          <cell r="G24">
            <v>-76</v>
          </cell>
          <cell r="H24">
            <v>10</v>
          </cell>
          <cell r="I24">
            <v>6412.1509999999998</v>
          </cell>
          <cell r="J24">
            <v>64121.509999999995</v>
          </cell>
          <cell r="K24">
            <v>10</v>
          </cell>
          <cell r="L24">
            <v>6412.1509999999998</v>
          </cell>
          <cell r="M24">
            <v>64121.509999999995</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row>
        <row r="25">
          <cell r="B25">
            <v>54</v>
          </cell>
          <cell r="C25" t="str">
            <v>Productos químicos especiales para tratamiento de pisos</v>
          </cell>
          <cell r="D25" t="str">
            <v>Jabón neutro para pisos 1 (Compra)</v>
          </cell>
          <cell r="E25">
            <v>96</v>
          </cell>
          <cell r="F25">
            <v>11</v>
          </cell>
          <cell r="G25">
            <v>-85</v>
          </cell>
          <cell r="H25">
            <v>0</v>
          </cell>
          <cell r="I25">
            <v>5359.049</v>
          </cell>
          <cell r="J25">
            <v>0</v>
          </cell>
          <cell r="K25">
            <v>0</v>
          </cell>
          <cell r="L25">
            <v>5359.049</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2</v>
          </cell>
          <cell r="AM25">
            <v>5359.049</v>
          </cell>
          <cell r="AN25">
            <v>10718.098</v>
          </cell>
          <cell r="AO25">
            <v>1</v>
          </cell>
          <cell r="AP25">
            <v>5359.049</v>
          </cell>
          <cell r="AQ25">
            <v>5359.049</v>
          </cell>
          <cell r="AR25">
            <v>0</v>
          </cell>
          <cell r="AS25">
            <v>0</v>
          </cell>
          <cell r="AT25">
            <v>0</v>
          </cell>
          <cell r="AU25">
            <v>1</v>
          </cell>
          <cell r="AV25">
            <v>5359.049</v>
          </cell>
          <cell r="AW25">
            <v>5359.049</v>
          </cell>
          <cell r="AX25">
            <v>3</v>
          </cell>
          <cell r="AY25">
            <v>5359.049</v>
          </cell>
          <cell r="AZ25">
            <v>16077.147000000001</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4</v>
          </cell>
          <cell r="CC25">
            <v>5359.049</v>
          </cell>
          <cell r="CD25">
            <v>21436.196</v>
          </cell>
        </row>
        <row r="26">
          <cell r="B26">
            <v>57</v>
          </cell>
          <cell r="C26" t="str">
            <v>Varsol-disolvente núm. 4</v>
          </cell>
          <cell r="D26" t="str">
            <v>Varsol ecológico 2 (Compra)</v>
          </cell>
          <cell r="E26">
            <v>25</v>
          </cell>
          <cell r="F26">
            <v>10</v>
          </cell>
          <cell r="G26">
            <v>-15</v>
          </cell>
          <cell r="H26">
            <v>10</v>
          </cell>
          <cell r="I26">
            <v>12823.251000000004</v>
          </cell>
          <cell r="J26">
            <v>128232.51000000004</v>
          </cell>
          <cell r="K26">
            <v>0</v>
          </cell>
          <cell r="L26">
            <v>12823.251000000004</v>
          </cell>
          <cell r="M26">
            <v>0</v>
          </cell>
          <cell r="N26">
            <v>0</v>
          </cell>
          <cell r="O26">
            <v>27464.2065</v>
          </cell>
          <cell r="P26">
            <v>0</v>
          </cell>
          <cell r="Q26">
            <v>0</v>
          </cell>
          <cell r="R26">
            <v>27464.2065</v>
          </cell>
          <cell r="S26">
            <v>0</v>
          </cell>
          <cell r="T26">
            <v>0</v>
          </cell>
          <cell r="U26">
            <v>12823.251000000004</v>
          </cell>
          <cell r="V26">
            <v>0</v>
          </cell>
          <cell r="W26">
            <v>0</v>
          </cell>
          <cell r="X26">
            <v>12823.251000000004</v>
          </cell>
          <cell r="Y26">
            <v>0</v>
          </cell>
          <cell r="Z26">
            <v>0</v>
          </cell>
          <cell r="AA26">
            <v>12823.251000000004</v>
          </cell>
          <cell r="AB26">
            <v>0</v>
          </cell>
          <cell r="AC26">
            <v>0</v>
          </cell>
          <cell r="AD26">
            <v>27464.2065</v>
          </cell>
          <cell r="AE26">
            <v>0</v>
          </cell>
          <cell r="AF26">
            <v>0</v>
          </cell>
          <cell r="AG26">
            <v>27464.2065</v>
          </cell>
          <cell r="AH26">
            <v>0</v>
          </cell>
          <cell r="AI26">
            <v>0</v>
          </cell>
          <cell r="AJ26">
            <v>27464.2065</v>
          </cell>
          <cell r="AK26">
            <v>0</v>
          </cell>
          <cell r="AL26">
            <v>0</v>
          </cell>
          <cell r="AM26">
            <v>12823.251000000004</v>
          </cell>
          <cell r="AN26">
            <v>0</v>
          </cell>
          <cell r="AO26">
            <v>0</v>
          </cell>
          <cell r="AP26">
            <v>27464.2065</v>
          </cell>
          <cell r="AQ26">
            <v>0</v>
          </cell>
          <cell r="AR26">
            <v>0</v>
          </cell>
          <cell r="AS26">
            <v>27464.2065</v>
          </cell>
          <cell r="AT26">
            <v>0</v>
          </cell>
          <cell r="AU26">
            <v>0</v>
          </cell>
          <cell r="AV26">
            <v>27464.2065</v>
          </cell>
          <cell r="AW26">
            <v>0</v>
          </cell>
          <cell r="AX26">
            <v>0</v>
          </cell>
          <cell r="AY26">
            <v>27464.2065</v>
          </cell>
          <cell r="AZ26">
            <v>0</v>
          </cell>
          <cell r="BA26">
            <v>0</v>
          </cell>
          <cell r="BB26">
            <v>27464.2065</v>
          </cell>
          <cell r="BC26">
            <v>0</v>
          </cell>
          <cell r="BD26">
            <v>0</v>
          </cell>
          <cell r="BE26">
            <v>27464.2065</v>
          </cell>
          <cell r="BF26">
            <v>0</v>
          </cell>
          <cell r="BG26">
            <v>0</v>
          </cell>
          <cell r="BH26">
            <v>27464.2065</v>
          </cell>
          <cell r="BI26">
            <v>0</v>
          </cell>
          <cell r="BJ26">
            <v>0</v>
          </cell>
          <cell r="BK26">
            <v>27464.2065</v>
          </cell>
          <cell r="BL26">
            <v>0</v>
          </cell>
          <cell r="BM26">
            <v>0</v>
          </cell>
          <cell r="BN26">
            <v>27464.2065</v>
          </cell>
          <cell r="BO26">
            <v>0</v>
          </cell>
          <cell r="BP26">
            <v>0</v>
          </cell>
          <cell r="BQ26">
            <v>27464.2065</v>
          </cell>
          <cell r="BR26">
            <v>0</v>
          </cell>
          <cell r="BS26">
            <v>0</v>
          </cell>
          <cell r="BT26">
            <v>27464.2065</v>
          </cell>
          <cell r="BU26">
            <v>0</v>
          </cell>
          <cell r="BV26">
            <v>0</v>
          </cell>
          <cell r="BW26">
            <v>27464.2065</v>
          </cell>
          <cell r="BX26">
            <v>0</v>
          </cell>
          <cell r="BY26">
            <v>0</v>
          </cell>
          <cell r="BZ26">
            <v>27464.2065</v>
          </cell>
          <cell r="CA26">
            <v>0</v>
          </cell>
          <cell r="CB26">
            <v>0</v>
          </cell>
          <cell r="CC26">
            <v>27464.2065</v>
          </cell>
          <cell r="CD26">
            <v>0</v>
          </cell>
        </row>
        <row r="27">
          <cell r="B27">
            <v>59</v>
          </cell>
          <cell r="C27" t="str">
            <v>Preparaciones para limpieza y desengrase</v>
          </cell>
          <cell r="D27" t="str">
            <v>Brillametal en crema (Compra)</v>
          </cell>
          <cell r="E27">
            <v>4</v>
          </cell>
          <cell r="F27">
            <v>1</v>
          </cell>
          <cell r="G27">
            <v>-3</v>
          </cell>
          <cell r="H27">
            <v>1</v>
          </cell>
          <cell r="I27">
            <v>5528.260000000002</v>
          </cell>
          <cell r="J27">
            <v>5528.260000000002</v>
          </cell>
          <cell r="K27">
            <v>0</v>
          </cell>
          <cell r="L27">
            <v>5528.260000000002</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row>
        <row r="28">
          <cell r="B28">
            <v>62</v>
          </cell>
          <cell r="C28" t="str">
            <v>Purificadores líquidos de ambiente</v>
          </cell>
          <cell r="D28" t="str">
            <v>Ambientador 1 (Compra)</v>
          </cell>
          <cell r="E28">
            <v>25</v>
          </cell>
          <cell r="F28">
            <v>110</v>
          </cell>
          <cell r="G28">
            <v>85</v>
          </cell>
          <cell r="H28">
            <v>30</v>
          </cell>
          <cell r="I28">
            <v>5167.7669999999998</v>
          </cell>
          <cell r="J28">
            <v>155033.01</v>
          </cell>
          <cell r="K28">
            <v>10</v>
          </cell>
          <cell r="L28">
            <v>10100.3202</v>
          </cell>
          <cell r="M28">
            <v>101003.202</v>
          </cell>
          <cell r="N28">
            <v>2</v>
          </cell>
          <cell r="O28">
            <v>10100.3202</v>
          </cell>
          <cell r="P28">
            <v>20200.6404</v>
          </cell>
          <cell r="Q28">
            <v>0</v>
          </cell>
          <cell r="R28">
            <v>5167.7669999999998</v>
          </cell>
          <cell r="S28">
            <v>0</v>
          </cell>
          <cell r="T28">
            <v>5</v>
          </cell>
          <cell r="U28">
            <v>10100.3202</v>
          </cell>
          <cell r="V28">
            <v>50501.601000000002</v>
          </cell>
          <cell r="W28">
            <v>10</v>
          </cell>
          <cell r="X28">
            <v>10100.3202</v>
          </cell>
          <cell r="Y28">
            <v>101003.202</v>
          </cell>
          <cell r="Z28">
            <v>6</v>
          </cell>
          <cell r="AA28">
            <v>10100.3202</v>
          </cell>
          <cell r="AB28">
            <v>60601.921199999997</v>
          </cell>
          <cell r="AC28">
            <v>0</v>
          </cell>
          <cell r="AD28">
            <v>5167.7669999999998</v>
          </cell>
          <cell r="AE28">
            <v>0</v>
          </cell>
          <cell r="AF28">
            <v>1</v>
          </cell>
          <cell r="AG28">
            <v>5167.7669999999998</v>
          </cell>
          <cell r="AH28">
            <v>5167.7669999999998</v>
          </cell>
          <cell r="AI28">
            <v>6</v>
          </cell>
          <cell r="AJ28">
            <v>10100.3202</v>
          </cell>
          <cell r="AK28">
            <v>60601.921199999997</v>
          </cell>
          <cell r="AL28">
            <v>5</v>
          </cell>
          <cell r="AM28">
            <v>10100.3202</v>
          </cell>
          <cell r="AN28">
            <v>50501.601000000002</v>
          </cell>
          <cell r="AO28">
            <v>1</v>
          </cell>
          <cell r="AP28">
            <v>10100.3202</v>
          </cell>
          <cell r="AQ28">
            <v>10100.3202</v>
          </cell>
          <cell r="AR28">
            <v>3</v>
          </cell>
          <cell r="AS28">
            <v>10100.3202</v>
          </cell>
          <cell r="AT28">
            <v>30300.960599999999</v>
          </cell>
          <cell r="AU28">
            <v>1</v>
          </cell>
          <cell r="AV28">
            <v>10100.3202</v>
          </cell>
          <cell r="AW28">
            <v>10100.3202</v>
          </cell>
          <cell r="AX28">
            <v>2</v>
          </cell>
          <cell r="AY28">
            <v>10100.3202</v>
          </cell>
          <cell r="AZ28">
            <v>20200.6404</v>
          </cell>
          <cell r="BA28">
            <v>0</v>
          </cell>
          <cell r="BB28">
            <v>5167.7669999999998</v>
          </cell>
          <cell r="BC28">
            <v>0</v>
          </cell>
          <cell r="BD28">
            <v>4</v>
          </cell>
          <cell r="BE28">
            <v>10100.3202</v>
          </cell>
          <cell r="BF28">
            <v>40401.2808</v>
          </cell>
          <cell r="BG28">
            <v>6</v>
          </cell>
          <cell r="BH28">
            <v>10100.3202</v>
          </cell>
          <cell r="BI28">
            <v>60601.921199999997</v>
          </cell>
          <cell r="BJ28">
            <v>5</v>
          </cell>
          <cell r="BK28">
            <v>10100.3202</v>
          </cell>
          <cell r="BL28">
            <v>50501.601000000002</v>
          </cell>
          <cell r="BM28">
            <v>1</v>
          </cell>
          <cell r="BN28">
            <v>10100.3202</v>
          </cell>
          <cell r="BO28">
            <v>10100.3202</v>
          </cell>
          <cell r="BP28">
            <v>2</v>
          </cell>
          <cell r="BQ28">
            <v>10100.3202</v>
          </cell>
          <cell r="BR28">
            <v>20200.6404</v>
          </cell>
          <cell r="BS28">
            <v>2</v>
          </cell>
          <cell r="BT28">
            <v>10100.3202</v>
          </cell>
          <cell r="BU28">
            <v>20200.6404</v>
          </cell>
          <cell r="BV28">
            <v>0</v>
          </cell>
          <cell r="BW28">
            <v>10100.3202</v>
          </cell>
          <cell r="BX28">
            <v>0</v>
          </cell>
          <cell r="BY28">
            <v>2</v>
          </cell>
          <cell r="BZ28">
            <v>10100.3202</v>
          </cell>
          <cell r="CA28">
            <v>20200.6404</v>
          </cell>
          <cell r="CB28">
            <v>6</v>
          </cell>
          <cell r="CC28">
            <v>10100.3202</v>
          </cell>
          <cell r="CD28">
            <v>60601.921199999997</v>
          </cell>
        </row>
        <row r="29">
          <cell r="B29">
            <v>63</v>
          </cell>
          <cell r="C29" t="str">
            <v>Purificadores líquidos de ambiente</v>
          </cell>
          <cell r="D29" t="str">
            <v>Ambientador 2 (Compra)</v>
          </cell>
          <cell r="E29">
            <v>25</v>
          </cell>
          <cell r="F29">
            <v>91</v>
          </cell>
          <cell r="G29">
            <v>66</v>
          </cell>
          <cell r="H29">
            <v>15</v>
          </cell>
          <cell r="I29">
            <v>8292.39</v>
          </cell>
          <cell r="J29">
            <v>124385.84999999999</v>
          </cell>
          <cell r="K29">
            <v>8</v>
          </cell>
          <cell r="L29">
            <v>8292.39</v>
          </cell>
          <cell r="M29">
            <v>66339.12</v>
          </cell>
          <cell r="N29">
            <v>1</v>
          </cell>
          <cell r="O29">
            <v>8292.39</v>
          </cell>
          <cell r="P29">
            <v>8292.39</v>
          </cell>
          <cell r="Q29">
            <v>0</v>
          </cell>
          <cell r="R29">
            <v>11443.4982</v>
          </cell>
          <cell r="S29">
            <v>0</v>
          </cell>
          <cell r="T29">
            <v>5</v>
          </cell>
          <cell r="U29">
            <v>8292.39</v>
          </cell>
          <cell r="V29">
            <v>41461.949999999997</v>
          </cell>
          <cell r="W29">
            <v>8</v>
          </cell>
          <cell r="X29">
            <v>11443.4982</v>
          </cell>
          <cell r="Y29">
            <v>91547.9856</v>
          </cell>
          <cell r="Z29">
            <v>5</v>
          </cell>
          <cell r="AA29">
            <v>11443.4982</v>
          </cell>
          <cell r="AB29">
            <v>57217.491000000002</v>
          </cell>
          <cell r="AC29">
            <v>8</v>
          </cell>
          <cell r="AD29">
            <v>11443.4982</v>
          </cell>
          <cell r="AE29">
            <v>91547.9856</v>
          </cell>
          <cell r="AF29">
            <v>1</v>
          </cell>
          <cell r="AG29">
            <v>11443.4982</v>
          </cell>
          <cell r="AH29">
            <v>11443.4982</v>
          </cell>
          <cell r="AI29">
            <v>5</v>
          </cell>
          <cell r="AJ29">
            <v>11443.4982</v>
          </cell>
          <cell r="AK29">
            <v>57217.491000000002</v>
          </cell>
          <cell r="AL29">
            <v>5</v>
          </cell>
          <cell r="AM29">
            <v>11443.4982</v>
          </cell>
          <cell r="AN29">
            <v>57217.491000000002</v>
          </cell>
          <cell r="AO29">
            <v>0</v>
          </cell>
          <cell r="AP29">
            <v>11443.4982</v>
          </cell>
          <cell r="AQ29">
            <v>0</v>
          </cell>
          <cell r="AR29">
            <v>3</v>
          </cell>
          <cell r="AS29">
            <v>11443.4982</v>
          </cell>
          <cell r="AT29">
            <v>34330.494599999998</v>
          </cell>
          <cell r="AU29">
            <v>2</v>
          </cell>
          <cell r="AV29">
            <v>8292.39</v>
          </cell>
          <cell r="AW29">
            <v>16584.78</v>
          </cell>
          <cell r="AX29">
            <v>0</v>
          </cell>
          <cell r="AY29">
            <v>11443.4982</v>
          </cell>
          <cell r="AZ29">
            <v>0</v>
          </cell>
          <cell r="BA29">
            <v>10</v>
          </cell>
          <cell r="BB29">
            <v>11443.4982</v>
          </cell>
          <cell r="BC29">
            <v>114434.982</v>
          </cell>
          <cell r="BD29">
            <v>5</v>
          </cell>
          <cell r="BE29">
            <v>11443.4982</v>
          </cell>
          <cell r="BF29">
            <v>57217.491000000002</v>
          </cell>
          <cell r="BG29">
            <v>0</v>
          </cell>
          <cell r="BH29">
            <v>11443.4982</v>
          </cell>
          <cell r="BI29">
            <v>0</v>
          </cell>
          <cell r="BJ29">
            <v>4</v>
          </cell>
          <cell r="BK29">
            <v>11443.4982</v>
          </cell>
          <cell r="BL29">
            <v>45773.9928</v>
          </cell>
          <cell r="BM29">
            <v>1</v>
          </cell>
          <cell r="BN29">
            <v>11443.4982</v>
          </cell>
          <cell r="BO29">
            <v>11443.4982</v>
          </cell>
          <cell r="BP29">
            <v>3</v>
          </cell>
          <cell r="BQ29">
            <v>11443.4982</v>
          </cell>
          <cell r="BR29">
            <v>34330.494599999998</v>
          </cell>
          <cell r="BS29">
            <v>0</v>
          </cell>
          <cell r="BT29">
            <v>11443.4982</v>
          </cell>
          <cell r="BU29">
            <v>0</v>
          </cell>
          <cell r="BV29">
            <v>0</v>
          </cell>
          <cell r="BW29">
            <v>11443.4982</v>
          </cell>
          <cell r="BX29">
            <v>0</v>
          </cell>
          <cell r="BY29">
            <v>2</v>
          </cell>
          <cell r="BZ29">
            <v>11443.4982</v>
          </cell>
          <cell r="CA29">
            <v>22886.9964</v>
          </cell>
          <cell r="CB29">
            <v>0</v>
          </cell>
          <cell r="CC29">
            <v>11443.4982</v>
          </cell>
          <cell r="CD29">
            <v>0</v>
          </cell>
        </row>
        <row r="30">
          <cell r="B30">
            <v>64</v>
          </cell>
          <cell r="C30" t="str">
            <v>Solventes para insecticida</v>
          </cell>
          <cell r="D30" t="str">
            <v>Insecticida 1 (Compra)</v>
          </cell>
          <cell r="E30">
            <v>25</v>
          </cell>
          <cell r="F30">
            <v>5</v>
          </cell>
          <cell r="G30">
            <v>-20</v>
          </cell>
          <cell r="H30">
            <v>0</v>
          </cell>
          <cell r="I30">
            <v>13820.650000000001</v>
          </cell>
          <cell r="J30">
            <v>0</v>
          </cell>
          <cell r="K30">
            <v>3</v>
          </cell>
          <cell r="L30">
            <v>13820.650000000001</v>
          </cell>
          <cell r="M30">
            <v>41461.950000000004</v>
          </cell>
          <cell r="N30">
            <v>2</v>
          </cell>
          <cell r="O30">
            <v>13820.650000000001</v>
          </cell>
          <cell r="P30">
            <v>27641.300000000003</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13820.650000000001</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row>
        <row r="31">
          <cell r="B31">
            <v>65</v>
          </cell>
          <cell r="C31" t="str">
            <v>Solventes para insecticida</v>
          </cell>
          <cell r="D31" t="str">
            <v>Insecticida 2 (Compra)</v>
          </cell>
          <cell r="E31">
            <v>25</v>
          </cell>
          <cell r="F31">
            <v>22</v>
          </cell>
          <cell r="G31">
            <v>-3</v>
          </cell>
          <cell r="H31">
            <v>0</v>
          </cell>
          <cell r="I31">
            <v>13820.650000000001</v>
          </cell>
          <cell r="J31">
            <v>0</v>
          </cell>
          <cell r="K31">
            <v>3</v>
          </cell>
          <cell r="L31">
            <v>13820.650000000001</v>
          </cell>
          <cell r="M31">
            <v>41461.950000000004</v>
          </cell>
          <cell r="N31">
            <v>2</v>
          </cell>
          <cell r="O31">
            <v>13820.650000000001</v>
          </cell>
          <cell r="P31">
            <v>27641.300000000003</v>
          </cell>
          <cell r="Q31">
            <v>0</v>
          </cell>
          <cell r="R31">
            <v>21295.046699999999</v>
          </cell>
          <cell r="S31">
            <v>0</v>
          </cell>
          <cell r="T31">
            <v>0</v>
          </cell>
          <cell r="U31">
            <v>21295.046699999999</v>
          </cell>
          <cell r="V31">
            <v>0</v>
          </cell>
          <cell r="W31">
            <v>0</v>
          </cell>
          <cell r="X31">
            <v>21295.046699999999</v>
          </cell>
          <cell r="Y31">
            <v>0</v>
          </cell>
          <cell r="Z31">
            <v>0</v>
          </cell>
          <cell r="AA31">
            <v>21295.046699999999</v>
          </cell>
          <cell r="AB31">
            <v>0</v>
          </cell>
          <cell r="AC31">
            <v>0</v>
          </cell>
          <cell r="AD31">
            <v>21295.046699999999</v>
          </cell>
          <cell r="AE31">
            <v>0</v>
          </cell>
          <cell r="AF31">
            <v>0</v>
          </cell>
          <cell r="AG31">
            <v>21295.046699999999</v>
          </cell>
          <cell r="AH31">
            <v>0</v>
          </cell>
          <cell r="AI31">
            <v>0</v>
          </cell>
          <cell r="AJ31">
            <v>21295.046699999999</v>
          </cell>
          <cell r="AK31">
            <v>0</v>
          </cell>
          <cell r="AL31">
            <v>2</v>
          </cell>
          <cell r="AM31">
            <v>13820.650000000001</v>
          </cell>
          <cell r="AN31">
            <v>27641.300000000003</v>
          </cell>
          <cell r="AO31">
            <v>1</v>
          </cell>
          <cell r="AP31">
            <v>13820.650000000001</v>
          </cell>
          <cell r="AQ31">
            <v>13820.650000000001</v>
          </cell>
          <cell r="AR31">
            <v>0</v>
          </cell>
          <cell r="AS31">
            <v>13820.650000000001</v>
          </cell>
          <cell r="AT31">
            <v>0</v>
          </cell>
          <cell r="AU31">
            <v>0</v>
          </cell>
          <cell r="AV31">
            <v>21295.046699999999</v>
          </cell>
          <cell r="AW31">
            <v>0</v>
          </cell>
          <cell r="AX31">
            <v>3</v>
          </cell>
          <cell r="AY31">
            <v>13820.650000000001</v>
          </cell>
          <cell r="AZ31">
            <v>41461.950000000004</v>
          </cell>
          <cell r="BA31">
            <v>0</v>
          </cell>
          <cell r="BB31">
            <v>21295.046699999999</v>
          </cell>
          <cell r="BC31">
            <v>0</v>
          </cell>
          <cell r="BD31">
            <v>2</v>
          </cell>
          <cell r="BE31">
            <v>13820.650000000001</v>
          </cell>
          <cell r="BF31">
            <v>27641.300000000003</v>
          </cell>
          <cell r="BG31">
            <v>0</v>
          </cell>
          <cell r="BH31">
            <v>21295.046699999999</v>
          </cell>
          <cell r="BI31">
            <v>0</v>
          </cell>
          <cell r="BJ31">
            <v>2</v>
          </cell>
          <cell r="BK31">
            <v>13820.650000000001</v>
          </cell>
          <cell r="BL31">
            <v>27641.300000000003</v>
          </cell>
          <cell r="BM31">
            <v>0</v>
          </cell>
          <cell r="BN31">
            <v>13820.650000000001</v>
          </cell>
          <cell r="BO31">
            <v>0</v>
          </cell>
          <cell r="BP31">
            <v>2</v>
          </cell>
          <cell r="BQ31">
            <v>13820.650000000001</v>
          </cell>
          <cell r="BR31">
            <v>27641.300000000003</v>
          </cell>
          <cell r="BS31">
            <v>2</v>
          </cell>
          <cell r="BT31">
            <v>13820.650000000001</v>
          </cell>
          <cell r="BU31">
            <v>27641.300000000003</v>
          </cell>
          <cell r="BV31">
            <v>0</v>
          </cell>
          <cell r="BW31">
            <v>21295.046699999999</v>
          </cell>
          <cell r="BX31">
            <v>0</v>
          </cell>
          <cell r="BY31">
            <v>3</v>
          </cell>
          <cell r="BZ31">
            <v>13820.650000000001</v>
          </cell>
          <cell r="CA31">
            <v>41461.950000000004</v>
          </cell>
          <cell r="CB31">
            <v>0</v>
          </cell>
          <cell r="CC31">
            <v>21295.046699999999</v>
          </cell>
          <cell r="CD31">
            <v>0</v>
          </cell>
        </row>
        <row r="32">
          <cell r="B32">
            <v>66</v>
          </cell>
          <cell r="C32" t="str">
            <v xml:space="preserve">Filtros de algodón </v>
          </cell>
          <cell r="D32" t="str">
            <v>Limpiones 1 (Compra)</v>
          </cell>
          <cell r="E32">
            <v>25</v>
          </cell>
          <cell r="F32">
            <v>153</v>
          </cell>
          <cell r="G32">
            <v>128</v>
          </cell>
          <cell r="H32">
            <v>0</v>
          </cell>
          <cell r="I32">
            <v>4178.9862000000003</v>
          </cell>
          <cell r="J32">
            <v>0</v>
          </cell>
          <cell r="K32">
            <v>5</v>
          </cell>
          <cell r="L32">
            <v>2887.0970000000002</v>
          </cell>
          <cell r="M32">
            <v>14435.485000000001</v>
          </cell>
          <cell r="N32">
            <v>3</v>
          </cell>
          <cell r="O32">
            <v>4178.9862000000003</v>
          </cell>
          <cell r="P32">
            <v>12536.958600000002</v>
          </cell>
          <cell r="Q32">
            <v>0</v>
          </cell>
          <cell r="R32">
            <v>4178.9862000000003</v>
          </cell>
          <cell r="S32">
            <v>0</v>
          </cell>
          <cell r="T32">
            <v>0</v>
          </cell>
          <cell r="U32">
            <v>2887.0970000000002</v>
          </cell>
          <cell r="V32">
            <v>0</v>
          </cell>
          <cell r="W32">
            <v>10</v>
          </cell>
          <cell r="X32">
            <v>2887.0970000000002</v>
          </cell>
          <cell r="Y32">
            <v>28870.97</v>
          </cell>
          <cell r="Z32">
            <v>10</v>
          </cell>
          <cell r="AA32">
            <v>2887.0970000000002</v>
          </cell>
          <cell r="AB32">
            <v>28870.97</v>
          </cell>
          <cell r="AC32">
            <v>40</v>
          </cell>
          <cell r="AD32">
            <v>4178.9862000000003</v>
          </cell>
          <cell r="AE32">
            <v>167159.448</v>
          </cell>
          <cell r="AF32">
            <v>3</v>
          </cell>
          <cell r="AG32">
            <v>2887.0970000000002</v>
          </cell>
          <cell r="AH32">
            <v>8661.2910000000011</v>
          </cell>
          <cell r="AI32">
            <v>10</v>
          </cell>
          <cell r="AJ32">
            <v>4178.9862000000003</v>
          </cell>
          <cell r="AK32">
            <v>41789.862000000001</v>
          </cell>
          <cell r="AL32">
            <v>10</v>
          </cell>
          <cell r="AM32">
            <v>4178.9862000000003</v>
          </cell>
          <cell r="AN32">
            <v>41789.862000000001</v>
          </cell>
          <cell r="AO32">
            <v>5</v>
          </cell>
          <cell r="AP32">
            <v>4178.9862000000003</v>
          </cell>
          <cell r="AQ32">
            <v>20894.931</v>
          </cell>
          <cell r="AR32">
            <v>0</v>
          </cell>
          <cell r="AS32">
            <v>4178.9862000000003</v>
          </cell>
          <cell r="AT32">
            <v>0</v>
          </cell>
          <cell r="AU32">
            <v>0</v>
          </cell>
          <cell r="AV32">
            <v>4178.9862000000003</v>
          </cell>
          <cell r="AW32">
            <v>0</v>
          </cell>
          <cell r="AX32">
            <v>6</v>
          </cell>
          <cell r="AY32">
            <v>4178.9862000000003</v>
          </cell>
          <cell r="AZ32">
            <v>25073.917200000004</v>
          </cell>
          <cell r="BA32">
            <v>0</v>
          </cell>
          <cell r="BB32">
            <v>4178.9862000000003</v>
          </cell>
          <cell r="BC32">
            <v>0</v>
          </cell>
          <cell r="BD32">
            <v>5</v>
          </cell>
          <cell r="BE32">
            <v>4178.9862000000003</v>
          </cell>
          <cell r="BF32">
            <v>20894.931</v>
          </cell>
          <cell r="BG32">
            <v>15</v>
          </cell>
          <cell r="BH32">
            <v>4178.9862000000003</v>
          </cell>
          <cell r="BI32">
            <v>62684.793000000005</v>
          </cell>
          <cell r="BJ32">
            <v>5</v>
          </cell>
          <cell r="BK32">
            <v>4178.9862000000003</v>
          </cell>
          <cell r="BL32">
            <v>20894.931</v>
          </cell>
          <cell r="BM32">
            <v>3</v>
          </cell>
          <cell r="BN32">
            <v>2887.0970000000002</v>
          </cell>
          <cell r="BO32">
            <v>8661.2910000000011</v>
          </cell>
          <cell r="BP32">
            <v>5</v>
          </cell>
          <cell r="BQ32">
            <v>4178.9862000000003</v>
          </cell>
          <cell r="BR32">
            <v>20894.931</v>
          </cell>
          <cell r="BS32">
            <v>5</v>
          </cell>
          <cell r="BT32">
            <v>4178.9862000000003</v>
          </cell>
          <cell r="BU32">
            <v>20894.931</v>
          </cell>
          <cell r="BV32">
            <v>0</v>
          </cell>
          <cell r="BW32">
            <v>4178.9862000000003</v>
          </cell>
          <cell r="BX32">
            <v>0</v>
          </cell>
          <cell r="BY32">
            <v>3</v>
          </cell>
          <cell r="BZ32">
            <v>4178.9862000000003</v>
          </cell>
          <cell r="CA32">
            <v>12536.958600000002</v>
          </cell>
          <cell r="CB32">
            <v>10</v>
          </cell>
          <cell r="CC32">
            <v>4178.9862000000003</v>
          </cell>
          <cell r="CD32">
            <v>41789.862000000001</v>
          </cell>
        </row>
        <row r="33">
          <cell r="B33">
            <v>71</v>
          </cell>
          <cell r="C33" t="str">
            <v xml:space="preserve">Filtros de algodón </v>
          </cell>
          <cell r="D33" t="str">
            <v>Bayetilla 1 (Compra)</v>
          </cell>
          <cell r="E33">
            <v>25</v>
          </cell>
          <cell r="F33">
            <v>49</v>
          </cell>
          <cell r="G33">
            <v>24</v>
          </cell>
          <cell r="H33">
            <v>0</v>
          </cell>
          <cell r="I33">
            <v>7960.6944000000003</v>
          </cell>
          <cell r="J33">
            <v>0</v>
          </cell>
          <cell r="K33">
            <v>5</v>
          </cell>
          <cell r="L33">
            <v>5196.1440000000002</v>
          </cell>
          <cell r="M33">
            <v>25980.720000000001</v>
          </cell>
          <cell r="N33">
            <v>3</v>
          </cell>
          <cell r="O33">
            <v>5196.1440000000002</v>
          </cell>
          <cell r="P33">
            <v>15588.432000000001</v>
          </cell>
          <cell r="Q33">
            <v>0</v>
          </cell>
          <cell r="R33">
            <v>7960.6944000000003</v>
          </cell>
          <cell r="S33">
            <v>0</v>
          </cell>
          <cell r="T33">
            <v>0</v>
          </cell>
          <cell r="U33">
            <v>7960.6944000000003</v>
          </cell>
          <cell r="V33">
            <v>0</v>
          </cell>
          <cell r="W33">
            <v>0</v>
          </cell>
          <cell r="X33">
            <v>5196.1440000000002</v>
          </cell>
          <cell r="Y33">
            <v>0</v>
          </cell>
          <cell r="Z33">
            <v>0</v>
          </cell>
          <cell r="AA33">
            <v>7960.6944000000003</v>
          </cell>
          <cell r="AB33">
            <v>0</v>
          </cell>
          <cell r="AC33">
            <v>0</v>
          </cell>
          <cell r="AD33">
            <v>7960.6944000000003</v>
          </cell>
          <cell r="AE33">
            <v>0</v>
          </cell>
          <cell r="AF33">
            <v>0</v>
          </cell>
          <cell r="AG33">
            <v>7960.6944000000003</v>
          </cell>
          <cell r="AH33">
            <v>0</v>
          </cell>
          <cell r="AI33">
            <v>0</v>
          </cell>
          <cell r="AJ33">
            <v>7960.6944000000003</v>
          </cell>
          <cell r="AK33">
            <v>0</v>
          </cell>
          <cell r="AL33">
            <v>12</v>
          </cell>
          <cell r="AM33">
            <v>5196.1440000000002</v>
          </cell>
          <cell r="AN33">
            <v>62353.728000000003</v>
          </cell>
          <cell r="AO33">
            <v>5</v>
          </cell>
          <cell r="AP33">
            <v>5196.1440000000002</v>
          </cell>
          <cell r="AQ33">
            <v>25980.720000000001</v>
          </cell>
          <cell r="AR33">
            <v>0</v>
          </cell>
          <cell r="AS33">
            <v>7960.6944000000003</v>
          </cell>
          <cell r="AT33">
            <v>0</v>
          </cell>
          <cell r="AU33">
            <v>0</v>
          </cell>
          <cell r="AV33">
            <v>7960.6944000000003</v>
          </cell>
          <cell r="AW33">
            <v>0</v>
          </cell>
          <cell r="AX33">
            <v>6</v>
          </cell>
          <cell r="AY33">
            <v>5196.1440000000002</v>
          </cell>
          <cell r="AZ33">
            <v>31176.864000000001</v>
          </cell>
          <cell r="BA33">
            <v>0</v>
          </cell>
          <cell r="BB33">
            <v>7960.6944000000003</v>
          </cell>
          <cell r="BC33">
            <v>0</v>
          </cell>
          <cell r="BD33">
            <v>0</v>
          </cell>
          <cell r="BE33">
            <v>5196.1440000000002</v>
          </cell>
          <cell r="BF33">
            <v>0</v>
          </cell>
          <cell r="BG33">
            <v>10</v>
          </cell>
          <cell r="BH33">
            <v>7960.6944000000003</v>
          </cell>
          <cell r="BI33">
            <v>79606.944000000003</v>
          </cell>
          <cell r="BJ33">
            <v>0</v>
          </cell>
          <cell r="BK33">
            <v>7960.6944000000003</v>
          </cell>
          <cell r="BL33">
            <v>0</v>
          </cell>
          <cell r="BM33">
            <v>5</v>
          </cell>
          <cell r="BN33">
            <v>7960.6944000000003</v>
          </cell>
          <cell r="BO33">
            <v>39803.472000000002</v>
          </cell>
          <cell r="BP33">
            <v>0</v>
          </cell>
          <cell r="BQ33">
            <v>7960.6944000000003</v>
          </cell>
          <cell r="BR33">
            <v>0</v>
          </cell>
          <cell r="BS33">
            <v>0</v>
          </cell>
          <cell r="BT33">
            <v>7960.6944000000003</v>
          </cell>
          <cell r="BU33">
            <v>0</v>
          </cell>
          <cell r="BV33">
            <v>0</v>
          </cell>
          <cell r="BW33">
            <v>7960.6944000000003</v>
          </cell>
          <cell r="BX33">
            <v>0</v>
          </cell>
          <cell r="BY33">
            <v>3</v>
          </cell>
          <cell r="BZ33">
            <v>7960.6944000000003</v>
          </cell>
          <cell r="CA33">
            <v>23882.083200000001</v>
          </cell>
          <cell r="CB33">
            <v>0</v>
          </cell>
          <cell r="CC33">
            <v>7960.6944000000003</v>
          </cell>
          <cell r="CD33">
            <v>0</v>
          </cell>
        </row>
        <row r="34">
          <cell r="B34">
            <v>72</v>
          </cell>
          <cell r="C34" t="str">
            <v xml:space="preserve">Filtros de algodón </v>
          </cell>
          <cell r="D34" t="str">
            <v>Bayetilla 2 (Compra)</v>
          </cell>
          <cell r="E34">
            <v>25</v>
          </cell>
          <cell r="F34">
            <v>70</v>
          </cell>
          <cell r="G34">
            <v>45</v>
          </cell>
          <cell r="H34">
            <v>30</v>
          </cell>
          <cell r="I34">
            <v>5196.1440000000002</v>
          </cell>
          <cell r="J34">
            <v>155884.32</v>
          </cell>
          <cell r="K34">
            <v>5</v>
          </cell>
          <cell r="L34">
            <v>7861.3749000000007</v>
          </cell>
          <cell r="M34">
            <v>39306.874500000005</v>
          </cell>
          <cell r="N34">
            <v>3</v>
          </cell>
          <cell r="O34">
            <v>7861.3749000000007</v>
          </cell>
          <cell r="P34">
            <v>23584.1247</v>
          </cell>
          <cell r="Q34">
            <v>0</v>
          </cell>
          <cell r="R34">
            <v>7861.3749000000007</v>
          </cell>
          <cell r="S34">
            <v>0</v>
          </cell>
          <cell r="T34">
            <v>0</v>
          </cell>
          <cell r="U34">
            <v>7861.3749000000007</v>
          </cell>
          <cell r="V34">
            <v>0</v>
          </cell>
          <cell r="W34">
            <v>0</v>
          </cell>
          <cell r="X34">
            <v>5196.1440000000002</v>
          </cell>
          <cell r="Y34">
            <v>0</v>
          </cell>
          <cell r="Z34">
            <v>0</v>
          </cell>
          <cell r="AA34">
            <v>7861.3749000000007</v>
          </cell>
          <cell r="AB34">
            <v>0</v>
          </cell>
          <cell r="AC34">
            <v>0</v>
          </cell>
          <cell r="AD34">
            <v>7861.3749000000007</v>
          </cell>
          <cell r="AE34">
            <v>0</v>
          </cell>
          <cell r="AF34">
            <v>0</v>
          </cell>
          <cell r="AG34">
            <v>7861.3749000000007</v>
          </cell>
          <cell r="AH34">
            <v>0</v>
          </cell>
          <cell r="AI34">
            <v>0</v>
          </cell>
          <cell r="AJ34">
            <v>5196.1440000000002</v>
          </cell>
          <cell r="AK34">
            <v>0</v>
          </cell>
          <cell r="AL34">
            <v>12</v>
          </cell>
          <cell r="AM34">
            <v>7861.3749000000007</v>
          </cell>
          <cell r="AN34">
            <v>94336.498800000001</v>
          </cell>
          <cell r="AO34">
            <v>0</v>
          </cell>
          <cell r="AP34">
            <v>5196.1440000000002</v>
          </cell>
          <cell r="AQ34">
            <v>0</v>
          </cell>
          <cell r="AR34">
            <v>10</v>
          </cell>
          <cell r="AS34">
            <v>7861.3749000000007</v>
          </cell>
          <cell r="AT34">
            <v>78613.749000000011</v>
          </cell>
          <cell r="AU34">
            <v>0</v>
          </cell>
          <cell r="AV34">
            <v>7861.3749000000007</v>
          </cell>
          <cell r="AW34">
            <v>0</v>
          </cell>
          <cell r="AX34">
            <v>0</v>
          </cell>
          <cell r="AY34">
            <v>7861.3749000000007</v>
          </cell>
          <cell r="AZ34">
            <v>0</v>
          </cell>
          <cell r="BA34">
            <v>0</v>
          </cell>
          <cell r="BB34">
            <v>7861.3749000000007</v>
          </cell>
          <cell r="BC34">
            <v>0</v>
          </cell>
          <cell r="BD34">
            <v>0</v>
          </cell>
          <cell r="BE34">
            <v>5196.1440000000002</v>
          </cell>
          <cell r="BF34">
            <v>0</v>
          </cell>
          <cell r="BG34">
            <v>10</v>
          </cell>
          <cell r="BH34">
            <v>7861.3749000000007</v>
          </cell>
          <cell r="BI34">
            <v>78613.749000000011</v>
          </cell>
          <cell r="BJ34">
            <v>0</v>
          </cell>
          <cell r="BK34">
            <v>7861.3749000000007</v>
          </cell>
          <cell r="BL34">
            <v>0</v>
          </cell>
          <cell r="BM34">
            <v>0</v>
          </cell>
          <cell r="BN34">
            <v>7861.3749000000007</v>
          </cell>
          <cell r="BO34">
            <v>0</v>
          </cell>
          <cell r="BP34">
            <v>0</v>
          </cell>
          <cell r="BQ34">
            <v>7861.3749000000007</v>
          </cell>
          <cell r="BR34">
            <v>0</v>
          </cell>
          <cell r="BS34">
            <v>0</v>
          </cell>
          <cell r="BT34">
            <v>7861.3749000000007</v>
          </cell>
          <cell r="BU34">
            <v>0</v>
          </cell>
          <cell r="BV34">
            <v>0</v>
          </cell>
          <cell r="BW34">
            <v>7861.3749000000007</v>
          </cell>
          <cell r="BX34">
            <v>0</v>
          </cell>
          <cell r="BY34">
            <v>0</v>
          </cell>
          <cell r="BZ34">
            <v>7861.3749000000007</v>
          </cell>
          <cell r="CA34">
            <v>0</v>
          </cell>
          <cell r="CB34">
            <v>0</v>
          </cell>
          <cell r="CC34">
            <v>7861.3749000000007</v>
          </cell>
          <cell r="CD34">
            <v>0</v>
          </cell>
        </row>
        <row r="35">
          <cell r="B35">
            <v>73</v>
          </cell>
          <cell r="C35" t="str">
            <v xml:space="preserve">Filtros de algodón </v>
          </cell>
          <cell r="D35" t="str">
            <v>Toalla en tela blanca para pisos por metro (repuesto de haraganes) (Compra)</v>
          </cell>
          <cell r="E35">
            <v>25</v>
          </cell>
          <cell r="F35">
            <v>0</v>
          </cell>
          <cell r="G35">
            <v>-25</v>
          </cell>
          <cell r="H35">
            <v>0</v>
          </cell>
          <cell r="I35">
            <v>4975.4340000000011</v>
          </cell>
          <cell r="J35">
            <v>0</v>
          </cell>
          <cell r="K35">
            <v>0</v>
          </cell>
          <cell r="L35">
            <v>4975.4340000000011</v>
          </cell>
          <cell r="M35">
            <v>0</v>
          </cell>
          <cell r="N35">
            <v>0</v>
          </cell>
          <cell r="O35">
            <v>4975.4340000000011</v>
          </cell>
          <cell r="P35">
            <v>0</v>
          </cell>
          <cell r="Q35">
            <v>0</v>
          </cell>
          <cell r="R35">
            <v>21493.685699999998</v>
          </cell>
          <cell r="S35">
            <v>0</v>
          </cell>
          <cell r="T35">
            <v>0</v>
          </cell>
          <cell r="U35">
            <v>21493.685699999998</v>
          </cell>
          <cell r="V35">
            <v>0</v>
          </cell>
          <cell r="W35">
            <v>0</v>
          </cell>
          <cell r="X35">
            <v>21493.685699999998</v>
          </cell>
          <cell r="Y35">
            <v>0</v>
          </cell>
          <cell r="Z35">
            <v>0</v>
          </cell>
          <cell r="AA35">
            <v>4975.4340000000011</v>
          </cell>
          <cell r="AB35">
            <v>0</v>
          </cell>
          <cell r="AC35">
            <v>0</v>
          </cell>
          <cell r="AD35">
            <v>21493.685699999998</v>
          </cell>
          <cell r="AE35">
            <v>0</v>
          </cell>
          <cell r="AF35">
            <v>0</v>
          </cell>
          <cell r="AG35">
            <v>21493.685699999998</v>
          </cell>
          <cell r="AH35">
            <v>0</v>
          </cell>
          <cell r="AI35">
            <v>0</v>
          </cell>
          <cell r="AJ35">
            <v>21493.685699999998</v>
          </cell>
          <cell r="AK35">
            <v>0</v>
          </cell>
          <cell r="AL35">
            <v>0</v>
          </cell>
          <cell r="AM35">
            <v>21493.685699999998</v>
          </cell>
          <cell r="AN35">
            <v>0</v>
          </cell>
          <cell r="AO35">
            <v>0</v>
          </cell>
          <cell r="AP35">
            <v>21493.685699999998</v>
          </cell>
          <cell r="AQ35">
            <v>0</v>
          </cell>
          <cell r="AR35">
            <v>0</v>
          </cell>
          <cell r="AS35">
            <v>21493.685699999998</v>
          </cell>
          <cell r="AT35">
            <v>0</v>
          </cell>
          <cell r="AU35">
            <v>0</v>
          </cell>
          <cell r="AV35">
            <v>21493.685699999998</v>
          </cell>
          <cell r="AW35">
            <v>0</v>
          </cell>
          <cell r="AX35">
            <v>0</v>
          </cell>
          <cell r="AY35">
            <v>21493.685699999998</v>
          </cell>
          <cell r="AZ35">
            <v>0</v>
          </cell>
          <cell r="BA35">
            <v>0</v>
          </cell>
          <cell r="BB35">
            <v>21493.685699999998</v>
          </cell>
          <cell r="BC35">
            <v>0</v>
          </cell>
          <cell r="BD35">
            <v>0</v>
          </cell>
          <cell r="BE35">
            <v>21493.685699999998</v>
          </cell>
          <cell r="BF35">
            <v>0</v>
          </cell>
          <cell r="BG35">
            <v>0</v>
          </cell>
          <cell r="BH35">
            <v>21493.685699999998</v>
          </cell>
          <cell r="BI35">
            <v>0</v>
          </cell>
          <cell r="BJ35">
            <v>0</v>
          </cell>
          <cell r="BK35">
            <v>21493.685699999998</v>
          </cell>
          <cell r="BL35">
            <v>0</v>
          </cell>
          <cell r="BM35">
            <v>0</v>
          </cell>
          <cell r="BN35">
            <v>21493.685699999998</v>
          </cell>
          <cell r="BO35">
            <v>0</v>
          </cell>
          <cell r="BP35">
            <v>0</v>
          </cell>
          <cell r="BQ35">
            <v>21493.685699999998</v>
          </cell>
          <cell r="BR35">
            <v>0</v>
          </cell>
          <cell r="BS35">
            <v>0</v>
          </cell>
          <cell r="BT35">
            <v>21493.685699999998</v>
          </cell>
          <cell r="BU35">
            <v>0</v>
          </cell>
          <cell r="BV35">
            <v>0</v>
          </cell>
          <cell r="BW35">
            <v>21493.685699999998</v>
          </cell>
          <cell r="BX35">
            <v>0</v>
          </cell>
          <cell r="BY35">
            <v>0</v>
          </cell>
          <cell r="BZ35">
            <v>21493.685699999998</v>
          </cell>
          <cell r="CA35">
            <v>0</v>
          </cell>
          <cell r="CB35">
            <v>0</v>
          </cell>
          <cell r="CC35">
            <v>21493.685699999998</v>
          </cell>
          <cell r="CD35">
            <v>0</v>
          </cell>
        </row>
        <row r="36">
          <cell r="B36">
            <v>74</v>
          </cell>
          <cell r="C36" t="str">
            <v>Paños absorbentes desechables para uso doméstico</v>
          </cell>
          <cell r="D36" t="str">
            <v>Paño absorbente multiusos 1 (Compra)</v>
          </cell>
          <cell r="E36">
            <v>25</v>
          </cell>
          <cell r="F36">
            <v>81</v>
          </cell>
          <cell r="G36">
            <v>56</v>
          </cell>
          <cell r="H36">
            <v>0</v>
          </cell>
          <cell r="I36">
            <v>3261.2529999999997</v>
          </cell>
          <cell r="J36">
            <v>0</v>
          </cell>
          <cell r="K36">
            <v>4</v>
          </cell>
          <cell r="L36">
            <v>6915.4749000000002</v>
          </cell>
          <cell r="M36">
            <v>27661.899600000001</v>
          </cell>
          <cell r="N36">
            <v>2</v>
          </cell>
          <cell r="O36">
            <v>6915.4749000000002</v>
          </cell>
          <cell r="P36">
            <v>13830.9498</v>
          </cell>
          <cell r="Q36">
            <v>0</v>
          </cell>
          <cell r="R36">
            <v>6915.4749000000002</v>
          </cell>
          <cell r="S36">
            <v>0</v>
          </cell>
          <cell r="T36">
            <v>0</v>
          </cell>
          <cell r="U36">
            <v>3261.2529999999997</v>
          </cell>
          <cell r="V36">
            <v>0</v>
          </cell>
          <cell r="W36">
            <v>0</v>
          </cell>
          <cell r="X36">
            <v>3261.2529999999997</v>
          </cell>
          <cell r="Y36">
            <v>0</v>
          </cell>
          <cell r="Z36">
            <v>10</v>
          </cell>
          <cell r="AA36">
            <v>3261.2529999999997</v>
          </cell>
          <cell r="AB36">
            <v>32612.53</v>
          </cell>
          <cell r="AC36">
            <v>2</v>
          </cell>
          <cell r="AD36">
            <v>6915.4749000000002</v>
          </cell>
          <cell r="AE36">
            <v>13830.9498</v>
          </cell>
          <cell r="AF36">
            <v>0</v>
          </cell>
          <cell r="AG36">
            <v>6915.4749000000002</v>
          </cell>
          <cell r="AH36">
            <v>0</v>
          </cell>
          <cell r="AI36">
            <v>10</v>
          </cell>
          <cell r="AJ36">
            <v>3261.2529999999997</v>
          </cell>
          <cell r="AK36">
            <v>32612.53</v>
          </cell>
          <cell r="AL36">
            <v>10</v>
          </cell>
          <cell r="AM36">
            <v>3261.2529999999997</v>
          </cell>
          <cell r="AN36">
            <v>32612.53</v>
          </cell>
          <cell r="AO36">
            <v>5</v>
          </cell>
          <cell r="AP36">
            <v>6915.4749000000002</v>
          </cell>
          <cell r="AQ36">
            <v>34577.374499999998</v>
          </cell>
          <cell r="AR36">
            <v>0</v>
          </cell>
          <cell r="AS36">
            <v>6915.4749000000002</v>
          </cell>
          <cell r="AT36">
            <v>0</v>
          </cell>
          <cell r="AU36">
            <v>0</v>
          </cell>
          <cell r="AV36">
            <v>6915.4749000000002</v>
          </cell>
          <cell r="AW36">
            <v>0</v>
          </cell>
          <cell r="AX36">
            <v>4</v>
          </cell>
          <cell r="AY36">
            <v>6915.4749000000002</v>
          </cell>
          <cell r="AZ36">
            <v>27661.899600000001</v>
          </cell>
          <cell r="BA36">
            <v>0</v>
          </cell>
          <cell r="BB36">
            <v>6915.4749000000002</v>
          </cell>
          <cell r="BC36">
            <v>0</v>
          </cell>
          <cell r="BD36">
            <v>5</v>
          </cell>
          <cell r="BE36">
            <v>6915.4749000000002</v>
          </cell>
          <cell r="BF36">
            <v>34577.374499999998</v>
          </cell>
          <cell r="BG36">
            <v>6</v>
          </cell>
          <cell r="BH36">
            <v>6915.4749000000002</v>
          </cell>
          <cell r="BI36">
            <v>41492.849399999999</v>
          </cell>
          <cell r="BJ36">
            <v>5</v>
          </cell>
          <cell r="BK36">
            <v>6915.4749000000002</v>
          </cell>
          <cell r="BL36">
            <v>34577.374499999998</v>
          </cell>
          <cell r="BM36">
            <v>3</v>
          </cell>
          <cell r="BN36">
            <v>6915.4749000000002</v>
          </cell>
          <cell r="BO36">
            <v>20746.4247</v>
          </cell>
          <cell r="BP36">
            <v>5</v>
          </cell>
          <cell r="BQ36">
            <v>6915.4749000000002</v>
          </cell>
          <cell r="BR36">
            <v>34577.374499999998</v>
          </cell>
          <cell r="BS36">
            <v>5</v>
          </cell>
          <cell r="BT36">
            <v>6915.4749000000002</v>
          </cell>
          <cell r="BU36">
            <v>34577.374499999998</v>
          </cell>
          <cell r="BV36">
            <v>0</v>
          </cell>
          <cell r="BW36">
            <v>6915.4749000000002</v>
          </cell>
          <cell r="BX36">
            <v>0</v>
          </cell>
          <cell r="BY36">
            <v>0</v>
          </cell>
          <cell r="BZ36">
            <v>6915.4749000000002</v>
          </cell>
          <cell r="CA36">
            <v>0</v>
          </cell>
          <cell r="CB36">
            <v>5</v>
          </cell>
          <cell r="CC36">
            <v>6915.4749000000002</v>
          </cell>
          <cell r="CD36">
            <v>34577.374499999998</v>
          </cell>
        </row>
        <row r="37">
          <cell r="B37">
            <v>79</v>
          </cell>
          <cell r="C37" t="str">
            <v xml:space="preserve">Esponjas y esponjillas metálicas </v>
          </cell>
          <cell r="D37" t="str">
            <v>Esponjilla 1 (Compra)</v>
          </cell>
          <cell r="E37">
            <v>37</v>
          </cell>
          <cell r="F37">
            <v>21</v>
          </cell>
          <cell r="G37">
            <v>-16</v>
          </cell>
          <cell r="H37">
            <v>0</v>
          </cell>
          <cell r="I37">
            <v>541.2650000000001</v>
          </cell>
          <cell r="J37">
            <v>0</v>
          </cell>
          <cell r="K37">
            <v>8</v>
          </cell>
          <cell r="L37">
            <v>541.2650000000001</v>
          </cell>
          <cell r="M37">
            <v>4330.1200000000008</v>
          </cell>
          <cell r="N37">
            <v>3</v>
          </cell>
          <cell r="O37">
            <v>541.2650000000001</v>
          </cell>
          <cell r="P37">
            <v>1623.7950000000003</v>
          </cell>
          <cell r="Q37">
            <v>0</v>
          </cell>
          <cell r="R37">
            <v>935.49510000000009</v>
          </cell>
          <cell r="S37">
            <v>0</v>
          </cell>
          <cell r="T37">
            <v>0</v>
          </cell>
          <cell r="U37">
            <v>935.49510000000009</v>
          </cell>
          <cell r="V37">
            <v>0</v>
          </cell>
          <cell r="W37">
            <v>0</v>
          </cell>
          <cell r="X37">
            <v>935.49510000000009</v>
          </cell>
          <cell r="Y37">
            <v>0</v>
          </cell>
          <cell r="Z37">
            <v>0</v>
          </cell>
          <cell r="AA37">
            <v>935.49510000000009</v>
          </cell>
          <cell r="AB37">
            <v>0</v>
          </cell>
          <cell r="AC37">
            <v>10</v>
          </cell>
          <cell r="AD37">
            <v>541.2650000000001</v>
          </cell>
          <cell r="AE37">
            <v>5412.6500000000015</v>
          </cell>
          <cell r="AF37">
            <v>0</v>
          </cell>
          <cell r="AG37">
            <v>935.49510000000009</v>
          </cell>
          <cell r="AH37">
            <v>0</v>
          </cell>
          <cell r="AI37">
            <v>0</v>
          </cell>
          <cell r="AJ37">
            <v>935.49510000000009</v>
          </cell>
          <cell r="AK37">
            <v>0</v>
          </cell>
          <cell r="AL37">
            <v>0</v>
          </cell>
          <cell r="AM37">
            <v>541.2650000000001</v>
          </cell>
          <cell r="AN37">
            <v>0</v>
          </cell>
          <cell r="AO37">
            <v>0</v>
          </cell>
          <cell r="AP37">
            <v>541.2650000000001</v>
          </cell>
          <cell r="AQ37">
            <v>0</v>
          </cell>
          <cell r="AR37">
            <v>0</v>
          </cell>
          <cell r="AS37">
            <v>935.49510000000009</v>
          </cell>
          <cell r="AT37">
            <v>0</v>
          </cell>
          <cell r="AU37">
            <v>0</v>
          </cell>
          <cell r="AV37">
            <v>935.49510000000009</v>
          </cell>
          <cell r="AW37">
            <v>0</v>
          </cell>
          <cell r="AX37">
            <v>0</v>
          </cell>
          <cell r="AY37">
            <v>935.49510000000009</v>
          </cell>
          <cell r="AZ37">
            <v>0</v>
          </cell>
          <cell r="BA37">
            <v>0</v>
          </cell>
          <cell r="BB37">
            <v>935.49510000000009</v>
          </cell>
          <cell r="BC37">
            <v>0</v>
          </cell>
          <cell r="BD37">
            <v>0</v>
          </cell>
          <cell r="BE37">
            <v>935.49510000000009</v>
          </cell>
          <cell r="BF37">
            <v>0</v>
          </cell>
          <cell r="BG37">
            <v>0</v>
          </cell>
          <cell r="BH37">
            <v>935.49510000000009</v>
          </cell>
          <cell r="BI37">
            <v>0</v>
          </cell>
          <cell r="BJ37">
            <v>0</v>
          </cell>
          <cell r="BK37">
            <v>935.49510000000009</v>
          </cell>
          <cell r="BL37">
            <v>0</v>
          </cell>
          <cell r="BM37">
            <v>0</v>
          </cell>
          <cell r="BN37">
            <v>935.49510000000009</v>
          </cell>
          <cell r="BO37">
            <v>0</v>
          </cell>
          <cell r="BP37">
            <v>0</v>
          </cell>
          <cell r="BQ37">
            <v>935.49510000000009</v>
          </cell>
          <cell r="BR37">
            <v>0</v>
          </cell>
          <cell r="BS37">
            <v>0</v>
          </cell>
          <cell r="BT37">
            <v>935.49510000000009</v>
          </cell>
          <cell r="BU37">
            <v>0</v>
          </cell>
          <cell r="BV37">
            <v>0</v>
          </cell>
          <cell r="BW37">
            <v>935.49510000000009</v>
          </cell>
          <cell r="BX37">
            <v>0</v>
          </cell>
          <cell r="BY37">
            <v>0</v>
          </cell>
          <cell r="BZ37">
            <v>935.49510000000009</v>
          </cell>
          <cell r="CA37">
            <v>0</v>
          </cell>
          <cell r="CB37">
            <v>0</v>
          </cell>
          <cell r="CC37">
            <v>935.49510000000009</v>
          </cell>
          <cell r="CD37">
            <v>0</v>
          </cell>
        </row>
        <row r="38">
          <cell r="B38">
            <v>80</v>
          </cell>
          <cell r="C38" t="str">
            <v xml:space="preserve">Esponjas y esponjillas metálicas </v>
          </cell>
          <cell r="D38" t="str">
            <v>Esponjilla 2 (Compra)</v>
          </cell>
          <cell r="E38">
            <v>37</v>
          </cell>
          <cell r="F38">
            <v>21</v>
          </cell>
          <cell r="G38">
            <v>-16</v>
          </cell>
          <cell r="H38">
            <v>0</v>
          </cell>
          <cell r="I38">
            <v>433.01199999999994</v>
          </cell>
          <cell r="J38">
            <v>0</v>
          </cell>
          <cell r="K38">
            <v>8</v>
          </cell>
          <cell r="L38">
            <v>433.01199999999994</v>
          </cell>
          <cell r="M38">
            <v>3464.0959999999995</v>
          </cell>
          <cell r="N38">
            <v>3</v>
          </cell>
          <cell r="O38">
            <v>433.01199999999994</v>
          </cell>
          <cell r="P38">
            <v>1299.0359999999998</v>
          </cell>
          <cell r="Q38">
            <v>0</v>
          </cell>
          <cell r="R38">
            <v>607.26779999999997</v>
          </cell>
          <cell r="S38">
            <v>0</v>
          </cell>
          <cell r="T38">
            <v>0</v>
          </cell>
          <cell r="U38">
            <v>607.26779999999997</v>
          </cell>
          <cell r="V38">
            <v>0</v>
          </cell>
          <cell r="W38">
            <v>0</v>
          </cell>
          <cell r="X38">
            <v>607.26779999999997</v>
          </cell>
          <cell r="Y38">
            <v>0</v>
          </cell>
          <cell r="Z38">
            <v>0</v>
          </cell>
          <cell r="AA38">
            <v>607.26779999999997</v>
          </cell>
          <cell r="AB38">
            <v>0</v>
          </cell>
          <cell r="AC38">
            <v>10</v>
          </cell>
          <cell r="AD38">
            <v>433.01199999999994</v>
          </cell>
          <cell r="AE38">
            <v>4330.119999999999</v>
          </cell>
          <cell r="AF38">
            <v>0</v>
          </cell>
          <cell r="AG38">
            <v>607.26779999999997</v>
          </cell>
          <cell r="AH38">
            <v>0</v>
          </cell>
          <cell r="AI38">
            <v>0</v>
          </cell>
          <cell r="AJ38">
            <v>607.26779999999997</v>
          </cell>
          <cell r="AK38">
            <v>0</v>
          </cell>
          <cell r="AL38">
            <v>0</v>
          </cell>
          <cell r="AM38">
            <v>607.26779999999997</v>
          </cell>
          <cell r="AN38">
            <v>0</v>
          </cell>
          <cell r="AO38">
            <v>0</v>
          </cell>
          <cell r="AP38">
            <v>607.26779999999997</v>
          </cell>
          <cell r="AQ38">
            <v>0</v>
          </cell>
          <cell r="AR38">
            <v>0</v>
          </cell>
          <cell r="AS38">
            <v>607.26779999999997</v>
          </cell>
          <cell r="AT38">
            <v>0</v>
          </cell>
          <cell r="AU38">
            <v>0</v>
          </cell>
          <cell r="AV38">
            <v>607.26779999999997</v>
          </cell>
          <cell r="AW38">
            <v>0</v>
          </cell>
          <cell r="AX38">
            <v>0</v>
          </cell>
          <cell r="AY38">
            <v>607.26779999999997</v>
          </cell>
          <cell r="AZ38">
            <v>0</v>
          </cell>
          <cell r="BA38">
            <v>0</v>
          </cell>
          <cell r="BB38">
            <v>607.26779999999997</v>
          </cell>
          <cell r="BC38">
            <v>0</v>
          </cell>
          <cell r="BD38">
            <v>0</v>
          </cell>
          <cell r="BE38">
            <v>607.26779999999997</v>
          </cell>
          <cell r="BF38">
            <v>0</v>
          </cell>
          <cell r="BG38">
            <v>0</v>
          </cell>
          <cell r="BH38">
            <v>433.01199999999994</v>
          </cell>
          <cell r="BI38">
            <v>0</v>
          </cell>
          <cell r="BJ38">
            <v>0</v>
          </cell>
          <cell r="BK38">
            <v>607.26779999999997</v>
          </cell>
          <cell r="BL38">
            <v>0</v>
          </cell>
          <cell r="BM38">
            <v>0</v>
          </cell>
          <cell r="BN38">
            <v>607.26779999999997</v>
          </cell>
          <cell r="BO38">
            <v>0</v>
          </cell>
          <cell r="BP38">
            <v>0</v>
          </cell>
          <cell r="BQ38">
            <v>433.01199999999994</v>
          </cell>
          <cell r="BR38">
            <v>0</v>
          </cell>
          <cell r="BS38">
            <v>0</v>
          </cell>
          <cell r="BT38">
            <v>433.01199999999994</v>
          </cell>
          <cell r="BU38">
            <v>0</v>
          </cell>
          <cell r="BV38">
            <v>0</v>
          </cell>
          <cell r="BW38">
            <v>607.26779999999997</v>
          </cell>
          <cell r="BX38">
            <v>0</v>
          </cell>
          <cell r="BY38">
            <v>0</v>
          </cell>
          <cell r="BZ38">
            <v>607.26779999999997</v>
          </cell>
          <cell r="CA38">
            <v>0</v>
          </cell>
          <cell r="CB38">
            <v>0</v>
          </cell>
          <cell r="CC38">
            <v>607.26779999999997</v>
          </cell>
          <cell r="CD38">
            <v>0</v>
          </cell>
        </row>
        <row r="39">
          <cell r="B39">
            <v>81</v>
          </cell>
          <cell r="C39" t="str">
            <v xml:space="preserve">Esponjas y esponjillas metálicas </v>
          </cell>
          <cell r="D39" t="str">
            <v>Esponjilla 3 (Compra)</v>
          </cell>
          <cell r="E39">
            <v>37</v>
          </cell>
          <cell r="F39">
            <v>27</v>
          </cell>
          <cell r="G39">
            <v>-10</v>
          </cell>
          <cell r="H39">
            <v>0</v>
          </cell>
          <cell r="I39">
            <v>211.251</v>
          </cell>
          <cell r="J39">
            <v>0</v>
          </cell>
          <cell r="K39">
            <v>5</v>
          </cell>
          <cell r="L39">
            <v>211.251</v>
          </cell>
          <cell r="M39">
            <v>1056.2550000000001</v>
          </cell>
          <cell r="N39">
            <v>2</v>
          </cell>
          <cell r="O39">
            <v>211.251</v>
          </cell>
          <cell r="P39">
            <v>422.50200000000001</v>
          </cell>
          <cell r="Q39">
            <v>0</v>
          </cell>
          <cell r="R39">
            <v>387.81900000000002</v>
          </cell>
          <cell r="S39">
            <v>0</v>
          </cell>
          <cell r="T39">
            <v>0</v>
          </cell>
          <cell r="U39">
            <v>387.81900000000002</v>
          </cell>
          <cell r="V39">
            <v>0</v>
          </cell>
          <cell r="W39">
            <v>0</v>
          </cell>
          <cell r="X39">
            <v>387.81900000000002</v>
          </cell>
          <cell r="Y39">
            <v>0</v>
          </cell>
          <cell r="Z39">
            <v>0</v>
          </cell>
          <cell r="AA39">
            <v>387.81900000000002</v>
          </cell>
          <cell r="AB39">
            <v>0</v>
          </cell>
          <cell r="AC39">
            <v>10</v>
          </cell>
          <cell r="AD39">
            <v>211.251</v>
          </cell>
          <cell r="AE39">
            <v>2112.5100000000002</v>
          </cell>
          <cell r="AF39">
            <v>10</v>
          </cell>
          <cell r="AG39">
            <v>211.251</v>
          </cell>
          <cell r="AH39">
            <v>2112.5100000000002</v>
          </cell>
          <cell r="AI39">
            <v>0</v>
          </cell>
          <cell r="AJ39">
            <v>387.81900000000002</v>
          </cell>
          <cell r="AK39">
            <v>0</v>
          </cell>
          <cell r="AL39">
            <v>0</v>
          </cell>
          <cell r="AM39">
            <v>211.251</v>
          </cell>
          <cell r="AN39">
            <v>0</v>
          </cell>
          <cell r="AO39">
            <v>0</v>
          </cell>
          <cell r="AP39">
            <v>211.251</v>
          </cell>
          <cell r="AQ39">
            <v>0</v>
          </cell>
          <cell r="AR39">
            <v>0</v>
          </cell>
          <cell r="AS39">
            <v>387.81900000000002</v>
          </cell>
          <cell r="AT39">
            <v>0</v>
          </cell>
          <cell r="AU39">
            <v>0</v>
          </cell>
          <cell r="AV39">
            <v>387.81900000000002</v>
          </cell>
          <cell r="AW39">
            <v>0</v>
          </cell>
          <cell r="AX39">
            <v>0</v>
          </cell>
          <cell r="AY39">
            <v>387.81900000000002</v>
          </cell>
          <cell r="AZ39">
            <v>0</v>
          </cell>
          <cell r="BA39">
            <v>0</v>
          </cell>
          <cell r="BB39">
            <v>387.81900000000002</v>
          </cell>
          <cell r="BC39">
            <v>0</v>
          </cell>
          <cell r="BD39">
            <v>0</v>
          </cell>
          <cell r="BE39">
            <v>387.81900000000002</v>
          </cell>
          <cell r="BF39">
            <v>0</v>
          </cell>
          <cell r="BG39">
            <v>0</v>
          </cell>
          <cell r="BH39">
            <v>387.81900000000002</v>
          </cell>
          <cell r="BI39">
            <v>0</v>
          </cell>
          <cell r="BJ39">
            <v>0</v>
          </cell>
          <cell r="BK39">
            <v>387.81900000000002</v>
          </cell>
          <cell r="BL39">
            <v>0</v>
          </cell>
          <cell r="BM39">
            <v>0</v>
          </cell>
          <cell r="BN39">
            <v>387.81900000000002</v>
          </cell>
          <cell r="BO39">
            <v>0</v>
          </cell>
          <cell r="BP39">
            <v>0</v>
          </cell>
          <cell r="BQ39">
            <v>387.81900000000002</v>
          </cell>
          <cell r="BR39">
            <v>0</v>
          </cell>
          <cell r="BS39">
            <v>0</v>
          </cell>
          <cell r="BT39">
            <v>387.81900000000002</v>
          </cell>
          <cell r="BU39">
            <v>0</v>
          </cell>
          <cell r="BV39">
            <v>0</v>
          </cell>
          <cell r="BW39">
            <v>387.81900000000002</v>
          </cell>
          <cell r="BX39">
            <v>0</v>
          </cell>
          <cell r="BY39">
            <v>0</v>
          </cell>
          <cell r="BZ39">
            <v>387.81900000000002</v>
          </cell>
          <cell r="CA39">
            <v>0</v>
          </cell>
          <cell r="CB39">
            <v>0</v>
          </cell>
          <cell r="CC39">
            <v>387.81900000000002</v>
          </cell>
          <cell r="CD39">
            <v>0</v>
          </cell>
        </row>
        <row r="40">
          <cell r="B40">
            <v>82</v>
          </cell>
          <cell r="C40" t="str">
            <v xml:space="preserve">Esponjas y esponjillas metálicas </v>
          </cell>
          <cell r="D40" t="str">
            <v>Esponjilla 4 (Compra)</v>
          </cell>
          <cell r="E40">
            <v>37</v>
          </cell>
          <cell r="F40">
            <v>5</v>
          </cell>
          <cell r="G40">
            <v>-32</v>
          </cell>
          <cell r="H40">
            <v>0</v>
          </cell>
          <cell r="I40">
            <v>1003.7049999999999</v>
          </cell>
          <cell r="J40">
            <v>0</v>
          </cell>
          <cell r="K40">
            <v>3</v>
          </cell>
          <cell r="L40">
            <v>1003.7049999999999</v>
          </cell>
          <cell r="M40">
            <v>3011.1149999999998</v>
          </cell>
          <cell r="N40">
            <v>2</v>
          </cell>
          <cell r="O40">
            <v>1003.7049999999999</v>
          </cell>
          <cell r="P40">
            <v>2007.4099999999999</v>
          </cell>
          <cell r="Q40">
            <v>0</v>
          </cell>
          <cell r="R40">
            <v>1003.7049999999999</v>
          </cell>
          <cell r="S40">
            <v>0</v>
          </cell>
          <cell r="T40">
            <v>0</v>
          </cell>
          <cell r="U40">
            <v>1003.7049999999999</v>
          </cell>
          <cell r="V40">
            <v>0</v>
          </cell>
          <cell r="W40">
            <v>0</v>
          </cell>
          <cell r="X40">
            <v>1003.7049999999999</v>
          </cell>
          <cell r="Y40">
            <v>0</v>
          </cell>
          <cell r="Z40">
            <v>0</v>
          </cell>
          <cell r="AA40">
            <v>1003.7049999999999</v>
          </cell>
          <cell r="AB40">
            <v>0</v>
          </cell>
          <cell r="AC40">
            <v>0</v>
          </cell>
          <cell r="AD40">
            <v>1003.7049999999999</v>
          </cell>
          <cell r="AE40">
            <v>0</v>
          </cell>
          <cell r="AF40">
            <v>0</v>
          </cell>
          <cell r="AG40">
            <v>1003.7049999999999</v>
          </cell>
          <cell r="AH40">
            <v>0</v>
          </cell>
          <cell r="AI40">
            <v>0</v>
          </cell>
          <cell r="AJ40">
            <v>1003.7049999999999</v>
          </cell>
          <cell r="AK40">
            <v>0</v>
          </cell>
          <cell r="AL40">
            <v>0</v>
          </cell>
          <cell r="AM40">
            <v>1003.7049999999999</v>
          </cell>
          <cell r="AN40">
            <v>0</v>
          </cell>
          <cell r="AO40">
            <v>0</v>
          </cell>
          <cell r="AP40">
            <v>1003.7049999999999</v>
          </cell>
          <cell r="AQ40">
            <v>0</v>
          </cell>
          <cell r="AR40">
            <v>0</v>
          </cell>
          <cell r="AS40">
            <v>1003.7049999999999</v>
          </cell>
          <cell r="AT40">
            <v>0</v>
          </cell>
          <cell r="AU40">
            <v>0</v>
          </cell>
          <cell r="AV40">
            <v>1003.7049999999999</v>
          </cell>
          <cell r="AW40">
            <v>0</v>
          </cell>
          <cell r="AX40">
            <v>0</v>
          </cell>
          <cell r="AY40">
            <v>1003.7049999999999</v>
          </cell>
          <cell r="AZ40">
            <v>0</v>
          </cell>
          <cell r="BA40">
            <v>0</v>
          </cell>
          <cell r="BB40">
            <v>1003.7049999999999</v>
          </cell>
          <cell r="BC40">
            <v>0</v>
          </cell>
          <cell r="BD40">
            <v>0</v>
          </cell>
          <cell r="BE40">
            <v>1003.7049999999999</v>
          </cell>
          <cell r="BF40">
            <v>0</v>
          </cell>
          <cell r="BG40">
            <v>0</v>
          </cell>
          <cell r="BH40">
            <v>1003.7049999999999</v>
          </cell>
          <cell r="BI40">
            <v>0</v>
          </cell>
          <cell r="BJ40">
            <v>0</v>
          </cell>
          <cell r="BK40">
            <v>1003.7049999999999</v>
          </cell>
          <cell r="BL40">
            <v>0</v>
          </cell>
          <cell r="BM40">
            <v>0</v>
          </cell>
          <cell r="BN40">
            <v>1003.7049999999999</v>
          </cell>
          <cell r="BO40">
            <v>0</v>
          </cell>
          <cell r="BP40">
            <v>0</v>
          </cell>
          <cell r="BQ40">
            <v>1003.7049999999999</v>
          </cell>
          <cell r="BR40">
            <v>0</v>
          </cell>
          <cell r="BS40">
            <v>0</v>
          </cell>
          <cell r="BT40">
            <v>1003.7049999999999</v>
          </cell>
          <cell r="BU40">
            <v>0</v>
          </cell>
          <cell r="BV40">
            <v>0</v>
          </cell>
          <cell r="BW40">
            <v>1003.7049999999999</v>
          </cell>
          <cell r="BX40">
            <v>0</v>
          </cell>
          <cell r="BY40">
            <v>0</v>
          </cell>
          <cell r="BZ40">
            <v>1003.7049999999999</v>
          </cell>
          <cell r="CA40">
            <v>0</v>
          </cell>
          <cell r="CB40">
            <v>0</v>
          </cell>
          <cell r="CC40">
            <v>1003.7049999999999</v>
          </cell>
          <cell r="CD40">
            <v>0</v>
          </cell>
        </row>
        <row r="41">
          <cell r="B41">
            <v>83</v>
          </cell>
          <cell r="C41" t="str">
            <v xml:space="preserve">Esponjas y esponjillas metálicas </v>
          </cell>
          <cell r="D41" t="str">
            <v>Esponjilla 5 (Compra)</v>
          </cell>
          <cell r="E41">
            <v>37</v>
          </cell>
          <cell r="F41">
            <v>62</v>
          </cell>
          <cell r="G41">
            <v>25</v>
          </cell>
          <cell r="H41">
            <v>0</v>
          </cell>
          <cell r="I41">
            <v>336.32</v>
          </cell>
          <cell r="J41">
            <v>0</v>
          </cell>
          <cell r="K41">
            <v>5</v>
          </cell>
          <cell r="L41">
            <v>336.32</v>
          </cell>
          <cell r="M41">
            <v>1681.6</v>
          </cell>
          <cell r="N41">
            <v>3</v>
          </cell>
          <cell r="O41">
            <v>336.32</v>
          </cell>
          <cell r="P41">
            <v>1008.96</v>
          </cell>
          <cell r="Q41">
            <v>0</v>
          </cell>
          <cell r="R41">
            <v>0</v>
          </cell>
          <cell r="S41">
            <v>0</v>
          </cell>
          <cell r="T41">
            <v>0</v>
          </cell>
          <cell r="U41">
            <v>0</v>
          </cell>
          <cell r="V41">
            <v>0</v>
          </cell>
          <cell r="W41">
            <v>5</v>
          </cell>
          <cell r="X41">
            <v>336.32</v>
          </cell>
          <cell r="Y41">
            <v>1681.6</v>
          </cell>
          <cell r="Z41">
            <v>5</v>
          </cell>
          <cell r="AA41">
            <v>336.32</v>
          </cell>
          <cell r="AB41">
            <v>1681.6</v>
          </cell>
          <cell r="AC41">
            <v>0</v>
          </cell>
          <cell r="AD41">
            <v>0</v>
          </cell>
          <cell r="AE41">
            <v>0</v>
          </cell>
          <cell r="AF41">
            <v>0</v>
          </cell>
          <cell r="AG41">
            <v>0</v>
          </cell>
          <cell r="AH41">
            <v>0</v>
          </cell>
          <cell r="AI41">
            <v>5</v>
          </cell>
          <cell r="AJ41">
            <v>336.32</v>
          </cell>
          <cell r="AK41">
            <v>1681.6</v>
          </cell>
          <cell r="AL41">
            <v>5</v>
          </cell>
          <cell r="AM41">
            <v>336.32</v>
          </cell>
          <cell r="AN41">
            <v>1681.6</v>
          </cell>
          <cell r="AO41">
            <v>3</v>
          </cell>
          <cell r="AP41">
            <v>336.32</v>
          </cell>
          <cell r="AQ41">
            <v>1008.96</v>
          </cell>
          <cell r="AR41">
            <v>0</v>
          </cell>
          <cell r="AS41">
            <v>0</v>
          </cell>
          <cell r="AT41">
            <v>0</v>
          </cell>
          <cell r="AU41">
            <v>0</v>
          </cell>
          <cell r="AV41">
            <v>0</v>
          </cell>
          <cell r="AW41">
            <v>0</v>
          </cell>
          <cell r="AX41">
            <v>2</v>
          </cell>
          <cell r="AY41">
            <v>336.32</v>
          </cell>
          <cell r="AZ41">
            <v>672.64</v>
          </cell>
          <cell r="BA41">
            <v>0</v>
          </cell>
          <cell r="BB41">
            <v>0</v>
          </cell>
          <cell r="BC41">
            <v>0</v>
          </cell>
          <cell r="BD41">
            <v>5</v>
          </cell>
          <cell r="BE41">
            <v>336.32</v>
          </cell>
          <cell r="BF41">
            <v>1681.6</v>
          </cell>
          <cell r="BG41">
            <v>0</v>
          </cell>
          <cell r="BH41">
            <v>0</v>
          </cell>
          <cell r="BI41">
            <v>0</v>
          </cell>
          <cell r="BJ41">
            <v>5</v>
          </cell>
          <cell r="BK41">
            <v>336.32</v>
          </cell>
          <cell r="BL41">
            <v>1681.6</v>
          </cell>
          <cell r="BM41">
            <v>2</v>
          </cell>
          <cell r="BN41">
            <v>336.32</v>
          </cell>
          <cell r="BO41">
            <v>672.64</v>
          </cell>
          <cell r="BP41">
            <v>5</v>
          </cell>
          <cell r="BQ41">
            <v>367.95510000000002</v>
          </cell>
          <cell r="BR41">
            <v>1839.7755000000002</v>
          </cell>
          <cell r="BS41">
            <v>5</v>
          </cell>
          <cell r="BT41">
            <v>367.95510000000002</v>
          </cell>
          <cell r="BU41">
            <v>1839.7755000000002</v>
          </cell>
          <cell r="BV41">
            <v>0</v>
          </cell>
          <cell r="BW41">
            <v>0</v>
          </cell>
          <cell r="BX41">
            <v>0</v>
          </cell>
          <cell r="BY41">
            <v>2</v>
          </cell>
          <cell r="BZ41">
            <v>336.32</v>
          </cell>
          <cell r="CA41">
            <v>672.64</v>
          </cell>
          <cell r="CB41">
            <v>5</v>
          </cell>
          <cell r="CC41">
            <v>367.95510000000002</v>
          </cell>
          <cell r="CD41">
            <v>1839.7755000000002</v>
          </cell>
        </row>
        <row r="42">
          <cell r="B42">
            <v>86</v>
          </cell>
          <cell r="C42" t="str">
            <v>Escobas</v>
          </cell>
          <cell r="D42" t="str">
            <v>Escoba 1 (Compra)</v>
          </cell>
          <cell r="E42">
            <v>20</v>
          </cell>
          <cell r="F42">
            <v>34</v>
          </cell>
          <cell r="G42">
            <v>14</v>
          </cell>
          <cell r="H42">
            <v>20</v>
          </cell>
          <cell r="I42">
            <v>2792.5070000000005</v>
          </cell>
          <cell r="J42">
            <v>55850.140000000014</v>
          </cell>
          <cell r="K42">
            <v>5</v>
          </cell>
          <cell r="L42">
            <v>2792.5070000000005</v>
          </cell>
          <cell r="M42">
            <v>13962.535000000003</v>
          </cell>
          <cell r="N42">
            <v>3</v>
          </cell>
          <cell r="O42">
            <v>3830.895</v>
          </cell>
          <cell r="P42">
            <v>11492.684999999999</v>
          </cell>
          <cell r="Q42">
            <v>0</v>
          </cell>
          <cell r="R42">
            <v>3830.895</v>
          </cell>
          <cell r="S42">
            <v>0</v>
          </cell>
          <cell r="T42">
            <v>0</v>
          </cell>
          <cell r="U42">
            <v>3830.895</v>
          </cell>
          <cell r="V42">
            <v>0</v>
          </cell>
          <cell r="W42">
            <v>0</v>
          </cell>
          <cell r="X42">
            <v>3830.895</v>
          </cell>
          <cell r="Y42">
            <v>0</v>
          </cell>
          <cell r="Z42">
            <v>0</v>
          </cell>
          <cell r="AA42">
            <v>3830.895</v>
          </cell>
          <cell r="AB42">
            <v>0</v>
          </cell>
          <cell r="AC42">
            <v>0</v>
          </cell>
          <cell r="AD42">
            <v>3830.895</v>
          </cell>
          <cell r="AE42">
            <v>0</v>
          </cell>
          <cell r="AF42">
            <v>0</v>
          </cell>
          <cell r="AG42">
            <v>3830.895</v>
          </cell>
          <cell r="AH42">
            <v>0</v>
          </cell>
          <cell r="AI42">
            <v>0</v>
          </cell>
          <cell r="AJ42">
            <v>3830.895</v>
          </cell>
          <cell r="AK42">
            <v>0</v>
          </cell>
          <cell r="AL42">
            <v>6</v>
          </cell>
          <cell r="AM42">
            <v>3830.895</v>
          </cell>
          <cell r="AN42">
            <v>22985.37</v>
          </cell>
          <cell r="AO42">
            <v>0</v>
          </cell>
          <cell r="AP42">
            <v>3830.895</v>
          </cell>
          <cell r="AQ42">
            <v>0</v>
          </cell>
          <cell r="AR42">
            <v>0</v>
          </cell>
          <cell r="AS42">
            <v>3830.895</v>
          </cell>
          <cell r="AT42">
            <v>0</v>
          </cell>
          <cell r="AU42">
            <v>0</v>
          </cell>
          <cell r="AV42">
            <v>3830.895</v>
          </cell>
          <cell r="AW42">
            <v>0</v>
          </cell>
          <cell r="AX42">
            <v>0</v>
          </cell>
          <cell r="AY42">
            <v>3830.895</v>
          </cell>
          <cell r="AZ42">
            <v>0</v>
          </cell>
          <cell r="BA42">
            <v>0</v>
          </cell>
          <cell r="BB42">
            <v>3830.895</v>
          </cell>
          <cell r="BC42">
            <v>0</v>
          </cell>
          <cell r="BD42">
            <v>0</v>
          </cell>
          <cell r="BE42">
            <v>3830.895</v>
          </cell>
          <cell r="BF42">
            <v>0</v>
          </cell>
          <cell r="BG42">
            <v>0</v>
          </cell>
          <cell r="BH42">
            <v>3830.895</v>
          </cell>
          <cell r="BI42">
            <v>0</v>
          </cell>
          <cell r="BJ42">
            <v>0</v>
          </cell>
          <cell r="BK42">
            <v>3830.895</v>
          </cell>
          <cell r="BL42">
            <v>0</v>
          </cell>
          <cell r="BM42">
            <v>0</v>
          </cell>
          <cell r="BN42">
            <v>3830.895</v>
          </cell>
          <cell r="BO42">
            <v>0</v>
          </cell>
          <cell r="BP42">
            <v>0</v>
          </cell>
          <cell r="BQ42">
            <v>3830.895</v>
          </cell>
          <cell r="BR42">
            <v>0</v>
          </cell>
          <cell r="BS42">
            <v>0</v>
          </cell>
          <cell r="BT42">
            <v>3830.895</v>
          </cell>
          <cell r="BU42">
            <v>0</v>
          </cell>
          <cell r="BV42">
            <v>0</v>
          </cell>
          <cell r="BW42">
            <v>3830.895</v>
          </cell>
          <cell r="BX42">
            <v>0</v>
          </cell>
          <cell r="BY42">
            <v>0</v>
          </cell>
          <cell r="BZ42">
            <v>3830.895</v>
          </cell>
          <cell r="CA42">
            <v>0</v>
          </cell>
          <cell r="CB42">
            <v>0</v>
          </cell>
          <cell r="CC42">
            <v>3830.895</v>
          </cell>
          <cell r="CD42">
            <v>0</v>
          </cell>
        </row>
        <row r="43">
          <cell r="B43">
            <v>87</v>
          </cell>
          <cell r="C43" t="str">
            <v>Escobas</v>
          </cell>
          <cell r="D43" t="str">
            <v>Escoba 2 (Compra)</v>
          </cell>
          <cell r="E43">
            <v>25</v>
          </cell>
          <cell r="F43">
            <v>28</v>
          </cell>
          <cell r="G43">
            <v>3</v>
          </cell>
          <cell r="H43">
            <v>20</v>
          </cell>
          <cell r="I43">
            <v>0</v>
          </cell>
          <cell r="J43">
            <v>0</v>
          </cell>
          <cell r="K43">
            <v>5</v>
          </cell>
          <cell r="L43">
            <v>0</v>
          </cell>
          <cell r="M43">
            <v>0</v>
          </cell>
          <cell r="N43">
            <v>3</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3830.895</v>
          </cell>
          <cell r="AW43">
            <v>0</v>
          </cell>
          <cell r="AX43">
            <v>0</v>
          </cell>
          <cell r="AY43">
            <v>3830.895</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3830.895</v>
          </cell>
          <cell r="CD43">
            <v>0</v>
          </cell>
        </row>
        <row r="44">
          <cell r="B44">
            <v>88</v>
          </cell>
          <cell r="C44" t="str">
            <v>Escobas</v>
          </cell>
          <cell r="D44" t="str">
            <v>Escoba 3 (Compra)</v>
          </cell>
          <cell r="E44">
            <v>67</v>
          </cell>
          <cell r="F44">
            <v>0</v>
          </cell>
          <cell r="G44">
            <v>-67</v>
          </cell>
          <cell r="H44">
            <v>0</v>
          </cell>
          <cell r="I44">
            <v>2717.886</v>
          </cell>
          <cell r="J44">
            <v>0</v>
          </cell>
          <cell r="K44">
            <v>0</v>
          </cell>
          <cell r="L44">
            <v>2717.886</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row>
        <row r="45">
          <cell r="B45">
            <v>89</v>
          </cell>
          <cell r="C45" t="str">
            <v>Escobas</v>
          </cell>
          <cell r="D45" t="str">
            <v>Escoba 4 (Compra)</v>
          </cell>
          <cell r="E45">
            <v>35</v>
          </cell>
          <cell r="F45">
            <v>0</v>
          </cell>
          <cell r="G45">
            <v>-35</v>
          </cell>
          <cell r="H45">
            <v>0</v>
          </cell>
          <cell r="I45">
            <v>2650.6220000000003</v>
          </cell>
          <cell r="J45">
            <v>0</v>
          </cell>
          <cell r="K45">
            <v>0</v>
          </cell>
          <cell r="L45">
            <v>2650.6220000000003</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row>
        <row r="46">
          <cell r="B46">
            <v>91</v>
          </cell>
          <cell r="C46" t="str">
            <v xml:space="preserve">Mangos metálicos </v>
          </cell>
          <cell r="D46" t="str">
            <v>Mango metálico escoba 1 (Compra)</v>
          </cell>
          <cell r="E46">
            <v>25</v>
          </cell>
          <cell r="F46">
            <v>18</v>
          </cell>
          <cell r="G46">
            <v>-7</v>
          </cell>
          <cell r="H46">
            <v>10</v>
          </cell>
          <cell r="I46">
            <v>4364.8029999999999</v>
          </cell>
          <cell r="J46">
            <v>43648.03</v>
          </cell>
          <cell r="K46">
            <v>5</v>
          </cell>
          <cell r="L46">
            <v>4364.8029999999999</v>
          </cell>
          <cell r="M46">
            <v>21824.014999999999</v>
          </cell>
          <cell r="N46">
            <v>3</v>
          </cell>
          <cell r="O46">
            <v>4364.8029999999999</v>
          </cell>
          <cell r="P46">
            <v>13094.409</v>
          </cell>
          <cell r="Q46">
            <v>0</v>
          </cell>
          <cell r="R46">
            <v>4364.8029999999999</v>
          </cell>
          <cell r="S46">
            <v>0</v>
          </cell>
          <cell r="T46">
            <v>0</v>
          </cell>
          <cell r="U46">
            <v>4364.8029999999999</v>
          </cell>
          <cell r="V46">
            <v>0</v>
          </cell>
          <cell r="W46">
            <v>0</v>
          </cell>
          <cell r="X46">
            <v>4364.8029999999999</v>
          </cell>
          <cell r="Y46">
            <v>0</v>
          </cell>
          <cell r="Z46">
            <v>0</v>
          </cell>
          <cell r="AA46">
            <v>4364.8029999999999</v>
          </cell>
          <cell r="AB46">
            <v>0</v>
          </cell>
          <cell r="AC46">
            <v>0</v>
          </cell>
          <cell r="AD46">
            <v>4364.8029999999999</v>
          </cell>
          <cell r="AE46">
            <v>0</v>
          </cell>
          <cell r="AF46">
            <v>0</v>
          </cell>
          <cell r="AG46">
            <v>4364.8029999999999</v>
          </cell>
          <cell r="AH46">
            <v>0</v>
          </cell>
          <cell r="AI46">
            <v>0</v>
          </cell>
          <cell r="AJ46">
            <v>4364.8029999999999</v>
          </cell>
          <cell r="AK46">
            <v>0</v>
          </cell>
          <cell r="AL46">
            <v>0</v>
          </cell>
          <cell r="AM46">
            <v>4364.8029999999999</v>
          </cell>
          <cell r="AN46">
            <v>0</v>
          </cell>
          <cell r="AO46">
            <v>0</v>
          </cell>
          <cell r="AP46">
            <v>4364.8029999999999</v>
          </cell>
          <cell r="AQ46">
            <v>0</v>
          </cell>
          <cell r="AR46">
            <v>0</v>
          </cell>
          <cell r="AS46">
            <v>4364.8029999999999</v>
          </cell>
          <cell r="AT46">
            <v>0</v>
          </cell>
          <cell r="AU46">
            <v>0</v>
          </cell>
          <cell r="AV46">
            <v>4364.8029999999999</v>
          </cell>
          <cell r="AW46">
            <v>0</v>
          </cell>
          <cell r="AX46">
            <v>0</v>
          </cell>
          <cell r="AY46">
            <v>4364.8029999999999</v>
          </cell>
          <cell r="AZ46">
            <v>0</v>
          </cell>
          <cell r="BA46">
            <v>0</v>
          </cell>
          <cell r="BB46">
            <v>4364.8029999999999</v>
          </cell>
          <cell r="BC46">
            <v>0</v>
          </cell>
          <cell r="BD46">
            <v>0</v>
          </cell>
          <cell r="BE46">
            <v>4364.8029999999999</v>
          </cell>
          <cell r="BF46">
            <v>0</v>
          </cell>
          <cell r="BG46">
            <v>0</v>
          </cell>
          <cell r="BH46">
            <v>4364.8029999999999</v>
          </cell>
          <cell r="BI46">
            <v>0</v>
          </cell>
          <cell r="BJ46">
            <v>0</v>
          </cell>
          <cell r="BK46">
            <v>4364.8029999999999</v>
          </cell>
          <cell r="BL46">
            <v>0</v>
          </cell>
          <cell r="BM46">
            <v>0</v>
          </cell>
          <cell r="BN46">
            <v>4364.8029999999999</v>
          </cell>
          <cell r="BO46">
            <v>0</v>
          </cell>
          <cell r="BP46">
            <v>0</v>
          </cell>
          <cell r="BQ46">
            <v>8408.1051000000007</v>
          </cell>
          <cell r="BR46">
            <v>0</v>
          </cell>
          <cell r="BS46">
            <v>0</v>
          </cell>
          <cell r="BT46">
            <v>4364.8029999999999</v>
          </cell>
          <cell r="BU46">
            <v>0</v>
          </cell>
          <cell r="BV46">
            <v>0</v>
          </cell>
          <cell r="BW46">
            <v>4364.8029999999999</v>
          </cell>
          <cell r="BX46">
            <v>0</v>
          </cell>
          <cell r="BY46">
            <v>0</v>
          </cell>
          <cell r="BZ46">
            <v>4364.8029999999999</v>
          </cell>
          <cell r="CA46">
            <v>0</v>
          </cell>
          <cell r="CB46">
            <v>0</v>
          </cell>
          <cell r="CC46">
            <v>8408.1051000000007</v>
          </cell>
          <cell r="CD46">
            <v>0</v>
          </cell>
        </row>
        <row r="47">
          <cell r="B47">
            <v>92</v>
          </cell>
          <cell r="C47" t="str">
            <v xml:space="preserve">Mangos metálicos </v>
          </cell>
          <cell r="D47" t="str">
            <v>Mango madera escoba 1 (Compra)</v>
          </cell>
          <cell r="E47">
            <v>20</v>
          </cell>
          <cell r="F47">
            <v>18</v>
          </cell>
          <cell r="G47">
            <v>-2</v>
          </cell>
          <cell r="H47">
            <v>10</v>
          </cell>
          <cell r="I47">
            <v>2380.5149999999999</v>
          </cell>
          <cell r="J47">
            <v>23805.149999999998</v>
          </cell>
          <cell r="K47">
            <v>5</v>
          </cell>
          <cell r="L47">
            <v>2380.5149999999999</v>
          </cell>
          <cell r="M47">
            <v>11902.574999999999</v>
          </cell>
          <cell r="N47">
            <v>3</v>
          </cell>
          <cell r="O47">
            <v>2380.5149999999999</v>
          </cell>
          <cell r="P47">
            <v>7141.5450000000001</v>
          </cell>
          <cell r="Q47">
            <v>0</v>
          </cell>
          <cell r="R47">
            <v>2380.5149999999999</v>
          </cell>
          <cell r="S47">
            <v>0</v>
          </cell>
          <cell r="T47">
            <v>0</v>
          </cell>
          <cell r="U47">
            <v>2380.5149999999999</v>
          </cell>
          <cell r="V47">
            <v>0</v>
          </cell>
          <cell r="W47">
            <v>0</v>
          </cell>
          <cell r="X47">
            <v>2380.5149999999999</v>
          </cell>
          <cell r="Y47">
            <v>0</v>
          </cell>
          <cell r="Z47">
            <v>0</v>
          </cell>
          <cell r="AA47">
            <v>2380.5149999999999</v>
          </cell>
          <cell r="AB47">
            <v>0</v>
          </cell>
          <cell r="AC47">
            <v>0</v>
          </cell>
          <cell r="AD47">
            <v>2380.5149999999999</v>
          </cell>
          <cell r="AE47">
            <v>0</v>
          </cell>
          <cell r="AF47">
            <v>0</v>
          </cell>
          <cell r="AG47">
            <v>2380.5149999999999</v>
          </cell>
          <cell r="AH47">
            <v>0</v>
          </cell>
          <cell r="AI47">
            <v>0</v>
          </cell>
          <cell r="AJ47">
            <v>2380.5149999999999</v>
          </cell>
          <cell r="AK47">
            <v>0</v>
          </cell>
          <cell r="AL47">
            <v>0</v>
          </cell>
          <cell r="AM47">
            <v>2380.5149999999999</v>
          </cell>
          <cell r="AN47">
            <v>0</v>
          </cell>
          <cell r="AO47">
            <v>0</v>
          </cell>
          <cell r="AP47">
            <v>2380.5149999999999</v>
          </cell>
          <cell r="AQ47">
            <v>0</v>
          </cell>
          <cell r="AR47">
            <v>0</v>
          </cell>
          <cell r="AS47">
            <v>2380.5149999999999</v>
          </cell>
          <cell r="AT47">
            <v>0</v>
          </cell>
          <cell r="AU47">
            <v>0</v>
          </cell>
          <cell r="AV47">
            <v>2380.5149999999999</v>
          </cell>
          <cell r="AW47">
            <v>0</v>
          </cell>
          <cell r="AX47">
            <v>0</v>
          </cell>
          <cell r="AY47">
            <v>2380.5149999999999</v>
          </cell>
          <cell r="AZ47">
            <v>0</v>
          </cell>
          <cell r="BA47">
            <v>0</v>
          </cell>
          <cell r="BB47">
            <v>2380.5149999999999</v>
          </cell>
          <cell r="BC47">
            <v>0</v>
          </cell>
          <cell r="BD47">
            <v>0</v>
          </cell>
          <cell r="BE47">
            <v>2380.5149999999999</v>
          </cell>
          <cell r="BF47">
            <v>0</v>
          </cell>
          <cell r="BG47">
            <v>0</v>
          </cell>
          <cell r="BH47">
            <v>2380.5149999999999</v>
          </cell>
          <cell r="BI47">
            <v>0</v>
          </cell>
          <cell r="BJ47">
            <v>0</v>
          </cell>
          <cell r="BK47">
            <v>2380.5149999999999</v>
          </cell>
          <cell r="BL47">
            <v>0</v>
          </cell>
          <cell r="BM47">
            <v>0</v>
          </cell>
          <cell r="BN47">
            <v>2380.5149999999999</v>
          </cell>
          <cell r="BO47">
            <v>0</v>
          </cell>
          <cell r="BP47">
            <v>0</v>
          </cell>
          <cell r="BQ47">
            <v>2380.5149999999999</v>
          </cell>
          <cell r="BR47">
            <v>0</v>
          </cell>
          <cell r="BS47">
            <v>0</v>
          </cell>
          <cell r="BT47">
            <v>2380.5149999999999</v>
          </cell>
          <cell r="BU47">
            <v>0</v>
          </cell>
          <cell r="BV47">
            <v>0</v>
          </cell>
          <cell r="BW47">
            <v>2380.5149999999999</v>
          </cell>
          <cell r="BX47">
            <v>0</v>
          </cell>
          <cell r="BY47">
            <v>0</v>
          </cell>
          <cell r="BZ47">
            <v>2380.5149999999999</v>
          </cell>
          <cell r="CA47">
            <v>0</v>
          </cell>
          <cell r="CB47">
            <v>0</v>
          </cell>
          <cell r="CC47">
            <v>2380.5149999999999</v>
          </cell>
          <cell r="CD47">
            <v>0</v>
          </cell>
        </row>
        <row r="48">
          <cell r="B48">
            <v>94</v>
          </cell>
          <cell r="C48" t="str">
            <v>Cepillos para lavar o fregar</v>
          </cell>
          <cell r="D48" t="str">
            <v>Cepillos 2 (Compra)</v>
          </cell>
          <cell r="E48">
            <v>41</v>
          </cell>
          <cell r="F48">
            <v>21</v>
          </cell>
          <cell r="G48">
            <v>-20</v>
          </cell>
          <cell r="H48">
            <v>0</v>
          </cell>
          <cell r="I48">
            <v>3316.9560000000001</v>
          </cell>
          <cell r="J48">
            <v>0</v>
          </cell>
          <cell r="K48">
            <v>3</v>
          </cell>
          <cell r="L48">
            <v>3316.9560000000001</v>
          </cell>
          <cell r="M48">
            <v>9950.8680000000004</v>
          </cell>
          <cell r="N48">
            <v>2</v>
          </cell>
          <cell r="O48">
            <v>3316.9560000000001</v>
          </cell>
          <cell r="P48">
            <v>6633.9120000000003</v>
          </cell>
          <cell r="Q48">
            <v>0</v>
          </cell>
          <cell r="R48">
            <v>0</v>
          </cell>
          <cell r="S48">
            <v>0</v>
          </cell>
          <cell r="T48">
            <v>0</v>
          </cell>
          <cell r="U48">
            <v>0</v>
          </cell>
          <cell r="V48">
            <v>0</v>
          </cell>
          <cell r="W48">
            <v>2</v>
          </cell>
          <cell r="X48">
            <v>3316.9560000000001</v>
          </cell>
          <cell r="Y48">
            <v>6633.9120000000003</v>
          </cell>
          <cell r="Z48">
            <v>2</v>
          </cell>
          <cell r="AA48">
            <v>3316.9560000000001</v>
          </cell>
          <cell r="AB48">
            <v>6633.9120000000003</v>
          </cell>
          <cell r="AC48">
            <v>0</v>
          </cell>
          <cell r="AD48">
            <v>0</v>
          </cell>
          <cell r="AE48">
            <v>0</v>
          </cell>
          <cell r="AF48">
            <v>0</v>
          </cell>
          <cell r="AG48">
            <v>0</v>
          </cell>
          <cell r="AH48">
            <v>0</v>
          </cell>
          <cell r="AI48">
            <v>2</v>
          </cell>
          <cell r="AJ48">
            <v>3316.9560000000001</v>
          </cell>
          <cell r="AK48">
            <v>6633.9120000000003</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2</v>
          </cell>
          <cell r="BE48">
            <v>3316.9560000000001</v>
          </cell>
          <cell r="BF48">
            <v>6633.9120000000003</v>
          </cell>
          <cell r="BG48">
            <v>0</v>
          </cell>
          <cell r="BH48">
            <v>0</v>
          </cell>
          <cell r="BI48">
            <v>0</v>
          </cell>
          <cell r="BJ48">
            <v>2</v>
          </cell>
          <cell r="BK48">
            <v>3316.9560000000001</v>
          </cell>
          <cell r="BL48">
            <v>6633.9120000000003</v>
          </cell>
          <cell r="BM48">
            <v>0</v>
          </cell>
          <cell r="BN48">
            <v>0</v>
          </cell>
          <cell r="BO48">
            <v>0</v>
          </cell>
          <cell r="BP48">
            <v>2</v>
          </cell>
          <cell r="BQ48">
            <v>3316.9560000000001</v>
          </cell>
          <cell r="BR48">
            <v>6633.9120000000003</v>
          </cell>
          <cell r="BS48">
            <v>2</v>
          </cell>
          <cell r="BT48">
            <v>3316.9560000000001</v>
          </cell>
          <cell r="BU48">
            <v>6633.9120000000003</v>
          </cell>
          <cell r="BV48">
            <v>0</v>
          </cell>
          <cell r="BW48">
            <v>0</v>
          </cell>
          <cell r="BX48">
            <v>0</v>
          </cell>
          <cell r="BY48">
            <v>0</v>
          </cell>
          <cell r="BZ48">
            <v>0</v>
          </cell>
          <cell r="CA48">
            <v>0</v>
          </cell>
          <cell r="CB48">
            <v>2</v>
          </cell>
          <cell r="CC48">
            <v>3316.9560000000001</v>
          </cell>
          <cell r="CD48">
            <v>6633.9120000000003</v>
          </cell>
        </row>
        <row r="49">
          <cell r="B49">
            <v>95</v>
          </cell>
          <cell r="C49" t="str">
            <v>Cepillos para lavar o fregar</v>
          </cell>
          <cell r="D49" t="str">
            <v>Cepillos 3 (Compra)</v>
          </cell>
          <cell r="E49">
            <v>22</v>
          </cell>
          <cell r="F49">
            <v>0</v>
          </cell>
          <cell r="G49">
            <v>-22</v>
          </cell>
          <cell r="H49">
            <v>0</v>
          </cell>
          <cell r="I49">
            <v>11056.52</v>
          </cell>
          <cell r="J49">
            <v>0</v>
          </cell>
          <cell r="K49">
            <v>0</v>
          </cell>
          <cell r="L49">
            <v>11056.52</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row>
        <row r="50">
          <cell r="B50">
            <v>98</v>
          </cell>
          <cell r="C50" t="str">
            <v xml:space="preserve">Filtros de algodón </v>
          </cell>
          <cell r="D50" t="str">
            <v>Trapero 3 (Compra)</v>
          </cell>
          <cell r="E50">
            <v>25</v>
          </cell>
          <cell r="F50">
            <v>133</v>
          </cell>
          <cell r="G50">
            <v>108</v>
          </cell>
          <cell r="H50">
            <v>15</v>
          </cell>
          <cell r="I50">
            <v>6633.9120000000003</v>
          </cell>
          <cell r="J50">
            <v>99508.680000000008</v>
          </cell>
          <cell r="K50">
            <v>5</v>
          </cell>
          <cell r="L50">
            <v>9503.4573</v>
          </cell>
          <cell r="M50">
            <v>47517.286500000002</v>
          </cell>
          <cell r="N50">
            <v>3</v>
          </cell>
          <cell r="O50">
            <v>9503.4573</v>
          </cell>
          <cell r="P50">
            <v>28510.371899999998</v>
          </cell>
          <cell r="Q50">
            <v>0</v>
          </cell>
          <cell r="R50">
            <v>9503.4573</v>
          </cell>
          <cell r="S50">
            <v>0</v>
          </cell>
          <cell r="T50">
            <v>8</v>
          </cell>
          <cell r="U50">
            <v>9503.4573</v>
          </cell>
          <cell r="V50">
            <v>76027.6584</v>
          </cell>
          <cell r="W50">
            <v>15</v>
          </cell>
          <cell r="X50">
            <v>6633.9120000000003</v>
          </cell>
          <cell r="Y50">
            <v>99508.680000000008</v>
          </cell>
          <cell r="Z50">
            <v>10</v>
          </cell>
          <cell r="AA50">
            <v>9503.4573</v>
          </cell>
          <cell r="AB50">
            <v>95034.573000000004</v>
          </cell>
          <cell r="AC50">
            <v>5</v>
          </cell>
          <cell r="AD50">
            <v>9503.4573</v>
          </cell>
          <cell r="AE50">
            <v>47517.286500000002</v>
          </cell>
          <cell r="AF50">
            <v>0</v>
          </cell>
          <cell r="AG50">
            <v>9503.4573</v>
          </cell>
          <cell r="AH50">
            <v>0</v>
          </cell>
          <cell r="AI50">
            <v>20</v>
          </cell>
          <cell r="AJ50">
            <v>9503.4573</v>
          </cell>
          <cell r="AK50">
            <v>190069.14600000001</v>
          </cell>
          <cell r="AL50">
            <v>5</v>
          </cell>
          <cell r="AM50">
            <v>9503.4573</v>
          </cell>
          <cell r="AN50">
            <v>47517.286500000002</v>
          </cell>
          <cell r="AO50">
            <v>3</v>
          </cell>
          <cell r="AP50">
            <v>9503.4573</v>
          </cell>
          <cell r="AQ50">
            <v>28510.371899999998</v>
          </cell>
          <cell r="AR50">
            <v>3</v>
          </cell>
          <cell r="AS50">
            <v>9503.4573</v>
          </cell>
          <cell r="AT50">
            <v>28510.371899999998</v>
          </cell>
          <cell r="AU50">
            <v>3</v>
          </cell>
          <cell r="AV50">
            <v>9503.4573</v>
          </cell>
          <cell r="AW50">
            <v>28510.371899999998</v>
          </cell>
          <cell r="AX50">
            <v>4</v>
          </cell>
          <cell r="AY50">
            <v>9503.4573</v>
          </cell>
          <cell r="AZ50">
            <v>38013.8292</v>
          </cell>
          <cell r="BA50">
            <v>0</v>
          </cell>
          <cell r="BB50">
            <v>9503.4573</v>
          </cell>
          <cell r="BC50">
            <v>0</v>
          </cell>
          <cell r="BD50">
            <v>5</v>
          </cell>
          <cell r="BE50">
            <v>9503.4573</v>
          </cell>
          <cell r="BF50">
            <v>47517.286500000002</v>
          </cell>
          <cell r="BG50">
            <v>0</v>
          </cell>
          <cell r="BH50">
            <v>9503.4573</v>
          </cell>
          <cell r="BI50">
            <v>0</v>
          </cell>
          <cell r="BJ50">
            <v>5</v>
          </cell>
          <cell r="BK50">
            <v>9503.4573</v>
          </cell>
          <cell r="BL50">
            <v>47517.286500000002</v>
          </cell>
          <cell r="BM50">
            <v>3</v>
          </cell>
          <cell r="BN50">
            <v>9503.4573</v>
          </cell>
          <cell r="BO50">
            <v>28510.371899999998</v>
          </cell>
          <cell r="BP50">
            <v>5</v>
          </cell>
          <cell r="BQ50">
            <v>9503.4573</v>
          </cell>
          <cell r="BR50">
            <v>47517.286500000002</v>
          </cell>
          <cell r="BS50">
            <v>5</v>
          </cell>
          <cell r="BT50">
            <v>9503.4573</v>
          </cell>
          <cell r="BU50">
            <v>47517.286500000002</v>
          </cell>
          <cell r="BV50">
            <v>0</v>
          </cell>
          <cell r="BW50">
            <v>9503.4573</v>
          </cell>
          <cell r="BX50">
            <v>0</v>
          </cell>
          <cell r="BY50">
            <v>3</v>
          </cell>
          <cell r="BZ50">
            <v>9503.4573</v>
          </cell>
          <cell r="CA50">
            <v>28510.371899999998</v>
          </cell>
          <cell r="CB50">
            <v>8</v>
          </cell>
          <cell r="CC50">
            <v>9503.4573</v>
          </cell>
          <cell r="CD50">
            <v>76027.6584</v>
          </cell>
        </row>
        <row r="51">
          <cell r="B51">
            <v>100</v>
          </cell>
          <cell r="C51" t="str">
            <v xml:space="preserve">Mangos metálicos </v>
          </cell>
          <cell r="D51" t="str">
            <v>Mango metálico trapero (Compra)</v>
          </cell>
          <cell r="E51">
            <v>59</v>
          </cell>
          <cell r="F51">
            <v>0</v>
          </cell>
          <cell r="G51">
            <v>-59</v>
          </cell>
          <cell r="H51">
            <v>0</v>
          </cell>
          <cell r="I51">
            <v>4364.8029999999999</v>
          </cell>
          <cell r="J51">
            <v>0</v>
          </cell>
          <cell r="K51">
            <v>0</v>
          </cell>
          <cell r="L51">
            <v>4364.8029999999999</v>
          </cell>
          <cell r="M51">
            <v>0</v>
          </cell>
          <cell r="N51">
            <v>0</v>
          </cell>
          <cell r="O51">
            <v>4364.8029999999999</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row>
        <row r="52">
          <cell r="B52">
            <v>102</v>
          </cell>
          <cell r="C52" t="str">
            <v>Cepillos para lavar o fregar</v>
          </cell>
          <cell r="D52" t="str">
            <v>Cepillo para sanitario (churrusco) (Compra)</v>
          </cell>
          <cell r="E52">
            <v>25</v>
          </cell>
          <cell r="F52">
            <v>0</v>
          </cell>
          <cell r="G52">
            <v>-25</v>
          </cell>
          <cell r="H52">
            <v>0</v>
          </cell>
          <cell r="I52">
            <v>3811.9770000000003</v>
          </cell>
          <cell r="J52">
            <v>0</v>
          </cell>
          <cell r="K52">
            <v>0</v>
          </cell>
          <cell r="L52">
            <v>3811.9770000000003</v>
          </cell>
          <cell r="M52">
            <v>0</v>
          </cell>
          <cell r="N52">
            <v>0</v>
          </cell>
          <cell r="O52">
            <v>5422.8446999999996</v>
          </cell>
          <cell r="P52">
            <v>0</v>
          </cell>
          <cell r="Q52">
            <v>0</v>
          </cell>
          <cell r="R52">
            <v>5422.8446999999996</v>
          </cell>
          <cell r="S52">
            <v>0</v>
          </cell>
          <cell r="T52">
            <v>0</v>
          </cell>
          <cell r="U52">
            <v>5422.8446999999996</v>
          </cell>
          <cell r="V52">
            <v>0</v>
          </cell>
          <cell r="W52">
            <v>0</v>
          </cell>
          <cell r="X52">
            <v>5422.8446999999996</v>
          </cell>
          <cell r="Y52">
            <v>0</v>
          </cell>
          <cell r="Z52">
            <v>0</v>
          </cell>
          <cell r="AA52">
            <v>5422.8446999999996</v>
          </cell>
          <cell r="AB52">
            <v>0</v>
          </cell>
          <cell r="AC52">
            <v>0</v>
          </cell>
          <cell r="AD52">
            <v>5422.8446999999996</v>
          </cell>
          <cell r="AE52">
            <v>0</v>
          </cell>
          <cell r="AF52">
            <v>0</v>
          </cell>
          <cell r="AG52">
            <v>5422.8446999999996</v>
          </cell>
          <cell r="AH52">
            <v>0</v>
          </cell>
          <cell r="AI52">
            <v>0</v>
          </cell>
          <cell r="AJ52">
            <v>5422.8446999999996</v>
          </cell>
          <cell r="AK52">
            <v>0</v>
          </cell>
          <cell r="AL52">
            <v>0</v>
          </cell>
          <cell r="AM52">
            <v>3811.9770000000003</v>
          </cell>
          <cell r="AN52">
            <v>0</v>
          </cell>
          <cell r="AO52">
            <v>0</v>
          </cell>
          <cell r="AP52">
            <v>5422.8446999999996</v>
          </cell>
          <cell r="AQ52">
            <v>0</v>
          </cell>
          <cell r="AR52">
            <v>0</v>
          </cell>
          <cell r="AS52">
            <v>5422.8446999999996</v>
          </cell>
          <cell r="AT52">
            <v>0</v>
          </cell>
          <cell r="AU52">
            <v>0</v>
          </cell>
          <cell r="AV52">
            <v>5422.8446999999996</v>
          </cell>
          <cell r="AW52">
            <v>0</v>
          </cell>
          <cell r="AX52">
            <v>0</v>
          </cell>
          <cell r="AY52">
            <v>5422.8446999999996</v>
          </cell>
          <cell r="AZ52">
            <v>0</v>
          </cell>
          <cell r="BA52">
            <v>0</v>
          </cell>
          <cell r="BB52">
            <v>5422.8446999999996</v>
          </cell>
          <cell r="BC52">
            <v>0</v>
          </cell>
          <cell r="BD52">
            <v>0</v>
          </cell>
          <cell r="BE52">
            <v>5422.8446999999996</v>
          </cell>
          <cell r="BF52">
            <v>0</v>
          </cell>
          <cell r="BG52">
            <v>0</v>
          </cell>
          <cell r="BH52">
            <v>5422.8446999999996</v>
          </cell>
          <cell r="BI52">
            <v>0</v>
          </cell>
          <cell r="BJ52">
            <v>0</v>
          </cell>
          <cell r="BK52">
            <v>5422.8446999999996</v>
          </cell>
          <cell r="BL52">
            <v>0</v>
          </cell>
          <cell r="BM52">
            <v>0</v>
          </cell>
          <cell r="BN52">
            <v>5422.8446999999996</v>
          </cell>
          <cell r="BO52">
            <v>0</v>
          </cell>
          <cell r="BP52">
            <v>0</v>
          </cell>
          <cell r="BQ52">
            <v>5422.8446999999996</v>
          </cell>
          <cell r="BR52">
            <v>0</v>
          </cell>
          <cell r="BS52">
            <v>0</v>
          </cell>
          <cell r="BT52">
            <v>5422.8446999999996</v>
          </cell>
          <cell r="BU52">
            <v>0</v>
          </cell>
          <cell r="BV52">
            <v>0</v>
          </cell>
          <cell r="BW52">
            <v>5422.8446999999996</v>
          </cell>
          <cell r="BX52">
            <v>0</v>
          </cell>
          <cell r="BY52">
            <v>0</v>
          </cell>
          <cell r="BZ52">
            <v>5422.8446999999996</v>
          </cell>
          <cell r="CA52">
            <v>0</v>
          </cell>
          <cell r="CB52">
            <v>0</v>
          </cell>
          <cell r="CC52">
            <v>5422.8446999999996</v>
          </cell>
          <cell r="CD52">
            <v>0</v>
          </cell>
        </row>
        <row r="53">
          <cell r="B53">
            <v>103</v>
          </cell>
          <cell r="C53" t="str">
            <v>Filtros de material textil, para usos técnicos e industriales</v>
          </cell>
          <cell r="D53" t="str">
            <v>Pads 1 (Compra)</v>
          </cell>
          <cell r="E53">
            <v>56</v>
          </cell>
          <cell r="F53">
            <v>0</v>
          </cell>
          <cell r="G53">
            <v>-56</v>
          </cell>
          <cell r="H53">
            <v>0</v>
          </cell>
          <cell r="I53">
            <v>18022.547999999999</v>
          </cell>
          <cell r="J53">
            <v>0</v>
          </cell>
          <cell r="K53">
            <v>0</v>
          </cell>
          <cell r="L53">
            <v>18022.547999999999</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row>
        <row r="54">
          <cell r="B54">
            <v>104</v>
          </cell>
          <cell r="C54" t="str">
            <v>Filtros de material textil, para usos técnicos e industriales</v>
          </cell>
          <cell r="D54" t="str">
            <v>Pads 2 (Compra)</v>
          </cell>
          <cell r="E54">
            <v>65</v>
          </cell>
          <cell r="F54">
            <v>3</v>
          </cell>
          <cell r="G54">
            <v>-62</v>
          </cell>
          <cell r="H54">
            <v>0</v>
          </cell>
          <cell r="I54">
            <v>18022.547999999999</v>
          </cell>
          <cell r="J54">
            <v>0</v>
          </cell>
          <cell r="K54">
            <v>0</v>
          </cell>
          <cell r="L54">
            <v>18022.547999999999</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3</v>
          </cell>
          <cell r="AG54">
            <v>18022.547999999999</v>
          </cell>
          <cell r="AH54">
            <v>54067.644</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row>
        <row r="55">
          <cell r="B55">
            <v>105</v>
          </cell>
          <cell r="C55" t="str">
            <v>Filtros de material textil, para usos técnicos e industriales</v>
          </cell>
          <cell r="D55" t="str">
            <v>Pads 3 (Compra)</v>
          </cell>
          <cell r="E55">
            <v>25</v>
          </cell>
          <cell r="F55">
            <v>0</v>
          </cell>
          <cell r="G55">
            <v>-25</v>
          </cell>
          <cell r="H55">
            <v>0</v>
          </cell>
          <cell r="I55">
            <v>27641.3</v>
          </cell>
          <cell r="J55">
            <v>0</v>
          </cell>
          <cell r="K55">
            <v>0</v>
          </cell>
          <cell r="L55">
            <v>27641.3</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row>
        <row r="56">
          <cell r="B56">
            <v>106</v>
          </cell>
          <cell r="C56" t="str">
            <v>Filtros de material textil, para usos técnicos e industriales</v>
          </cell>
          <cell r="D56" t="str">
            <v>Pads 4 (Compra)</v>
          </cell>
          <cell r="E56">
            <v>25</v>
          </cell>
          <cell r="F56">
            <v>0</v>
          </cell>
          <cell r="G56">
            <v>-25</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row>
        <row r="57">
          <cell r="B57">
            <v>108</v>
          </cell>
          <cell r="C57" t="str">
            <v>Filtros de material textil, para usos técnicos e industriales</v>
          </cell>
          <cell r="D57" t="str">
            <v>Boneth 1 (Compra)</v>
          </cell>
          <cell r="E57">
            <v>20</v>
          </cell>
          <cell r="F57">
            <v>0</v>
          </cell>
          <cell r="G57">
            <v>-20</v>
          </cell>
          <cell r="H57">
            <v>0</v>
          </cell>
          <cell r="I57">
            <v>38697.82</v>
          </cell>
          <cell r="J57">
            <v>0</v>
          </cell>
          <cell r="K57">
            <v>0</v>
          </cell>
          <cell r="L57">
            <v>38697.82</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row>
        <row r="58">
          <cell r="B58">
            <v>109</v>
          </cell>
          <cell r="C58" t="str">
            <v>Filtros de material textil, para usos técnicos e industriales</v>
          </cell>
          <cell r="D58" t="str">
            <v>Boneth 2 (Compra)</v>
          </cell>
          <cell r="E58">
            <v>2</v>
          </cell>
          <cell r="F58">
            <v>0</v>
          </cell>
          <cell r="G58">
            <v>-2</v>
          </cell>
          <cell r="H58">
            <v>0</v>
          </cell>
          <cell r="I58">
            <v>49754.340000000004</v>
          </cell>
          <cell r="J58">
            <v>0</v>
          </cell>
          <cell r="K58">
            <v>0</v>
          </cell>
          <cell r="L58">
            <v>49754.340000000004</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row>
        <row r="59">
          <cell r="B59">
            <v>110</v>
          </cell>
          <cell r="C59" t="str">
            <v xml:space="preserve">Bolsas de material plástico sin impresión </v>
          </cell>
          <cell r="D59" t="str">
            <v>Bolsas plásticas 1 (Compra)</v>
          </cell>
          <cell r="E59">
            <v>96</v>
          </cell>
          <cell r="F59">
            <v>375</v>
          </cell>
          <cell r="G59">
            <v>279</v>
          </cell>
          <cell r="H59">
            <v>100</v>
          </cell>
          <cell r="I59">
            <v>470.84799999999996</v>
          </cell>
          <cell r="J59">
            <v>47084.799999999996</v>
          </cell>
          <cell r="K59">
            <v>50</v>
          </cell>
          <cell r="L59">
            <v>1442.4974999999999</v>
          </cell>
          <cell r="M59">
            <v>72124.875</v>
          </cell>
          <cell r="N59">
            <v>30</v>
          </cell>
          <cell r="O59">
            <v>1442.4974999999999</v>
          </cell>
          <cell r="P59">
            <v>43274.924999999996</v>
          </cell>
          <cell r="Q59">
            <v>0</v>
          </cell>
          <cell r="R59">
            <v>1442.4974999999999</v>
          </cell>
          <cell r="S59">
            <v>0</v>
          </cell>
          <cell r="T59">
            <v>35</v>
          </cell>
          <cell r="U59">
            <v>1442.4974999999999</v>
          </cell>
          <cell r="V59">
            <v>50487.412499999999</v>
          </cell>
          <cell r="W59">
            <v>10</v>
          </cell>
          <cell r="X59">
            <v>1442.4974999999999</v>
          </cell>
          <cell r="Y59">
            <v>14424.974999999999</v>
          </cell>
          <cell r="Z59">
            <v>0</v>
          </cell>
          <cell r="AA59">
            <v>1442.4974999999999</v>
          </cell>
          <cell r="AB59">
            <v>0</v>
          </cell>
          <cell r="AC59">
            <v>20</v>
          </cell>
          <cell r="AD59">
            <v>470.84799999999996</v>
          </cell>
          <cell r="AE59">
            <v>9416.9599999999991</v>
          </cell>
          <cell r="AF59">
            <v>5</v>
          </cell>
          <cell r="AG59">
            <v>1442.4974999999999</v>
          </cell>
          <cell r="AH59">
            <v>7212.4874999999993</v>
          </cell>
          <cell r="AI59">
            <v>20</v>
          </cell>
          <cell r="AJ59">
            <v>1442.4974999999999</v>
          </cell>
          <cell r="AK59">
            <v>28849.949999999997</v>
          </cell>
          <cell r="AL59">
            <v>30</v>
          </cell>
          <cell r="AM59">
            <v>1442.4974999999999</v>
          </cell>
          <cell r="AN59">
            <v>43274.924999999996</v>
          </cell>
          <cell r="AO59">
            <v>6</v>
          </cell>
          <cell r="AP59">
            <v>1442.4974999999999</v>
          </cell>
          <cell r="AQ59">
            <v>8654.9850000000006</v>
          </cell>
          <cell r="AR59">
            <v>0</v>
          </cell>
          <cell r="AS59">
            <v>1442.4974999999999</v>
          </cell>
          <cell r="AT59">
            <v>0</v>
          </cell>
          <cell r="AU59">
            <v>3</v>
          </cell>
          <cell r="AV59">
            <v>1442.4974999999999</v>
          </cell>
          <cell r="AW59">
            <v>4327.4925000000003</v>
          </cell>
          <cell r="AX59">
            <v>5</v>
          </cell>
          <cell r="AY59">
            <v>1442.4974999999999</v>
          </cell>
          <cell r="AZ59">
            <v>7212.4874999999993</v>
          </cell>
          <cell r="BA59">
            <v>0</v>
          </cell>
          <cell r="BB59">
            <v>1442.4974999999999</v>
          </cell>
          <cell r="BC59">
            <v>0</v>
          </cell>
          <cell r="BD59">
            <v>10</v>
          </cell>
          <cell r="BE59">
            <v>1442.4974999999999</v>
          </cell>
          <cell r="BF59">
            <v>14424.974999999999</v>
          </cell>
          <cell r="BG59">
            <v>0</v>
          </cell>
          <cell r="BH59">
            <v>1442.4974999999999</v>
          </cell>
          <cell r="BI59">
            <v>0</v>
          </cell>
          <cell r="BJ59">
            <v>10</v>
          </cell>
          <cell r="BK59">
            <v>1442.4974999999999</v>
          </cell>
          <cell r="BL59">
            <v>14424.974999999999</v>
          </cell>
          <cell r="BM59">
            <v>6</v>
          </cell>
          <cell r="BN59">
            <v>1442.4974999999999</v>
          </cell>
          <cell r="BO59">
            <v>8654.9850000000006</v>
          </cell>
          <cell r="BP59">
            <v>10</v>
          </cell>
          <cell r="BQ59">
            <v>1442.4974999999999</v>
          </cell>
          <cell r="BR59">
            <v>14424.974999999999</v>
          </cell>
          <cell r="BS59">
            <v>5</v>
          </cell>
          <cell r="BT59">
            <v>1442.4974999999999</v>
          </cell>
          <cell r="BU59">
            <v>7212.4874999999993</v>
          </cell>
          <cell r="BV59">
            <v>0</v>
          </cell>
          <cell r="BW59">
            <v>1442.4974999999999</v>
          </cell>
          <cell r="BX59">
            <v>0</v>
          </cell>
          <cell r="BY59">
            <v>10</v>
          </cell>
          <cell r="BZ59">
            <v>1442.4974999999999</v>
          </cell>
          <cell r="CA59">
            <v>14424.974999999999</v>
          </cell>
          <cell r="CB59">
            <v>10</v>
          </cell>
          <cell r="CC59">
            <v>1442.4974999999999</v>
          </cell>
          <cell r="CD59">
            <v>14424.974999999999</v>
          </cell>
        </row>
        <row r="60">
          <cell r="B60">
            <v>118</v>
          </cell>
          <cell r="C60" t="str">
            <v xml:space="preserve">Bolsas de material plástico sin impresión </v>
          </cell>
          <cell r="D60" t="str">
            <v>Bolsas plásticas 15 (Compra)</v>
          </cell>
          <cell r="E60">
            <v>96</v>
          </cell>
          <cell r="F60">
            <v>360</v>
          </cell>
          <cell r="G60">
            <v>264</v>
          </cell>
          <cell r="H60">
            <v>120</v>
          </cell>
          <cell r="I60">
            <v>2455.136</v>
          </cell>
          <cell r="J60">
            <v>294616.32000000001</v>
          </cell>
          <cell r="K60">
            <v>60</v>
          </cell>
          <cell r="L60">
            <v>4129.7993999999999</v>
          </cell>
          <cell r="M60">
            <v>247787.96399999998</v>
          </cell>
          <cell r="N60">
            <v>40</v>
          </cell>
          <cell r="O60">
            <v>4129.7993999999999</v>
          </cell>
          <cell r="P60">
            <v>165191.976</v>
          </cell>
          <cell r="Q60">
            <v>0</v>
          </cell>
          <cell r="R60">
            <v>4129.7993999999999</v>
          </cell>
          <cell r="S60">
            <v>0</v>
          </cell>
          <cell r="T60">
            <v>25</v>
          </cell>
          <cell r="U60">
            <v>4129.7993999999999</v>
          </cell>
          <cell r="V60">
            <v>103244.985</v>
          </cell>
          <cell r="W60">
            <v>5</v>
          </cell>
          <cell r="X60">
            <v>4129.7993999999999</v>
          </cell>
          <cell r="Y60">
            <v>20648.996999999999</v>
          </cell>
          <cell r="Z60">
            <v>0</v>
          </cell>
          <cell r="AA60">
            <v>4129.7993999999999</v>
          </cell>
          <cell r="AB60">
            <v>0</v>
          </cell>
          <cell r="AC60">
            <v>20</v>
          </cell>
          <cell r="AD60">
            <v>4129.7993999999999</v>
          </cell>
          <cell r="AE60">
            <v>82595.987999999998</v>
          </cell>
          <cell r="AF60">
            <v>10</v>
          </cell>
          <cell r="AG60">
            <v>4129.7993999999999</v>
          </cell>
          <cell r="AH60">
            <v>41297.993999999999</v>
          </cell>
          <cell r="AI60">
            <v>10</v>
          </cell>
          <cell r="AJ60">
            <v>4129.7993999999999</v>
          </cell>
          <cell r="AK60">
            <v>41297.993999999999</v>
          </cell>
          <cell r="AL60">
            <v>30</v>
          </cell>
          <cell r="AM60">
            <v>4129.7993999999999</v>
          </cell>
          <cell r="AN60">
            <v>123893.98199999999</v>
          </cell>
          <cell r="AO60">
            <v>5</v>
          </cell>
          <cell r="AP60">
            <v>4129.7993999999999</v>
          </cell>
          <cell r="AQ60">
            <v>20648.996999999999</v>
          </cell>
          <cell r="AR60">
            <v>0</v>
          </cell>
          <cell r="AS60">
            <v>4129.7993999999999</v>
          </cell>
          <cell r="AT60">
            <v>0</v>
          </cell>
          <cell r="AU60">
            <v>3</v>
          </cell>
          <cell r="AV60">
            <v>4129.7993999999999</v>
          </cell>
          <cell r="AW60">
            <v>12389.3982</v>
          </cell>
          <cell r="AX60">
            <v>6</v>
          </cell>
          <cell r="AY60">
            <v>4129.7993999999999</v>
          </cell>
          <cell r="AZ60">
            <v>24778.796399999999</v>
          </cell>
          <cell r="BA60">
            <v>0</v>
          </cell>
          <cell r="BB60">
            <v>4129.7993999999999</v>
          </cell>
          <cell r="BC60">
            <v>0</v>
          </cell>
          <cell r="BD60">
            <v>5</v>
          </cell>
          <cell r="BE60">
            <v>4129.7993999999999</v>
          </cell>
          <cell r="BF60">
            <v>20648.996999999999</v>
          </cell>
          <cell r="BG60">
            <v>0</v>
          </cell>
          <cell r="BH60">
            <v>4129.7993999999999</v>
          </cell>
          <cell r="BI60">
            <v>0</v>
          </cell>
          <cell r="BJ60">
            <v>5</v>
          </cell>
          <cell r="BK60">
            <v>4129.7993999999999</v>
          </cell>
          <cell r="BL60">
            <v>20648.996999999999</v>
          </cell>
          <cell r="BM60">
            <v>3</v>
          </cell>
          <cell r="BN60">
            <v>4129.7993999999999</v>
          </cell>
          <cell r="BO60">
            <v>12389.3982</v>
          </cell>
          <cell r="BP60">
            <v>5</v>
          </cell>
          <cell r="BQ60">
            <v>4129.7993999999999</v>
          </cell>
          <cell r="BR60">
            <v>20648.996999999999</v>
          </cell>
          <cell r="BS60">
            <v>5</v>
          </cell>
          <cell r="BT60">
            <v>4129.7993999999999</v>
          </cell>
          <cell r="BU60">
            <v>20648.996999999999</v>
          </cell>
          <cell r="BV60">
            <v>0</v>
          </cell>
          <cell r="BW60">
            <v>4129.7993999999999</v>
          </cell>
          <cell r="BX60">
            <v>0</v>
          </cell>
          <cell r="BY60">
            <v>3</v>
          </cell>
          <cell r="BZ60">
            <v>4129.7993999999999</v>
          </cell>
          <cell r="CA60">
            <v>12389.3982</v>
          </cell>
          <cell r="CB60">
            <v>0</v>
          </cell>
          <cell r="CC60">
            <v>4129.7993999999999</v>
          </cell>
          <cell r="CD60">
            <v>0</v>
          </cell>
        </row>
        <row r="61">
          <cell r="B61">
            <v>119</v>
          </cell>
          <cell r="C61" t="str">
            <v xml:space="preserve">Bolsas de material plástico sin impresión </v>
          </cell>
          <cell r="D61" t="str">
            <v>Bolsas plásticas 16 (Compra)</v>
          </cell>
          <cell r="E61">
            <v>96</v>
          </cell>
          <cell r="F61">
            <v>220</v>
          </cell>
          <cell r="G61">
            <v>124</v>
          </cell>
          <cell r="H61">
            <v>120</v>
          </cell>
          <cell r="I61">
            <v>2821.9350000000004</v>
          </cell>
          <cell r="J61">
            <v>338632.20000000007</v>
          </cell>
          <cell r="K61">
            <v>60</v>
          </cell>
          <cell r="L61">
            <v>4259.3877000000002</v>
          </cell>
          <cell r="M61">
            <v>255563.26200000002</v>
          </cell>
          <cell r="N61">
            <v>40</v>
          </cell>
          <cell r="O61">
            <v>4259.3877000000002</v>
          </cell>
          <cell r="P61">
            <v>170375.508</v>
          </cell>
          <cell r="Q61">
            <v>0</v>
          </cell>
          <cell r="R61">
            <v>4259.3877000000002</v>
          </cell>
          <cell r="S61">
            <v>0</v>
          </cell>
          <cell r="T61">
            <v>0</v>
          </cell>
          <cell r="U61">
            <v>2821.9350000000004</v>
          </cell>
          <cell r="V61">
            <v>0</v>
          </cell>
          <cell r="W61">
            <v>0</v>
          </cell>
          <cell r="X61">
            <v>4259.3877000000002</v>
          </cell>
          <cell r="Y61">
            <v>0</v>
          </cell>
          <cell r="Z61">
            <v>0</v>
          </cell>
          <cell r="AA61">
            <v>2821.9350000000004</v>
          </cell>
          <cell r="AB61">
            <v>0</v>
          </cell>
          <cell r="AC61">
            <v>0</v>
          </cell>
          <cell r="AD61">
            <v>4259.3877000000002</v>
          </cell>
          <cell r="AE61">
            <v>0</v>
          </cell>
          <cell r="AF61">
            <v>0</v>
          </cell>
          <cell r="AG61">
            <v>4259.3877000000002</v>
          </cell>
          <cell r="AH61">
            <v>0</v>
          </cell>
          <cell r="AI61">
            <v>0</v>
          </cell>
          <cell r="AJ61">
            <v>4259.3877000000002</v>
          </cell>
          <cell r="AK61">
            <v>0</v>
          </cell>
          <cell r="AL61">
            <v>0</v>
          </cell>
          <cell r="AM61">
            <v>4259.3877000000002</v>
          </cell>
          <cell r="AN61">
            <v>0</v>
          </cell>
          <cell r="AO61">
            <v>0</v>
          </cell>
          <cell r="AP61">
            <v>4259.3877000000002</v>
          </cell>
          <cell r="AQ61">
            <v>0</v>
          </cell>
          <cell r="AR61">
            <v>0</v>
          </cell>
          <cell r="AS61">
            <v>4259.3877000000002</v>
          </cell>
          <cell r="AT61">
            <v>0</v>
          </cell>
          <cell r="AU61">
            <v>0</v>
          </cell>
          <cell r="AV61">
            <v>2821.9350000000004</v>
          </cell>
          <cell r="AW61">
            <v>0</v>
          </cell>
          <cell r="AX61">
            <v>0</v>
          </cell>
          <cell r="AY61">
            <v>4259.3877000000002</v>
          </cell>
          <cell r="AZ61">
            <v>0</v>
          </cell>
          <cell r="BA61">
            <v>0</v>
          </cell>
          <cell r="BB61">
            <v>4259.3877000000002</v>
          </cell>
          <cell r="BC61">
            <v>0</v>
          </cell>
          <cell r="BD61">
            <v>0</v>
          </cell>
          <cell r="BE61">
            <v>2821.9350000000004</v>
          </cell>
          <cell r="BF61">
            <v>0</v>
          </cell>
          <cell r="BG61">
            <v>0</v>
          </cell>
          <cell r="BH61">
            <v>4259.3877000000002</v>
          </cell>
          <cell r="BI61">
            <v>0</v>
          </cell>
          <cell r="BJ61">
            <v>0</v>
          </cell>
          <cell r="BK61">
            <v>2821.9350000000004</v>
          </cell>
          <cell r="BL61">
            <v>0</v>
          </cell>
          <cell r="BM61">
            <v>0</v>
          </cell>
          <cell r="BN61">
            <v>4259.3877000000002</v>
          </cell>
          <cell r="BO61">
            <v>0</v>
          </cell>
          <cell r="BP61">
            <v>0</v>
          </cell>
          <cell r="BQ61">
            <v>2821.9350000000004</v>
          </cell>
          <cell r="BR61">
            <v>0</v>
          </cell>
          <cell r="BS61">
            <v>0</v>
          </cell>
          <cell r="BT61">
            <v>2821.9350000000004</v>
          </cell>
          <cell r="BU61">
            <v>0</v>
          </cell>
          <cell r="BV61">
            <v>0</v>
          </cell>
          <cell r="BW61">
            <v>2821.9350000000004</v>
          </cell>
          <cell r="BX61">
            <v>0</v>
          </cell>
          <cell r="BY61">
            <v>0</v>
          </cell>
          <cell r="BZ61">
            <v>4259.3877000000002</v>
          </cell>
          <cell r="CA61">
            <v>0</v>
          </cell>
          <cell r="CB61">
            <v>0</v>
          </cell>
          <cell r="CC61">
            <v>2821.9350000000004</v>
          </cell>
          <cell r="CD61">
            <v>0</v>
          </cell>
        </row>
        <row r="62">
          <cell r="B62">
            <v>120</v>
          </cell>
          <cell r="C62" t="str">
            <v xml:space="preserve">Bolsas de material plástico sin impresión </v>
          </cell>
          <cell r="D62" t="str">
            <v>Bolsas plásticas 17 (Compra)</v>
          </cell>
          <cell r="E62">
            <v>96</v>
          </cell>
          <cell r="F62">
            <v>354</v>
          </cell>
          <cell r="G62">
            <v>258</v>
          </cell>
          <cell r="H62">
            <v>120</v>
          </cell>
          <cell r="I62">
            <v>2821.9350000000004</v>
          </cell>
          <cell r="J62">
            <v>338632.20000000007</v>
          </cell>
          <cell r="K62">
            <v>60</v>
          </cell>
          <cell r="L62">
            <v>4259.3877000000002</v>
          </cell>
          <cell r="M62">
            <v>255563.26200000002</v>
          </cell>
          <cell r="N62">
            <v>40</v>
          </cell>
          <cell r="O62">
            <v>4259.3877000000002</v>
          </cell>
          <cell r="P62">
            <v>170375.508</v>
          </cell>
          <cell r="Q62">
            <v>0</v>
          </cell>
          <cell r="R62">
            <v>4259.3877000000002</v>
          </cell>
          <cell r="S62">
            <v>0</v>
          </cell>
          <cell r="T62">
            <v>35</v>
          </cell>
          <cell r="U62">
            <v>4259.3877000000002</v>
          </cell>
          <cell r="V62">
            <v>149078.56950000001</v>
          </cell>
          <cell r="W62">
            <v>10</v>
          </cell>
          <cell r="X62">
            <v>4259.3877000000002</v>
          </cell>
          <cell r="Y62">
            <v>42593.877</v>
          </cell>
          <cell r="Z62">
            <v>0</v>
          </cell>
          <cell r="AA62">
            <v>2821.9350000000004</v>
          </cell>
          <cell r="AB62">
            <v>0</v>
          </cell>
          <cell r="AC62">
            <v>0</v>
          </cell>
          <cell r="AD62">
            <v>4259.3877000000002</v>
          </cell>
          <cell r="AE62">
            <v>0</v>
          </cell>
          <cell r="AF62">
            <v>10</v>
          </cell>
          <cell r="AG62">
            <v>4259.3877000000002</v>
          </cell>
          <cell r="AH62">
            <v>42593.877</v>
          </cell>
          <cell r="AI62">
            <v>10</v>
          </cell>
          <cell r="AJ62">
            <v>4259.3877000000002</v>
          </cell>
          <cell r="AK62">
            <v>42593.877</v>
          </cell>
          <cell r="AL62">
            <v>30</v>
          </cell>
          <cell r="AM62">
            <v>4259.3877000000002</v>
          </cell>
          <cell r="AN62">
            <v>127781.63100000001</v>
          </cell>
          <cell r="AO62">
            <v>5</v>
          </cell>
          <cell r="AP62">
            <v>4259.3877000000002</v>
          </cell>
          <cell r="AQ62">
            <v>21296.9385</v>
          </cell>
          <cell r="AR62">
            <v>0</v>
          </cell>
          <cell r="AS62">
            <v>4259.3877000000002</v>
          </cell>
          <cell r="AT62">
            <v>0</v>
          </cell>
          <cell r="AU62">
            <v>3</v>
          </cell>
          <cell r="AV62">
            <v>4259.3877000000002</v>
          </cell>
          <cell r="AW62">
            <v>12778.163100000002</v>
          </cell>
          <cell r="AX62">
            <v>5</v>
          </cell>
          <cell r="AY62">
            <v>4259.3877000000002</v>
          </cell>
          <cell r="AZ62">
            <v>21296.9385</v>
          </cell>
          <cell r="BA62">
            <v>0</v>
          </cell>
          <cell r="BB62">
            <v>4259.3877000000002</v>
          </cell>
          <cell r="BC62">
            <v>0</v>
          </cell>
          <cell r="BD62">
            <v>5</v>
          </cell>
          <cell r="BE62">
            <v>4259.3877000000002</v>
          </cell>
          <cell r="BF62">
            <v>21296.9385</v>
          </cell>
          <cell r="BG62">
            <v>0</v>
          </cell>
          <cell r="BH62">
            <v>4259.3877000000002</v>
          </cell>
          <cell r="BI62">
            <v>0</v>
          </cell>
          <cell r="BJ62">
            <v>5</v>
          </cell>
          <cell r="BK62">
            <v>4259.3877000000002</v>
          </cell>
          <cell r="BL62">
            <v>21296.9385</v>
          </cell>
          <cell r="BM62">
            <v>3</v>
          </cell>
          <cell r="BN62">
            <v>4259.3877000000002</v>
          </cell>
          <cell r="BO62">
            <v>12778.163100000002</v>
          </cell>
          <cell r="BP62">
            <v>5</v>
          </cell>
          <cell r="BQ62">
            <v>4259.3877000000002</v>
          </cell>
          <cell r="BR62">
            <v>21296.9385</v>
          </cell>
          <cell r="BS62">
            <v>5</v>
          </cell>
          <cell r="BT62">
            <v>4259.3877000000002</v>
          </cell>
          <cell r="BU62">
            <v>21296.9385</v>
          </cell>
          <cell r="BV62">
            <v>0</v>
          </cell>
          <cell r="BW62">
            <v>4259.3877000000002</v>
          </cell>
          <cell r="BX62">
            <v>0</v>
          </cell>
          <cell r="BY62">
            <v>3</v>
          </cell>
          <cell r="BZ62">
            <v>4259.3877000000002</v>
          </cell>
          <cell r="CA62">
            <v>12778.163100000002</v>
          </cell>
          <cell r="CB62">
            <v>0</v>
          </cell>
          <cell r="CC62">
            <v>4259.3877000000002</v>
          </cell>
          <cell r="CD62">
            <v>0</v>
          </cell>
        </row>
        <row r="63">
          <cell r="B63">
            <v>122</v>
          </cell>
          <cell r="C63" t="str">
            <v xml:space="preserve">Bolsas de material plástico sin impresión </v>
          </cell>
          <cell r="D63" t="str">
            <v>Bolsas plásticas 21 (Compra)</v>
          </cell>
          <cell r="E63">
            <v>96</v>
          </cell>
          <cell r="F63">
            <v>297</v>
          </cell>
          <cell r="G63">
            <v>201</v>
          </cell>
          <cell r="H63">
            <v>80</v>
          </cell>
          <cell r="I63">
            <v>5223.4699999999993</v>
          </cell>
          <cell r="J63">
            <v>417877.6</v>
          </cell>
          <cell r="K63">
            <v>50</v>
          </cell>
          <cell r="L63">
            <v>5920.3881000000001</v>
          </cell>
          <cell r="M63">
            <v>296019.40500000003</v>
          </cell>
          <cell r="N63">
            <v>30</v>
          </cell>
          <cell r="O63">
            <v>5223.4699999999993</v>
          </cell>
          <cell r="P63">
            <v>156704.09999999998</v>
          </cell>
          <cell r="Q63">
            <v>0</v>
          </cell>
          <cell r="R63">
            <v>5920.3881000000001</v>
          </cell>
          <cell r="S63">
            <v>0</v>
          </cell>
          <cell r="T63">
            <v>35</v>
          </cell>
          <cell r="U63">
            <v>5920.3881000000001</v>
          </cell>
          <cell r="V63">
            <v>207213.58350000001</v>
          </cell>
          <cell r="W63">
            <v>5</v>
          </cell>
          <cell r="X63">
            <v>5920.3881000000001</v>
          </cell>
          <cell r="Y63">
            <v>29601.940500000001</v>
          </cell>
          <cell r="Z63">
            <v>0</v>
          </cell>
          <cell r="AA63">
            <v>5223.4699999999993</v>
          </cell>
          <cell r="AB63">
            <v>0</v>
          </cell>
          <cell r="AC63">
            <v>0</v>
          </cell>
          <cell r="AD63">
            <v>5920.3881000000001</v>
          </cell>
          <cell r="AE63">
            <v>0</v>
          </cell>
          <cell r="AF63">
            <v>10</v>
          </cell>
          <cell r="AG63">
            <v>5223.4699999999993</v>
          </cell>
          <cell r="AH63">
            <v>52234.7</v>
          </cell>
          <cell r="AI63">
            <v>5</v>
          </cell>
          <cell r="AJ63">
            <v>5920.3881000000001</v>
          </cell>
          <cell r="AK63">
            <v>29601.940500000001</v>
          </cell>
          <cell r="AL63">
            <v>30</v>
          </cell>
          <cell r="AM63">
            <v>5920.3881000000001</v>
          </cell>
          <cell r="AN63">
            <v>177611.64300000001</v>
          </cell>
          <cell r="AO63">
            <v>10</v>
          </cell>
          <cell r="AP63">
            <v>5920.3881000000001</v>
          </cell>
          <cell r="AQ63">
            <v>59203.881000000001</v>
          </cell>
          <cell r="AR63">
            <v>0</v>
          </cell>
          <cell r="AS63">
            <v>5920.3881000000001</v>
          </cell>
          <cell r="AT63">
            <v>0</v>
          </cell>
          <cell r="AU63">
            <v>5</v>
          </cell>
          <cell r="AV63">
            <v>5920.3881000000001</v>
          </cell>
          <cell r="AW63">
            <v>29601.940500000001</v>
          </cell>
          <cell r="AX63">
            <v>5</v>
          </cell>
          <cell r="AY63">
            <v>5920.3881000000001</v>
          </cell>
          <cell r="AZ63">
            <v>29601.940500000001</v>
          </cell>
          <cell r="BA63">
            <v>0</v>
          </cell>
          <cell r="BB63">
            <v>5920.3881000000001</v>
          </cell>
          <cell r="BC63">
            <v>0</v>
          </cell>
          <cell r="BD63">
            <v>5</v>
          </cell>
          <cell r="BE63">
            <v>5920.3881000000001</v>
          </cell>
          <cell r="BF63">
            <v>29601.940500000001</v>
          </cell>
          <cell r="BG63">
            <v>0</v>
          </cell>
          <cell r="BH63">
            <v>5920.3881000000001</v>
          </cell>
          <cell r="BI63">
            <v>0</v>
          </cell>
          <cell r="BJ63">
            <v>5</v>
          </cell>
          <cell r="BK63">
            <v>5920.3881000000001</v>
          </cell>
          <cell r="BL63">
            <v>29601.940500000001</v>
          </cell>
          <cell r="BM63">
            <v>3</v>
          </cell>
          <cell r="BN63">
            <v>5920.3881000000001</v>
          </cell>
          <cell r="BO63">
            <v>17761.1643</v>
          </cell>
          <cell r="BP63">
            <v>5</v>
          </cell>
          <cell r="BQ63">
            <v>5920.3881000000001</v>
          </cell>
          <cell r="BR63">
            <v>29601.940500000001</v>
          </cell>
          <cell r="BS63">
            <v>5</v>
          </cell>
          <cell r="BT63">
            <v>5920.3881000000001</v>
          </cell>
          <cell r="BU63">
            <v>29601.940500000001</v>
          </cell>
          <cell r="BV63">
            <v>0</v>
          </cell>
          <cell r="BW63">
            <v>5920.3881000000001</v>
          </cell>
          <cell r="BX63">
            <v>0</v>
          </cell>
          <cell r="BY63">
            <v>3</v>
          </cell>
          <cell r="BZ63">
            <v>5920.3881000000001</v>
          </cell>
          <cell r="CA63">
            <v>17761.1643</v>
          </cell>
          <cell r="CB63">
            <v>6</v>
          </cell>
          <cell r="CC63">
            <v>5920.3881000000001</v>
          </cell>
          <cell r="CD63">
            <v>35522.328600000001</v>
          </cell>
        </row>
        <row r="64">
          <cell r="B64">
            <v>123</v>
          </cell>
          <cell r="C64" t="str">
            <v xml:space="preserve">Bolsas de material plástico sin impresión </v>
          </cell>
          <cell r="D64" t="str">
            <v>Bolsas plásticas 22 (Compra)</v>
          </cell>
          <cell r="E64">
            <v>97</v>
          </cell>
          <cell r="F64">
            <v>0</v>
          </cell>
          <cell r="G64">
            <v>-97</v>
          </cell>
          <cell r="H64">
            <v>0</v>
          </cell>
          <cell r="I64">
            <v>5765.7860000000001</v>
          </cell>
          <cell r="J64">
            <v>0</v>
          </cell>
          <cell r="K64">
            <v>0</v>
          </cell>
          <cell r="L64">
            <v>5765.7860000000001</v>
          </cell>
          <cell r="M64">
            <v>0</v>
          </cell>
          <cell r="N64">
            <v>0</v>
          </cell>
          <cell r="O64">
            <v>6169.1598000000004</v>
          </cell>
          <cell r="P64">
            <v>0</v>
          </cell>
          <cell r="Q64">
            <v>0</v>
          </cell>
          <cell r="R64">
            <v>6169.1598000000004</v>
          </cell>
          <cell r="S64">
            <v>0</v>
          </cell>
          <cell r="T64">
            <v>0</v>
          </cell>
          <cell r="U64">
            <v>6169.1598000000004</v>
          </cell>
          <cell r="V64">
            <v>0</v>
          </cell>
          <cell r="W64">
            <v>0</v>
          </cell>
          <cell r="X64">
            <v>6169.1598000000004</v>
          </cell>
          <cell r="Y64">
            <v>0</v>
          </cell>
          <cell r="Z64">
            <v>0</v>
          </cell>
          <cell r="AA64">
            <v>6169.1598000000004</v>
          </cell>
          <cell r="AB64">
            <v>0</v>
          </cell>
          <cell r="AC64">
            <v>0</v>
          </cell>
          <cell r="AD64">
            <v>6169.1598000000004</v>
          </cell>
          <cell r="AE64">
            <v>0</v>
          </cell>
          <cell r="AF64">
            <v>0</v>
          </cell>
          <cell r="AG64">
            <v>6169.1598000000004</v>
          </cell>
          <cell r="AH64">
            <v>0</v>
          </cell>
          <cell r="AI64">
            <v>0</v>
          </cell>
          <cell r="AJ64">
            <v>6169.1598000000004</v>
          </cell>
          <cell r="AK64">
            <v>0</v>
          </cell>
          <cell r="AL64">
            <v>0</v>
          </cell>
          <cell r="AM64">
            <v>6169.1598000000004</v>
          </cell>
          <cell r="AN64">
            <v>0</v>
          </cell>
          <cell r="AO64">
            <v>0</v>
          </cell>
          <cell r="AP64">
            <v>6169.1598000000004</v>
          </cell>
          <cell r="AQ64">
            <v>0</v>
          </cell>
          <cell r="AR64">
            <v>0</v>
          </cell>
          <cell r="AS64">
            <v>6169.1598000000004</v>
          </cell>
          <cell r="AT64">
            <v>0</v>
          </cell>
          <cell r="AU64">
            <v>0</v>
          </cell>
          <cell r="AV64">
            <v>5765.7860000000001</v>
          </cell>
          <cell r="AW64">
            <v>0</v>
          </cell>
          <cell r="AX64">
            <v>0</v>
          </cell>
          <cell r="AY64">
            <v>6169.1598000000004</v>
          </cell>
          <cell r="AZ64">
            <v>0</v>
          </cell>
          <cell r="BA64">
            <v>0</v>
          </cell>
          <cell r="BB64">
            <v>6169.1598000000004</v>
          </cell>
          <cell r="BC64">
            <v>0</v>
          </cell>
          <cell r="BD64">
            <v>0</v>
          </cell>
          <cell r="BE64">
            <v>6169.1598000000004</v>
          </cell>
          <cell r="BF64">
            <v>0</v>
          </cell>
          <cell r="BG64">
            <v>0</v>
          </cell>
          <cell r="BH64">
            <v>6169.1598000000004</v>
          </cell>
          <cell r="BI64">
            <v>0</v>
          </cell>
          <cell r="BJ64">
            <v>0</v>
          </cell>
          <cell r="BK64">
            <v>6169.1598000000004</v>
          </cell>
          <cell r="BL64">
            <v>0</v>
          </cell>
          <cell r="BM64">
            <v>0</v>
          </cell>
          <cell r="BN64">
            <v>5765.7860000000001</v>
          </cell>
          <cell r="BO64">
            <v>0</v>
          </cell>
          <cell r="BP64">
            <v>0</v>
          </cell>
          <cell r="BQ64">
            <v>6169.1598000000004</v>
          </cell>
          <cell r="BR64">
            <v>0</v>
          </cell>
          <cell r="BS64">
            <v>0</v>
          </cell>
          <cell r="BT64">
            <v>6169.1598000000004</v>
          </cell>
          <cell r="BU64">
            <v>0</v>
          </cell>
          <cell r="BV64">
            <v>0</v>
          </cell>
          <cell r="BW64">
            <v>6169.1598000000004</v>
          </cell>
          <cell r="BX64">
            <v>0</v>
          </cell>
          <cell r="BY64">
            <v>0</v>
          </cell>
          <cell r="BZ64">
            <v>6169.1598000000004</v>
          </cell>
          <cell r="CA64">
            <v>0</v>
          </cell>
          <cell r="CB64">
            <v>0</v>
          </cell>
          <cell r="CC64">
            <v>6169.1598000000004</v>
          </cell>
          <cell r="CD64">
            <v>0</v>
          </cell>
        </row>
        <row r="65">
          <cell r="B65">
            <v>124</v>
          </cell>
          <cell r="C65" t="str">
            <v xml:space="preserve">Bolsas de material plástico sin impresión </v>
          </cell>
          <cell r="D65" t="str">
            <v>Bolsas plásticas 23 (Compra)</v>
          </cell>
          <cell r="E65">
            <v>96</v>
          </cell>
          <cell r="F65">
            <v>210</v>
          </cell>
          <cell r="G65">
            <v>114</v>
          </cell>
          <cell r="H65">
            <v>80</v>
          </cell>
          <cell r="I65">
            <v>5765.7860000000001</v>
          </cell>
          <cell r="J65">
            <v>461262.88</v>
          </cell>
          <cell r="K65">
            <v>50</v>
          </cell>
          <cell r="L65">
            <v>6169.1598000000004</v>
          </cell>
          <cell r="M65">
            <v>308457.99</v>
          </cell>
          <cell r="N65">
            <v>30</v>
          </cell>
          <cell r="O65">
            <v>5765.7860000000001</v>
          </cell>
          <cell r="P65">
            <v>172973.58000000002</v>
          </cell>
          <cell r="Q65">
            <v>0</v>
          </cell>
          <cell r="R65">
            <v>6169.1598000000004</v>
          </cell>
          <cell r="S65">
            <v>0</v>
          </cell>
          <cell r="T65">
            <v>20</v>
          </cell>
          <cell r="U65">
            <v>6169.1598000000004</v>
          </cell>
          <cell r="V65">
            <v>123383.19600000001</v>
          </cell>
          <cell r="W65">
            <v>0</v>
          </cell>
          <cell r="X65">
            <v>6169.1598000000004</v>
          </cell>
          <cell r="Y65">
            <v>0</v>
          </cell>
          <cell r="Z65">
            <v>0</v>
          </cell>
          <cell r="AA65">
            <v>6169.1598000000004</v>
          </cell>
          <cell r="AB65">
            <v>0</v>
          </cell>
          <cell r="AC65">
            <v>0</v>
          </cell>
          <cell r="AD65">
            <v>6169.1598000000004</v>
          </cell>
          <cell r="AE65">
            <v>0</v>
          </cell>
          <cell r="AF65">
            <v>5</v>
          </cell>
          <cell r="AG65">
            <v>6169.1598000000004</v>
          </cell>
          <cell r="AH65">
            <v>30845.799000000003</v>
          </cell>
          <cell r="AI65">
            <v>0</v>
          </cell>
          <cell r="AJ65">
            <v>6169.1598000000004</v>
          </cell>
          <cell r="AK65">
            <v>0</v>
          </cell>
          <cell r="AL65">
            <v>10</v>
          </cell>
          <cell r="AM65">
            <v>5765.7860000000001</v>
          </cell>
          <cell r="AN65">
            <v>57657.86</v>
          </cell>
          <cell r="AO65">
            <v>4</v>
          </cell>
          <cell r="AP65">
            <v>6169.1598000000004</v>
          </cell>
          <cell r="AQ65">
            <v>24676.639200000001</v>
          </cell>
          <cell r="AR65">
            <v>0</v>
          </cell>
          <cell r="AS65">
            <v>6169.1598000000004</v>
          </cell>
          <cell r="AT65">
            <v>0</v>
          </cell>
          <cell r="AU65">
            <v>2</v>
          </cell>
          <cell r="AV65">
            <v>6169.1598000000004</v>
          </cell>
          <cell r="AW65">
            <v>12338.319600000001</v>
          </cell>
          <cell r="AX65">
            <v>5</v>
          </cell>
          <cell r="AY65">
            <v>6169.1598000000004</v>
          </cell>
          <cell r="AZ65">
            <v>30845.799000000003</v>
          </cell>
          <cell r="BA65">
            <v>0</v>
          </cell>
          <cell r="BB65">
            <v>6169.1598000000004</v>
          </cell>
          <cell r="BC65">
            <v>0</v>
          </cell>
          <cell r="BD65">
            <v>0</v>
          </cell>
          <cell r="BE65">
            <v>6169.1598000000004</v>
          </cell>
          <cell r="BF65">
            <v>0</v>
          </cell>
          <cell r="BG65">
            <v>0</v>
          </cell>
          <cell r="BH65">
            <v>6169.1598000000004</v>
          </cell>
          <cell r="BI65">
            <v>0</v>
          </cell>
          <cell r="BJ65">
            <v>0</v>
          </cell>
          <cell r="BK65">
            <v>6169.1598000000004</v>
          </cell>
          <cell r="BL65">
            <v>0</v>
          </cell>
          <cell r="BM65">
            <v>2</v>
          </cell>
          <cell r="BN65">
            <v>6169.1598000000004</v>
          </cell>
          <cell r="BO65">
            <v>12338.319600000001</v>
          </cell>
          <cell r="BP65">
            <v>0</v>
          </cell>
          <cell r="BQ65">
            <v>6169.1598000000004</v>
          </cell>
          <cell r="BR65">
            <v>0</v>
          </cell>
          <cell r="BS65">
            <v>0</v>
          </cell>
          <cell r="BT65">
            <v>6169.1598000000004</v>
          </cell>
          <cell r="BU65">
            <v>0</v>
          </cell>
          <cell r="BV65">
            <v>0</v>
          </cell>
          <cell r="BW65">
            <v>6169.1598000000004</v>
          </cell>
          <cell r="BX65">
            <v>0</v>
          </cell>
          <cell r="BY65">
            <v>2</v>
          </cell>
          <cell r="BZ65">
            <v>6169.1598000000004</v>
          </cell>
          <cell r="CA65">
            <v>12338.319600000001</v>
          </cell>
          <cell r="CB65">
            <v>0</v>
          </cell>
          <cell r="CC65">
            <v>6169.1598000000004</v>
          </cell>
          <cell r="CD65">
            <v>0</v>
          </cell>
        </row>
        <row r="66">
          <cell r="B66">
            <v>126</v>
          </cell>
          <cell r="C66" t="str">
            <v xml:space="preserve">Bolsas de material plástico sin impresión </v>
          </cell>
          <cell r="D66" t="str">
            <v>Guantes 1 (Compra)</v>
          </cell>
          <cell r="E66">
            <v>26</v>
          </cell>
          <cell r="F66">
            <v>0</v>
          </cell>
          <cell r="G66">
            <v>-26</v>
          </cell>
          <cell r="H66">
            <v>0</v>
          </cell>
          <cell r="I66">
            <v>3316.9560000000001</v>
          </cell>
          <cell r="J66">
            <v>0</v>
          </cell>
          <cell r="K66">
            <v>0</v>
          </cell>
          <cell r="L66">
            <v>3316.9560000000001</v>
          </cell>
          <cell r="M66">
            <v>0</v>
          </cell>
          <cell r="N66">
            <v>0</v>
          </cell>
          <cell r="O66">
            <v>3316.9560000000001</v>
          </cell>
          <cell r="P66">
            <v>0</v>
          </cell>
          <cell r="Q66">
            <v>0</v>
          </cell>
          <cell r="R66">
            <v>3316.9560000000001</v>
          </cell>
          <cell r="S66">
            <v>0</v>
          </cell>
          <cell r="T66">
            <v>0</v>
          </cell>
          <cell r="U66">
            <v>3316.9560000000001</v>
          </cell>
          <cell r="V66">
            <v>0</v>
          </cell>
          <cell r="W66">
            <v>0</v>
          </cell>
          <cell r="X66">
            <v>3316.9560000000001</v>
          </cell>
          <cell r="Y66">
            <v>0</v>
          </cell>
          <cell r="Z66">
            <v>0</v>
          </cell>
          <cell r="AA66">
            <v>3316.9560000000001</v>
          </cell>
          <cell r="AB66">
            <v>0</v>
          </cell>
          <cell r="AC66">
            <v>0</v>
          </cell>
          <cell r="AD66">
            <v>3316.9560000000001</v>
          </cell>
          <cell r="AE66">
            <v>0</v>
          </cell>
          <cell r="AF66">
            <v>0</v>
          </cell>
          <cell r="AG66">
            <v>3316.9560000000001</v>
          </cell>
          <cell r="AH66">
            <v>0</v>
          </cell>
          <cell r="AI66">
            <v>0</v>
          </cell>
          <cell r="AJ66">
            <v>3316.9560000000001</v>
          </cell>
          <cell r="AK66">
            <v>0</v>
          </cell>
          <cell r="AL66">
            <v>0</v>
          </cell>
          <cell r="AM66">
            <v>3316.9560000000001</v>
          </cell>
          <cell r="AN66">
            <v>0</v>
          </cell>
          <cell r="AO66">
            <v>0</v>
          </cell>
          <cell r="AP66">
            <v>3316.9560000000001</v>
          </cell>
          <cell r="AQ66">
            <v>0</v>
          </cell>
          <cell r="AR66">
            <v>0</v>
          </cell>
          <cell r="AS66">
            <v>3316.9560000000001</v>
          </cell>
          <cell r="AT66">
            <v>0</v>
          </cell>
          <cell r="AU66">
            <v>0</v>
          </cell>
          <cell r="AV66">
            <v>3316.9560000000001</v>
          </cell>
          <cell r="AW66">
            <v>0</v>
          </cell>
          <cell r="AX66">
            <v>0</v>
          </cell>
          <cell r="AY66">
            <v>3316.9560000000001</v>
          </cell>
          <cell r="AZ66">
            <v>0</v>
          </cell>
          <cell r="BA66">
            <v>0</v>
          </cell>
          <cell r="BB66">
            <v>3316.9560000000001</v>
          </cell>
          <cell r="BC66">
            <v>0</v>
          </cell>
          <cell r="BD66">
            <v>0</v>
          </cell>
          <cell r="BE66">
            <v>3316.9560000000001</v>
          </cell>
          <cell r="BF66">
            <v>0</v>
          </cell>
          <cell r="BG66">
            <v>0</v>
          </cell>
          <cell r="BH66">
            <v>3316.9560000000001</v>
          </cell>
          <cell r="BI66">
            <v>0</v>
          </cell>
          <cell r="BJ66">
            <v>0</v>
          </cell>
          <cell r="BK66">
            <v>3316.9560000000001</v>
          </cell>
          <cell r="BL66">
            <v>0</v>
          </cell>
          <cell r="BM66">
            <v>0</v>
          </cell>
          <cell r="BN66">
            <v>3316.9560000000001</v>
          </cell>
          <cell r="BO66">
            <v>0</v>
          </cell>
          <cell r="BP66">
            <v>0</v>
          </cell>
          <cell r="BQ66">
            <v>3316.9560000000001</v>
          </cell>
          <cell r="BR66">
            <v>0</v>
          </cell>
          <cell r="BS66">
            <v>0</v>
          </cell>
          <cell r="BT66">
            <v>4447.6217999999999</v>
          </cell>
          <cell r="BU66">
            <v>0</v>
          </cell>
          <cell r="BV66">
            <v>0</v>
          </cell>
          <cell r="BW66">
            <v>3316.9560000000001</v>
          </cell>
          <cell r="BX66">
            <v>0</v>
          </cell>
          <cell r="BY66">
            <v>0</v>
          </cell>
          <cell r="BZ66">
            <v>3316.9560000000001</v>
          </cell>
          <cell r="CA66">
            <v>0</v>
          </cell>
          <cell r="CB66">
            <v>0</v>
          </cell>
          <cell r="CC66">
            <v>3316.9560000000001</v>
          </cell>
          <cell r="CD66">
            <v>0</v>
          </cell>
        </row>
        <row r="67">
          <cell r="B67">
            <v>127</v>
          </cell>
          <cell r="C67" t="str">
            <v xml:space="preserve">Bolsas de material plástico sin impresión </v>
          </cell>
          <cell r="D67" t="str">
            <v>Guantes 2 (Compra)</v>
          </cell>
          <cell r="E67">
            <v>30</v>
          </cell>
          <cell r="F67">
            <v>0</v>
          </cell>
          <cell r="G67">
            <v>-30</v>
          </cell>
          <cell r="H67">
            <v>0</v>
          </cell>
          <cell r="I67">
            <v>3316.9560000000001</v>
          </cell>
          <cell r="J67">
            <v>0</v>
          </cell>
          <cell r="K67">
            <v>0</v>
          </cell>
          <cell r="L67">
            <v>3316.9560000000001</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row>
        <row r="68">
          <cell r="B68">
            <v>129</v>
          </cell>
          <cell r="C68" t="str">
            <v xml:space="preserve">Bolsas de material plástico sin impresión </v>
          </cell>
          <cell r="D68" t="str">
            <v>Guantes 4 (Compra)</v>
          </cell>
          <cell r="E68">
            <v>30</v>
          </cell>
          <cell r="F68">
            <v>0</v>
          </cell>
          <cell r="G68">
            <v>-30</v>
          </cell>
          <cell r="H68">
            <v>0</v>
          </cell>
          <cell r="I68">
            <v>3787.8040000000001</v>
          </cell>
          <cell r="J68">
            <v>0</v>
          </cell>
          <cell r="K68">
            <v>0</v>
          </cell>
          <cell r="L68">
            <v>3787.8040000000001</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row>
        <row r="69">
          <cell r="B69">
            <v>131</v>
          </cell>
          <cell r="C69" t="str">
            <v xml:space="preserve">Bolsas de material plástico sin impresión </v>
          </cell>
          <cell r="D69" t="str">
            <v>Guantes 6 (Compra)</v>
          </cell>
          <cell r="E69">
            <v>5</v>
          </cell>
          <cell r="F69">
            <v>0</v>
          </cell>
          <cell r="G69">
            <v>-5</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row>
        <row r="70">
          <cell r="B70">
            <v>132</v>
          </cell>
          <cell r="C70" t="str">
            <v xml:space="preserve">Bolsas de material plástico sin impresión </v>
          </cell>
          <cell r="D70" t="str">
            <v>Guantes 7 (Compra)</v>
          </cell>
          <cell r="E70">
            <v>7</v>
          </cell>
          <cell r="F70">
            <v>0</v>
          </cell>
          <cell r="G70">
            <v>-7</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row>
        <row r="71">
          <cell r="B71">
            <v>134</v>
          </cell>
          <cell r="C71" t="str">
            <v xml:space="preserve">Bolsas de material plástico sin impresión </v>
          </cell>
          <cell r="D71" t="str">
            <v>Guantes 9 (Compra)</v>
          </cell>
          <cell r="E71">
            <v>34</v>
          </cell>
          <cell r="F71">
            <v>0</v>
          </cell>
          <cell r="G71">
            <v>-34</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row>
        <row r="72">
          <cell r="B72">
            <v>135</v>
          </cell>
          <cell r="C72" t="str">
            <v>Aplicadores, bajalenguas y otros para usos higiénicos, de madera</v>
          </cell>
          <cell r="D72" t="str">
            <v>Tapabocas Desechable (Compra)</v>
          </cell>
          <cell r="E72">
            <v>6</v>
          </cell>
          <cell r="F72">
            <v>0</v>
          </cell>
          <cell r="G72">
            <v>-6</v>
          </cell>
          <cell r="H72">
            <v>0</v>
          </cell>
          <cell r="I72">
            <v>6229.277</v>
          </cell>
          <cell r="J72">
            <v>0</v>
          </cell>
          <cell r="K72">
            <v>0</v>
          </cell>
          <cell r="L72">
            <v>6229.277</v>
          </cell>
          <cell r="M72">
            <v>0</v>
          </cell>
          <cell r="N72">
            <v>0</v>
          </cell>
          <cell r="O72">
            <v>6229.277</v>
          </cell>
          <cell r="P72">
            <v>0</v>
          </cell>
          <cell r="Q72">
            <v>0</v>
          </cell>
          <cell r="R72">
            <v>6229.277</v>
          </cell>
          <cell r="S72">
            <v>0</v>
          </cell>
          <cell r="T72">
            <v>0</v>
          </cell>
          <cell r="U72">
            <v>6229.277</v>
          </cell>
          <cell r="V72">
            <v>0</v>
          </cell>
          <cell r="W72">
            <v>0</v>
          </cell>
          <cell r="X72">
            <v>6229.277</v>
          </cell>
          <cell r="Y72">
            <v>0</v>
          </cell>
          <cell r="Z72">
            <v>0</v>
          </cell>
          <cell r="AA72">
            <v>6229.277</v>
          </cell>
          <cell r="AB72">
            <v>0</v>
          </cell>
          <cell r="AC72">
            <v>0</v>
          </cell>
          <cell r="AD72">
            <v>6229.277</v>
          </cell>
          <cell r="AE72">
            <v>0</v>
          </cell>
          <cell r="AF72">
            <v>0</v>
          </cell>
          <cell r="AG72">
            <v>6229.277</v>
          </cell>
          <cell r="AH72">
            <v>0</v>
          </cell>
          <cell r="AI72">
            <v>0</v>
          </cell>
          <cell r="AJ72">
            <v>6229.277</v>
          </cell>
          <cell r="AK72">
            <v>0</v>
          </cell>
          <cell r="AL72">
            <v>0</v>
          </cell>
          <cell r="AM72">
            <v>6229.277</v>
          </cell>
          <cell r="AN72">
            <v>0</v>
          </cell>
          <cell r="AO72">
            <v>0</v>
          </cell>
          <cell r="AP72">
            <v>6229.277</v>
          </cell>
          <cell r="AQ72">
            <v>0</v>
          </cell>
          <cell r="AR72">
            <v>0</v>
          </cell>
          <cell r="AS72">
            <v>6229.277</v>
          </cell>
          <cell r="AT72">
            <v>0</v>
          </cell>
          <cell r="AU72">
            <v>0</v>
          </cell>
          <cell r="AV72">
            <v>6229.277</v>
          </cell>
          <cell r="AW72">
            <v>0</v>
          </cell>
          <cell r="AX72">
            <v>0</v>
          </cell>
          <cell r="AY72">
            <v>6229.277</v>
          </cell>
          <cell r="AZ72">
            <v>0</v>
          </cell>
          <cell r="BA72">
            <v>0</v>
          </cell>
          <cell r="BB72">
            <v>6229.277</v>
          </cell>
          <cell r="BC72">
            <v>0</v>
          </cell>
          <cell r="BD72">
            <v>0</v>
          </cell>
          <cell r="BE72">
            <v>6229.277</v>
          </cell>
          <cell r="BF72">
            <v>0</v>
          </cell>
          <cell r="BG72">
            <v>0</v>
          </cell>
          <cell r="BH72">
            <v>17215.38</v>
          </cell>
          <cell r="BI72">
            <v>0</v>
          </cell>
          <cell r="BJ72">
            <v>0</v>
          </cell>
          <cell r="BK72">
            <v>17215.38</v>
          </cell>
          <cell r="BL72">
            <v>0</v>
          </cell>
          <cell r="BM72">
            <v>0</v>
          </cell>
          <cell r="BN72">
            <v>6229.277</v>
          </cell>
          <cell r="BO72">
            <v>0</v>
          </cell>
          <cell r="BP72">
            <v>0</v>
          </cell>
          <cell r="BQ72">
            <v>6229.277</v>
          </cell>
          <cell r="BR72">
            <v>0</v>
          </cell>
          <cell r="BS72">
            <v>0</v>
          </cell>
          <cell r="BT72">
            <v>6229.277</v>
          </cell>
          <cell r="BU72">
            <v>0</v>
          </cell>
          <cell r="BV72">
            <v>0</v>
          </cell>
          <cell r="BW72">
            <v>6229.277</v>
          </cell>
          <cell r="BX72">
            <v>0</v>
          </cell>
          <cell r="BY72">
            <v>0</v>
          </cell>
          <cell r="BZ72">
            <v>6229.277</v>
          </cell>
          <cell r="CA72">
            <v>0</v>
          </cell>
          <cell r="CB72">
            <v>0</v>
          </cell>
          <cell r="CC72">
            <v>6229.277</v>
          </cell>
          <cell r="CD72">
            <v>0</v>
          </cell>
        </row>
        <row r="73">
          <cell r="B73">
            <v>137</v>
          </cell>
          <cell r="C73" t="str">
            <v>Papel del tipo utilizado para papel higiénico</v>
          </cell>
          <cell r="D73" t="str">
            <v>Papel higiénico 1 (Compra)</v>
          </cell>
          <cell r="E73">
            <v>10</v>
          </cell>
          <cell r="F73">
            <v>0</v>
          </cell>
          <cell r="G73">
            <v>-10</v>
          </cell>
          <cell r="H73">
            <v>0</v>
          </cell>
          <cell r="I73">
            <v>1245.4349999999999</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1542.7628999999999</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row>
        <row r="74">
          <cell r="B74">
            <v>139</v>
          </cell>
          <cell r="C74" t="str">
            <v>Papel del tipo utilizado para papel higiénico</v>
          </cell>
          <cell r="D74" t="str">
            <v>Papel higiénico 3 (Compra)</v>
          </cell>
          <cell r="E74">
            <v>71</v>
          </cell>
          <cell r="F74">
            <v>195</v>
          </cell>
          <cell r="G74">
            <v>124</v>
          </cell>
          <cell r="H74">
            <v>100</v>
          </cell>
          <cell r="I74">
            <v>51246.970200000003</v>
          </cell>
          <cell r="J74">
            <v>5124697.0200000005</v>
          </cell>
          <cell r="K74">
            <v>30</v>
          </cell>
          <cell r="L74">
            <v>25429.996000000003</v>
          </cell>
          <cell r="M74">
            <v>762899.88000000012</v>
          </cell>
          <cell r="N74">
            <v>20</v>
          </cell>
          <cell r="O74">
            <v>25429.996000000003</v>
          </cell>
          <cell r="P74">
            <v>508599.92000000004</v>
          </cell>
          <cell r="Q74">
            <v>0</v>
          </cell>
          <cell r="R74">
            <v>51246.970200000003</v>
          </cell>
          <cell r="S74">
            <v>0</v>
          </cell>
          <cell r="T74">
            <v>8</v>
          </cell>
          <cell r="U74">
            <v>25429.996000000003</v>
          </cell>
          <cell r="V74">
            <v>203439.96800000002</v>
          </cell>
          <cell r="W74">
            <v>0</v>
          </cell>
          <cell r="X74">
            <v>51246.970200000003</v>
          </cell>
          <cell r="Y74">
            <v>0</v>
          </cell>
          <cell r="Z74">
            <v>0</v>
          </cell>
          <cell r="AA74">
            <v>51246.970200000003</v>
          </cell>
          <cell r="AB74">
            <v>0</v>
          </cell>
          <cell r="AC74">
            <v>5</v>
          </cell>
          <cell r="AD74">
            <v>51246.970200000003</v>
          </cell>
          <cell r="AE74">
            <v>256234.85100000002</v>
          </cell>
          <cell r="AF74">
            <v>0</v>
          </cell>
          <cell r="AG74">
            <v>51246.970200000003</v>
          </cell>
          <cell r="AH74">
            <v>0</v>
          </cell>
          <cell r="AI74">
            <v>0</v>
          </cell>
          <cell r="AJ74">
            <v>51246.970200000003</v>
          </cell>
          <cell r="AK74">
            <v>0</v>
          </cell>
          <cell r="AL74">
            <v>15</v>
          </cell>
          <cell r="AM74">
            <v>25429.996000000003</v>
          </cell>
          <cell r="AN74">
            <v>381449.94000000006</v>
          </cell>
          <cell r="AO74">
            <v>4</v>
          </cell>
          <cell r="AP74">
            <v>25429.996000000003</v>
          </cell>
          <cell r="AQ74">
            <v>101719.98400000001</v>
          </cell>
          <cell r="AR74">
            <v>0</v>
          </cell>
          <cell r="AS74">
            <v>51246.970200000003</v>
          </cell>
          <cell r="AT74">
            <v>0</v>
          </cell>
          <cell r="AU74">
            <v>5</v>
          </cell>
          <cell r="AV74">
            <v>25429.996000000003</v>
          </cell>
          <cell r="AW74">
            <v>127149.98000000001</v>
          </cell>
          <cell r="AX74">
            <v>5</v>
          </cell>
          <cell r="AY74">
            <v>25429.996000000003</v>
          </cell>
          <cell r="AZ74">
            <v>127149.98000000001</v>
          </cell>
          <cell r="BA74">
            <v>0</v>
          </cell>
          <cell r="BB74">
            <v>51246.970200000003</v>
          </cell>
          <cell r="BC74">
            <v>0</v>
          </cell>
          <cell r="BD74">
            <v>0</v>
          </cell>
          <cell r="BE74">
            <v>25429.996000000003</v>
          </cell>
          <cell r="BF74">
            <v>0</v>
          </cell>
          <cell r="BG74">
            <v>0</v>
          </cell>
          <cell r="BH74">
            <v>25429.996000000003</v>
          </cell>
          <cell r="BI74">
            <v>0</v>
          </cell>
          <cell r="BJ74">
            <v>0</v>
          </cell>
          <cell r="BK74">
            <v>51246.970200000003</v>
          </cell>
          <cell r="BL74">
            <v>0</v>
          </cell>
          <cell r="BM74">
            <v>3</v>
          </cell>
          <cell r="BN74">
            <v>25429.996000000003</v>
          </cell>
          <cell r="BO74">
            <v>76289.988000000012</v>
          </cell>
          <cell r="BP74">
            <v>0</v>
          </cell>
          <cell r="BQ74">
            <v>25429.996000000003</v>
          </cell>
          <cell r="BR74">
            <v>0</v>
          </cell>
          <cell r="BS74">
            <v>0</v>
          </cell>
          <cell r="BT74">
            <v>25429.996000000003</v>
          </cell>
          <cell r="BU74">
            <v>0</v>
          </cell>
          <cell r="BV74">
            <v>0</v>
          </cell>
          <cell r="BW74">
            <v>25429.996000000003</v>
          </cell>
          <cell r="BX74">
            <v>0</v>
          </cell>
          <cell r="BY74">
            <v>0</v>
          </cell>
          <cell r="BZ74">
            <v>25429.996000000003</v>
          </cell>
          <cell r="CA74">
            <v>0</v>
          </cell>
          <cell r="CB74">
            <v>0</v>
          </cell>
          <cell r="CC74">
            <v>25429.996000000003</v>
          </cell>
          <cell r="CD74">
            <v>0</v>
          </cell>
        </row>
        <row r="75">
          <cell r="B75">
            <v>151</v>
          </cell>
          <cell r="C75" t="str">
            <v xml:space="preserve">Toallas de papel </v>
          </cell>
          <cell r="D75" t="str">
            <v>Toallas para manos 6 (Compra)</v>
          </cell>
          <cell r="E75">
            <v>310</v>
          </cell>
          <cell r="F75">
            <v>1690</v>
          </cell>
          <cell r="G75">
            <v>1380</v>
          </cell>
          <cell r="H75">
            <v>1000</v>
          </cell>
          <cell r="I75">
            <v>7960.6944000000003</v>
          </cell>
          <cell r="J75">
            <v>7960694.4000000004</v>
          </cell>
          <cell r="K75">
            <v>150</v>
          </cell>
          <cell r="L75">
            <v>7960.6944000000003</v>
          </cell>
          <cell r="M75">
            <v>1194104.1600000001</v>
          </cell>
          <cell r="N75">
            <v>100</v>
          </cell>
          <cell r="O75">
            <v>7960.6944000000003</v>
          </cell>
          <cell r="P75">
            <v>796069.44000000006</v>
          </cell>
          <cell r="Q75">
            <v>0</v>
          </cell>
          <cell r="R75">
            <v>7960.6944000000003</v>
          </cell>
          <cell r="S75">
            <v>0</v>
          </cell>
          <cell r="T75">
            <v>25</v>
          </cell>
          <cell r="U75">
            <v>4422.6080000000002</v>
          </cell>
          <cell r="V75">
            <v>110565.20000000001</v>
          </cell>
          <cell r="W75">
            <v>30</v>
          </cell>
          <cell r="X75">
            <v>4422.6080000000002</v>
          </cell>
          <cell r="Y75">
            <v>132678.24</v>
          </cell>
          <cell r="Z75">
            <v>30</v>
          </cell>
          <cell r="AA75">
            <v>4422.6080000000002</v>
          </cell>
          <cell r="AB75">
            <v>132678.24</v>
          </cell>
          <cell r="AC75">
            <v>0</v>
          </cell>
          <cell r="AD75">
            <v>7960.6944000000003</v>
          </cell>
          <cell r="AE75">
            <v>0</v>
          </cell>
          <cell r="AF75">
            <v>50</v>
          </cell>
          <cell r="AG75">
            <v>7960.6944000000003</v>
          </cell>
          <cell r="AH75">
            <v>398034.72000000003</v>
          </cell>
          <cell r="AI75">
            <v>30</v>
          </cell>
          <cell r="AJ75">
            <v>4422.6080000000002</v>
          </cell>
          <cell r="AK75">
            <v>132678.24</v>
          </cell>
          <cell r="AL75">
            <v>30</v>
          </cell>
          <cell r="AM75">
            <v>4422.6080000000002</v>
          </cell>
          <cell r="AN75">
            <v>132678.24</v>
          </cell>
          <cell r="AO75">
            <v>30</v>
          </cell>
          <cell r="AP75">
            <v>4422.6080000000002</v>
          </cell>
          <cell r="AQ75">
            <v>132678.24</v>
          </cell>
          <cell r="AR75">
            <v>20</v>
          </cell>
          <cell r="AS75">
            <v>4422.6080000000002</v>
          </cell>
          <cell r="AT75">
            <v>88452.160000000003</v>
          </cell>
          <cell r="AU75">
            <v>20</v>
          </cell>
          <cell r="AV75">
            <v>4422.6080000000002</v>
          </cell>
          <cell r="AW75">
            <v>88452.160000000003</v>
          </cell>
          <cell r="AX75">
            <v>20</v>
          </cell>
          <cell r="AY75">
            <v>4422.6080000000002</v>
          </cell>
          <cell r="AZ75">
            <v>88452.160000000003</v>
          </cell>
          <cell r="BA75">
            <v>40</v>
          </cell>
          <cell r="BB75">
            <v>4422.6080000000002</v>
          </cell>
          <cell r="BC75">
            <v>176904.32000000001</v>
          </cell>
          <cell r="BD75">
            <v>0</v>
          </cell>
          <cell r="BE75">
            <v>4422.6080000000002</v>
          </cell>
          <cell r="BF75">
            <v>0</v>
          </cell>
          <cell r="BG75">
            <v>0</v>
          </cell>
          <cell r="BH75">
            <v>4422.6080000000002</v>
          </cell>
          <cell r="BI75">
            <v>0</v>
          </cell>
          <cell r="BJ75">
            <v>20</v>
          </cell>
          <cell r="BK75">
            <v>4422.6080000000002</v>
          </cell>
          <cell r="BL75">
            <v>88452.160000000003</v>
          </cell>
          <cell r="BM75">
            <v>20</v>
          </cell>
          <cell r="BN75">
            <v>4422.6080000000002</v>
          </cell>
          <cell r="BO75">
            <v>88452.160000000003</v>
          </cell>
          <cell r="BP75">
            <v>10</v>
          </cell>
          <cell r="BQ75">
            <v>4422.6080000000002</v>
          </cell>
          <cell r="BR75">
            <v>44226.080000000002</v>
          </cell>
          <cell r="BS75">
            <v>10</v>
          </cell>
          <cell r="BT75">
            <v>4422.6080000000002</v>
          </cell>
          <cell r="BU75">
            <v>44226.080000000002</v>
          </cell>
          <cell r="BV75">
            <v>15</v>
          </cell>
          <cell r="BW75">
            <v>4422.6080000000002</v>
          </cell>
          <cell r="BX75">
            <v>66339.12</v>
          </cell>
          <cell r="BY75">
            <v>20</v>
          </cell>
          <cell r="BZ75">
            <v>4422.6080000000002</v>
          </cell>
          <cell r="CA75">
            <v>88452.160000000003</v>
          </cell>
          <cell r="CB75">
            <v>20</v>
          </cell>
          <cell r="CC75">
            <v>4422.6080000000002</v>
          </cell>
          <cell r="CD75">
            <v>88452.160000000003</v>
          </cell>
        </row>
        <row r="76">
          <cell r="B76">
            <v>152</v>
          </cell>
          <cell r="C76" t="str">
            <v xml:space="preserve">Toallas de papel </v>
          </cell>
          <cell r="D76" t="str">
            <v>Toallas para manos 7 (Compra)</v>
          </cell>
          <cell r="E76">
            <v>25</v>
          </cell>
          <cell r="F76">
            <v>10</v>
          </cell>
          <cell r="G76">
            <v>-15</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10</v>
          </cell>
          <cell r="BT76">
            <v>0</v>
          </cell>
          <cell r="BU76">
            <v>0</v>
          </cell>
          <cell r="BV76">
            <v>0</v>
          </cell>
          <cell r="BW76">
            <v>0</v>
          </cell>
          <cell r="BX76">
            <v>0</v>
          </cell>
          <cell r="BY76">
            <v>0</v>
          </cell>
          <cell r="BZ76">
            <v>0</v>
          </cell>
          <cell r="CA76">
            <v>0</v>
          </cell>
          <cell r="CB76">
            <v>0</v>
          </cell>
          <cell r="CC76">
            <v>0</v>
          </cell>
          <cell r="CD76">
            <v>0</v>
          </cell>
        </row>
        <row r="77">
          <cell r="B77">
            <v>154</v>
          </cell>
          <cell r="C77" t="str">
            <v>Pañuelos de papel</v>
          </cell>
          <cell r="D77" t="str">
            <v>Pañuelos (Compra)</v>
          </cell>
          <cell r="E77">
            <v>5</v>
          </cell>
          <cell r="F77">
            <v>5</v>
          </cell>
          <cell r="G77">
            <v>0</v>
          </cell>
          <cell r="H77">
            <v>5</v>
          </cell>
          <cell r="I77">
            <v>5005.7028</v>
          </cell>
          <cell r="J77">
            <v>25028.513999999999</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row>
        <row r="78">
          <cell r="B78">
            <v>155</v>
          </cell>
          <cell r="C78" t="str">
            <v xml:space="preserve">Vasos de papel o cartón </v>
          </cell>
          <cell r="D78" t="str">
            <v>Vasos biodegradables 1 (Compra)</v>
          </cell>
          <cell r="E78">
            <v>96</v>
          </cell>
          <cell r="F78">
            <v>0</v>
          </cell>
          <cell r="G78">
            <v>-96</v>
          </cell>
          <cell r="H78">
            <v>0</v>
          </cell>
          <cell r="I78">
            <v>5005.7028</v>
          </cell>
          <cell r="J78">
            <v>0</v>
          </cell>
          <cell r="K78">
            <v>0</v>
          </cell>
          <cell r="L78">
            <v>5005.7028</v>
          </cell>
          <cell r="M78">
            <v>0</v>
          </cell>
          <cell r="N78">
            <v>0</v>
          </cell>
          <cell r="O78">
            <v>5005.7028</v>
          </cell>
          <cell r="P78">
            <v>0</v>
          </cell>
          <cell r="Q78">
            <v>0</v>
          </cell>
          <cell r="R78">
            <v>5005.7028</v>
          </cell>
          <cell r="S78">
            <v>0</v>
          </cell>
          <cell r="T78">
            <v>0</v>
          </cell>
          <cell r="U78">
            <v>5005.7028</v>
          </cell>
          <cell r="V78">
            <v>0</v>
          </cell>
          <cell r="W78">
            <v>0</v>
          </cell>
          <cell r="X78">
            <v>5005.7028</v>
          </cell>
          <cell r="Y78">
            <v>0</v>
          </cell>
          <cell r="Z78">
            <v>0</v>
          </cell>
          <cell r="AA78">
            <v>5005.7028</v>
          </cell>
          <cell r="AB78">
            <v>0</v>
          </cell>
          <cell r="AC78">
            <v>0</v>
          </cell>
          <cell r="AD78">
            <v>5005.7028</v>
          </cell>
          <cell r="AE78">
            <v>0</v>
          </cell>
          <cell r="AF78">
            <v>0</v>
          </cell>
          <cell r="AG78">
            <v>5005.7028</v>
          </cell>
          <cell r="AH78">
            <v>0</v>
          </cell>
          <cell r="AI78">
            <v>0</v>
          </cell>
          <cell r="AJ78">
            <v>5005.7028</v>
          </cell>
          <cell r="AK78">
            <v>0</v>
          </cell>
          <cell r="AL78">
            <v>0</v>
          </cell>
          <cell r="AM78">
            <v>3703.7239999999997</v>
          </cell>
          <cell r="AN78">
            <v>0</v>
          </cell>
          <cell r="AO78">
            <v>0</v>
          </cell>
          <cell r="AP78">
            <v>5005.7028</v>
          </cell>
          <cell r="AQ78">
            <v>0</v>
          </cell>
          <cell r="AR78">
            <v>0</v>
          </cell>
          <cell r="AS78">
            <v>5005.7028</v>
          </cell>
          <cell r="AT78">
            <v>0</v>
          </cell>
          <cell r="AU78">
            <v>0</v>
          </cell>
          <cell r="AV78">
            <v>5005.7028</v>
          </cell>
          <cell r="AW78">
            <v>0</v>
          </cell>
          <cell r="AX78">
            <v>0</v>
          </cell>
          <cell r="AY78">
            <v>5005.7028</v>
          </cell>
          <cell r="AZ78">
            <v>0</v>
          </cell>
          <cell r="BA78">
            <v>0</v>
          </cell>
          <cell r="BB78">
            <v>5005.7028</v>
          </cell>
          <cell r="BC78">
            <v>0</v>
          </cell>
          <cell r="BD78">
            <v>0</v>
          </cell>
          <cell r="BE78">
            <v>5005.7028</v>
          </cell>
          <cell r="BF78">
            <v>0</v>
          </cell>
          <cell r="BG78">
            <v>0</v>
          </cell>
          <cell r="BH78">
            <v>5005.7028</v>
          </cell>
          <cell r="BI78">
            <v>0</v>
          </cell>
          <cell r="BJ78">
            <v>0</v>
          </cell>
          <cell r="BK78">
            <v>5005.7028</v>
          </cell>
          <cell r="BL78">
            <v>0</v>
          </cell>
          <cell r="BM78">
            <v>0</v>
          </cell>
          <cell r="BN78">
            <v>5005.7028</v>
          </cell>
          <cell r="BO78">
            <v>0</v>
          </cell>
          <cell r="BP78">
            <v>0</v>
          </cell>
          <cell r="BQ78">
            <v>3703.7239999999997</v>
          </cell>
          <cell r="BR78">
            <v>0</v>
          </cell>
          <cell r="BS78">
            <v>0</v>
          </cell>
          <cell r="BT78">
            <v>5005.7028</v>
          </cell>
          <cell r="BU78">
            <v>0</v>
          </cell>
          <cell r="BV78">
            <v>0</v>
          </cell>
          <cell r="BW78">
            <v>5005.7028</v>
          </cell>
          <cell r="BX78">
            <v>0</v>
          </cell>
          <cell r="BY78">
            <v>0</v>
          </cell>
          <cell r="BZ78">
            <v>5005.7028</v>
          </cell>
          <cell r="CA78">
            <v>0</v>
          </cell>
          <cell r="CB78">
            <v>0</v>
          </cell>
          <cell r="CC78">
            <v>5005.7028</v>
          </cell>
          <cell r="CD78">
            <v>0</v>
          </cell>
        </row>
        <row r="79">
          <cell r="B79">
            <v>156</v>
          </cell>
          <cell r="C79" t="str">
            <v xml:space="preserve">Vasos de papel o cartón </v>
          </cell>
          <cell r="D79" t="str">
            <v>Vasos biodegradables 2 (Compra)</v>
          </cell>
          <cell r="E79">
            <v>70</v>
          </cell>
          <cell r="F79">
            <v>75</v>
          </cell>
          <cell r="G79">
            <v>5</v>
          </cell>
          <cell r="H79">
            <v>0</v>
          </cell>
          <cell r="I79">
            <v>4422.6080000000002</v>
          </cell>
          <cell r="J79">
            <v>0</v>
          </cell>
          <cell r="K79">
            <v>10</v>
          </cell>
          <cell r="L79">
            <v>4422.6080000000002</v>
          </cell>
          <cell r="M79">
            <v>44226.080000000002</v>
          </cell>
          <cell r="N79">
            <v>0</v>
          </cell>
          <cell r="O79">
            <v>7711.9227000000001</v>
          </cell>
          <cell r="P79">
            <v>0</v>
          </cell>
          <cell r="Q79">
            <v>0</v>
          </cell>
          <cell r="R79">
            <v>7711.9227000000001</v>
          </cell>
          <cell r="S79">
            <v>0</v>
          </cell>
          <cell r="T79">
            <v>0</v>
          </cell>
          <cell r="U79">
            <v>7711.9227000000001</v>
          </cell>
          <cell r="V79">
            <v>0</v>
          </cell>
          <cell r="W79">
            <v>0</v>
          </cell>
          <cell r="X79">
            <v>7711.9227000000001</v>
          </cell>
          <cell r="Y79">
            <v>0</v>
          </cell>
          <cell r="Z79">
            <v>0</v>
          </cell>
          <cell r="AA79">
            <v>7711.9227000000001</v>
          </cell>
          <cell r="AB79">
            <v>0</v>
          </cell>
          <cell r="AC79">
            <v>0</v>
          </cell>
          <cell r="AD79">
            <v>7711.9227000000001</v>
          </cell>
          <cell r="AE79">
            <v>0</v>
          </cell>
          <cell r="AF79">
            <v>0</v>
          </cell>
          <cell r="AG79">
            <v>7711.9227000000001</v>
          </cell>
          <cell r="AH79">
            <v>0</v>
          </cell>
          <cell r="AI79">
            <v>0</v>
          </cell>
          <cell r="AJ79">
            <v>7711.9227000000001</v>
          </cell>
          <cell r="AK79">
            <v>0</v>
          </cell>
          <cell r="AL79">
            <v>10</v>
          </cell>
          <cell r="AM79">
            <v>4422.6080000000002</v>
          </cell>
          <cell r="AN79">
            <v>44226.080000000002</v>
          </cell>
          <cell r="AO79">
            <v>10</v>
          </cell>
          <cell r="AP79">
            <v>4422.6080000000002</v>
          </cell>
          <cell r="AQ79">
            <v>44226.080000000002</v>
          </cell>
          <cell r="AR79">
            <v>0</v>
          </cell>
          <cell r="AS79">
            <v>7711.9227000000001</v>
          </cell>
          <cell r="AT79">
            <v>0</v>
          </cell>
          <cell r="AU79">
            <v>5</v>
          </cell>
          <cell r="AV79">
            <v>4422.6080000000002</v>
          </cell>
          <cell r="AW79">
            <v>22113.040000000001</v>
          </cell>
          <cell r="AX79">
            <v>10</v>
          </cell>
          <cell r="AY79">
            <v>4422.6080000000002</v>
          </cell>
          <cell r="AZ79">
            <v>44226.080000000002</v>
          </cell>
          <cell r="BA79">
            <v>0</v>
          </cell>
          <cell r="BB79">
            <v>7711.9227000000001</v>
          </cell>
          <cell r="BC79">
            <v>0</v>
          </cell>
          <cell r="BD79">
            <v>5</v>
          </cell>
          <cell r="BE79">
            <v>4422.6080000000002</v>
          </cell>
          <cell r="BF79">
            <v>22113.040000000001</v>
          </cell>
          <cell r="BG79">
            <v>0</v>
          </cell>
          <cell r="BH79">
            <v>7711.9227000000001</v>
          </cell>
          <cell r="BI79">
            <v>0</v>
          </cell>
          <cell r="BJ79">
            <v>0</v>
          </cell>
          <cell r="BK79">
            <v>7711.9227000000001</v>
          </cell>
          <cell r="BL79">
            <v>0</v>
          </cell>
          <cell r="BM79">
            <v>5</v>
          </cell>
          <cell r="BN79">
            <v>4422.6080000000002</v>
          </cell>
          <cell r="BO79">
            <v>22113.040000000001</v>
          </cell>
          <cell r="BP79">
            <v>0</v>
          </cell>
          <cell r="BQ79">
            <v>7711.9227000000001</v>
          </cell>
          <cell r="BR79">
            <v>0</v>
          </cell>
          <cell r="BS79">
            <v>0</v>
          </cell>
          <cell r="BT79">
            <v>7711.9227000000001</v>
          </cell>
          <cell r="BU79">
            <v>0</v>
          </cell>
          <cell r="BV79">
            <v>5</v>
          </cell>
          <cell r="BW79">
            <v>4422.6080000000002</v>
          </cell>
          <cell r="BX79">
            <v>22113.040000000001</v>
          </cell>
          <cell r="BY79">
            <v>5</v>
          </cell>
          <cell r="BZ79">
            <v>4422.6080000000002</v>
          </cell>
          <cell r="CA79">
            <v>22113.040000000001</v>
          </cell>
          <cell r="CB79">
            <v>10</v>
          </cell>
          <cell r="CC79">
            <v>4422.6080000000002</v>
          </cell>
          <cell r="CD79">
            <v>44226.080000000002</v>
          </cell>
        </row>
        <row r="80">
          <cell r="B80">
            <v>157</v>
          </cell>
          <cell r="C80" t="str">
            <v xml:space="preserve">Vasos de papel o cartón </v>
          </cell>
          <cell r="D80" t="str">
            <v>Vasos biodegradables 3 (Compra)</v>
          </cell>
          <cell r="E80">
            <v>96</v>
          </cell>
          <cell r="F80">
            <v>70</v>
          </cell>
          <cell r="G80">
            <v>-26</v>
          </cell>
          <cell r="H80">
            <v>0</v>
          </cell>
          <cell r="I80">
            <v>5970.7309999999998</v>
          </cell>
          <cell r="J80">
            <v>0</v>
          </cell>
          <cell r="K80">
            <v>10</v>
          </cell>
          <cell r="L80">
            <v>5970.7309999999998</v>
          </cell>
          <cell r="M80">
            <v>59707.31</v>
          </cell>
          <cell r="N80">
            <v>0</v>
          </cell>
          <cell r="O80">
            <v>8955.7812000000013</v>
          </cell>
          <cell r="P80">
            <v>0</v>
          </cell>
          <cell r="Q80">
            <v>0</v>
          </cell>
          <cell r="R80">
            <v>8955.7812000000013</v>
          </cell>
          <cell r="S80">
            <v>0</v>
          </cell>
          <cell r="T80">
            <v>0</v>
          </cell>
          <cell r="U80">
            <v>8955.7812000000013</v>
          </cell>
          <cell r="V80">
            <v>0</v>
          </cell>
          <cell r="W80">
            <v>0</v>
          </cell>
          <cell r="X80">
            <v>8955.7812000000013</v>
          </cell>
          <cell r="Y80">
            <v>0</v>
          </cell>
          <cell r="Z80">
            <v>0</v>
          </cell>
          <cell r="AA80">
            <v>8955.7812000000013</v>
          </cell>
          <cell r="AB80">
            <v>0</v>
          </cell>
          <cell r="AC80">
            <v>0</v>
          </cell>
          <cell r="AD80">
            <v>8955.7812000000013</v>
          </cell>
          <cell r="AE80">
            <v>0</v>
          </cell>
          <cell r="AF80">
            <v>0</v>
          </cell>
          <cell r="AG80">
            <v>8955.7812000000013</v>
          </cell>
          <cell r="AH80">
            <v>0</v>
          </cell>
          <cell r="AI80">
            <v>0</v>
          </cell>
          <cell r="AJ80">
            <v>5970.7309999999998</v>
          </cell>
          <cell r="AK80">
            <v>0</v>
          </cell>
          <cell r="AL80">
            <v>10</v>
          </cell>
          <cell r="AM80">
            <v>5970.7309999999998</v>
          </cell>
          <cell r="AN80">
            <v>59707.31</v>
          </cell>
          <cell r="AO80">
            <v>10</v>
          </cell>
          <cell r="AP80">
            <v>5970.7309999999998</v>
          </cell>
          <cell r="AQ80">
            <v>59707.31</v>
          </cell>
          <cell r="AR80">
            <v>0</v>
          </cell>
          <cell r="AS80">
            <v>5970.7309999999998</v>
          </cell>
          <cell r="AT80">
            <v>0</v>
          </cell>
          <cell r="AU80">
            <v>5</v>
          </cell>
          <cell r="AV80">
            <v>5970.7309999999998</v>
          </cell>
          <cell r="AW80">
            <v>29853.654999999999</v>
          </cell>
          <cell r="AX80">
            <v>10</v>
          </cell>
          <cell r="AY80">
            <v>5970.7309999999998</v>
          </cell>
          <cell r="AZ80">
            <v>59707.31</v>
          </cell>
          <cell r="BA80">
            <v>0</v>
          </cell>
          <cell r="BB80">
            <v>8955.7812000000013</v>
          </cell>
          <cell r="BC80">
            <v>0</v>
          </cell>
          <cell r="BD80">
            <v>0</v>
          </cell>
          <cell r="BE80">
            <v>8955.7812000000013</v>
          </cell>
          <cell r="BF80">
            <v>0</v>
          </cell>
          <cell r="BG80">
            <v>0</v>
          </cell>
          <cell r="BH80">
            <v>8955.7812000000013</v>
          </cell>
          <cell r="BI80">
            <v>0</v>
          </cell>
          <cell r="BJ80">
            <v>0</v>
          </cell>
          <cell r="BK80">
            <v>8955.7812000000013</v>
          </cell>
          <cell r="BL80">
            <v>0</v>
          </cell>
          <cell r="BM80">
            <v>5</v>
          </cell>
          <cell r="BN80">
            <v>5970.7309999999998</v>
          </cell>
          <cell r="BO80">
            <v>29853.654999999999</v>
          </cell>
          <cell r="BP80">
            <v>0</v>
          </cell>
          <cell r="BQ80">
            <v>8955.7812000000013</v>
          </cell>
          <cell r="BR80">
            <v>0</v>
          </cell>
          <cell r="BS80">
            <v>0</v>
          </cell>
          <cell r="BT80">
            <v>8955.7812000000013</v>
          </cell>
          <cell r="BU80">
            <v>0</v>
          </cell>
          <cell r="BV80">
            <v>5</v>
          </cell>
          <cell r="BW80">
            <v>5970.7309999999998</v>
          </cell>
          <cell r="BX80">
            <v>29853.654999999999</v>
          </cell>
          <cell r="BY80">
            <v>5</v>
          </cell>
          <cell r="BZ80">
            <v>5970.7309999999998</v>
          </cell>
          <cell r="CA80">
            <v>29853.654999999999</v>
          </cell>
          <cell r="CB80">
            <v>10</v>
          </cell>
          <cell r="CC80">
            <v>5970.7309999999998</v>
          </cell>
          <cell r="CD80">
            <v>59707.31</v>
          </cell>
        </row>
        <row r="81">
          <cell r="B81">
            <v>159</v>
          </cell>
          <cell r="C81" t="str">
            <v>Aplicadores, bajalenguas y otros para usos higiénicos, de madera</v>
          </cell>
          <cell r="D81" t="str">
            <v>Mezclador 1 (Compra)</v>
          </cell>
          <cell r="E81">
            <v>96</v>
          </cell>
          <cell r="F81">
            <v>44</v>
          </cell>
          <cell r="G81">
            <v>-52</v>
          </cell>
          <cell r="H81">
            <v>30</v>
          </cell>
          <cell r="I81">
            <v>6716.8359</v>
          </cell>
          <cell r="J81">
            <v>201505.07699999999</v>
          </cell>
          <cell r="K81">
            <v>10</v>
          </cell>
          <cell r="L81">
            <v>6716.8359</v>
          </cell>
          <cell r="M81">
            <v>67168.358999999997</v>
          </cell>
          <cell r="N81">
            <v>4</v>
          </cell>
          <cell r="O81">
            <v>6716.8359</v>
          </cell>
          <cell r="P81">
            <v>26867.3436</v>
          </cell>
          <cell r="Q81">
            <v>0</v>
          </cell>
          <cell r="R81">
            <v>6716.8359</v>
          </cell>
          <cell r="S81">
            <v>0</v>
          </cell>
          <cell r="T81">
            <v>0</v>
          </cell>
          <cell r="U81">
            <v>0</v>
          </cell>
          <cell r="V81">
            <v>0</v>
          </cell>
          <cell r="W81">
            <v>0</v>
          </cell>
          <cell r="X81">
            <v>6716.8359</v>
          </cell>
          <cell r="Y81">
            <v>0</v>
          </cell>
          <cell r="Z81">
            <v>0</v>
          </cell>
          <cell r="AA81">
            <v>6716.8359</v>
          </cell>
          <cell r="AB81">
            <v>0</v>
          </cell>
          <cell r="AC81">
            <v>0</v>
          </cell>
          <cell r="AD81">
            <v>6716.8359</v>
          </cell>
          <cell r="AE81">
            <v>0</v>
          </cell>
          <cell r="AF81">
            <v>0</v>
          </cell>
          <cell r="AG81">
            <v>6716.8359</v>
          </cell>
          <cell r="AH81">
            <v>0</v>
          </cell>
          <cell r="AI81">
            <v>0</v>
          </cell>
          <cell r="AJ81">
            <v>6716.8359</v>
          </cell>
          <cell r="AK81">
            <v>0</v>
          </cell>
          <cell r="AL81">
            <v>0</v>
          </cell>
          <cell r="AM81">
            <v>6716.8359</v>
          </cell>
          <cell r="AN81">
            <v>0</v>
          </cell>
          <cell r="AO81">
            <v>0</v>
          </cell>
          <cell r="AP81">
            <v>6716.8359</v>
          </cell>
          <cell r="AQ81">
            <v>0</v>
          </cell>
          <cell r="AR81">
            <v>0</v>
          </cell>
          <cell r="AS81">
            <v>6716.8359</v>
          </cell>
          <cell r="AT81">
            <v>0</v>
          </cell>
          <cell r="AU81">
            <v>0</v>
          </cell>
          <cell r="AV81">
            <v>6716.8359</v>
          </cell>
          <cell r="AW81">
            <v>0</v>
          </cell>
          <cell r="AX81">
            <v>0</v>
          </cell>
          <cell r="AY81">
            <v>6716.8359</v>
          </cell>
          <cell r="AZ81">
            <v>0</v>
          </cell>
          <cell r="BA81">
            <v>0</v>
          </cell>
          <cell r="BB81">
            <v>6716.8359</v>
          </cell>
          <cell r="BC81">
            <v>0</v>
          </cell>
          <cell r="BD81">
            <v>0</v>
          </cell>
          <cell r="BE81">
            <v>6716.8359</v>
          </cell>
          <cell r="BF81">
            <v>0</v>
          </cell>
          <cell r="BG81">
            <v>0</v>
          </cell>
          <cell r="BH81">
            <v>6716.8359</v>
          </cell>
          <cell r="BI81">
            <v>0</v>
          </cell>
          <cell r="BJ81">
            <v>0</v>
          </cell>
          <cell r="BK81">
            <v>6716.8359</v>
          </cell>
          <cell r="BL81">
            <v>0</v>
          </cell>
          <cell r="BM81">
            <v>0</v>
          </cell>
          <cell r="BN81">
            <v>6716.8359</v>
          </cell>
          <cell r="BO81">
            <v>0</v>
          </cell>
          <cell r="BP81">
            <v>0</v>
          </cell>
          <cell r="BQ81">
            <v>6716.8359</v>
          </cell>
          <cell r="BR81">
            <v>0</v>
          </cell>
          <cell r="BS81">
            <v>0</v>
          </cell>
          <cell r="BT81">
            <v>6716.8359</v>
          </cell>
          <cell r="BU81">
            <v>0</v>
          </cell>
          <cell r="BV81">
            <v>0</v>
          </cell>
          <cell r="BW81">
            <v>6716.8359</v>
          </cell>
          <cell r="BX81">
            <v>0</v>
          </cell>
          <cell r="BY81">
            <v>0</v>
          </cell>
          <cell r="BZ81">
            <v>6716.8359</v>
          </cell>
          <cell r="CA81">
            <v>0</v>
          </cell>
          <cell r="CB81">
            <v>0</v>
          </cell>
          <cell r="CC81">
            <v>6716.8359</v>
          </cell>
          <cell r="CD81">
            <v>0</v>
          </cell>
        </row>
        <row r="82">
          <cell r="B82">
            <v>160</v>
          </cell>
          <cell r="C82" t="str">
            <v xml:space="preserve">Papel para servilletas, toallas y similares </v>
          </cell>
          <cell r="D82" t="str">
            <v>Servilleta papel (Compra)</v>
          </cell>
          <cell r="E82">
            <v>15</v>
          </cell>
          <cell r="F82">
            <v>70</v>
          </cell>
          <cell r="G82">
            <v>55</v>
          </cell>
          <cell r="H82">
            <v>70</v>
          </cell>
          <cell r="I82">
            <v>3035.3931000000002</v>
          </cell>
          <cell r="J82">
            <v>212477.51700000002</v>
          </cell>
          <cell r="K82">
            <v>0</v>
          </cell>
          <cell r="L82">
            <v>3035.3931000000002</v>
          </cell>
          <cell r="M82">
            <v>0</v>
          </cell>
          <cell r="N82">
            <v>0</v>
          </cell>
          <cell r="O82">
            <v>3035.3931000000002</v>
          </cell>
          <cell r="P82">
            <v>0</v>
          </cell>
          <cell r="Q82">
            <v>0</v>
          </cell>
          <cell r="R82">
            <v>3035.3931000000002</v>
          </cell>
          <cell r="S82">
            <v>0</v>
          </cell>
          <cell r="T82">
            <v>0</v>
          </cell>
          <cell r="U82">
            <v>3035.3931000000002</v>
          </cell>
          <cell r="V82">
            <v>0</v>
          </cell>
          <cell r="W82">
            <v>0</v>
          </cell>
          <cell r="X82">
            <v>3035.3931000000002</v>
          </cell>
          <cell r="Y82">
            <v>0</v>
          </cell>
          <cell r="Z82">
            <v>0</v>
          </cell>
          <cell r="AA82">
            <v>3035.3931000000002</v>
          </cell>
          <cell r="AB82">
            <v>0</v>
          </cell>
          <cell r="AC82">
            <v>0</v>
          </cell>
          <cell r="AD82">
            <v>3035.3931000000002</v>
          </cell>
          <cell r="AE82">
            <v>0</v>
          </cell>
          <cell r="AF82">
            <v>0</v>
          </cell>
          <cell r="AG82">
            <v>3035.3931000000002</v>
          </cell>
          <cell r="AH82">
            <v>0</v>
          </cell>
          <cell r="AI82">
            <v>0</v>
          </cell>
          <cell r="AJ82">
            <v>3035.3931000000002</v>
          </cell>
          <cell r="AK82">
            <v>0</v>
          </cell>
          <cell r="AL82">
            <v>0</v>
          </cell>
          <cell r="AM82">
            <v>3035.3931000000002</v>
          </cell>
          <cell r="AN82">
            <v>0</v>
          </cell>
          <cell r="AO82">
            <v>0</v>
          </cell>
          <cell r="AP82">
            <v>3035.3931000000002</v>
          </cell>
          <cell r="AQ82">
            <v>0</v>
          </cell>
          <cell r="AR82">
            <v>0</v>
          </cell>
          <cell r="AS82">
            <v>3035.3931000000002</v>
          </cell>
          <cell r="AT82">
            <v>0</v>
          </cell>
          <cell r="AU82">
            <v>0</v>
          </cell>
          <cell r="AV82">
            <v>3035.3931000000002</v>
          </cell>
          <cell r="AW82">
            <v>0</v>
          </cell>
          <cell r="AX82">
            <v>0</v>
          </cell>
          <cell r="AY82">
            <v>3035.3931000000002</v>
          </cell>
          <cell r="AZ82">
            <v>0</v>
          </cell>
          <cell r="BA82">
            <v>0</v>
          </cell>
          <cell r="BB82">
            <v>3035.3931000000002</v>
          </cell>
          <cell r="BC82">
            <v>0</v>
          </cell>
          <cell r="BD82">
            <v>0</v>
          </cell>
          <cell r="BE82">
            <v>3035.3931000000002</v>
          </cell>
          <cell r="BF82">
            <v>0</v>
          </cell>
          <cell r="BG82">
            <v>0</v>
          </cell>
          <cell r="BH82">
            <v>3035.3931000000002</v>
          </cell>
          <cell r="BI82">
            <v>0</v>
          </cell>
          <cell r="BJ82">
            <v>0</v>
          </cell>
          <cell r="BK82">
            <v>3035.3931000000002</v>
          </cell>
          <cell r="BL82">
            <v>0</v>
          </cell>
          <cell r="BM82">
            <v>0</v>
          </cell>
          <cell r="BN82">
            <v>3035.3931000000002</v>
          </cell>
          <cell r="BO82">
            <v>0</v>
          </cell>
          <cell r="BP82">
            <v>0</v>
          </cell>
          <cell r="BQ82">
            <v>3035.3931000000002</v>
          </cell>
          <cell r="BR82">
            <v>0</v>
          </cell>
          <cell r="BS82">
            <v>0</v>
          </cell>
          <cell r="BT82">
            <v>2276.4660000000003</v>
          </cell>
          <cell r="BU82">
            <v>0</v>
          </cell>
          <cell r="BV82">
            <v>0</v>
          </cell>
          <cell r="BW82">
            <v>3035.3931000000002</v>
          </cell>
          <cell r="BX82">
            <v>0</v>
          </cell>
          <cell r="BY82">
            <v>0</v>
          </cell>
          <cell r="BZ82">
            <v>3035.3931000000002</v>
          </cell>
          <cell r="CA82">
            <v>0</v>
          </cell>
          <cell r="CB82">
            <v>0</v>
          </cell>
          <cell r="CC82">
            <v>3035.3931000000002</v>
          </cell>
          <cell r="CD82">
            <v>0</v>
          </cell>
        </row>
        <row r="83">
          <cell r="B83">
            <v>161</v>
          </cell>
          <cell r="C83" t="str">
            <v xml:space="preserve">Filtros de algodón </v>
          </cell>
          <cell r="D83" t="str">
            <v>Filtro para greca 1 (Compra)</v>
          </cell>
          <cell r="E83">
            <v>18</v>
          </cell>
          <cell r="F83">
            <v>0</v>
          </cell>
          <cell r="G83">
            <v>-18</v>
          </cell>
          <cell r="H83">
            <v>0</v>
          </cell>
          <cell r="I83">
            <v>2236.5280000000002</v>
          </cell>
          <cell r="J83">
            <v>0</v>
          </cell>
          <cell r="K83">
            <v>0</v>
          </cell>
          <cell r="L83">
            <v>2236.5280000000002</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row>
        <row r="84">
          <cell r="B84">
            <v>162</v>
          </cell>
          <cell r="C84" t="str">
            <v>Filtros de material textil, para usos técnicos e industriales</v>
          </cell>
          <cell r="D84" t="str">
            <v>Filtro para greca 2 (Compra)</v>
          </cell>
          <cell r="E84">
            <v>27</v>
          </cell>
          <cell r="F84">
            <v>20</v>
          </cell>
          <cell r="G84">
            <v>-7</v>
          </cell>
          <cell r="H84">
            <v>0</v>
          </cell>
          <cell r="I84">
            <v>2684.2539999999999</v>
          </cell>
          <cell r="J84">
            <v>0</v>
          </cell>
          <cell r="K84">
            <v>0</v>
          </cell>
          <cell r="L84">
            <v>2684.2539999999999</v>
          </cell>
          <cell r="M84">
            <v>0</v>
          </cell>
          <cell r="N84">
            <v>0</v>
          </cell>
          <cell r="O84">
            <v>2684.2539999999999</v>
          </cell>
          <cell r="P84">
            <v>0</v>
          </cell>
          <cell r="Q84">
            <v>0</v>
          </cell>
          <cell r="R84">
            <v>4030.4798999999998</v>
          </cell>
          <cell r="S84">
            <v>0</v>
          </cell>
          <cell r="T84">
            <v>0</v>
          </cell>
          <cell r="U84">
            <v>4030.4798999999998</v>
          </cell>
          <cell r="V84">
            <v>0</v>
          </cell>
          <cell r="W84">
            <v>0</v>
          </cell>
          <cell r="X84">
            <v>4030.4798999999998</v>
          </cell>
          <cell r="Y84">
            <v>0</v>
          </cell>
          <cell r="Z84">
            <v>0</v>
          </cell>
          <cell r="AA84">
            <v>4030.4798999999998</v>
          </cell>
          <cell r="AB84">
            <v>0</v>
          </cell>
          <cell r="AC84">
            <v>2</v>
          </cell>
          <cell r="AD84">
            <v>2684.2539999999999</v>
          </cell>
          <cell r="AE84">
            <v>5368.5079999999998</v>
          </cell>
          <cell r="AF84">
            <v>5</v>
          </cell>
          <cell r="AG84">
            <v>2684.2539999999999</v>
          </cell>
          <cell r="AH84">
            <v>13421.27</v>
          </cell>
          <cell r="AI84">
            <v>0</v>
          </cell>
          <cell r="AJ84">
            <v>4030.4798999999998</v>
          </cell>
          <cell r="AK84">
            <v>0</v>
          </cell>
          <cell r="AL84">
            <v>5</v>
          </cell>
          <cell r="AM84">
            <v>2684.2539999999999</v>
          </cell>
          <cell r="AN84">
            <v>13421.27</v>
          </cell>
          <cell r="AO84">
            <v>0</v>
          </cell>
          <cell r="AP84">
            <v>4030.4798999999998</v>
          </cell>
          <cell r="AQ84">
            <v>0</v>
          </cell>
          <cell r="AR84">
            <v>2</v>
          </cell>
          <cell r="AS84">
            <v>2684.2539999999999</v>
          </cell>
          <cell r="AT84">
            <v>5368.5079999999998</v>
          </cell>
          <cell r="AU84">
            <v>0</v>
          </cell>
          <cell r="AV84">
            <v>2684.2539999999999</v>
          </cell>
          <cell r="AW84">
            <v>0</v>
          </cell>
          <cell r="AX84">
            <v>3</v>
          </cell>
          <cell r="AY84">
            <v>2684.2539999999999</v>
          </cell>
          <cell r="AZ84">
            <v>8052.7619999999997</v>
          </cell>
          <cell r="BA84">
            <v>0</v>
          </cell>
          <cell r="BB84">
            <v>4030.4798999999998</v>
          </cell>
          <cell r="BC84">
            <v>0</v>
          </cell>
          <cell r="BD84">
            <v>0</v>
          </cell>
          <cell r="BE84">
            <v>4030.4798999999998</v>
          </cell>
          <cell r="BF84">
            <v>0</v>
          </cell>
          <cell r="BG84">
            <v>0</v>
          </cell>
          <cell r="BH84">
            <v>4030.4798999999998</v>
          </cell>
          <cell r="BI84">
            <v>0</v>
          </cell>
          <cell r="BJ84">
            <v>0</v>
          </cell>
          <cell r="BK84">
            <v>4030.4798999999998</v>
          </cell>
          <cell r="BL84">
            <v>0</v>
          </cell>
          <cell r="BM84">
            <v>2</v>
          </cell>
          <cell r="BN84">
            <v>2684.2539999999999</v>
          </cell>
          <cell r="BO84">
            <v>5368.5079999999998</v>
          </cell>
          <cell r="BP84">
            <v>0</v>
          </cell>
          <cell r="BQ84">
            <v>4030.4798999999998</v>
          </cell>
          <cell r="BR84">
            <v>0</v>
          </cell>
          <cell r="BS84">
            <v>0</v>
          </cell>
          <cell r="BT84">
            <v>4030.4798999999998</v>
          </cell>
          <cell r="BU84">
            <v>0</v>
          </cell>
          <cell r="BV84">
            <v>0</v>
          </cell>
          <cell r="BW84">
            <v>4030.4798999999998</v>
          </cell>
          <cell r="BX84">
            <v>0</v>
          </cell>
          <cell r="BY84">
            <v>1</v>
          </cell>
          <cell r="BZ84">
            <v>2684.2539999999999</v>
          </cell>
          <cell r="CA84">
            <v>2684.2539999999999</v>
          </cell>
          <cell r="CB84">
            <v>0</v>
          </cell>
          <cell r="CC84">
            <v>4030.4798999999998</v>
          </cell>
          <cell r="CD84">
            <v>0</v>
          </cell>
        </row>
        <row r="85">
          <cell r="B85">
            <v>164</v>
          </cell>
          <cell r="C85" t="str">
            <v>Cepillos para lavar o fregar</v>
          </cell>
          <cell r="D85" t="str">
            <v>Churrusco para tubos de greca (Compra)</v>
          </cell>
          <cell r="E85">
            <v>30</v>
          </cell>
          <cell r="F85">
            <v>14</v>
          </cell>
          <cell r="G85">
            <v>-16</v>
          </cell>
          <cell r="H85">
            <v>8</v>
          </cell>
          <cell r="I85">
            <v>1658.4780000000001</v>
          </cell>
          <cell r="J85">
            <v>13267.824000000001</v>
          </cell>
          <cell r="K85">
            <v>4</v>
          </cell>
          <cell r="L85">
            <v>1658.4780000000001</v>
          </cell>
          <cell r="M85">
            <v>6633.9120000000003</v>
          </cell>
          <cell r="N85">
            <v>2</v>
          </cell>
          <cell r="O85">
            <v>1658.4780000000001</v>
          </cell>
          <cell r="P85">
            <v>3316.9560000000001</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row>
        <row r="86">
          <cell r="B86">
            <v>169</v>
          </cell>
          <cell r="C86" t="str">
            <v>Envases n.c.p. de vidrio</v>
          </cell>
          <cell r="D86" t="str">
            <v>Termo para café 2 (Compra)</v>
          </cell>
          <cell r="E86">
            <v>13</v>
          </cell>
          <cell r="F86">
            <v>8</v>
          </cell>
          <cell r="G86">
            <v>-5</v>
          </cell>
          <cell r="H86">
            <v>0</v>
          </cell>
          <cell r="I86">
            <v>0</v>
          </cell>
          <cell r="J86">
            <v>0</v>
          </cell>
          <cell r="K86">
            <v>5</v>
          </cell>
          <cell r="L86">
            <v>85897.178999999989</v>
          </cell>
          <cell r="M86">
            <v>429485.89499999996</v>
          </cell>
          <cell r="N86">
            <v>3</v>
          </cell>
          <cell r="O86">
            <v>85897.178999999989</v>
          </cell>
          <cell r="P86">
            <v>257691.53699999995</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85897.178999999989</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row>
        <row r="87">
          <cell r="B87">
            <v>170</v>
          </cell>
          <cell r="C87" t="str">
            <v>Café molido</v>
          </cell>
          <cell r="D87" t="str">
            <v>Café 1 (Compra)</v>
          </cell>
          <cell r="E87">
            <v>283</v>
          </cell>
          <cell r="F87">
            <v>62</v>
          </cell>
          <cell r="G87">
            <v>-221</v>
          </cell>
          <cell r="H87">
            <v>0</v>
          </cell>
          <cell r="I87">
            <v>19405.664000000001</v>
          </cell>
          <cell r="J87">
            <v>0</v>
          </cell>
          <cell r="K87">
            <v>50</v>
          </cell>
          <cell r="L87">
            <v>19405.664000000001</v>
          </cell>
          <cell r="M87">
            <v>970283.20000000007</v>
          </cell>
          <cell r="N87">
            <v>0</v>
          </cell>
          <cell r="O87">
            <v>45575.353799999997</v>
          </cell>
          <cell r="P87">
            <v>0</v>
          </cell>
          <cell r="Q87">
            <v>0</v>
          </cell>
          <cell r="R87">
            <v>45575.353799999997</v>
          </cell>
          <cell r="S87">
            <v>0</v>
          </cell>
          <cell r="T87">
            <v>0</v>
          </cell>
          <cell r="U87">
            <v>19405.664000000001</v>
          </cell>
          <cell r="V87">
            <v>0</v>
          </cell>
          <cell r="W87">
            <v>0</v>
          </cell>
          <cell r="X87">
            <v>45575.353799999997</v>
          </cell>
          <cell r="Y87">
            <v>0</v>
          </cell>
          <cell r="Z87">
            <v>0</v>
          </cell>
          <cell r="AA87">
            <v>45575.353799999997</v>
          </cell>
          <cell r="AB87">
            <v>0</v>
          </cell>
          <cell r="AC87">
            <v>0</v>
          </cell>
          <cell r="AD87">
            <v>45575.353799999997</v>
          </cell>
          <cell r="AE87">
            <v>0</v>
          </cell>
          <cell r="AF87">
            <v>2</v>
          </cell>
          <cell r="AG87">
            <v>19405.664000000001</v>
          </cell>
          <cell r="AH87">
            <v>38811.328000000001</v>
          </cell>
          <cell r="AI87">
            <v>0</v>
          </cell>
          <cell r="AJ87">
            <v>45575.353799999997</v>
          </cell>
          <cell r="AK87">
            <v>0</v>
          </cell>
          <cell r="AL87">
            <v>0</v>
          </cell>
          <cell r="AM87">
            <v>45575.353799999997</v>
          </cell>
          <cell r="AN87">
            <v>0</v>
          </cell>
          <cell r="AO87">
            <v>0</v>
          </cell>
          <cell r="AP87">
            <v>45575.353799999997</v>
          </cell>
          <cell r="AQ87">
            <v>0</v>
          </cell>
          <cell r="AR87">
            <v>0</v>
          </cell>
          <cell r="AS87">
            <v>45575.353799999997</v>
          </cell>
          <cell r="AT87">
            <v>0</v>
          </cell>
          <cell r="AU87">
            <v>10</v>
          </cell>
          <cell r="AV87">
            <v>19405.664000000001</v>
          </cell>
          <cell r="AW87">
            <v>194056.64</v>
          </cell>
          <cell r="AX87">
            <v>0</v>
          </cell>
          <cell r="AY87">
            <v>45575.353799999997</v>
          </cell>
          <cell r="AZ87">
            <v>0</v>
          </cell>
          <cell r="BA87">
            <v>0</v>
          </cell>
          <cell r="BB87">
            <v>45575.353799999997</v>
          </cell>
          <cell r="BC87">
            <v>0</v>
          </cell>
          <cell r="BD87">
            <v>0</v>
          </cell>
          <cell r="BE87">
            <v>45575.353799999997</v>
          </cell>
          <cell r="BF87">
            <v>0</v>
          </cell>
          <cell r="BG87">
            <v>0</v>
          </cell>
          <cell r="BH87">
            <v>45575.353799999997</v>
          </cell>
          <cell r="BI87">
            <v>0</v>
          </cell>
          <cell r="BJ87">
            <v>0</v>
          </cell>
          <cell r="BK87">
            <v>45575.353799999997</v>
          </cell>
          <cell r="BL87">
            <v>0</v>
          </cell>
          <cell r="BM87">
            <v>0</v>
          </cell>
          <cell r="BN87">
            <v>45575.353799999997</v>
          </cell>
          <cell r="BO87">
            <v>0</v>
          </cell>
          <cell r="BP87">
            <v>0</v>
          </cell>
          <cell r="BQ87">
            <v>45575.353799999997</v>
          </cell>
          <cell r="BR87">
            <v>0</v>
          </cell>
          <cell r="BS87">
            <v>0</v>
          </cell>
          <cell r="BT87">
            <v>45575.353799999997</v>
          </cell>
          <cell r="BU87">
            <v>0</v>
          </cell>
          <cell r="BV87">
            <v>0</v>
          </cell>
          <cell r="BW87">
            <v>45575.353799999997</v>
          </cell>
          <cell r="BX87">
            <v>0</v>
          </cell>
          <cell r="BY87">
            <v>0</v>
          </cell>
          <cell r="BZ87">
            <v>19405.664000000001</v>
          </cell>
          <cell r="CA87">
            <v>0</v>
          </cell>
          <cell r="CB87">
            <v>0</v>
          </cell>
          <cell r="CC87">
            <v>45575.353799999997</v>
          </cell>
          <cell r="CD87">
            <v>0</v>
          </cell>
        </row>
        <row r="88">
          <cell r="B88">
            <v>173</v>
          </cell>
          <cell r="C88" t="str">
            <v>Café molido</v>
          </cell>
          <cell r="D88" t="str">
            <v>Crema para café (Compra)</v>
          </cell>
          <cell r="E88">
            <v>10</v>
          </cell>
          <cell r="F88">
            <v>0</v>
          </cell>
          <cell r="G88">
            <v>-10</v>
          </cell>
          <cell r="H88">
            <v>0</v>
          </cell>
          <cell r="I88">
            <v>21394.3662</v>
          </cell>
          <cell r="J88">
            <v>0</v>
          </cell>
          <cell r="K88">
            <v>0</v>
          </cell>
          <cell r="L88">
            <v>21394.3662</v>
          </cell>
          <cell r="M88">
            <v>0</v>
          </cell>
          <cell r="N88">
            <v>0</v>
          </cell>
          <cell r="O88">
            <v>21394.3662</v>
          </cell>
          <cell r="P88">
            <v>0</v>
          </cell>
          <cell r="Q88">
            <v>0</v>
          </cell>
          <cell r="R88">
            <v>21394.3662</v>
          </cell>
          <cell r="S88">
            <v>0</v>
          </cell>
          <cell r="T88">
            <v>0</v>
          </cell>
          <cell r="U88">
            <v>0</v>
          </cell>
          <cell r="V88">
            <v>0</v>
          </cell>
          <cell r="W88">
            <v>0</v>
          </cell>
          <cell r="X88">
            <v>21394.3662</v>
          </cell>
          <cell r="Y88">
            <v>0</v>
          </cell>
          <cell r="Z88">
            <v>0</v>
          </cell>
          <cell r="AA88">
            <v>21394.3662</v>
          </cell>
          <cell r="AB88">
            <v>0</v>
          </cell>
          <cell r="AC88">
            <v>0</v>
          </cell>
          <cell r="AD88">
            <v>21394.3662</v>
          </cell>
          <cell r="AE88">
            <v>0</v>
          </cell>
          <cell r="AF88">
            <v>0</v>
          </cell>
          <cell r="AG88">
            <v>21394.3662</v>
          </cell>
          <cell r="AH88">
            <v>0</v>
          </cell>
          <cell r="AI88">
            <v>0</v>
          </cell>
          <cell r="AJ88">
            <v>21394.3662</v>
          </cell>
          <cell r="AK88">
            <v>0</v>
          </cell>
          <cell r="AL88">
            <v>0</v>
          </cell>
          <cell r="AM88">
            <v>21394.3662</v>
          </cell>
          <cell r="AN88">
            <v>0</v>
          </cell>
          <cell r="AO88">
            <v>0</v>
          </cell>
          <cell r="AP88">
            <v>21394.3662</v>
          </cell>
          <cell r="AQ88">
            <v>0</v>
          </cell>
          <cell r="AR88">
            <v>0</v>
          </cell>
          <cell r="AS88">
            <v>21394.3662</v>
          </cell>
          <cell r="AT88">
            <v>0</v>
          </cell>
          <cell r="AU88">
            <v>0</v>
          </cell>
          <cell r="AV88">
            <v>21394.3662</v>
          </cell>
          <cell r="AW88">
            <v>0</v>
          </cell>
          <cell r="AX88">
            <v>0</v>
          </cell>
          <cell r="AY88">
            <v>21394.3662</v>
          </cell>
          <cell r="AZ88">
            <v>0</v>
          </cell>
          <cell r="BA88">
            <v>0</v>
          </cell>
          <cell r="BB88">
            <v>21394.3662</v>
          </cell>
          <cell r="BC88">
            <v>0</v>
          </cell>
          <cell r="BD88">
            <v>0</v>
          </cell>
          <cell r="BE88">
            <v>0</v>
          </cell>
          <cell r="BF88">
            <v>0</v>
          </cell>
          <cell r="BG88">
            <v>0</v>
          </cell>
          <cell r="BH88">
            <v>21394.3662</v>
          </cell>
          <cell r="BI88">
            <v>0</v>
          </cell>
          <cell r="BJ88">
            <v>0</v>
          </cell>
          <cell r="BK88">
            <v>0</v>
          </cell>
          <cell r="BL88">
            <v>0</v>
          </cell>
          <cell r="BM88">
            <v>0</v>
          </cell>
          <cell r="BN88">
            <v>21394.3662</v>
          </cell>
          <cell r="BO88">
            <v>0</v>
          </cell>
          <cell r="BP88">
            <v>0</v>
          </cell>
          <cell r="BQ88">
            <v>21394.3662</v>
          </cell>
          <cell r="BR88">
            <v>0</v>
          </cell>
          <cell r="BS88">
            <v>0</v>
          </cell>
          <cell r="BT88">
            <v>0</v>
          </cell>
          <cell r="BU88">
            <v>0</v>
          </cell>
          <cell r="BV88">
            <v>0</v>
          </cell>
          <cell r="BW88">
            <v>0</v>
          </cell>
          <cell r="BX88">
            <v>0</v>
          </cell>
          <cell r="BY88">
            <v>0</v>
          </cell>
          <cell r="BZ88">
            <v>21394.3662</v>
          </cell>
          <cell r="CA88">
            <v>0</v>
          </cell>
          <cell r="CB88">
            <v>0</v>
          </cell>
          <cell r="CC88">
            <v>21394.3662</v>
          </cell>
          <cell r="CD88">
            <v>0</v>
          </cell>
        </row>
        <row r="89">
          <cell r="B89">
            <v>174</v>
          </cell>
          <cell r="C89" t="str">
            <v>Azucar refinada</v>
          </cell>
          <cell r="D89" t="str">
            <v>Azúcar 1 (Compra)</v>
          </cell>
          <cell r="E89">
            <v>96</v>
          </cell>
          <cell r="F89">
            <v>11</v>
          </cell>
          <cell r="G89">
            <v>-85</v>
          </cell>
          <cell r="H89">
            <v>0</v>
          </cell>
          <cell r="I89">
            <v>6081.0860000000002</v>
          </cell>
          <cell r="J89">
            <v>0</v>
          </cell>
          <cell r="K89">
            <v>0</v>
          </cell>
          <cell r="L89">
            <v>6081.0860000000002</v>
          </cell>
          <cell r="M89">
            <v>0</v>
          </cell>
          <cell r="N89">
            <v>0</v>
          </cell>
          <cell r="O89">
            <v>6081.0860000000002</v>
          </cell>
          <cell r="P89">
            <v>0</v>
          </cell>
          <cell r="Q89">
            <v>0</v>
          </cell>
          <cell r="R89">
            <v>10050.1875</v>
          </cell>
          <cell r="S89">
            <v>0</v>
          </cell>
          <cell r="T89">
            <v>0</v>
          </cell>
          <cell r="U89">
            <v>10050.1875</v>
          </cell>
          <cell r="V89">
            <v>0</v>
          </cell>
          <cell r="W89">
            <v>0</v>
          </cell>
          <cell r="X89">
            <v>10050.1875</v>
          </cell>
          <cell r="Y89">
            <v>0</v>
          </cell>
          <cell r="Z89">
            <v>0</v>
          </cell>
          <cell r="AA89">
            <v>10050.1875</v>
          </cell>
          <cell r="AB89">
            <v>0</v>
          </cell>
          <cell r="AC89">
            <v>0</v>
          </cell>
          <cell r="AD89">
            <v>10050.1875</v>
          </cell>
          <cell r="AE89">
            <v>0</v>
          </cell>
          <cell r="AF89">
            <v>0</v>
          </cell>
          <cell r="AG89">
            <v>10050.1875</v>
          </cell>
          <cell r="AH89">
            <v>0</v>
          </cell>
          <cell r="AI89">
            <v>0</v>
          </cell>
          <cell r="AJ89">
            <v>10050.1875</v>
          </cell>
          <cell r="AK89">
            <v>0</v>
          </cell>
          <cell r="AL89">
            <v>0</v>
          </cell>
          <cell r="AM89">
            <v>10050.1875</v>
          </cell>
          <cell r="AN89">
            <v>0</v>
          </cell>
          <cell r="AO89">
            <v>2</v>
          </cell>
          <cell r="AP89">
            <v>6081.0860000000002</v>
          </cell>
          <cell r="AQ89">
            <v>12162.172</v>
          </cell>
          <cell r="AR89">
            <v>4</v>
          </cell>
          <cell r="AS89">
            <v>6081.0860000000002</v>
          </cell>
          <cell r="AT89">
            <v>24324.344000000001</v>
          </cell>
          <cell r="AU89">
            <v>0</v>
          </cell>
          <cell r="AV89">
            <v>10050.1875</v>
          </cell>
          <cell r="AW89">
            <v>0</v>
          </cell>
          <cell r="AX89">
            <v>3</v>
          </cell>
          <cell r="AY89">
            <v>6081.0860000000002</v>
          </cell>
          <cell r="AZ89">
            <v>18243.258000000002</v>
          </cell>
          <cell r="BA89">
            <v>0</v>
          </cell>
          <cell r="BB89">
            <v>10050.1875</v>
          </cell>
          <cell r="BC89">
            <v>0</v>
          </cell>
          <cell r="BD89">
            <v>0</v>
          </cell>
          <cell r="BE89">
            <v>10050.1875</v>
          </cell>
          <cell r="BF89">
            <v>0</v>
          </cell>
          <cell r="BG89">
            <v>0</v>
          </cell>
          <cell r="BH89">
            <v>6081.0860000000002</v>
          </cell>
          <cell r="BI89">
            <v>0</v>
          </cell>
          <cell r="BJ89">
            <v>0</v>
          </cell>
          <cell r="BK89">
            <v>10050.1875</v>
          </cell>
          <cell r="BL89">
            <v>0</v>
          </cell>
          <cell r="BM89">
            <v>2</v>
          </cell>
          <cell r="BN89">
            <v>6081.0860000000002</v>
          </cell>
          <cell r="BO89">
            <v>12162.172</v>
          </cell>
          <cell r="BP89">
            <v>0</v>
          </cell>
          <cell r="BQ89">
            <v>10050.1875</v>
          </cell>
          <cell r="BR89">
            <v>0</v>
          </cell>
          <cell r="BS89">
            <v>0</v>
          </cell>
          <cell r="BT89">
            <v>10050.1875</v>
          </cell>
          <cell r="BU89">
            <v>0</v>
          </cell>
          <cell r="BV89">
            <v>0</v>
          </cell>
          <cell r="BW89">
            <v>10050.1875</v>
          </cell>
          <cell r="BX89">
            <v>0</v>
          </cell>
          <cell r="BY89">
            <v>0</v>
          </cell>
          <cell r="BZ89">
            <v>10050.1875</v>
          </cell>
          <cell r="CA89">
            <v>0</v>
          </cell>
          <cell r="CB89">
            <v>0</v>
          </cell>
          <cell r="CC89">
            <v>10050.1875</v>
          </cell>
          <cell r="CD89">
            <v>0</v>
          </cell>
        </row>
        <row r="90">
          <cell r="B90">
            <v>176</v>
          </cell>
          <cell r="C90" t="str">
            <v>Azucar refinada</v>
          </cell>
          <cell r="D90" t="str">
            <v>Azúcar 3 (Compra)</v>
          </cell>
          <cell r="E90">
            <v>3</v>
          </cell>
          <cell r="F90">
            <v>0</v>
          </cell>
          <cell r="G90">
            <v>-3</v>
          </cell>
          <cell r="H90">
            <v>0</v>
          </cell>
          <cell r="I90">
            <v>3781.7082</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2749.4160000000002</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row>
        <row r="91">
          <cell r="B91">
            <v>192</v>
          </cell>
          <cell r="C91" t="str">
            <v>Productos aromáticos diversos</v>
          </cell>
          <cell r="D91" t="str">
            <v>Aromática con panela 2 (Compra)</v>
          </cell>
          <cell r="E91">
            <v>56</v>
          </cell>
          <cell r="F91">
            <v>290</v>
          </cell>
          <cell r="G91">
            <v>234</v>
          </cell>
          <cell r="H91">
            <v>100</v>
          </cell>
          <cell r="I91">
            <v>6866.2880999999998</v>
          </cell>
          <cell r="J91">
            <v>686628.80999999994</v>
          </cell>
          <cell r="K91">
            <v>60</v>
          </cell>
          <cell r="L91">
            <v>3930.7400000000002</v>
          </cell>
          <cell r="M91">
            <v>235844.40000000002</v>
          </cell>
          <cell r="N91">
            <v>30</v>
          </cell>
          <cell r="O91">
            <v>6866.2880999999998</v>
          </cell>
          <cell r="P91">
            <v>205988.64299999998</v>
          </cell>
          <cell r="Q91">
            <v>0</v>
          </cell>
          <cell r="R91">
            <v>6866.2880999999998</v>
          </cell>
          <cell r="S91">
            <v>0</v>
          </cell>
          <cell r="T91">
            <v>10</v>
          </cell>
          <cell r="U91">
            <v>3930.7400000000002</v>
          </cell>
          <cell r="V91">
            <v>39307.4</v>
          </cell>
          <cell r="W91">
            <v>0</v>
          </cell>
          <cell r="X91">
            <v>6866.2880999999998</v>
          </cell>
          <cell r="Y91">
            <v>0</v>
          </cell>
          <cell r="Z91">
            <v>0</v>
          </cell>
          <cell r="AA91">
            <v>6866.2880999999998</v>
          </cell>
          <cell r="AB91">
            <v>0</v>
          </cell>
          <cell r="AC91">
            <v>0</v>
          </cell>
          <cell r="AD91">
            <v>6866.2880999999998</v>
          </cell>
          <cell r="AE91">
            <v>0</v>
          </cell>
          <cell r="AF91">
            <v>10</v>
          </cell>
          <cell r="AG91">
            <v>6866.2880999999998</v>
          </cell>
          <cell r="AH91">
            <v>68662.880999999994</v>
          </cell>
          <cell r="AI91">
            <v>0</v>
          </cell>
          <cell r="AJ91">
            <v>6866.2880999999998</v>
          </cell>
          <cell r="AK91">
            <v>0</v>
          </cell>
          <cell r="AL91">
            <v>10</v>
          </cell>
          <cell r="AM91">
            <v>6866.2880999999998</v>
          </cell>
          <cell r="AN91">
            <v>68662.880999999994</v>
          </cell>
          <cell r="AO91">
            <v>5</v>
          </cell>
          <cell r="AP91">
            <v>6866.2880999999998</v>
          </cell>
          <cell r="AQ91">
            <v>34331.440499999997</v>
          </cell>
          <cell r="AR91">
            <v>5</v>
          </cell>
          <cell r="AS91">
            <v>6866.2880999999998</v>
          </cell>
          <cell r="AT91">
            <v>34331.440499999997</v>
          </cell>
          <cell r="AU91">
            <v>0</v>
          </cell>
          <cell r="AV91">
            <v>6866.2880999999998</v>
          </cell>
          <cell r="AW91">
            <v>0</v>
          </cell>
          <cell r="AX91">
            <v>5</v>
          </cell>
          <cell r="AY91">
            <v>6866.2880999999998</v>
          </cell>
          <cell r="AZ91">
            <v>34331.440499999997</v>
          </cell>
          <cell r="BA91">
            <v>15</v>
          </cell>
          <cell r="BB91">
            <v>6866.2880999999998</v>
          </cell>
          <cell r="BC91">
            <v>102994.32149999999</v>
          </cell>
          <cell r="BD91">
            <v>0</v>
          </cell>
          <cell r="BE91">
            <v>6866.2880999999998</v>
          </cell>
          <cell r="BF91">
            <v>0</v>
          </cell>
          <cell r="BG91">
            <v>30</v>
          </cell>
          <cell r="BH91">
            <v>6866.2880999999998</v>
          </cell>
          <cell r="BI91">
            <v>205988.64299999998</v>
          </cell>
          <cell r="BJ91">
            <v>0</v>
          </cell>
          <cell r="BK91">
            <v>3930.7400000000002</v>
          </cell>
          <cell r="BL91">
            <v>0</v>
          </cell>
          <cell r="BM91">
            <v>5</v>
          </cell>
          <cell r="BN91">
            <v>6866.2880999999998</v>
          </cell>
          <cell r="BO91">
            <v>34331.440499999997</v>
          </cell>
          <cell r="BP91">
            <v>0</v>
          </cell>
          <cell r="BQ91">
            <v>6866.2880999999998</v>
          </cell>
          <cell r="BR91">
            <v>0</v>
          </cell>
          <cell r="BS91">
            <v>0</v>
          </cell>
          <cell r="BT91">
            <v>3930.7400000000002</v>
          </cell>
          <cell r="BU91">
            <v>0</v>
          </cell>
          <cell r="BV91">
            <v>0</v>
          </cell>
          <cell r="BW91">
            <v>6866.2880999999998</v>
          </cell>
          <cell r="BX91">
            <v>0</v>
          </cell>
          <cell r="BY91">
            <v>5</v>
          </cell>
          <cell r="BZ91">
            <v>6866.2880999999998</v>
          </cell>
          <cell r="CA91">
            <v>34331.440499999997</v>
          </cell>
          <cell r="CB91">
            <v>0</v>
          </cell>
          <cell r="CC91">
            <v>6866.2880999999998</v>
          </cell>
          <cell r="CD91">
            <v>0</v>
          </cell>
        </row>
        <row r="92">
          <cell r="B92">
            <v>195</v>
          </cell>
          <cell r="C92" t="str">
            <v>Productos aromáticos diversos</v>
          </cell>
          <cell r="D92" t="str">
            <v>Aromática de fruta 2 (Compra)</v>
          </cell>
          <cell r="E92">
            <v>56</v>
          </cell>
          <cell r="F92">
            <v>671</v>
          </cell>
          <cell r="G92">
            <v>615</v>
          </cell>
          <cell r="H92">
            <v>400</v>
          </cell>
          <cell r="I92">
            <v>10697.1831</v>
          </cell>
          <cell r="J92">
            <v>4278873.24</v>
          </cell>
          <cell r="K92">
            <v>80</v>
          </cell>
          <cell r="L92">
            <v>10697.1831</v>
          </cell>
          <cell r="M92">
            <v>855774.64800000004</v>
          </cell>
          <cell r="N92">
            <v>40</v>
          </cell>
          <cell r="O92">
            <v>6431.0690000000004</v>
          </cell>
          <cell r="P92">
            <v>257242.76</v>
          </cell>
          <cell r="Q92">
            <v>0</v>
          </cell>
          <cell r="R92">
            <v>10697.1831</v>
          </cell>
          <cell r="S92">
            <v>0</v>
          </cell>
          <cell r="T92">
            <v>20</v>
          </cell>
          <cell r="U92">
            <v>6431.0690000000004</v>
          </cell>
          <cell r="V92">
            <v>128621.38</v>
          </cell>
          <cell r="W92">
            <v>0</v>
          </cell>
          <cell r="X92">
            <v>6431.0690000000004</v>
          </cell>
          <cell r="Y92">
            <v>0</v>
          </cell>
          <cell r="Z92">
            <v>0</v>
          </cell>
          <cell r="AA92">
            <v>6431.0690000000004</v>
          </cell>
          <cell r="AB92">
            <v>0</v>
          </cell>
          <cell r="AC92">
            <v>30</v>
          </cell>
          <cell r="AD92">
            <v>10697.1831</v>
          </cell>
          <cell r="AE92">
            <v>320915.49300000002</v>
          </cell>
          <cell r="AF92">
            <v>30</v>
          </cell>
          <cell r="AG92">
            <v>10697.1831</v>
          </cell>
          <cell r="AH92">
            <v>320915.49300000002</v>
          </cell>
          <cell r="AI92">
            <v>0</v>
          </cell>
          <cell r="AJ92">
            <v>6431.0690000000004</v>
          </cell>
          <cell r="AK92">
            <v>0</v>
          </cell>
          <cell r="AL92">
            <v>10</v>
          </cell>
          <cell r="AM92">
            <v>6431.0690000000004</v>
          </cell>
          <cell r="AN92">
            <v>64310.69</v>
          </cell>
          <cell r="AO92">
            <v>6</v>
          </cell>
          <cell r="AP92">
            <v>10697.1831</v>
          </cell>
          <cell r="AQ92">
            <v>64183.098599999998</v>
          </cell>
          <cell r="AR92">
            <v>0</v>
          </cell>
          <cell r="AS92">
            <v>6431.0690000000004</v>
          </cell>
          <cell r="AT92">
            <v>0</v>
          </cell>
          <cell r="AU92">
            <v>0</v>
          </cell>
          <cell r="AV92">
            <v>6431.0690000000004</v>
          </cell>
          <cell r="AW92">
            <v>0</v>
          </cell>
          <cell r="AX92">
            <v>10</v>
          </cell>
          <cell r="AY92">
            <v>10697.1831</v>
          </cell>
          <cell r="AZ92">
            <v>106971.83100000001</v>
          </cell>
          <cell r="BA92">
            <v>0</v>
          </cell>
          <cell r="BB92">
            <v>6431.0690000000004</v>
          </cell>
          <cell r="BC92">
            <v>0</v>
          </cell>
          <cell r="BD92">
            <v>0</v>
          </cell>
          <cell r="BE92">
            <v>6431.0690000000004</v>
          </cell>
          <cell r="BF92">
            <v>0</v>
          </cell>
          <cell r="BG92">
            <v>30</v>
          </cell>
          <cell r="BH92">
            <v>10697.1831</v>
          </cell>
          <cell r="BI92">
            <v>320915.49300000002</v>
          </cell>
          <cell r="BJ92">
            <v>0</v>
          </cell>
          <cell r="BK92">
            <v>6431.0690000000004</v>
          </cell>
          <cell r="BL92">
            <v>0</v>
          </cell>
          <cell r="BM92">
            <v>5</v>
          </cell>
          <cell r="BN92">
            <v>10697.1831</v>
          </cell>
          <cell r="BO92">
            <v>53485.915500000003</v>
          </cell>
          <cell r="BP92">
            <v>0</v>
          </cell>
          <cell r="BQ92">
            <v>6431.0690000000004</v>
          </cell>
          <cell r="BR92">
            <v>0</v>
          </cell>
          <cell r="BS92">
            <v>0</v>
          </cell>
          <cell r="BT92">
            <v>6431.0690000000004</v>
          </cell>
          <cell r="BU92">
            <v>0</v>
          </cell>
          <cell r="BV92">
            <v>0</v>
          </cell>
          <cell r="BW92">
            <v>6431.0690000000004</v>
          </cell>
          <cell r="BX92">
            <v>0</v>
          </cell>
          <cell r="BY92">
            <v>0</v>
          </cell>
          <cell r="BZ92">
            <v>6431.0690000000004</v>
          </cell>
          <cell r="CA92">
            <v>0</v>
          </cell>
          <cell r="CB92">
            <v>10</v>
          </cell>
          <cell r="CC92">
            <v>10697.1831</v>
          </cell>
          <cell r="CD92">
            <v>106971.83100000001</v>
          </cell>
        </row>
        <row r="93">
          <cell r="B93">
            <v>204</v>
          </cell>
          <cell r="C93" t="str">
            <v>Agua purificada (envasada)</v>
          </cell>
          <cell r="D93" t="str">
            <v>Agua potable 4 (Compra)</v>
          </cell>
          <cell r="E93">
            <v>93</v>
          </cell>
          <cell r="F93">
            <v>217</v>
          </cell>
          <cell r="G93">
            <v>124</v>
          </cell>
          <cell r="H93">
            <v>50</v>
          </cell>
          <cell r="I93">
            <v>25673.6178</v>
          </cell>
          <cell r="J93">
            <v>1283680.8899999999</v>
          </cell>
          <cell r="K93">
            <v>15</v>
          </cell>
          <cell r="L93">
            <v>25673.6178</v>
          </cell>
          <cell r="M93">
            <v>385104.26699999999</v>
          </cell>
          <cell r="N93">
            <v>10</v>
          </cell>
          <cell r="O93">
            <v>25673.6178</v>
          </cell>
          <cell r="P93">
            <v>256736.17800000001</v>
          </cell>
          <cell r="Q93">
            <v>0</v>
          </cell>
          <cell r="R93">
            <v>25673.6178</v>
          </cell>
          <cell r="S93">
            <v>0</v>
          </cell>
          <cell r="T93">
            <v>5</v>
          </cell>
          <cell r="U93">
            <v>25673.6178</v>
          </cell>
          <cell r="V93">
            <v>128368.08900000001</v>
          </cell>
          <cell r="W93">
            <v>10</v>
          </cell>
          <cell r="X93">
            <v>25673.6178</v>
          </cell>
          <cell r="Y93">
            <v>256736.17800000001</v>
          </cell>
          <cell r="Z93">
            <v>15</v>
          </cell>
          <cell r="AA93">
            <v>14760.243999999999</v>
          </cell>
          <cell r="AB93">
            <v>221403.65999999997</v>
          </cell>
          <cell r="AC93">
            <v>15</v>
          </cell>
          <cell r="AD93">
            <v>14760.243999999999</v>
          </cell>
          <cell r="AE93">
            <v>221403.65999999997</v>
          </cell>
          <cell r="AF93">
            <v>10</v>
          </cell>
          <cell r="AG93">
            <v>25673.6178</v>
          </cell>
          <cell r="AH93">
            <v>256736.17800000001</v>
          </cell>
          <cell r="AI93">
            <v>10</v>
          </cell>
          <cell r="AJ93">
            <v>14760.243999999999</v>
          </cell>
          <cell r="AK93">
            <v>147602.44</v>
          </cell>
          <cell r="AL93">
            <v>10</v>
          </cell>
          <cell r="AM93">
            <v>14760.243999999999</v>
          </cell>
          <cell r="AN93">
            <v>147602.44</v>
          </cell>
          <cell r="AO93">
            <v>4</v>
          </cell>
          <cell r="AP93">
            <v>14760.243999999999</v>
          </cell>
          <cell r="AQ93">
            <v>59040.975999999995</v>
          </cell>
          <cell r="AR93">
            <v>6</v>
          </cell>
          <cell r="AS93">
            <v>14760.243999999999</v>
          </cell>
          <cell r="AT93">
            <v>88561.463999999993</v>
          </cell>
          <cell r="AU93">
            <v>5</v>
          </cell>
          <cell r="AV93">
            <v>14760.243999999999</v>
          </cell>
          <cell r="AW93">
            <v>73801.22</v>
          </cell>
          <cell r="AX93">
            <v>5</v>
          </cell>
          <cell r="AY93">
            <v>14760.243999999999</v>
          </cell>
          <cell r="AZ93">
            <v>73801.22</v>
          </cell>
          <cell r="BA93">
            <v>0</v>
          </cell>
          <cell r="BB93">
            <v>25673.6178</v>
          </cell>
          <cell r="BC93">
            <v>0</v>
          </cell>
          <cell r="BD93">
            <v>3</v>
          </cell>
          <cell r="BE93">
            <v>14760.243999999999</v>
          </cell>
          <cell r="BF93">
            <v>44280.731999999996</v>
          </cell>
          <cell r="BG93">
            <v>15</v>
          </cell>
          <cell r="BH93">
            <v>14760.243999999999</v>
          </cell>
          <cell r="BI93">
            <v>221403.65999999997</v>
          </cell>
          <cell r="BJ93">
            <v>5</v>
          </cell>
          <cell r="BK93">
            <v>14760.243999999999</v>
          </cell>
          <cell r="BL93">
            <v>73801.22</v>
          </cell>
          <cell r="BM93">
            <v>4</v>
          </cell>
          <cell r="BN93">
            <v>14760.243999999999</v>
          </cell>
          <cell r="BO93">
            <v>59040.975999999995</v>
          </cell>
          <cell r="BP93">
            <v>3</v>
          </cell>
          <cell r="BQ93">
            <v>14760.243999999999</v>
          </cell>
          <cell r="BR93">
            <v>44280.731999999996</v>
          </cell>
          <cell r="BS93">
            <v>3</v>
          </cell>
          <cell r="BT93">
            <v>14760.243999999999</v>
          </cell>
          <cell r="BU93">
            <v>44280.731999999996</v>
          </cell>
          <cell r="BV93">
            <v>10</v>
          </cell>
          <cell r="BW93">
            <v>14760.243999999999</v>
          </cell>
          <cell r="BX93">
            <v>147602.44</v>
          </cell>
          <cell r="BY93">
            <v>4</v>
          </cell>
          <cell r="BZ93">
            <v>14760.243999999999</v>
          </cell>
          <cell r="CA93">
            <v>59040.975999999995</v>
          </cell>
          <cell r="CB93">
            <v>0</v>
          </cell>
          <cell r="CC93">
            <v>25673.6178</v>
          </cell>
          <cell r="CD93">
            <v>0</v>
          </cell>
        </row>
        <row r="94">
          <cell r="B94">
            <v>205</v>
          </cell>
          <cell r="C94" t="str">
            <v>Agua purificada (envasada)</v>
          </cell>
          <cell r="D94" t="str">
            <v>Válvula dispensadora para botellón de agua (Compra)</v>
          </cell>
          <cell r="E94">
            <v>4</v>
          </cell>
          <cell r="F94">
            <v>0</v>
          </cell>
          <cell r="G94">
            <v>-4</v>
          </cell>
          <cell r="H94">
            <v>0</v>
          </cell>
          <cell r="I94">
            <v>32639.225399999996</v>
          </cell>
          <cell r="J94">
            <v>0</v>
          </cell>
          <cell r="K94">
            <v>0</v>
          </cell>
          <cell r="L94">
            <v>32639.225399999996</v>
          </cell>
          <cell r="M94">
            <v>0</v>
          </cell>
          <cell r="N94">
            <v>0</v>
          </cell>
          <cell r="O94">
            <v>32639.225399999996</v>
          </cell>
          <cell r="P94">
            <v>0</v>
          </cell>
          <cell r="Q94">
            <v>0</v>
          </cell>
          <cell r="R94">
            <v>32639.225399999996</v>
          </cell>
          <cell r="S94">
            <v>0</v>
          </cell>
          <cell r="T94">
            <v>0</v>
          </cell>
          <cell r="U94">
            <v>32639.225399999996</v>
          </cell>
          <cell r="V94">
            <v>0</v>
          </cell>
          <cell r="W94">
            <v>0</v>
          </cell>
          <cell r="X94">
            <v>32639.225399999996</v>
          </cell>
          <cell r="Y94">
            <v>0</v>
          </cell>
          <cell r="Z94">
            <v>0</v>
          </cell>
          <cell r="AA94">
            <v>32639.225399999996</v>
          </cell>
          <cell r="AB94">
            <v>0</v>
          </cell>
          <cell r="AC94">
            <v>0</v>
          </cell>
          <cell r="AD94">
            <v>32639.225399999996</v>
          </cell>
          <cell r="AE94">
            <v>0</v>
          </cell>
          <cell r="AF94">
            <v>0</v>
          </cell>
          <cell r="AG94">
            <v>32639.225399999996</v>
          </cell>
          <cell r="AH94">
            <v>0</v>
          </cell>
          <cell r="AI94">
            <v>0</v>
          </cell>
          <cell r="AJ94">
            <v>32639.225399999996</v>
          </cell>
          <cell r="AK94">
            <v>0</v>
          </cell>
          <cell r="AL94">
            <v>0</v>
          </cell>
          <cell r="AM94">
            <v>32639.225399999996</v>
          </cell>
          <cell r="AN94">
            <v>0</v>
          </cell>
          <cell r="AO94">
            <v>0</v>
          </cell>
          <cell r="AP94">
            <v>32639.225399999996</v>
          </cell>
          <cell r="AQ94">
            <v>0</v>
          </cell>
          <cell r="AR94">
            <v>0</v>
          </cell>
          <cell r="AS94">
            <v>32639.225399999996</v>
          </cell>
          <cell r="AT94">
            <v>0</v>
          </cell>
          <cell r="AU94">
            <v>0</v>
          </cell>
          <cell r="AV94">
            <v>32639.225399999996</v>
          </cell>
          <cell r="AW94">
            <v>0</v>
          </cell>
          <cell r="AX94">
            <v>0</v>
          </cell>
          <cell r="AY94">
            <v>32639.225399999996</v>
          </cell>
          <cell r="AZ94">
            <v>0</v>
          </cell>
          <cell r="BA94">
            <v>0</v>
          </cell>
          <cell r="BB94">
            <v>32639.225399999996</v>
          </cell>
          <cell r="BC94">
            <v>0</v>
          </cell>
          <cell r="BD94">
            <v>0</v>
          </cell>
          <cell r="BE94">
            <v>32639.225399999996</v>
          </cell>
          <cell r="BF94">
            <v>0</v>
          </cell>
          <cell r="BG94">
            <v>0</v>
          </cell>
          <cell r="BH94">
            <v>32639.225399999996</v>
          </cell>
          <cell r="BI94">
            <v>0</v>
          </cell>
          <cell r="BJ94">
            <v>0</v>
          </cell>
          <cell r="BK94">
            <v>17690.432000000001</v>
          </cell>
          <cell r="BL94">
            <v>0</v>
          </cell>
          <cell r="BM94">
            <v>0</v>
          </cell>
          <cell r="BN94">
            <v>17690.432000000001</v>
          </cell>
          <cell r="BO94">
            <v>0</v>
          </cell>
          <cell r="BP94">
            <v>0</v>
          </cell>
          <cell r="BQ94">
            <v>32639.225399999996</v>
          </cell>
          <cell r="BR94">
            <v>0</v>
          </cell>
          <cell r="BS94">
            <v>0</v>
          </cell>
          <cell r="BT94">
            <v>17690.432000000001</v>
          </cell>
          <cell r="BU94">
            <v>0</v>
          </cell>
          <cell r="BV94">
            <v>0</v>
          </cell>
          <cell r="BW94">
            <v>32639.225399999996</v>
          </cell>
          <cell r="BX94">
            <v>0</v>
          </cell>
          <cell r="BY94">
            <v>0</v>
          </cell>
          <cell r="BZ94">
            <v>32639.225399999996</v>
          </cell>
          <cell r="CA94">
            <v>0</v>
          </cell>
          <cell r="CB94">
            <v>0</v>
          </cell>
          <cell r="CC94">
            <v>32639.225399999996</v>
          </cell>
          <cell r="CD94">
            <v>0</v>
          </cell>
        </row>
        <row r="95">
          <cell r="B95">
            <v>207</v>
          </cell>
          <cell r="C95" t="str">
            <v>Cepillos para lavar o fregar</v>
          </cell>
          <cell r="D95" t="str">
            <v>Cepillo para paredes y techos (Compra)</v>
          </cell>
          <cell r="E95">
            <v>9</v>
          </cell>
          <cell r="F95">
            <v>0</v>
          </cell>
          <cell r="G95">
            <v>-9</v>
          </cell>
          <cell r="H95">
            <v>0</v>
          </cell>
          <cell r="I95">
            <v>7186.7380000000003</v>
          </cell>
          <cell r="J95">
            <v>0</v>
          </cell>
          <cell r="K95">
            <v>0</v>
          </cell>
          <cell r="L95">
            <v>7186.7380000000003</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row>
        <row r="96">
          <cell r="B96">
            <v>208</v>
          </cell>
          <cell r="C96" t="str">
            <v xml:space="preserve">Filtros de algodón </v>
          </cell>
          <cell r="D96" t="str">
            <v>Brillador 1 (Compra)</v>
          </cell>
          <cell r="E96">
            <v>14</v>
          </cell>
          <cell r="F96">
            <v>0</v>
          </cell>
          <cell r="G96">
            <v>-14</v>
          </cell>
          <cell r="H96">
            <v>0</v>
          </cell>
          <cell r="I96">
            <v>50779.065000000002</v>
          </cell>
          <cell r="J96">
            <v>0</v>
          </cell>
          <cell r="K96">
            <v>0</v>
          </cell>
          <cell r="L96">
            <v>50779.065000000002</v>
          </cell>
          <cell r="M96">
            <v>0</v>
          </cell>
          <cell r="N96">
            <v>0</v>
          </cell>
          <cell r="O96">
            <v>50779.065000000002</v>
          </cell>
          <cell r="P96">
            <v>0</v>
          </cell>
          <cell r="Q96">
            <v>0</v>
          </cell>
          <cell r="R96">
            <v>50779.065000000002</v>
          </cell>
          <cell r="S96">
            <v>0</v>
          </cell>
          <cell r="T96">
            <v>0</v>
          </cell>
          <cell r="U96">
            <v>50779.065000000002</v>
          </cell>
          <cell r="V96">
            <v>0</v>
          </cell>
          <cell r="W96">
            <v>0</v>
          </cell>
          <cell r="X96">
            <v>72740.655899999998</v>
          </cell>
          <cell r="Y96">
            <v>0</v>
          </cell>
          <cell r="Z96">
            <v>0</v>
          </cell>
          <cell r="AA96">
            <v>50779.065000000002</v>
          </cell>
          <cell r="AB96">
            <v>0</v>
          </cell>
          <cell r="AC96">
            <v>0</v>
          </cell>
          <cell r="AD96">
            <v>50779.065000000002</v>
          </cell>
          <cell r="AE96">
            <v>0</v>
          </cell>
          <cell r="AF96">
            <v>0</v>
          </cell>
          <cell r="AG96">
            <v>50779.065000000002</v>
          </cell>
          <cell r="AH96">
            <v>0</v>
          </cell>
          <cell r="AI96">
            <v>0</v>
          </cell>
          <cell r="AJ96">
            <v>50779.065000000002</v>
          </cell>
          <cell r="AK96">
            <v>0</v>
          </cell>
          <cell r="AL96">
            <v>0</v>
          </cell>
          <cell r="AM96">
            <v>50779.065000000002</v>
          </cell>
          <cell r="AN96">
            <v>0</v>
          </cell>
          <cell r="AO96">
            <v>0</v>
          </cell>
          <cell r="AP96">
            <v>50779.065000000002</v>
          </cell>
          <cell r="AQ96">
            <v>0</v>
          </cell>
          <cell r="AR96">
            <v>0</v>
          </cell>
          <cell r="AS96">
            <v>50779.065000000002</v>
          </cell>
          <cell r="AT96">
            <v>0</v>
          </cell>
          <cell r="AU96">
            <v>0</v>
          </cell>
          <cell r="AV96">
            <v>50779.065000000002</v>
          </cell>
          <cell r="AW96">
            <v>0</v>
          </cell>
          <cell r="AX96">
            <v>0</v>
          </cell>
          <cell r="AY96">
            <v>50779.065000000002</v>
          </cell>
          <cell r="AZ96">
            <v>0</v>
          </cell>
          <cell r="BA96">
            <v>0</v>
          </cell>
          <cell r="BB96">
            <v>50779.065000000002</v>
          </cell>
          <cell r="BC96">
            <v>0</v>
          </cell>
          <cell r="BD96">
            <v>0</v>
          </cell>
          <cell r="BE96">
            <v>50779.065000000002</v>
          </cell>
          <cell r="BF96">
            <v>0</v>
          </cell>
          <cell r="BG96">
            <v>0</v>
          </cell>
          <cell r="BH96">
            <v>50779.065000000002</v>
          </cell>
          <cell r="BI96">
            <v>0</v>
          </cell>
          <cell r="BJ96">
            <v>0</v>
          </cell>
          <cell r="BK96">
            <v>50779.065000000002</v>
          </cell>
          <cell r="BL96">
            <v>0</v>
          </cell>
          <cell r="BM96">
            <v>0</v>
          </cell>
          <cell r="BN96">
            <v>50779.065000000002</v>
          </cell>
          <cell r="BO96">
            <v>0</v>
          </cell>
          <cell r="BP96">
            <v>0</v>
          </cell>
          <cell r="BQ96">
            <v>50779.065000000002</v>
          </cell>
          <cell r="BR96">
            <v>0</v>
          </cell>
          <cell r="BS96">
            <v>0</v>
          </cell>
          <cell r="BT96">
            <v>50779.065000000002</v>
          </cell>
          <cell r="BU96">
            <v>0</v>
          </cell>
          <cell r="BV96">
            <v>0</v>
          </cell>
          <cell r="BW96">
            <v>50779.065000000002</v>
          </cell>
          <cell r="BX96">
            <v>0</v>
          </cell>
          <cell r="BY96">
            <v>0</v>
          </cell>
          <cell r="BZ96">
            <v>50779.065000000002</v>
          </cell>
          <cell r="CA96">
            <v>0</v>
          </cell>
          <cell r="CB96">
            <v>0</v>
          </cell>
          <cell r="CC96">
            <v>50779.065000000002</v>
          </cell>
          <cell r="CD96">
            <v>0</v>
          </cell>
        </row>
        <row r="97">
          <cell r="B97">
            <v>209</v>
          </cell>
          <cell r="C97" t="str">
            <v xml:space="preserve">Filtros de algodón </v>
          </cell>
          <cell r="D97" t="str">
            <v>Brillador 2 (Compra)</v>
          </cell>
          <cell r="E97">
            <v>1</v>
          </cell>
          <cell r="F97">
            <v>0</v>
          </cell>
          <cell r="G97">
            <v>-1</v>
          </cell>
          <cell r="H97">
            <v>0</v>
          </cell>
          <cell r="I97">
            <v>51545.874600000003</v>
          </cell>
          <cell r="J97">
            <v>0</v>
          </cell>
          <cell r="K97">
            <v>0</v>
          </cell>
          <cell r="L97">
            <v>51545.874600000003</v>
          </cell>
          <cell r="M97">
            <v>0</v>
          </cell>
          <cell r="N97">
            <v>0</v>
          </cell>
          <cell r="O97">
            <v>51545.874600000003</v>
          </cell>
          <cell r="P97">
            <v>0</v>
          </cell>
          <cell r="Q97">
            <v>0</v>
          </cell>
          <cell r="R97">
            <v>51545.874600000003</v>
          </cell>
          <cell r="S97">
            <v>0</v>
          </cell>
          <cell r="T97">
            <v>0</v>
          </cell>
          <cell r="U97">
            <v>51545.874600000003</v>
          </cell>
          <cell r="V97">
            <v>0</v>
          </cell>
          <cell r="W97">
            <v>0</v>
          </cell>
          <cell r="X97">
            <v>51545.874600000003</v>
          </cell>
          <cell r="Y97">
            <v>0</v>
          </cell>
          <cell r="Z97">
            <v>0</v>
          </cell>
          <cell r="AA97">
            <v>51545.874600000003</v>
          </cell>
          <cell r="AB97">
            <v>0</v>
          </cell>
          <cell r="AC97">
            <v>0</v>
          </cell>
          <cell r="AD97">
            <v>51545.874600000003</v>
          </cell>
          <cell r="AE97">
            <v>0</v>
          </cell>
          <cell r="AF97">
            <v>0</v>
          </cell>
          <cell r="AG97">
            <v>51545.874600000003</v>
          </cell>
          <cell r="AH97">
            <v>0</v>
          </cell>
          <cell r="AI97">
            <v>0</v>
          </cell>
          <cell r="AJ97">
            <v>51545.874600000003</v>
          </cell>
          <cell r="AK97">
            <v>0</v>
          </cell>
          <cell r="AL97">
            <v>0</v>
          </cell>
          <cell r="AM97">
            <v>51545.874600000003</v>
          </cell>
          <cell r="AN97">
            <v>0</v>
          </cell>
          <cell r="AO97">
            <v>0</v>
          </cell>
          <cell r="AP97">
            <v>51545.874600000003</v>
          </cell>
          <cell r="AQ97">
            <v>0</v>
          </cell>
          <cell r="AR97">
            <v>0</v>
          </cell>
          <cell r="AS97">
            <v>51545.874600000003</v>
          </cell>
          <cell r="AT97">
            <v>0</v>
          </cell>
          <cell r="AU97">
            <v>0</v>
          </cell>
          <cell r="AV97">
            <v>37357.794999999998</v>
          </cell>
          <cell r="AW97">
            <v>0</v>
          </cell>
          <cell r="AX97">
            <v>0</v>
          </cell>
          <cell r="AY97">
            <v>51545.874600000003</v>
          </cell>
          <cell r="AZ97">
            <v>0</v>
          </cell>
          <cell r="BA97">
            <v>0</v>
          </cell>
          <cell r="BB97">
            <v>51545.874600000003</v>
          </cell>
          <cell r="BC97">
            <v>0</v>
          </cell>
          <cell r="BD97">
            <v>0</v>
          </cell>
          <cell r="BE97">
            <v>51545.874600000003</v>
          </cell>
          <cell r="BF97">
            <v>0</v>
          </cell>
          <cell r="BG97">
            <v>0</v>
          </cell>
          <cell r="BH97">
            <v>51545.874600000003</v>
          </cell>
          <cell r="BI97">
            <v>0</v>
          </cell>
          <cell r="BJ97">
            <v>0</v>
          </cell>
          <cell r="BK97">
            <v>51545.874600000003</v>
          </cell>
          <cell r="BL97">
            <v>0</v>
          </cell>
          <cell r="BM97">
            <v>0</v>
          </cell>
          <cell r="BN97">
            <v>51545.874600000003</v>
          </cell>
          <cell r="BO97">
            <v>0</v>
          </cell>
          <cell r="BP97">
            <v>0</v>
          </cell>
          <cell r="BQ97">
            <v>51545.874600000003</v>
          </cell>
          <cell r="BR97">
            <v>0</v>
          </cell>
          <cell r="BS97">
            <v>0</v>
          </cell>
          <cell r="BT97">
            <v>51545.874600000003</v>
          </cell>
          <cell r="BU97">
            <v>0</v>
          </cell>
          <cell r="BV97">
            <v>0</v>
          </cell>
          <cell r="BW97">
            <v>51545.874600000003</v>
          </cell>
          <cell r="BX97">
            <v>0</v>
          </cell>
          <cell r="BY97">
            <v>0</v>
          </cell>
          <cell r="BZ97">
            <v>51545.874600000003</v>
          </cell>
          <cell r="CA97">
            <v>0</v>
          </cell>
          <cell r="CB97">
            <v>0</v>
          </cell>
          <cell r="CC97">
            <v>51545.874600000003</v>
          </cell>
          <cell r="CD97">
            <v>0</v>
          </cell>
        </row>
        <row r="98">
          <cell r="B98">
            <v>210</v>
          </cell>
          <cell r="C98" t="str">
            <v xml:space="preserve">Filtros de algodón </v>
          </cell>
          <cell r="D98" t="str">
            <v>Repuestos brillador 1 (Compra)</v>
          </cell>
          <cell r="E98">
            <v>14</v>
          </cell>
          <cell r="F98">
            <v>0</v>
          </cell>
          <cell r="G98">
            <v>-14</v>
          </cell>
          <cell r="H98">
            <v>0</v>
          </cell>
          <cell r="I98">
            <v>22537.643999999997</v>
          </cell>
          <cell r="J98">
            <v>0</v>
          </cell>
          <cell r="K98">
            <v>0</v>
          </cell>
          <cell r="L98">
            <v>39305.928599999999</v>
          </cell>
          <cell r="M98">
            <v>0</v>
          </cell>
          <cell r="N98">
            <v>0</v>
          </cell>
          <cell r="O98">
            <v>22537.643999999997</v>
          </cell>
          <cell r="P98">
            <v>0</v>
          </cell>
          <cell r="Q98">
            <v>0</v>
          </cell>
          <cell r="R98">
            <v>22537.643999999997</v>
          </cell>
          <cell r="S98">
            <v>0</v>
          </cell>
          <cell r="T98">
            <v>0</v>
          </cell>
          <cell r="U98">
            <v>22537.643999999997</v>
          </cell>
          <cell r="V98">
            <v>0</v>
          </cell>
          <cell r="W98">
            <v>0</v>
          </cell>
          <cell r="X98">
            <v>22537.643999999997</v>
          </cell>
          <cell r="Y98">
            <v>0</v>
          </cell>
          <cell r="Z98">
            <v>0</v>
          </cell>
          <cell r="AA98">
            <v>22537.643999999997</v>
          </cell>
          <cell r="AB98">
            <v>0</v>
          </cell>
          <cell r="AC98">
            <v>0</v>
          </cell>
          <cell r="AD98">
            <v>22537.643999999997</v>
          </cell>
          <cell r="AE98">
            <v>0</v>
          </cell>
          <cell r="AF98">
            <v>0</v>
          </cell>
          <cell r="AG98">
            <v>22537.643999999997</v>
          </cell>
          <cell r="AH98">
            <v>0</v>
          </cell>
          <cell r="AI98">
            <v>0</v>
          </cell>
          <cell r="AJ98">
            <v>22537.643999999997</v>
          </cell>
          <cell r="AK98">
            <v>0</v>
          </cell>
          <cell r="AL98">
            <v>0</v>
          </cell>
          <cell r="AM98">
            <v>22537.643999999997</v>
          </cell>
          <cell r="AN98">
            <v>0</v>
          </cell>
          <cell r="AO98">
            <v>0</v>
          </cell>
          <cell r="AP98">
            <v>22537.643999999997</v>
          </cell>
          <cell r="AQ98">
            <v>0</v>
          </cell>
          <cell r="AR98">
            <v>0</v>
          </cell>
          <cell r="AS98">
            <v>22537.643999999997</v>
          </cell>
          <cell r="AT98">
            <v>0</v>
          </cell>
          <cell r="AU98">
            <v>0</v>
          </cell>
          <cell r="AV98">
            <v>22537.643999999997</v>
          </cell>
          <cell r="AW98">
            <v>0</v>
          </cell>
          <cell r="AX98">
            <v>0</v>
          </cell>
          <cell r="AY98">
            <v>22537.643999999997</v>
          </cell>
          <cell r="AZ98">
            <v>0</v>
          </cell>
          <cell r="BA98">
            <v>0</v>
          </cell>
          <cell r="BB98">
            <v>22537.643999999997</v>
          </cell>
          <cell r="BC98">
            <v>0</v>
          </cell>
          <cell r="BD98">
            <v>0</v>
          </cell>
          <cell r="BE98">
            <v>22537.643999999997</v>
          </cell>
          <cell r="BF98">
            <v>0</v>
          </cell>
          <cell r="BG98">
            <v>0</v>
          </cell>
          <cell r="BH98">
            <v>22537.643999999997</v>
          </cell>
          <cell r="BI98">
            <v>0</v>
          </cell>
          <cell r="BJ98">
            <v>0</v>
          </cell>
          <cell r="BK98">
            <v>22537.643999999997</v>
          </cell>
          <cell r="BL98">
            <v>0</v>
          </cell>
          <cell r="BM98">
            <v>0</v>
          </cell>
          <cell r="BN98">
            <v>22537.643999999997</v>
          </cell>
          <cell r="BO98">
            <v>0</v>
          </cell>
          <cell r="BP98">
            <v>0</v>
          </cell>
          <cell r="BQ98">
            <v>22537.643999999997</v>
          </cell>
          <cell r="BR98">
            <v>0</v>
          </cell>
          <cell r="BS98">
            <v>0</v>
          </cell>
          <cell r="BT98">
            <v>22537.643999999997</v>
          </cell>
          <cell r="BU98">
            <v>0</v>
          </cell>
          <cell r="BV98">
            <v>0</v>
          </cell>
          <cell r="BW98">
            <v>22537.643999999997</v>
          </cell>
          <cell r="BX98">
            <v>0</v>
          </cell>
          <cell r="BY98">
            <v>0</v>
          </cell>
          <cell r="BZ98">
            <v>22537.643999999997</v>
          </cell>
          <cell r="CA98">
            <v>0</v>
          </cell>
          <cell r="CB98">
            <v>0</v>
          </cell>
          <cell r="CC98">
            <v>22537.643999999997</v>
          </cell>
          <cell r="CD98">
            <v>0</v>
          </cell>
        </row>
        <row r="99">
          <cell r="B99">
            <v>211</v>
          </cell>
          <cell r="C99" t="str">
            <v xml:space="preserve">Filtros de algodón </v>
          </cell>
          <cell r="D99" t="str">
            <v>Repuestos brillador 2 (Compra)</v>
          </cell>
          <cell r="E99">
            <v>7</v>
          </cell>
          <cell r="F99">
            <v>0</v>
          </cell>
          <cell r="G99">
            <v>-7</v>
          </cell>
          <cell r="H99">
            <v>0</v>
          </cell>
          <cell r="I99">
            <v>29553.699600000004</v>
          </cell>
          <cell r="J99">
            <v>0</v>
          </cell>
          <cell r="K99">
            <v>0</v>
          </cell>
          <cell r="L99">
            <v>29553.699600000004</v>
          </cell>
          <cell r="M99">
            <v>0</v>
          </cell>
          <cell r="N99">
            <v>0</v>
          </cell>
          <cell r="O99">
            <v>29553.699600000004</v>
          </cell>
          <cell r="P99">
            <v>0</v>
          </cell>
          <cell r="Q99">
            <v>0</v>
          </cell>
          <cell r="R99">
            <v>29553.699600000004</v>
          </cell>
          <cell r="S99">
            <v>0</v>
          </cell>
          <cell r="T99">
            <v>0</v>
          </cell>
          <cell r="U99">
            <v>29553.699600000004</v>
          </cell>
          <cell r="V99">
            <v>0</v>
          </cell>
          <cell r="W99">
            <v>0</v>
          </cell>
          <cell r="X99">
            <v>15992.016</v>
          </cell>
          <cell r="Y99">
            <v>0</v>
          </cell>
          <cell r="Z99">
            <v>0</v>
          </cell>
          <cell r="AA99">
            <v>29553.699600000004</v>
          </cell>
          <cell r="AB99">
            <v>0</v>
          </cell>
          <cell r="AC99">
            <v>0</v>
          </cell>
          <cell r="AD99">
            <v>29553.699600000004</v>
          </cell>
          <cell r="AE99">
            <v>0</v>
          </cell>
          <cell r="AF99">
            <v>0</v>
          </cell>
          <cell r="AG99">
            <v>29553.699600000004</v>
          </cell>
          <cell r="AH99">
            <v>0</v>
          </cell>
          <cell r="AI99">
            <v>0</v>
          </cell>
          <cell r="AJ99">
            <v>29553.699600000004</v>
          </cell>
          <cell r="AK99">
            <v>0</v>
          </cell>
          <cell r="AL99">
            <v>0</v>
          </cell>
          <cell r="AM99">
            <v>29553.699600000004</v>
          </cell>
          <cell r="AN99">
            <v>0</v>
          </cell>
          <cell r="AO99">
            <v>0</v>
          </cell>
          <cell r="AP99">
            <v>29553.699600000004</v>
          </cell>
          <cell r="AQ99">
            <v>0</v>
          </cell>
          <cell r="AR99">
            <v>0</v>
          </cell>
          <cell r="AS99">
            <v>29553.699600000004</v>
          </cell>
          <cell r="AT99">
            <v>0</v>
          </cell>
          <cell r="AU99">
            <v>0</v>
          </cell>
          <cell r="AV99">
            <v>29553.699600000004</v>
          </cell>
          <cell r="AW99">
            <v>0</v>
          </cell>
          <cell r="AX99">
            <v>0</v>
          </cell>
          <cell r="AY99">
            <v>29553.699600000004</v>
          </cell>
          <cell r="AZ99">
            <v>0</v>
          </cell>
          <cell r="BA99">
            <v>0</v>
          </cell>
          <cell r="BB99">
            <v>29553.699600000004</v>
          </cell>
          <cell r="BC99">
            <v>0</v>
          </cell>
          <cell r="BD99">
            <v>0</v>
          </cell>
          <cell r="BE99">
            <v>29553.699600000004</v>
          </cell>
          <cell r="BF99">
            <v>0</v>
          </cell>
          <cell r="BG99">
            <v>0</v>
          </cell>
          <cell r="BH99">
            <v>29553.699600000004</v>
          </cell>
          <cell r="BI99">
            <v>0</v>
          </cell>
          <cell r="BJ99">
            <v>0</v>
          </cell>
          <cell r="BK99">
            <v>29553.699600000004</v>
          </cell>
          <cell r="BL99">
            <v>0</v>
          </cell>
          <cell r="BM99">
            <v>0</v>
          </cell>
          <cell r="BN99">
            <v>29553.699600000004</v>
          </cell>
          <cell r="BO99">
            <v>0</v>
          </cell>
          <cell r="BP99">
            <v>0</v>
          </cell>
          <cell r="BQ99">
            <v>29553.699600000004</v>
          </cell>
          <cell r="BR99">
            <v>0</v>
          </cell>
          <cell r="BS99">
            <v>0</v>
          </cell>
          <cell r="BT99">
            <v>29553.699600000004</v>
          </cell>
          <cell r="BU99">
            <v>0</v>
          </cell>
          <cell r="BV99">
            <v>0</v>
          </cell>
          <cell r="BW99">
            <v>29553.699600000004</v>
          </cell>
          <cell r="BX99">
            <v>0</v>
          </cell>
          <cell r="BY99">
            <v>0</v>
          </cell>
          <cell r="BZ99">
            <v>29553.699600000004</v>
          </cell>
          <cell r="CA99">
            <v>0</v>
          </cell>
          <cell r="CB99">
            <v>0</v>
          </cell>
          <cell r="CC99">
            <v>29553.699600000004</v>
          </cell>
          <cell r="CD99">
            <v>0</v>
          </cell>
        </row>
        <row r="100">
          <cell r="B100">
            <v>212</v>
          </cell>
          <cell r="C100" t="str">
            <v>Cepillos para lavar o fregar</v>
          </cell>
          <cell r="D100" t="str">
            <v>Destapador para sanitario (chupa) (Compra)</v>
          </cell>
          <cell r="E100">
            <v>37</v>
          </cell>
          <cell r="F100">
            <v>0</v>
          </cell>
          <cell r="G100">
            <v>-37</v>
          </cell>
          <cell r="H100">
            <v>0</v>
          </cell>
          <cell r="I100">
            <v>2505.5839999999998</v>
          </cell>
          <cell r="J100">
            <v>0</v>
          </cell>
          <cell r="K100">
            <v>0</v>
          </cell>
          <cell r="L100">
            <v>2505.5839999999998</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row>
        <row r="101">
          <cell r="B101">
            <v>213</v>
          </cell>
          <cell r="C101" t="str">
            <v>Paños absorbentes desechables para uso doméstico</v>
          </cell>
          <cell r="D101" t="str">
            <v>Plumero o limpia polvo (Compra)</v>
          </cell>
          <cell r="E101">
            <v>1</v>
          </cell>
          <cell r="F101">
            <v>0</v>
          </cell>
          <cell r="G101">
            <v>-1</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row>
        <row r="102">
          <cell r="B102">
            <v>215</v>
          </cell>
          <cell r="C102" t="str">
            <v xml:space="preserve">Recogedores plásticos de basura </v>
          </cell>
          <cell r="D102" t="str">
            <v>Rastrillo 2 (Compra)</v>
          </cell>
          <cell r="E102">
            <v>15</v>
          </cell>
          <cell r="F102">
            <v>4</v>
          </cell>
          <cell r="G102">
            <v>-11</v>
          </cell>
          <cell r="H102">
            <v>1</v>
          </cell>
          <cell r="I102">
            <v>10476.367999999999</v>
          </cell>
          <cell r="J102">
            <v>10476.367999999999</v>
          </cell>
          <cell r="K102">
            <v>1</v>
          </cell>
          <cell r="L102">
            <v>10476.367999999999</v>
          </cell>
          <cell r="M102">
            <v>10476.367999999999</v>
          </cell>
          <cell r="N102">
            <v>1</v>
          </cell>
          <cell r="O102">
            <v>10476.367999999999</v>
          </cell>
          <cell r="P102">
            <v>10476.367999999999</v>
          </cell>
          <cell r="Q102">
            <v>1</v>
          </cell>
          <cell r="R102">
            <v>10476.367999999999</v>
          </cell>
          <cell r="S102">
            <v>10476.367999999999</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row>
        <row r="103">
          <cell r="B103">
            <v>216</v>
          </cell>
          <cell r="C103" t="str">
            <v xml:space="preserve">Recogedores plásticos de basura </v>
          </cell>
          <cell r="D103" t="str">
            <v>Recogedor de basura 1 (Compra)</v>
          </cell>
          <cell r="E103">
            <v>37</v>
          </cell>
          <cell r="F103">
            <v>0</v>
          </cell>
          <cell r="G103">
            <v>-37</v>
          </cell>
          <cell r="H103">
            <v>0</v>
          </cell>
          <cell r="I103">
            <v>3954.9129999999996</v>
          </cell>
          <cell r="J103">
            <v>0</v>
          </cell>
          <cell r="K103">
            <v>0</v>
          </cell>
          <cell r="L103">
            <v>3954.9129999999996</v>
          </cell>
          <cell r="M103">
            <v>0</v>
          </cell>
          <cell r="N103">
            <v>0</v>
          </cell>
          <cell r="O103">
            <v>3954.9129999999996</v>
          </cell>
          <cell r="P103">
            <v>0</v>
          </cell>
          <cell r="Q103">
            <v>0</v>
          </cell>
          <cell r="R103">
            <v>3954.9129999999996</v>
          </cell>
          <cell r="S103">
            <v>0</v>
          </cell>
          <cell r="T103">
            <v>0</v>
          </cell>
          <cell r="U103">
            <v>3954.9129999999996</v>
          </cell>
          <cell r="V103">
            <v>0</v>
          </cell>
          <cell r="W103">
            <v>0</v>
          </cell>
          <cell r="X103">
            <v>3954.9129999999996</v>
          </cell>
          <cell r="Y103">
            <v>0</v>
          </cell>
          <cell r="Z103">
            <v>0</v>
          </cell>
          <cell r="AA103">
            <v>3954.9129999999996</v>
          </cell>
          <cell r="AB103">
            <v>0</v>
          </cell>
          <cell r="AC103">
            <v>0</v>
          </cell>
          <cell r="AD103">
            <v>3954.9129999999996</v>
          </cell>
          <cell r="AE103">
            <v>0</v>
          </cell>
          <cell r="AF103">
            <v>0</v>
          </cell>
          <cell r="AG103">
            <v>3954.9129999999996</v>
          </cell>
          <cell r="AH103">
            <v>0</v>
          </cell>
          <cell r="AI103">
            <v>0</v>
          </cell>
          <cell r="AJ103">
            <v>3954.9129999999996</v>
          </cell>
          <cell r="AK103">
            <v>0</v>
          </cell>
          <cell r="AL103">
            <v>0</v>
          </cell>
          <cell r="AM103">
            <v>3954.9129999999996</v>
          </cell>
          <cell r="AN103">
            <v>0</v>
          </cell>
          <cell r="AO103">
            <v>0</v>
          </cell>
          <cell r="AP103">
            <v>3954.9129999999996</v>
          </cell>
          <cell r="AQ103">
            <v>0</v>
          </cell>
          <cell r="AR103">
            <v>0</v>
          </cell>
          <cell r="AS103">
            <v>3954.9129999999996</v>
          </cell>
          <cell r="AT103">
            <v>0</v>
          </cell>
          <cell r="AU103">
            <v>0</v>
          </cell>
          <cell r="AV103">
            <v>3954.9129999999996</v>
          </cell>
          <cell r="AW103">
            <v>0</v>
          </cell>
          <cell r="AX103">
            <v>0</v>
          </cell>
          <cell r="AY103">
            <v>3954.9129999999996</v>
          </cell>
          <cell r="AZ103">
            <v>0</v>
          </cell>
          <cell r="BA103">
            <v>0</v>
          </cell>
          <cell r="BB103">
            <v>3954.9129999999996</v>
          </cell>
          <cell r="BC103">
            <v>0</v>
          </cell>
          <cell r="BD103">
            <v>0</v>
          </cell>
          <cell r="BE103">
            <v>3954.9129999999996</v>
          </cell>
          <cell r="BF103">
            <v>0</v>
          </cell>
          <cell r="BG103">
            <v>0</v>
          </cell>
          <cell r="BH103">
            <v>3954.9129999999996</v>
          </cell>
          <cell r="BI103">
            <v>0</v>
          </cell>
          <cell r="BJ103">
            <v>0</v>
          </cell>
          <cell r="BK103">
            <v>3954.9129999999996</v>
          </cell>
          <cell r="BL103">
            <v>0</v>
          </cell>
          <cell r="BM103">
            <v>0</v>
          </cell>
          <cell r="BN103">
            <v>3954.9129999999996</v>
          </cell>
          <cell r="BO103">
            <v>0</v>
          </cell>
          <cell r="BP103">
            <v>0</v>
          </cell>
          <cell r="BQ103">
            <v>5124.8861999999999</v>
          </cell>
          <cell r="BR103">
            <v>0</v>
          </cell>
          <cell r="BS103">
            <v>0</v>
          </cell>
          <cell r="BT103">
            <v>3954.9129999999996</v>
          </cell>
          <cell r="BU103">
            <v>0</v>
          </cell>
          <cell r="BV103">
            <v>0</v>
          </cell>
          <cell r="BW103">
            <v>3954.9129999999996</v>
          </cell>
          <cell r="BX103">
            <v>0</v>
          </cell>
          <cell r="BY103">
            <v>0</v>
          </cell>
          <cell r="BZ103">
            <v>3954.9129999999996</v>
          </cell>
          <cell r="CA103">
            <v>0</v>
          </cell>
          <cell r="CB103">
            <v>0</v>
          </cell>
          <cell r="CC103">
            <v>3954.9129999999996</v>
          </cell>
          <cell r="CD103">
            <v>0</v>
          </cell>
        </row>
        <row r="104">
          <cell r="B104">
            <v>218</v>
          </cell>
          <cell r="C104" t="str">
            <v xml:space="preserve">Recogedores plásticos de basura </v>
          </cell>
          <cell r="D104" t="str">
            <v>Atomizadores (Compra)</v>
          </cell>
          <cell r="E104">
            <v>40</v>
          </cell>
          <cell r="F104">
            <v>166</v>
          </cell>
          <cell r="G104">
            <v>126</v>
          </cell>
          <cell r="H104">
            <v>60</v>
          </cell>
          <cell r="I104">
            <v>2587.0365000000002</v>
          </cell>
          <cell r="J104">
            <v>155222.19</v>
          </cell>
          <cell r="K104">
            <v>20</v>
          </cell>
          <cell r="L104">
            <v>1437.768</v>
          </cell>
          <cell r="M104">
            <v>28755.360000000001</v>
          </cell>
          <cell r="N104">
            <v>15</v>
          </cell>
          <cell r="O104">
            <v>1437.768</v>
          </cell>
          <cell r="P104">
            <v>21566.52</v>
          </cell>
          <cell r="Q104">
            <v>0</v>
          </cell>
          <cell r="R104">
            <v>1437.768</v>
          </cell>
          <cell r="S104">
            <v>0</v>
          </cell>
          <cell r="T104">
            <v>5</v>
          </cell>
          <cell r="U104">
            <v>1437.768</v>
          </cell>
          <cell r="V104">
            <v>7188.84</v>
          </cell>
          <cell r="W104">
            <v>6</v>
          </cell>
          <cell r="X104">
            <v>2587.0365000000002</v>
          </cell>
          <cell r="Y104">
            <v>15522.219000000001</v>
          </cell>
          <cell r="Z104">
            <v>5</v>
          </cell>
          <cell r="AA104">
            <v>2587.0365000000002</v>
          </cell>
          <cell r="AB104">
            <v>12935.182500000001</v>
          </cell>
          <cell r="AC104">
            <v>0</v>
          </cell>
          <cell r="AD104">
            <v>1437.768</v>
          </cell>
          <cell r="AE104">
            <v>0</v>
          </cell>
          <cell r="AF104">
            <v>0</v>
          </cell>
          <cell r="AG104">
            <v>1437.768</v>
          </cell>
          <cell r="AH104">
            <v>0</v>
          </cell>
          <cell r="AI104">
            <v>10</v>
          </cell>
          <cell r="AJ104">
            <v>1437.768</v>
          </cell>
          <cell r="AK104">
            <v>14377.68</v>
          </cell>
          <cell r="AL104">
            <v>0</v>
          </cell>
          <cell r="AM104">
            <v>1437.768</v>
          </cell>
          <cell r="AN104">
            <v>0</v>
          </cell>
          <cell r="AO104">
            <v>6</v>
          </cell>
          <cell r="AP104">
            <v>2587.0365000000002</v>
          </cell>
          <cell r="AQ104">
            <v>15522.219000000001</v>
          </cell>
          <cell r="AR104">
            <v>0</v>
          </cell>
          <cell r="AS104">
            <v>1437.768</v>
          </cell>
          <cell r="AT104">
            <v>0</v>
          </cell>
          <cell r="AU104">
            <v>0</v>
          </cell>
          <cell r="AV104">
            <v>1437.768</v>
          </cell>
          <cell r="AW104">
            <v>0</v>
          </cell>
          <cell r="AX104">
            <v>6</v>
          </cell>
          <cell r="AY104">
            <v>2587.0365000000002</v>
          </cell>
          <cell r="AZ104">
            <v>15522.219000000001</v>
          </cell>
          <cell r="BA104">
            <v>0</v>
          </cell>
          <cell r="BB104">
            <v>1437.768</v>
          </cell>
          <cell r="BC104">
            <v>0</v>
          </cell>
          <cell r="BD104">
            <v>4</v>
          </cell>
          <cell r="BE104">
            <v>2587.0365000000002</v>
          </cell>
          <cell r="BF104">
            <v>10348.146000000001</v>
          </cell>
          <cell r="BG104">
            <v>0</v>
          </cell>
          <cell r="BH104">
            <v>1437.768</v>
          </cell>
          <cell r="BI104">
            <v>0</v>
          </cell>
          <cell r="BJ104">
            <v>5</v>
          </cell>
          <cell r="BK104">
            <v>2587.0365000000002</v>
          </cell>
          <cell r="BL104">
            <v>12935.182500000001</v>
          </cell>
          <cell r="BM104">
            <v>3</v>
          </cell>
          <cell r="BN104">
            <v>2587.0365000000002</v>
          </cell>
          <cell r="BO104">
            <v>7761.1095000000005</v>
          </cell>
          <cell r="BP104">
            <v>4</v>
          </cell>
          <cell r="BQ104">
            <v>2587.0365000000002</v>
          </cell>
          <cell r="BR104">
            <v>10348.146000000001</v>
          </cell>
          <cell r="BS104">
            <v>4</v>
          </cell>
          <cell r="BT104">
            <v>2587.0365000000002</v>
          </cell>
          <cell r="BU104">
            <v>10348.146000000001</v>
          </cell>
          <cell r="BV104">
            <v>5</v>
          </cell>
          <cell r="BW104">
            <v>2587.0365000000002</v>
          </cell>
          <cell r="BX104">
            <v>12935.182500000001</v>
          </cell>
          <cell r="BY104">
            <v>3</v>
          </cell>
          <cell r="BZ104">
            <v>2587.0365000000002</v>
          </cell>
          <cell r="CA104">
            <v>7761.1095000000005</v>
          </cell>
          <cell r="CB104">
            <v>5</v>
          </cell>
          <cell r="CC104">
            <v>2587.0365000000002</v>
          </cell>
          <cell r="CD104">
            <v>12935.182500000001</v>
          </cell>
        </row>
        <row r="105">
          <cell r="B105">
            <v>251</v>
          </cell>
          <cell r="C105" t="str">
            <v>Varsol-disolvente núm. 4</v>
          </cell>
          <cell r="D105" t="str">
            <v>Combustible  (Compra)</v>
          </cell>
          <cell r="E105">
            <v>24</v>
          </cell>
          <cell r="F105">
            <v>34</v>
          </cell>
          <cell r="G105">
            <v>10</v>
          </cell>
          <cell r="H105">
            <v>5</v>
          </cell>
          <cell r="I105">
            <v>16031.954000000002</v>
          </cell>
          <cell r="J105">
            <v>80159.77</v>
          </cell>
          <cell r="K105">
            <v>0</v>
          </cell>
          <cell r="L105">
            <v>16031.954000000002</v>
          </cell>
          <cell r="M105">
            <v>0</v>
          </cell>
          <cell r="N105">
            <v>10</v>
          </cell>
          <cell r="O105">
            <v>16031.954000000002</v>
          </cell>
          <cell r="P105">
            <v>160319.54</v>
          </cell>
          <cell r="Q105">
            <v>0</v>
          </cell>
          <cell r="R105">
            <v>0</v>
          </cell>
          <cell r="S105">
            <v>0</v>
          </cell>
          <cell r="T105">
            <v>0</v>
          </cell>
          <cell r="U105">
            <v>0</v>
          </cell>
          <cell r="V105">
            <v>0</v>
          </cell>
          <cell r="W105">
            <v>0</v>
          </cell>
          <cell r="X105">
            <v>0</v>
          </cell>
          <cell r="Y105">
            <v>0</v>
          </cell>
          <cell r="Z105">
            <v>2</v>
          </cell>
          <cell r="AA105">
            <v>20399.279400000003</v>
          </cell>
          <cell r="AB105">
            <v>40798.558800000006</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2</v>
          </cell>
          <cell r="AY105">
            <v>20399.279400000003</v>
          </cell>
          <cell r="AZ105">
            <v>40798.558800000006</v>
          </cell>
          <cell r="BA105">
            <v>0</v>
          </cell>
          <cell r="BB105">
            <v>0</v>
          </cell>
          <cell r="BC105">
            <v>0</v>
          </cell>
          <cell r="BD105">
            <v>0</v>
          </cell>
          <cell r="BE105">
            <v>0</v>
          </cell>
          <cell r="BF105">
            <v>0</v>
          </cell>
          <cell r="BG105">
            <v>5</v>
          </cell>
          <cell r="BH105">
            <v>16031.954000000002</v>
          </cell>
          <cell r="BI105">
            <v>80159.77</v>
          </cell>
          <cell r="BJ105">
            <v>5</v>
          </cell>
          <cell r="BK105">
            <v>16031.954000000002</v>
          </cell>
          <cell r="BL105">
            <v>80159.77</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5</v>
          </cell>
          <cell r="CC105">
            <v>16031.954000000002</v>
          </cell>
          <cell r="CD105">
            <v>80159.77</v>
          </cell>
        </row>
        <row r="106">
          <cell r="B106">
            <v>255</v>
          </cell>
          <cell r="C106" t="str">
            <v>Cepillos para lavar o fregar</v>
          </cell>
          <cell r="D106" t="str">
            <v>Haraganes 2  (Compra)</v>
          </cell>
          <cell r="E106">
            <v>14</v>
          </cell>
          <cell r="F106">
            <v>0</v>
          </cell>
          <cell r="G106">
            <v>-14</v>
          </cell>
          <cell r="H106">
            <v>0</v>
          </cell>
          <cell r="I106">
            <v>29299.777999999998</v>
          </cell>
          <cell r="J106">
            <v>0</v>
          </cell>
          <cell r="K106">
            <v>0</v>
          </cell>
          <cell r="L106">
            <v>29299.777999999998</v>
          </cell>
          <cell r="M106">
            <v>0</v>
          </cell>
          <cell r="N106">
            <v>0</v>
          </cell>
          <cell r="O106">
            <v>29299.777999999998</v>
          </cell>
          <cell r="P106">
            <v>0</v>
          </cell>
          <cell r="Q106">
            <v>0</v>
          </cell>
          <cell r="R106">
            <v>29299.777999999998</v>
          </cell>
          <cell r="S106">
            <v>0</v>
          </cell>
          <cell r="T106">
            <v>0</v>
          </cell>
          <cell r="U106">
            <v>29299.777999999998</v>
          </cell>
          <cell r="V106">
            <v>0</v>
          </cell>
          <cell r="W106">
            <v>0</v>
          </cell>
          <cell r="X106">
            <v>29299.777999999998</v>
          </cell>
          <cell r="Y106">
            <v>0</v>
          </cell>
          <cell r="Z106">
            <v>0</v>
          </cell>
          <cell r="AA106">
            <v>29299.777999999998</v>
          </cell>
          <cell r="AB106">
            <v>0</v>
          </cell>
          <cell r="AC106">
            <v>0</v>
          </cell>
          <cell r="AD106">
            <v>29299.777999999998</v>
          </cell>
          <cell r="AE106">
            <v>0</v>
          </cell>
          <cell r="AF106">
            <v>0</v>
          </cell>
          <cell r="AG106">
            <v>29299.777999999998</v>
          </cell>
          <cell r="AH106">
            <v>0</v>
          </cell>
          <cell r="AI106">
            <v>0</v>
          </cell>
          <cell r="AJ106">
            <v>29299.777999999998</v>
          </cell>
          <cell r="AK106">
            <v>0</v>
          </cell>
          <cell r="AL106">
            <v>0</v>
          </cell>
          <cell r="AM106">
            <v>29299.777999999998</v>
          </cell>
          <cell r="AN106">
            <v>0</v>
          </cell>
          <cell r="AO106">
            <v>0</v>
          </cell>
          <cell r="AP106">
            <v>29299.777999999998</v>
          </cell>
          <cell r="AQ106">
            <v>0</v>
          </cell>
          <cell r="AR106">
            <v>0</v>
          </cell>
          <cell r="AS106">
            <v>29299.777999999998</v>
          </cell>
          <cell r="AT106">
            <v>0</v>
          </cell>
          <cell r="AU106">
            <v>0</v>
          </cell>
          <cell r="AV106">
            <v>41793.645599999996</v>
          </cell>
          <cell r="AW106">
            <v>0</v>
          </cell>
          <cell r="AX106">
            <v>0</v>
          </cell>
          <cell r="AY106">
            <v>29299.777999999998</v>
          </cell>
          <cell r="AZ106">
            <v>0</v>
          </cell>
          <cell r="BA106">
            <v>0</v>
          </cell>
          <cell r="BB106">
            <v>29299.777999999998</v>
          </cell>
          <cell r="BC106">
            <v>0</v>
          </cell>
          <cell r="BD106">
            <v>0</v>
          </cell>
          <cell r="BE106">
            <v>29299.777999999998</v>
          </cell>
          <cell r="BF106">
            <v>0</v>
          </cell>
          <cell r="BG106">
            <v>0</v>
          </cell>
          <cell r="BH106">
            <v>29299.777999999998</v>
          </cell>
          <cell r="BI106">
            <v>0</v>
          </cell>
          <cell r="BJ106">
            <v>0</v>
          </cell>
          <cell r="BK106">
            <v>29299.777999999998</v>
          </cell>
          <cell r="BL106">
            <v>0</v>
          </cell>
          <cell r="BM106">
            <v>0</v>
          </cell>
          <cell r="BN106">
            <v>29299.777999999998</v>
          </cell>
          <cell r="BO106">
            <v>0</v>
          </cell>
          <cell r="BP106">
            <v>0</v>
          </cell>
          <cell r="BQ106">
            <v>41793.645599999996</v>
          </cell>
          <cell r="BR106">
            <v>0</v>
          </cell>
          <cell r="BS106">
            <v>0</v>
          </cell>
          <cell r="BT106">
            <v>29299.777999999998</v>
          </cell>
          <cell r="BU106">
            <v>0</v>
          </cell>
          <cell r="BV106">
            <v>0</v>
          </cell>
          <cell r="BW106">
            <v>29299.777999999998</v>
          </cell>
          <cell r="BX106">
            <v>0</v>
          </cell>
          <cell r="BY106">
            <v>0</v>
          </cell>
          <cell r="BZ106">
            <v>29299.777999999998</v>
          </cell>
          <cell r="CA106">
            <v>0</v>
          </cell>
          <cell r="CB106">
            <v>0</v>
          </cell>
          <cell r="CC106">
            <v>29299.777999999998</v>
          </cell>
          <cell r="CD106">
            <v>0</v>
          </cell>
        </row>
        <row r="107">
          <cell r="B107">
            <v>257</v>
          </cell>
          <cell r="C107" t="str">
            <v>Cepillos para lavar o fregar</v>
          </cell>
          <cell r="D107" t="str">
            <v>Haraganes 4  (Compra)</v>
          </cell>
          <cell r="E107">
            <v>11</v>
          </cell>
          <cell r="F107">
            <v>0</v>
          </cell>
          <cell r="G107">
            <v>-11</v>
          </cell>
          <cell r="H107">
            <v>0</v>
          </cell>
          <cell r="I107">
            <v>18796.084000000003</v>
          </cell>
          <cell r="J107">
            <v>0</v>
          </cell>
          <cell r="K107">
            <v>0</v>
          </cell>
          <cell r="L107">
            <v>18796.084000000003</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row>
        <row r="108">
          <cell r="B108">
            <v>260</v>
          </cell>
          <cell r="C108" t="str">
            <v>Recipientes de material plástico-canecas para la basura</v>
          </cell>
          <cell r="D108" t="str">
            <v>Balde (Compra)</v>
          </cell>
          <cell r="E108">
            <v>10</v>
          </cell>
          <cell r="F108">
            <v>0</v>
          </cell>
          <cell r="G108">
            <v>-10</v>
          </cell>
          <cell r="H108">
            <v>0</v>
          </cell>
          <cell r="I108">
            <v>3417.8520000000008</v>
          </cell>
          <cell r="J108">
            <v>0</v>
          </cell>
          <cell r="K108">
            <v>0</v>
          </cell>
          <cell r="L108">
            <v>3417.8520000000008</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row>
        <row r="109">
          <cell r="B109">
            <v>291</v>
          </cell>
          <cell r="C109" t="str">
            <v>Recipientes de material plástico-canecas para la basura</v>
          </cell>
          <cell r="D109" t="str">
            <v>Soporte para Botellón de agua (Compra)</v>
          </cell>
          <cell r="E109">
            <v>3</v>
          </cell>
          <cell r="F109">
            <v>0</v>
          </cell>
          <cell r="G109">
            <v>-3</v>
          </cell>
          <cell r="H109">
            <v>0</v>
          </cell>
          <cell r="I109">
            <v>20454.562000000005</v>
          </cell>
          <cell r="J109">
            <v>0</v>
          </cell>
          <cell r="K109">
            <v>0</v>
          </cell>
          <cell r="L109">
            <v>20454.562000000005</v>
          </cell>
          <cell r="M109">
            <v>0</v>
          </cell>
          <cell r="N109">
            <v>0</v>
          </cell>
          <cell r="O109">
            <v>20454.562000000005</v>
          </cell>
          <cell r="P109">
            <v>0</v>
          </cell>
          <cell r="Q109">
            <v>0</v>
          </cell>
          <cell r="R109">
            <v>20454.562000000005</v>
          </cell>
          <cell r="S109">
            <v>0</v>
          </cell>
          <cell r="T109">
            <v>0</v>
          </cell>
          <cell r="U109">
            <v>20454.562000000005</v>
          </cell>
          <cell r="V109">
            <v>0</v>
          </cell>
          <cell r="W109">
            <v>0</v>
          </cell>
          <cell r="X109">
            <v>20454.562000000005</v>
          </cell>
          <cell r="Y109">
            <v>0</v>
          </cell>
          <cell r="Z109">
            <v>0</v>
          </cell>
          <cell r="AA109">
            <v>20454.562000000005</v>
          </cell>
          <cell r="AB109">
            <v>0</v>
          </cell>
          <cell r="AC109">
            <v>0</v>
          </cell>
          <cell r="AD109">
            <v>20454.562000000005</v>
          </cell>
          <cell r="AE109">
            <v>0</v>
          </cell>
          <cell r="AF109">
            <v>0</v>
          </cell>
          <cell r="AG109">
            <v>20454.562000000005</v>
          </cell>
          <cell r="AH109">
            <v>0</v>
          </cell>
          <cell r="AI109">
            <v>0</v>
          </cell>
          <cell r="AJ109">
            <v>20454.562000000005</v>
          </cell>
          <cell r="AK109">
            <v>0</v>
          </cell>
          <cell r="AL109">
            <v>0</v>
          </cell>
          <cell r="AM109">
            <v>20454.562000000005</v>
          </cell>
          <cell r="AN109">
            <v>0</v>
          </cell>
          <cell r="AO109">
            <v>0</v>
          </cell>
          <cell r="AP109">
            <v>20454.562000000005</v>
          </cell>
          <cell r="AQ109">
            <v>0</v>
          </cell>
          <cell r="AR109">
            <v>0</v>
          </cell>
          <cell r="AS109">
            <v>20454.562000000005</v>
          </cell>
          <cell r="AT109">
            <v>0</v>
          </cell>
          <cell r="AU109">
            <v>0</v>
          </cell>
          <cell r="AV109">
            <v>20454.562000000005</v>
          </cell>
          <cell r="AW109">
            <v>0</v>
          </cell>
          <cell r="AX109">
            <v>0</v>
          </cell>
          <cell r="AY109">
            <v>20454.562000000005</v>
          </cell>
          <cell r="AZ109">
            <v>0</v>
          </cell>
          <cell r="BA109">
            <v>0</v>
          </cell>
          <cell r="BB109">
            <v>20454.562000000005</v>
          </cell>
          <cell r="BC109">
            <v>0</v>
          </cell>
          <cell r="BD109">
            <v>0</v>
          </cell>
          <cell r="BE109">
            <v>20454.562000000005</v>
          </cell>
          <cell r="BF109">
            <v>0</v>
          </cell>
          <cell r="BG109">
            <v>0</v>
          </cell>
          <cell r="BH109">
            <v>20454.562000000005</v>
          </cell>
          <cell r="BI109">
            <v>0</v>
          </cell>
          <cell r="BJ109">
            <v>0</v>
          </cell>
          <cell r="BK109">
            <v>20454.562000000005</v>
          </cell>
          <cell r="BL109">
            <v>0</v>
          </cell>
          <cell r="BM109">
            <v>0</v>
          </cell>
          <cell r="BN109">
            <v>65576.409299999999</v>
          </cell>
          <cell r="BO109">
            <v>0</v>
          </cell>
          <cell r="BP109">
            <v>0</v>
          </cell>
          <cell r="BQ109">
            <v>20454.562000000005</v>
          </cell>
          <cell r="BR109">
            <v>0</v>
          </cell>
          <cell r="BS109">
            <v>0</v>
          </cell>
          <cell r="BT109">
            <v>65576.409299999999</v>
          </cell>
          <cell r="BU109">
            <v>0</v>
          </cell>
          <cell r="BV109">
            <v>0</v>
          </cell>
          <cell r="BW109">
            <v>20454.562000000005</v>
          </cell>
          <cell r="BX109">
            <v>0</v>
          </cell>
          <cell r="BY109">
            <v>0</v>
          </cell>
          <cell r="BZ109">
            <v>20454.562000000005</v>
          </cell>
          <cell r="CA109">
            <v>0</v>
          </cell>
          <cell r="CB109">
            <v>0</v>
          </cell>
          <cell r="CC109">
            <v>20454.562000000005</v>
          </cell>
          <cell r="CD109">
            <v>0</v>
          </cell>
        </row>
      </sheetData>
      <sheetData sheetId="18"/>
      <sheetData sheetId="19"/>
      <sheetData sheetId="20"/>
      <sheetData sheetId="21"/>
      <sheetData sheetId="22"/>
      <sheetData sheetId="23"/>
      <sheetData sheetId="24"/>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sheetName val="PLANILLA GENERAL 26"/>
      <sheetName val="PLANILLA GENERAL 30"/>
      <sheetName val="PLANILLA YEMI "/>
      <sheetName val="PLANILLA LILIANA"/>
      <sheetName val="LUZ HELENA"/>
      <sheetName val="PLANILLA EDNA "/>
      <sheetName val="PLANILLA GENERAL 16 -21"/>
      <sheetName val="Hoja3"/>
      <sheetName val="BORRADOR"/>
      <sheetName val="ORDEN"/>
      <sheetName val="Hoja18"/>
      <sheetName val="PLANILLA GENERAL (2)"/>
      <sheetName val="CRUCEEE"/>
      <sheetName val="SEDES"/>
      <sheetName val="ABREVIATIRAS"/>
      <sheetName val="FECHAS"/>
      <sheetName val="PERSONAL CONTRATO"/>
    </sheetNames>
    <sheetDataSet>
      <sheetData sheetId="0"/>
      <sheetData sheetId="1" refreshError="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CH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UMOS FEBRERO"/>
      <sheetName val="RUBROS"/>
      <sheetName val="PEDIDO SHARE POINT"/>
      <sheetName val="INSUMOS POR SEDES"/>
    </sheetNames>
    <sheetDataSet>
      <sheetData sheetId="0">
        <row r="2">
          <cell r="A2">
            <v>3</v>
          </cell>
          <cell r="B2" t="str">
            <v>Jabón para loza 1 (Compra)</v>
          </cell>
          <cell r="C2" t="str">
            <v>- Con agente(s) tensoactivo(s) principal(es) con efecto limpiador y desengrasante en una concentración mínima del 8%.
- Disponible en mínimo (2) dos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Debe contener concentraciones de fósforo iguales o inferiores a 0.65% de fósforo (Resolución 0689 de 2016)</v>
          </cell>
          <cell r="D2" t="str">
            <v>Líquido, en recipiente plástico con capacidad mínima de 3.785 ml</v>
          </cell>
          <cell r="E2">
            <v>30</v>
          </cell>
          <cell r="F2">
            <v>3</v>
          </cell>
        </row>
        <row r="3">
          <cell r="A3">
            <v>5</v>
          </cell>
          <cell r="B3" t="str">
            <v>Jabón para loza 3 (Compra)</v>
          </cell>
          <cell r="C3" t="str">
            <v xml:space="preserve"> - Con agente(s) tensoactivo(s) principal(es) con efecto limpiador y desengrasante en una concentración mínima del 15%.
 - Disponible en mínimo (2) dos fragancias
- El envase debe estar correctamente etiquetados bajo los parámetros establecidos en el sistema globalmente armonizado (Decreto 1496 de 2018) indicando: nombre comercial del producto, pictogramas de los compuestos peligrosos si aplica e instrucciones de uso.
- Debe contener concentraciones de fósforo iguales o inferiores a 0.65% de fósforo (Resolución 0689 de 2016)</v>
          </cell>
          <cell r="D3" t="str">
            <v>Crema, en recipiente plástico de mínimo 850 g</v>
          </cell>
          <cell r="E3">
            <v>6</v>
          </cell>
          <cell r="F3">
            <v>2</v>
          </cell>
        </row>
        <row r="4">
          <cell r="A4">
            <v>8</v>
          </cell>
          <cell r="B4" t="str">
            <v>Jabón en barra azul (Compra)</v>
          </cell>
          <cell r="C4" t="str">
            <v>- Todo tipo de uso
- Biodegradable
- No debe contener PVC o Poliestireno expandido u otros plásticos de un solo uso tanto en el envase como en el embalaje.
- Debe contener concentraciones de fósforo iguales o inferiores a 0.65% de fósforo (Resolución 0689 de 2016)</v>
          </cell>
          <cell r="D4" t="str">
            <v>Barra, unidad con peso mínimo de 250 g en
envoltura individual</v>
          </cell>
          <cell r="E4">
            <v>116</v>
          </cell>
          <cell r="F4">
            <v>14</v>
          </cell>
        </row>
        <row r="5">
          <cell r="A5">
            <v>9</v>
          </cell>
          <cell r="B5" t="str">
            <v>Jabón abrasivo (Compra)</v>
          </cell>
          <cell r="C5" t="str">
            <v>-Con agente(s) tensoactivo(s) pincipal(es) con efecto limpiador, pulidor y desengrasante
- Con agente activo mínimo del 5%
- Debe contener concentraciones de fósforo iguales o inferiores a 0.65% de fósforo (Resolución 0689 de 2016)</v>
          </cell>
          <cell r="D5" t="str">
            <v>En polvo, en tarro de mínimo 500 g</v>
          </cell>
          <cell r="E5">
            <v>91</v>
          </cell>
          <cell r="F5">
            <v>0</v>
          </cell>
        </row>
        <row r="6">
          <cell r="A6">
            <v>11</v>
          </cell>
          <cell r="B6" t="str">
            <v>Jabón de tocador 2 (Compra)</v>
          </cell>
          <cell r="C6" t="str">
            <v>- Jabón de tocador para manos en espuma
- Líquido para manos en bolsa para dispensador spray y con boquilla especial de dispensador
- Tapa tipo válvula, para dispensador, antibacterial y antiséptico 
- Con agente limpiador en una concentración mínima del 6%
- Con agente humectante en una concentración mínima del 3%
- Disponible en múltiples fragancias
- Producto biodegradable basado en ingredientes orgánicos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Elaborado en material reciclable
- No debe contener PVC, Poliestireno expandido u otros plásticos de un solo uso tanto en el envase como en el embalaje.
- Debe contener concentraciones de fósforo iguales o inferiores a 0.65% de fósforo (Resolución 0689 de 2016)</v>
          </cell>
          <cell r="D6" t="str">
            <v>Líquido, en bolsa  con capacidad mínima de 800 ml</v>
          </cell>
          <cell r="E6">
            <v>10</v>
          </cell>
          <cell r="F6">
            <v>4</v>
          </cell>
        </row>
        <row r="7">
          <cell r="A7">
            <v>13</v>
          </cell>
          <cell r="B7" t="str">
            <v>Jabón de dispensador para manos 2 (Compra)</v>
          </cell>
          <cell r="C7" t="str">
            <v>- Con agente limpiador en una concentración mínima del 6%
- Con agente humectante en una concentración mínima del 3%
- pH entre 5,5 a 7
- Disponible en mínimo (2) dos fragancias
- Debe contener concentraciones de fósforo iguales o inferiores a 0.65% de fósforo (Resolución 0689 de 2016)</v>
          </cell>
          <cell r="D7" t="str">
            <v>Líquido, en recipiente plástico con capacidad mínima de 3.785 ml</v>
          </cell>
          <cell r="E7">
            <v>81</v>
          </cell>
          <cell r="F7">
            <v>5</v>
          </cell>
        </row>
        <row r="8">
          <cell r="A8">
            <v>17</v>
          </cell>
          <cell r="B8" t="str">
            <v>Limpiador multiusos 1 (Compra)</v>
          </cell>
          <cell r="C8" t="str">
            <v>- Con agente(s) tensoactivo(s) principal(es) con efecto limpiador en una concentración mínima del 8%
- Disponible en mínimo (2) dos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8" t="str">
            <v xml:space="preserve">Líquido, en recipiente plástico con capacidad mínima de 3.785 ml </v>
          </cell>
          <cell r="E8">
            <v>116</v>
          </cell>
          <cell r="F8">
            <v>5</v>
          </cell>
        </row>
        <row r="9">
          <cell r="A9">
            <v>20</v>
          </cell>
          <cell r="B9" t="str">
            <v>Limpiador desinfectante para pisos (Compra)</v>
          </cell>
          <cell r="C9" t="str">
            <v>- Apariencia: Líquido transparente
- Color y olor: De acuerdo a la fragancia
- Producto biodegradable que no afectas la capa de ozono
- Solubilidad: Total en agua
- PH: 7.5 - 8.5
- Composición: Tensoactivos, espesante, coadyuvante, colorante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Elaborado en material reciclable
- No debe contener PVC, poliestireno expandido u otros plásticos de un solo uso tanto en el envase como en el embalaje.</v>
          </cell>
          <cell r="D9" t="str">
            <v>Líquido, en garrafa  con capacidad mínima de 3.785 ml</v>
          </cell>
          <cell r="E9">
            <v>96</v>
          </cell>
          <cell r="F9">
            <v>2</v>
          </cell>
        </row>
        <row r="10">
          <cell r="A10">
            <v>21</v>
          </cell>
          <cell r="B10" t="str">
            <v>Líquido desengrasante (Compra)</v>
          </cell>
          <cell r="C10" t="str">
            <v xml:space="preserve"> - Con agente(s) tensoactivo(s) principal(es) con efecto limpiador y desengrasante en una concentración mínima del 10%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Debe contener concentraciones de fósforo iguales o inferiores a 0.65% de fósforo (Resolución 0689 de 2016)</v>
          </cell>
          <cell r="D10" t="str">
            <v>Líquido, en recipiente plástico con capacidad mínima de 3.785 ml</v>
          </cell>
          <cell r="E10">
            <v>96</v>
          </cell>
          <cell r="F10">
            <v>2</v>
          </cell>
        </row>
        <row r="11">
          <cell r="A11">
            <v>28</v>
          </cell>
          <cell r="B11" t="str">
            <v>Pastilla desinfectante para sanitario (Compra)</v>
          </cell>
          <cell r="C11" t="str">
            <v>- Con agentes bactericidas, fungicidas y virucidas.</v>
          </cell>
          <cell r="D11" t="str">
            <v>Unidad con peso mínimo de 45 g</v>
          </cell>
          <cell r="E11">
            <v>155</v>
          </cell>
          <cell r="F11">
            <v>16</v>
          </cell>
        </row>
        <row r="12">
          <cell r="A12">
            <v>29</v>
          </cell>
          <cell r="B12" t="str">
            <v>Líquido para limpiar vidrios 1 (Compra)</v>
          </cell>
          <cell r="C12" t="str">
            <v>- Con agente(s) principal(es) con efecto limpiador y desengrasante en una concentración mínima del 4%
- Disponible mínimo en dos (2) fragancias
 - El envase debe estar  correctamente etiquetados bajo los parámetros establecidos en el sistema globalmente armonizado indicando: nombre comercial del producto, pictogramas de los compuestos peligrosos e instrucciones de uso</v>
          </cell>
          <cell r="D12" t="str">
            <v>Líquido, en recipiente plástico con capacidad mínima de 3.785 ml</v>
          </cell>
          <cell r="E12">
            <v>96</v>
          </cell>
          <cell r="F12">
            <v>10</v>
          </cell>
        </row>
        <row r="13">
          <cell r="A13">
            <v>32</v>
          </cell>
          <cell r="B13" t="str">
            <v>Blanqueador o hipoclorito 1 (Compra)</v>
          </cell>
          <cell r="C13" t="str">
            <v>- Solución con una concentración mínima del 5%
 - El  envase del producto deberá estar correctamente etiquetado, indicando: nombre comercial del producto, pictogramas de los compuestos peligrosos e instrucciones de uso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13" t="str">
            <v>Líquido, en recipiente plástico con capacidad
mínima de 3.785 ml</v>
          </cell>
          <cell r="E13">
            <v>96</v>
          </cell>
          <cell r="F13">
            <v>13</v>
          </cell>
        </row>
        <row r="14">
          <cell r="A14">
            <v>38</v>
          </cell>
          <cell r="B14" t="str">
            <v>Creolina 2 (Compra)</v>
          </cell>
          <cell r="C14" t="str">
            <v>- Solución con una concentración mínima de fenoles de 4%</v>
          </cell>
          <cell r="D14" t="str">
            <v>Líquido, en recipiente plástico con capacidad
mínima de 3.785 ml</v>
          </cell>
          <cell r="E14">
            <v>25</v>
          </cell>
          <cell r="F14">
            <v>0</v>
          </cell>
        </row>
        <row r="15">
          <cell r="A15">
            <v>41</v>
          </cell>
          <cell r="B15" t="str">
            <v>Champú para alfombras y tapizados 1 (Compra)</v>
          </cell>
          <cell r="C15" t="str">
            <v>- Con agente(s) principal(es) con efecto limpiador en una concentración mínima del 8%
 - El envase debe estar  correctamente etiquetado: nombre comercial del producto, pictogramas de los compuestos peligrosos e instrucciones de uso</v>
          </cell>
          <cell r="D15" t="str">
            <v>Líquido, en recipiente plástico con capacidad
mínima de 3.785 ml</v>
          </cell>
          <cell r="E15">
            <v>25</v>
          </cell>
          <cell r="F15">
            <v>0</v>
          </cell>
        </row>
        <row r="16">
          <cell r="A16">
            <v>44</v>
          </cell>
          <cell r="B16" t="str">
            <v>Líquido cubre rasguños para madera (Compra)</v>
          </cell>
          <cell r="C16" t="str">
            <v>- Con agentes limpiadores y abrillantadores en una concentración mínima del 5%
- De color oscuro para coayudar a cubrir rasguños en maderas oscuras</v>
          </cell>
          <cell r="D16" t="str">
            <v>En recipiente plástico
con capacidad mínima de 200 ml</v>
          </cell>
          <cell r="E16">
            <v>6</v>
          </cell>
          <cell r="F16">
            <v>2</v>
          </cell>
        </row>
        <row r="17">
          <cell r="A17">
            <v>46</v>
          </cell>
          <cell r="B17" t="str">
            <v>Cera polimérica (Compra)</v>
          </cell>
          <cell r="C17" t="str">
            <v>- Polimérica autobrillante.
- Con polímeros acrílicos, nivelantes y plastificantes.
- Neutra (para pisos de todos los colores)
- Contenido mínimo de sólidos del 10%</v>
          </cell>
          <cell r="D17" t="str">
            <v>Líquido, en recipiente plástico con capacidad mínima de 3.785 ml</v>
          </cell>
          <cell r="E17">
            <v>25</v>
          </cell>
          <cell r="F17">
            <v>0</v>
          </cell>
        </row>
        <row r="18">
          <cell r="A18">
            <v>50</v>
          </cell>
          <cell r="B18" t="str">
            <v>Sellante para pisos (Compra)</v>
          </cell>
          <cell r="C18" t="str">
            <v>- Polimérico autobrillante.
- Con polímeros acrílicos, nivelantes y plastificantes.
- Contenido mínimo de sólidos del 20%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18" t="str">
            <v>Líquido, en recipiente plástico con capacidad mínima de 3.785 ml</v>
          </cell>
          <cell r="E18">
            <v>25</v>
          </cell>
          <cell r="F18">
            <v>0</v>
          </cell>
        </row>
        <row r="19">
          <cell r="A19">
            <v>51</v>
          </cell>
          <cell r="B19" t="str">
            <v>Mantenedor de pisos (Compra)</v>
          </cell>
          <cell r="C19" t="str">
            <v>- Polimérico autobrillante.
- Con polímeros acrílicos, nivelantes y plastificantes.
- Contenido mínimo de sólidos del 8%</v>
          </cell>
          <cell r="D19" t="str">
            <v>Líquido, en recipiente
plástico con capacidad mínima de 3.785 ml</v>
          </cell>
          <cell r="E19">
            <v>25</v>
          </cell>
          <cell r="F19">
            <v>0</v>
          </cell>
        </row>
        <row r="20">
          <cell r="A20">
            <v>52</v>
          </cell>
          <cell r="B20" t="str">
            <v>Removedor de cera (Compra)</v>
          </cell>
          <cell r="C20" t="str">
            <v>- Con agente activo alcalino en una concentración mínima del 9%
- pH entre 11 y 14</v>
          </cell>
          <cell r="D20" t="str">
            <v>Líquido, en recipiente plástico con capacidad mínima de 3.785 ml</v>
          </cell>
          <cell r="E20">
            <v>96</v>
          </cell>
          <cell r="F20">
            <v>0</v>
          </cell>
        </row>
        <row r="21">
          <cell r="A21">
            <v>54</v>
          </cell>
          <cell r="B21" t="str">
            <v>Jabón neutro para pisos 1 (Compra)</v>
          </cell>
          <cell r="C21" t="str">
            <v xml:space="preserve"> - Jabón multiusos
 - PH Neutro, 
 - No corrosivo ni tóxico
- Debe contener concentraciones de fósforo iguales o inferiores a 0.65% de fósforo (Resolución 0689 de 2016)</v>
          </cell>
          <cell r="D21" t="str">
            <v>Líquido, en recipiente
plástico con capacidad mínima de 3.785 ml</v>
          </cell>
          <cell r="E21">
            <v>96</v>
          </cell>
          <cell r="F21">
            <v>0</v>
          </cell>
        </row>
        <row r="22">
          <cell r="A22">
            <v>57</v>
          </cell>
          <cell r="B22" t="str">
            <v>Varsol ecológico 2 (Compra)</v>
          </cell>
          <cell r="C22" t="str">
            <v>- Solución con agentes desinfectantes, desmanchadores y desengrasantes  en concentración mínima del 15%.
- Biodegradable mínimo en un 95%</v>
          </cell>
          <cell r="D22" t="str">
            <v>Líquido, en recipiente plástico con capacidad mínima de 3.785 ml</v>
          </cell>
          <cell r="E22">
            <v>25</v>
          </cell>
          <cell r="F22">
            <v>0</v>
          </cell>
        </row>
        <row r="23">
          <cell r="A23">
            <v>59</v>
          </cell>
          <cell r="B23" t="str">
            <v>Brillametal en crema (Compra)</v>
          </cell>
          <cell r="C23" t="str">
            <v>- Con agentes con efecto limpiador, pulidor y brillador.
- Para todo tipo de metales
 - El  envase del producto deberá estar correctamente etiquetado, indicando: nombre comercial del producto, pictogramas de los compuestos peligrosos e instrucciones de uso</v>
          </cell>
          <cell r="D23" t="str">
            <v>En crema de mínimo 70 g</v>
          </cell>
          <cell r="E23">
            <v>4</v>
          </cell>
          <cell r="F23">
            <v>0</v>
          </cell>
        </row>
        <row r="24">
          <cell r="A24">
            <v>62</v>
          </cell>
          <cell r="B24" t="str">
            <v>Ambientador 1 (Compra)</v>
          </cell>
          <cell r="C24" t="str">
            <v>- Solución con alcohol etílico y solventes.
- Con fragancia en una concentración del 1,5%
- En múltiples fragancias (Mínimo 5 tipos de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24" t="str">
            <v>Líquido, en recipiente plástico con capacidad
mínima de 3.785 ml</v>
          </cell>
          <cell r="E24">
            <v>25</v>
          </cell>
          <cell r="F24">
            <v>23</v>
          </cell>
        </row>
        <row r="25">
          <cell r="A25">
            <v>63</v>
          </cell>
          <cell r="B25" t="str">
            <v>Ambientador 2 (Compra)</v>
          </cell>
          <cell r="C25" t="str">
            <v>- Solución con alcohol etílico y solventes.
- Con fragancia en una concentración del 1,5%
- En múltiples fragancias
- libre de CFC
 - Envase correctamente etiquetado bajo los parámetros establecidos indicando: nombre comercial del producto, pictogramas de los compuestos peligrosos e instrucciones de uso.
- Elaborado en material reciclable</v>
          </cell>
          <cell r="D25" t="str">
            <v>Líquido, en aerosol seguro para la capa de ozono con capacidad mínima de 360 ml</v>
          </cell>
          <cell r="E25">
            <v>25</v>
          </cell>
          <cell r="F25">
            <v>41</v>
          </cell>
        </row>
        <row r="26">
          <cell r="A26">
            <v>64</v>
          </cell>
          <cell r="B26" t="str">
            <v>Insecticida 1 (Compra)</v>
          </cell>
          <cell r="C26" t="str">
            <v>- Para eliminar insectos rastreros.
-  Con acción residual hasta por 4 semanas o de larga duración
- Sin fuertes olores químicos
- Libre de CFC
 - El  envase del producto deberá estar correctamente etiquetado, indicando: nombre comercial del producto, pictogramas de los compuestos peligrosos e instrucciones de uso</v>
          </cell>
          <cell r="D26" t="str">
            <v>Líquido, en aerosol seguro para la capa de ozono con capacidad
mínima de 350 ml</v>
          </cell>
          <cell r="E26">
            <v>25</v>
          </cell>
          <cell r="F26">
            <v>25</v>
          </cell>
        </row>
        <row r="27">
          <cell r="A27">
            <v>65</v>
          </cell>
          <cell r="B27" t="str">
            <v>Insecticida 2 (Compra)</v>
          </cell>
          <cell r="C27" t="str">
            <v>- Para eliminar insectos voladores
-  Con acción residual hasta por 4 semanas o de larga duración
- Sin fuertes olores químicos
- Libre de CFC
 - El  envase del producto deberá estar correctamente etiquetado, indicando: nombre comercial del producto, pictogramas de los compuestos peligrosos e instrucciones de uso</v>
          </cell>
          <cell r="D27" t="str">
            <v>Líquido, en aerosol seguro para la capa de ozono con capacidad
mínima de 350 ml</v>
          </cell>
          <cell r="E27">
            <v>25</v>
          </cell>
          <cell r="F27">
            <v>20</v>
          </cell>
        </row>
        <row r="28">
          <cell r="A28">
            <v>66</v>
          </cell>
          <cell r="B28" t="str">
            <v>Limpiones 1 (Compra)</v>
          </cell>
          <cell r="C28" t="str">
            <v>- En tela de toalla fileteada
- Color blanco sin estampado
- Tamaño mínimo de 45cm de largo por 45cm de ancho.</v>
          </cell>
          <cell r="D28" t="str">
            <v>Unidad</v>
          </cell>
          <cell r="E28">
            <v>25</v>
          </cell>
          <cell r="F28">
            <v>3</v>
          </cell>
        </row>
        <row r="29">
          <cell r="A29">
            <v>71</v>
          </cell>
          <cell r="B29" t="str">
            <v>Bayetilla 1 (Compra)</v>
          </cell>
          <cell r="C29" t="str">
            <v xml:space="preserve"> - En tela fileteada
 -  100% algodón y fibra natural 
- Color blanco sin estampado
-Tamaño mínimo de 100 cm de largo por 70 cm de ancho</v>
          </cell>
          <cell r="D29" t="str">
            <v>Unidad</v>
          </cell>
          <cell r="E29">
            <v>25</v>
          </cell>
          <cell r="F29">
            <v>0</v>
          </cell>
        </row>
        <row r="30">
          <cell r="A30">
            <v>72</v>
          </cell>
          <cell r="B30" t="str">
            <v>Bayetilla 2 (Compra)</v>
          </cell>
          <cell r="C30" t="str">
            <v xml:space="preserve"> - En tela fileteada
 - 100% algodón y fibra natural 
 - Color rojo sin estampado
 -Tamaño mínimo de 100 cm de largo por 70 cm de ancho</v>
          </cell>
          <cell r="D30" t="str">
            <v>Unidad</v>
          </cell>
          <cell r="E30">
            <v>25</v>
          </cell>
          <cell r="F30">
            <v>0</v>
          </cell>
        </row>
        <row r="31">
          <cell r="A31">
            <v>73</v>
          </cell>
          <cell r="B31" t="str">
            <v>Toalla en tela blanca para pisos por metro (repuesto de haraganes) (Compra)</v>
          </cell>
          <cell r="C31" t="str">
            <v xml:space="preserve"> - Elaborado  en microfibras
 - Color blanco
 - Tamaño mínimo de 100 cm de largo por 70 cm de ancho</v>
          </cell>
          <cell r="D31" t="str">
            <v>Unidad</v>
          </cell>
          <cell r="E31">
            <v>25</v>
          </cell>
          <cell r="F31">
            <v>2</v>
          </cell>
        </row>
        <row r="32">
          <cell r="A32">
            <v>74</v>
          </cell>
          <cell r="B32" t="str">
            <v>Paño absorbente multiusos 1 (Compra)</v>
          </cell>
          <cell r="C32" t="str">
            <v>- Retira el polvo sin dejar residuos ni pelusas
- Antibacterial reutilizable
- Tela con microporos
- Tamaño mínimo de 58 cm de largo por 33 cm de ancho</v>
          </cell>
          <cell r="D32" t="str">
            <v>Paquete X 6 unidades</v>
          </cell>
          <cell r="E32">
            <v>25</v>
          </cell>
          <cell r="F32">
            <v>25</v>
          </cell>
        </row>
        <row r="33">
          <cell r="A33">
            <v>79</v>
          </cell>
          <cell r="B33" t="str">
            <v>Esponjilla 1 (Compra)</v>
          </cell>
          <cell r="C33" t="str">
            <v>- Espuma enmallada
- Tamaño mínimo de 7 cm de largo por 10 cm de ancho</v>
          </cell>
          <cell r="D33" t="str">
            <v>Unidad</v>
          </cell>
          <cell r="E33">
            <v>37</v>
          </cell>
          <cell r="F33">
            <v>52</v>
          </cell>
        </row>
        <row r="34">
          <cell r="A34">
            <v>80</v>
          </cell>
          <cell r="B34" t="str">
            <v>Esponjilla 2 (Compra)</v>
          </cell>
          <cell r="C34" t="str">
            <v>- Doble uso (material de esponjilla blanda y abrasiva)
- Tamaño mínimo de 7 cm de largo por 10 cm de ancho
- No debe contener PVC o Poliestireno expandido u otros plásticos de un solo uso tanto en el envase como en el embalaje</v>
          </cell>
          <cell r="D34" t="str">
            <v>Unidad</v>
          </cell>
          <cell r="E34">
            <v>37</v>
          </cell>
          <cell r="F34">
            <v>55</v>
          </cell>
        </row>
        <row r="35">
          <cell r="A35">
            <v>81</v>
          </cell>
          <cell r="B35" t="str">
            <v>Esponjilla 3 (Compra)</v>
          </cell>
          <cell r="C35" t="str">
            <v>- Abrasiva
- Tamaño mínimo de 9 cm de largo por 12 cm de</v>
          </cell>
          <cell r="D35" t="str">
            <v>Unidad</v>
          </cell>
          <cell r="E35">
            <v>37</v>
          </cell>
          <cell r="F35">
            <v>26</v>
          </cell>
        </row>
        <row r="36">
          <cell r="A36">
            <v>82</v>
          </cell>
          <cell r="B36" t="str">
            <v>Esponjilla 4 (Compra)</v>
          </cell>
          <cell r="C36" t="str">
            <v>- Elaborada con fibra de acero inoxidable para dar brillo
- Tamaño mínimo de 5 cm de largo por 5 cm de ancho</v>
          </cell>
          <cell r="D36" t="str">
            <v>Paquete X 6 unidades</v>
          </cell>
          <cell r="E36">
            <v>37</v>
          </cell>
          <cell r="F36">
            <v>13</v>
          </cell>
        </row>
        <row r="37">
          <cell r="A37">
            <v>83</v>
          </cell>
          <cell r="B37" t="str">
            <v>Esponjilla 5 (Compra)</v>
          </cell>
          <cell r="C37" t="str">
            <v>- Elaborada con alambre de acero inoxidable
- Tamaño mínimo de 7 cm de largo por 10 cm de ancho</v>
          </cell>
          <cell r="D37" t="str">
            <v>Unidad</v>
          </cell>
          <cell r="E37">
            <v>37</v>
          </cell>
          <cell r="F37">
            <v>20</v>
          </cell>
        </row>
        <row r="38">
          <cell r="A38">
            <v>86</v>
          </cell>
          <cell r="B38" t="str">
            <v>Escoba 1 (Compra)</v>
          </cell>
          <cell r="C38" t="str">
            <v xml:space="preserve">- Cerdas suaves elaboradas con PET calibre entre 0,3 y 0,4 mm.
- Área de barrido mínima de 25 cm de largo por 8 cm de ancho por 10 cm de alto
- Material de base en plástico con acople tipo rosca
</v>
          </cell>
          <cell r="D38" t="str">
            <v>Unidad</v>
          </cell>
          <cell r="E38">
            <v>20</v>
          </cell>
          <cell r="F38">
            <v>21</v>
          </cell>
        </row>
        <row r="39">
          <cell r="A39">
            <v>87</v>
          </cell>
          <cell r="B39" t="str">
            <v>Escoba 2 (Compra)</v>
          </cell>
          <cell r="C39" t="str">
            <v xml:space="preserve">- Cerdas duras elaboradas con PET calibre entre 0,4 y 0,6 mm.
- Área de barrido mínima de 25 cm de largo por 8 cm de ancho por 10 cm de alto
- Material de base en plástico con acople tipo rosca
</v>
          </cell>
          <cell r="D39" t="str">
            <v>Unidad</v>
          </cell>
          <cell r="E39">
            <v>25</v>
          </cell>
          <cell r="F39">
            <v>15</v>
          </cell>
        </row>
        <row r="40">
          <cell r="A40">
            <v>88</v>
          </cell>
          <cell r="B40" t="str">
            <v>Escoba 3 (Compra)</v>
          </cell>
          <cell r="C40" t="str">
            <v xml:space="preserve">- Cerdas suaves elaboradas con PET calibre entre 0,3 y 0,4 mm.
- Área de barrido mínima de 35 cm de largo por 8 cm de ancho por 10 cm de alto
- Material de base en plástico con acople tipo rosca
</v>
          </cell>
          <cell r="D40" t="str">
            <v>Unidad</v>
          </cell>
          <cell r="E40">
            <v>67</v>
          </cell>
          <cell r="F40">
            <v>0</v>
          </cell>
        </row>
        <row r="41">
          <cell r="A41">
            <v>89</v>
          </cell>
          <cell r="B41" t="str">
            <v>Escoba 4 (Compra)</v>
          </cell>
          <cell r="C41" t="str">
            <v xml:space="preserve">- Cerdas duras elaboradas con PET calibre entre 0,4 y 0,6 mm.
- Área de barrido mínima de 35 cm de largo por 8 cm de ancho por 10 cm de alto
- Material de base en plástico con acople tipo rosca
</v>
          </cell>
          <cell r="D41" t="str">
            <v>Unidad</v>
          </cell>
          <cell r="E41">
            <v>35</v>
          </cell>
          <cell r="F41">
            <v>0</v>
          </cell>
        </row>
        <row r="42">
          <cell r="A42">
            <v>91</v>
          </cell>
          <cell r="B42" t="str">
            <v>Mango metálico escoba 1 (Compra)</v>
          </cell>
          <cell r="C42" t="str">
            <v xml:space="preserve">- Extensión mínima de 140 cm
 -Acople plástico o rosca para palos de escoba
 </v>
          </cell>
          <cell r="D42" t="str">
            <v>Unidad</v>
          </cell>
          <cell r="E42">
            <v>25</v>
          </cell>
          <cell r="F42">
            <v>0</v>
          </cell>
        </row>
        <row r="43">
          <cell r="A43">
            <v>92</v>
          </cell>
          <cell r="B43" t="str">
            <v>Mango madera escoba 1 (Compra)</v>
          </cell>
          <cell r="C43" t="str">
            <v xml:space="preserve">- Extensión mínima de 140 cm
 -Acople plástico o rosca para palos de escoba
 </v>
          </cell>
          <cell r="D43" t="str">
            <v>Unidad</v>
          </cell>
          <cell r="E43">
            <v>20</v>
          </cell>
          <cell r="F43">
            <v>0</v>
          </cell>
        </row>
        <row r="44">
          <cell r="A44">
            <v>94</v>
          </cell>
          <cell r="B44" t="str">
            <v>Cepillos 2 (Compra)</v>
          </cell>
          <cell r="C44" t="str">
            <v>- Para pisos
- Cuerpo elaborado en plástico
- Cerdas duras en fibra plástica
- Tamaño mínimo de 23 cm de largo por 6 cm de ancho por 7 cm de alto.
- Mango metálico con una extensión mínima de
140 cm</v>
          </cell>
          <cell r="D44" t="str">
            <v>Unidad</v>
          </cell>
          <cell r="E44">
            <v>41</v>
          </cell>
          <cell r="F44">
            <v>0</v>
          </cell>
        </row>
        <row r="45">
          <cell r="A45">
            <v>95</v>
          </cell>
          <cell r="B45" t="str">
            <v>Cepillos 3 (Compra)</v>
          </cell>
          <cell r="C45" t="str">
            <v>- Para pisos
- Cuerpo elaborado en plástico
- Cerdas duras en fibra plástica
- Tamaño mínimo de 35 cm de largo por 6 cm de ancho por 7 cm de alto.
- Mango metálico con una extensión mínima de
140 cm</v>
          </cell>
          <cell r="D45" t="str">
            <v>Unidad</v>
          </cell>
          <cell r="E45">
            <v>22</v>
          </cell>
          <cell r="F45">
            <v>0</v>
          </cell>
        </row>
        <row r="46">
          <cell r="A46">
            <v>98</v>
          </cell>
          <cell r="B46" t="str">
            <v>Trapero 3 (Compra)</v>
          </cell>
          <cell r="C46" t="str">
            <v>- Elaborado con hilaza de algodón natural
- Mecha con peso mínimo de 435 gr y extensión mínima de 32 cm de largo
- Material de base en plástico con acople tipo rosca</v>
          </cell>
          <cell r="D46" t="str">
            <v>Unidad</v>
          </cell>
          <cell r="E46">
            <v>25</v>
          </cell>
          <cell r="F46">
            <v>6</v>
          </cell>
        </row>
        <row r="47">
          <cell r="A47">
            <v>100</v>
          </cell>
          <cell r="B47" t="str">
            <v>Mango metálico trapero (Compra)</v>
          </cell>
          <cell r="C47" t="str">
            <v xml:space="preserve">- Extensión mínima de 140 cm
- Acople plástico o rosca para palos de escoba
 </v>
          </cell>
          <cell r="D47" t="str">
            <v>Unidad</v>
          </cell>
          <cell r="E47">
            <v>59</v>
          </cell>
          <cell r="F47">
            <v>6</v>
          </cell>
        </row>
        <row r="48">
          <cell r="A48">
            <v>102</v>
          </cell>
          <cell r="B48" t="str">
            <v>Cepillo para sanitario (churrusco) (Compra)</v>
          </cell>
          <cell r="C48" t="str">
            <v>- Cerdas duras elaboradas en fibras plásticas
- Extensión mínima de las cerdas es de 2,5 cm
- Base y mango elaborados en plástico
- Mango con longitud mínima de 33 cm (incluida la medida del cepillo)</v>
          </cell>
          <cell r="D48" t="str">
            <v>Unidad</v>
          </cell>
          <cell r="E48">
            <v>25</v>
          </cell>
          <cell r="F48">
            <v>23</v>
          </cell>
        </row>
        <row r="49">
          <cell r="A49">
            <v>103</v>
          </cell>
          <cell r="B49" t="str">
            <v>Pads 1 (Compra)</v>
          </cell>
          <cell r="C49" t="str">
            <v>- Para brillo
- Diámetro mínimo de 16 pulgadas
- Rojo o blanco</v>
          </cell>
          <cell r="D49" t="str">
            <v>Unidad</v>
          </cell>
          <cell r="E49">
            <v>56</v>
          </cell>
          <cell r="F49">
            <v>0</v>
          </cell>
        </row>
        <row r="50">
          <cell r="A50">
            <v>104</v>
          </cell>
          <cell r="B50" t="str">
            <v>Pads 2 (Compra)</v>
          </cell>
          <cell r="C50" t="str">
            <v>- Para remoción
- Diámetro mínimo de 16 pulgadas
- Café o negro</v>
          </cell>
          <cell r="D50" t="str">
            <v>Unidad</v>
          </cell>
          <cell r="E50">
            <v>65</v>
          </cell>
          <cell r="F50">
            <v>0</v>
          </cell>
        </row>
        <row r="51">
          <cell r="A51">
            <v>105</v>
          </cell>
          <cell r="B51" t="str">
            <v>Pads 3 (Compra)</v>
          </cell>
          <cell r="C51" t="str">
            <v>- Para brillo
- Diámetro mínimo de 20 pulgadas
- Rojo o blanco</v>
          </cell>
          <cell r="D51" t="str">
            <v>Unidad</v>
          </cell>
          <cell r="E51">
            <v>25</v>
          </cell>
          <cell r="F51">
            <v>0</v>
          </cell>
        </row>
        <row r="52">
          <cell r="A52">
            <v>106</v>
          </cell>
          <cell r="B52" t="str">
            <v>Pads 4 (Compra)</v>
          </cell>
          <cell r="C52" t="str">
            <v>- Para remoción
- Diámetro mínimo de 20 pulgadas
- Café o negro</v>
          </cell>
          <cell r="D52" t="str">
            <v>Unidad</v>
          </cell>
          <cell r="E52">
            <v>25</v>
          </cell>
          <cell r="F52">
            <v>0</v>
          </cell>
        </row>
        <row r="53">
          <cell r="A53">
            <v>108</v>
          </cell>
          <cell r="B53" t="str">
            <v>Boneth 1 (Compra)</v>
          </cell>
          <cell r="C53" t="str">
            <v>- Diámetro mínimo de 16 pulgadas
- Elaborado en hilaza de algodón</v>
          </cell>
          <cell r="D53" t="str">
            <v>Unidad</v>
          </cell>
          <cell r="E53">
            <v>20</v>
          </cell>
          <cell r="F53">
            <v>0</v>
          </cell>
        </row>
        <row r="54">
          <cell r="A54">
            <v>109</v>
          </cell>
          <cell r="B54" t="str">
            <v>Boneth 2 (Compra)</v>
          </cell>
          <cell r="C54" t="str">
            <v>- Diámetro mínimo de 20 pulgadas
- Elaborado en hilaza de algodón</v>
          </cell>
          <cell r="D54" t="str">
            <v>Unidad</v>
          </cell>
          <cell r="E54">
            <v>2</v>
          </cell>
          <cell r="F54">
            <v>0</v>
          </cell>
        </row>
        <row r="55">
          <cell r="A55">
            <v>110</v>
          </cell>
          <cell r="B55" t="str">
            <v>Bolsas plásticas 1 (Compra)</v>
          </cell>
          <cell r="C55" t="str">
            <v>- Elaborada en polietileno de baja densidad
- De color negro
- Calibre de mínimo 1
- Tamaño de 40 cm de ancho por 55 cm de largo</v>
          </cell>
          <cell r="D55" t="str">
            <v>Paquete de mínimo 6</v>
          </cell>
          <cell r="E55">
            <v>96</v>
          </cell>
          <cell r="F55">
            <v>335</v>
          </cell>
        </row>
        <row r="56">
          <cell r="A56">
            <v>118</v>
          </cell>
          <cell r="B56" t="str">
            <v>Bolsas plásticas 15 (Compra)</v>
          </cell>
          <cell r="C56" t="str">
            <v>- Elaborada en polietileno de baja densidad
- De color negro
- Calibre de mínimo 2
- Tamaño de 70 cm de ancho por 90 cm de largo</v>
          </cell>
          <cell r="D56" t="str">
            <v>Paquete de mínimo 6</v>
          </cell>
          <cell r="E56">
            <v>96</v>
          </cell>
          <cell r="F56">
            <v>367</v>
          </cell>
        </row>
        <row r="57">
          <cell r="A57">
            <v>119</v>
          </cell>
          <cell r="B57" t="str">
            <v>Bolsas plásticas 16 (Compra)</v>
          </cell>
          <cell r="C57" t="str">
            <v>- Elaborada en polietileno de baja densidad
- De color verde
- Calibre de mínimo 2
- Tamaño de 70 cm de ancho por 90 cm de largo</v>
          </cell>
          <cell r="D57" t="str">
            <v>Paquete de mínimo 6</v>
          </cell>
          <cell r="E57">
            <v>96</v>
          </cell>
          <cell r="F57">
            <v>282</v>
          </cell>
        </row>
        <row r="58">
          <cell r="A58">
            <v>120</v>
          </cell>
          <cell r="B58" t="str">
            <v>Bolsas plásticas 17 (Compra)</v>
          </cell>
          <cell r="C58" t="str">
            <v>- Elaborada en polietileno de baja densidad
- De color blanco
- Calibre de mínimo 2
- Tamaño de 70 cm de ancho por 90 cm de largo</v>
          </cell>
          <cell r="D58" t="str">
            <v>Paquete de mínimo 6</v>
          </cell>
          <cell r="E58">
            <v>96</v>
          </cell>
          <cell r="F58">
            <v>325</v>
          </cell>
        </row>
        <row r="59">
          <cell r="A59">
            <v>122</v>
          </cell>
          <cell r="B59" t="str">
            <v>Bolsas plásticas 21 (Compra)</v>
          </cell>
          <cell r="C59" t="str">
            <v>- Elaborada en polietileno de baja densidad
- De color negro
- Calibre de mínimo 3
- Tamaño de 80 cm de ancho por 110 cm de largo</v>
          </cell>
          <cell r="D59" t="str">
            <v>Paquete de mínimo 6</v>
          </cell>
          <cell r="E59">
            <v>96</v>
          </cell>
          <cell r="F59">
            <v>282</v>
          </cell>
        </row>
        <row r="60">
          <cell r="A60">
            <v>123</v>
          </cell>
          <cell r="B60" t="str">
            <v>Bolsas plásticas 22 (Compra)</v>
          </cell>
          <cell r="C60" t="str">
            <v>- Elaborada en polietileno de baja densidad
- De color verde
- Calibre de mínimo 3
- Tamaño de 80 cm de ancho por 110 cm de largo</v>
          </cell>
          <cell r="D60" t="str">
            <v>Paquete de mínimo 6</v>
          </cell>
          <cell r="E60">
            <v>97</v>
          </cell>
          <cell r="F60">
            <v>152</v>
          </cell>
        </row>
        <row r="61">
          <cell r="A61">
            <v>124</v>
          </cell>
          <cell r="B61" t="str">
            <v>Bolsas plásticas 23 (Compra)</v>
          </cell>
          <cell r="C61" t="str">
            <v>- Elaborada en polietileno de baja densidad
- De color blanco
-Calibre de mínimo 3
- Tamaño de 80 cm de ancho por 110 cm de largo</v>
          </cell>
          <cell r="D61" t="str">
            <v>Paquete de mínimo 6</v>
          </cell>
          <cell r="E61">
            <v>96</v>
          </cell>
          <cell r="F61">
            <v>270</v>
          </cell>
        </row>
        <row r="62">
          <cell r="A62">
            <v>126</v>
          </cell>
          <cell r="B62" t="str">
            <v>Guantes 1 (Compra)</v>
          </cell>
          <cell r="C62" t="str">
            <v>- Tipo doméstico
- Elaborados en látex
- Calibre mínimo de 18
- Tallas 7 a 9 o S a XL
- Color amarillo</v>
          </cell>
          <cell r="D62" t="str">
            <v>Par</v>
          </cell>
          <cell r="E62">
            <v>26</v>
          </cell>
          <cell r="F62">
            <v>0</v>
          </cell>
        </row>
        <row r="63">
          <cell r="A63">
            <v>127</v>
          </cell>
          <cell r="B63" t="str">
            <v>Guantes 2 (Compra)</v>
          </cell>
          <cell r="C63" t="str">
            <v>- Tipo doméstico
- Elaborados en látex
- Calibre mínimo de 18
- Tallas 7 a 9 o S a XL
- Color negro</v>
          </cell>
          <cell r="D63" t="str">
            <v>Par</v>
          </cell>
          <cell r="E63">
            <v>30</v>
          </cell>
          <cell r="F63">
            <v>0</v>
          </cell>
        </row>
        <row r="64">
          <cell r="A64">
            <v>129</v>
          </cell>
          <cell r="B64" t="str">
            <v>Guantes 4 (Compra)</v>
          </cell>
          <cell r="C64" t="str">
            <v>- Tipo doméstico
- Elaborados en látex
- Calibre mínimo de 25
- Tallas 7 a 9 o S a XL
- Color rojo</v>
          </cell>
          <cell r="D64" t="str">
            <v>Par</v>
          </cell>
          <cell r="E64">
            <v>30</v>
          </cell>
          <cell r="F64">
            <v>0</v>
          </cell>
        </row>
        <row r="65">
          <cell r="A65">
            <v>131</v>
          </cell>
          <cell r="B65" t="str">
            <v>Guantes 6 (Compra)</v>
          </cell>
          <cell r="C65" t="str">
            <v>- Elaborados en látex desechable (tipo cirugía)
- Empovaldos
- Tallas XS a XXL</v>
          </cell>
          <cell r="D65" t="str">
            <v>Caja de mínimo 100 unidades</v>
          </cell>
          <cell r="E65">
            <v>5</v>
          </cell>
          <cell r="F65">
            <v>0</v>
          </cell>
        </row>
        <row r="66">
          <cell r="A66">
            <v>132</v>
          </cell>
          <cell r="B66" t="str">
            <v>Guantes 7 (Compra)</v>
          </cell>
          <cell r="C66" t="str">
            <v>- Elaborados en carnaza
- Tallas 7 a 9 o S a XL</v>
          </cell>
          <cell r="D66" t="str">
            <v>Par</v>
          </cell>
          <cell r="E66">
            <v>7</v>
          </cell>
          <cell r="F66">
            <v>0</v>
          </cell>
        </row>
        <row r="67">
          <cell r="A67">
            <v>134</v>
          </cell>
          <cell r="B67" t="str">
            <v>Guantes 9 (Compra)</v>
          </cell>
          <cell r="C67" t="str">
            <v>- Elaborados en hilaza
- Tallas 7 a 9 o S a XL</v>
          </cell>
          <cell r="D67" t="str">
            <v>Par</v>
          </cell>
          <cell r="E67">
            <v>34</v>
          </cell>
          <cell r="F67">
            <v>0</v>
          </cell>
        </row>
        <row r="68">
          <cell r="A68">
            <v>135</v>
          </cell>
          <cell r="B68" t="str">
            <v>Tapabocas Desechable (Compra)</v>
          </cell>
          <cell r="C68" t="str">
            <v>- Elaborado en tela no tejida
- Desechable
- Con tiras elásticas</v>
          </cell>
          <cell r="D68" t="str">
            <v>Caja de mínimo 50 unidades</v>
          </cell>
          <cell r="E68">
            <v>6</v>
          </cell>
          <cell r="F68">
            <v>0</v>
          </cell>
        </row>
        <row r="69">
          <cell r="A69">
            <v>137</v>
          </cell>
          <cell r="B69" t="str">
            <v>Papel higiénico 1 (Compra)</v>
          </cell>
          <cell r="C69" t="str">
            <v xml:space="preserve"> - Rollo con longitud mínima de 20 metros
 - Doble hoja blanca
 - Sin fragancia</v>
          </cell>
          <cell r="D69" t="str">
            <v>Rollo</v>
          </cell>
          <cell r="E69">
            <v>10</v>
          </cell>
          <cell r="F69">
            <v>40</v>
          </cell>
        </row>
        <row r="70">
          <cell r="A70">
            <v>139</v>
          </cell>
          <cell r="B70" t="str">
            <v>Papel higiénico 3 (Compra)</v>
          </cell>
          <cell r="C70" t="str">
            <v>- Rollo con longitud mínima de 250 metros
- Doble hoja de color natural
- Sin fragancia</v>
          </cell>
          <cell r="D70" t="str">
            <v>Paca X 4 rollos</v>
          </cell>
          <cell r="E70">
            <v>71</v>
          </cell>
          <cell r="F70">
            <v>322</v>
          </cell>
        </row>
        <row r="71">
          <cell r="A71">
            <v>151</v>
          </cell>
          <cell r="B71" t="str">
            <v>Toallas para manos 6 (Compra)</v>
          </cell>
          <cell r="C71" t="str">
            <v>- Toallas interdobladas, paquete con mínimo 150 unidades
- Doble hoja con un tamaño mínimo de 20 cm de largo por 15 cm de ancho
 - Hoja color blanco</v>
          </cell>
          <cell r="D71" t="str">
            <v>Unidad</v>
          </cell>
          <cell r="E71">
            <v>310</v>
          </cell>
          <cell r="F71">
            <v>1391</v>
          </cell>
        </row>
        <row r="72">
          <cell r="A72">
            <v>152</v>
          </cell>
          <cell r="B72" t="str">
            <v>Toallas para manos 7 (Compra)</v>
          </cell>
          <cell r="C72" t="str">
            <v>- Toallas con precorte
- Rollo con longitud mínima de 100 metros
- Doble hoja con tamaño mínimo de 15 cms de ancho
- Color Blanco
- Sin fragancia</v>
          </cell>
          <cell r="D72" t="str">
            <v>Unidad</v>
          </cell>
          <cell r="E72">
            <v>25</v>
          </cell>
          <cell r="F72">
            <v>0</v>
          </cell>
        </row>
        <row r="73">
          <cell r="A73">
            <v>154</v>
          </cell>
          <cell r="B73" t="str">
            <v>Pañuelos (Compra)</v>
          </cell>
          <cell r="C73" t="str">
            <v>- Doble hoja
- Color blanco</v>
          </cell>
          <cell r="D73" t="str">
            <v>Caja de mínimo 50 unidades</v>
          </cell>
          <cell r="E73">
            <v>5</v>
          </cell>
          <cell r="F73">
            <v>5</v>
          </cell>
        </row>
        <row r="74">
          <cell r="A74">
            <v>155</v>
          </cell>
          <cell r="B74" t="str">
            <v>Vasos biodegradables 1 (Compra)</v>
          </cell>
          <cell r="C74" t="str">
            <v xml:space="preserve"> - Elaborado en cartón 97% biodegradable
- Capacidad mínima de 4 oz</v>
          </cell>
          <cell r="D74" t="str">
            <v>Paquete de mínimo 50 unidades</v>
          </cell>
          <cell r="E74">
            <v>96</v>
          </cell>
          <cell r="F74">
            <v>8</v>
          </cell>
        </row>
        <row r="75">
          <cell r="A75">
            <v>156</v>
          </cell>
          <cell r="B75" t="str">
            <v>Vasos biodegradables 2 (Compra)</v>
          </cell>
          <cell r="C75" t="str">
            <v xml:space="preserve"> - Elaborado en cartón 97% biodegradable
 - Capacidad mínima de 6 oz</v>
          </cell>
          <cell r="D75" t="str">
            <v>Paquete de mínimo 50</v>
          </cell>
          <cell r="E75">
            <v>70</v>
          </cell>
          <cell r="F75">
            <v>8</v>
          </cell>
        </row>
        <row r="76">
          <cell r="A76">
            <v>157</v>
          </cell>
          <cell r="B76" t="str">
            <v>Vasos biodegradables 3 (Compra)</v>
          </cell>
          <cell r="C76" t="str">
            <v xml:space="preserve"> - Elaborado en cartón 97% biodegradable
- Capacidad mínima de 9 oz</v>
          </cell>
          <cell r="D76" t="str">
            <v>Paquete de mínimo 40 unidades</v>
          </cell>
          <cell r="E76">
            <v>96</v>
          </cell>
          <cell r="F76">
            <v>8</v>
          </cell>
        </row>
        <row r="77">
          <cell r="A77">
            <v>159</v>
          </cell>
          <cell r="B77" t="str">
            <v>Mezclador 1 (Compra)</v>
          </cell>
          <cell r="C77" t="str">
            <v>- Mezcladores  elaborados en madera y/o apartir de recursos renovables como la caña de azucar y/o almidón de maíz
- Longitud mínima de 11 cm</v>
          </cell>
          <cell r="D77" t="str">
            <v>Paquete de mínimo 500</v>
          </cell>
          <cell r="E77">
            <v>96</v>
          </cell>
          <cell r="F77">
            <v>100</v>
          </cell>
        </row>
        <row r="78">
          <cell r="A78">
            <v>160</v>
          </cell>
          <cell r="B78" t="str">
            <v>Servilleta papel (Compra)</v>
          </cell>
          <cell r="C78" t="str">
            <v>- Tipo cafetería
 - Dobe hoja
- Color blanco
- Dimensiones mínimas de 20 cm de largo y 12 cm de ancho
- 100% Biodegradable 
- Elaborado a base de papel reciclado no clorado
- No debe contener PVC o Poliestireno expandido u otros plásticos de un solo uso tanto en el envase como en el embalaje.</v>
          </cell>
          <cell r="D78" t="str">
            <v>Paquete de mínimo 100 unidades</v>
          </cell>
          <cell r="E78">
            <v>15</v>
          </cell>
          <cell r="F78">
            <v>40</v>
          </cell>
        </row>
        <row r="79">
          <cell r="A79">
            <v>161</v>
          </cell>
          <cell r="B79" t="str">
            <v>Filtro para greca 1 (Compra)</v>
          </cell>
          <cell r="C79" t="str">
            <v>- Elaborada en tela
- Para greca
- Capacidad de media libra
- No debe contener PVC o Poliestireno expandido u otros plásticos de un solo uso tanto en el envase como en el embalaje</v>
          </cell>
          <cell r="D79" t="str">
            <v>Unidad</v>
          </cell>
          <cell r="E79">
            <v>18</v>
          </cell>
          <cell r="F79">
            <v>0</v>
          </cell>
        </row>
        <row r="80">
          <cell r="A80">
            <v>162</v>
          </cell>
          <cell r="B80" t="str">
            <v>Filtro para greca 2 (Compra)</v>
          </cell>
          <cell r="C80" t="str">
            <v>- Elaborada en tela
- Para greca
- Capacidad de una 1 libra
- No debe contener PVC o Poliestireno expandido u otros plásticos de un solo uso tanto en el envase como en el embalaje.</v>
          </cell>
          <cell r="D80" t="str">
            <v>Unidad</v>
          </cell>
          <cell r="E80">
            <v>27</v>
          </cell>
          <cell r="F80">
            <v>37</v>
          </cell>
        </row>
        <row r="81">
          <cell r="A81">
            <v>164</v>
          </cell>
          <cell r="B81" t="str">
            <v>Churrusco para tubos de greca (Compra)</v>
          </cell>
          <cell r="C81" t="str">
            <v>- Cepillo para lavado y fregado de grecas.  
- No debe contener PVC, Poliestireno expandido u otros plásticos de un solo uso tanto en el envase como en el embalaje.
- Base y mango elaborados en alambre</v>
          </cell>
          <cell r="D81" t="str">
            <v>Unidad</v>
          </cell>
          <cell r="E81">
            <v>30</v>
          </cell>
          <cell r="F81">
            <v>12</v>
          </cell>
        </row>
        <row r="82">
          <cell r="A82">
            <v>169</v>
          </cell>
          <cell r="B82" t="str">
            <v>Termo para café 2 (Compra)</v>
          </cell>
          <cell r="C82" t="str">
            <v xml:space="preserve"> - Térmico, con bomba tipo dispensador. Portatil.  
 - Bomba manual para dispensar la bebida.  
 - Acero inoxidable y plastico. 
 - Agarradera plastica, tapa con empaque, bomba manual. 
 - Capacidad mínima de 3 litros</v>
          </cell>
          <cell r="D82" t="str">
            <v>Unidad</v>
          </cell>
          <cell r="E82">
            <v>13</v>
          </cell>
          <cell r="F82">
            <v>2</v>
          </cell>
        </row>
        <row r="83">
          <cell r="A83">
            <v>170</v>
          </cell>
          <cell r="B83" t="str">
            <v>Café 1 (Compra)</v>
          </cell>
          <cell r="C83" t="str">
            <v>- 100% café tostado y molido.   
- Tostión media.                                          
- Denominación de Origen (Anexo 6)
- Empacada en bolsa de polipropileno aluminizada resistente a la humedad y al oxígeno.  
- Debe cumplir con las Resoluciones 333 de 2011 y 2674 de 2013 hasta la entrada en vigencia de la Resolución 810 de 2021 y aquellas que la modifiquen, adicionen o deroguen.
- Para cambio de marca, se requiere certificar la cadena de distribución.</v>
          </cell>
          <cell r="D83" t="str">
            <v>Libra</v>
          </cell>
          <cell r="E83">
            <v>283</v>
          </cell>
          <cell r="F83">
            <v>390</v>
          </cell>
        </row>
        <row r="84">
          <cell r="A84">
            <v>173</v>
          </cell>
          <cell r="B84" t="str">
            <v>Crema para café (Compra)</v>
          </cell>
          <cell r="C84" t="str">
            <v>- No láctea
- Debe cumplir con Resolución 333 de 2011 sobre rotulado y etiquetado nutricional y las normas que la modifiquen</v>
          </cell>
          <cell r="D84" t="str">
            <v>Bolsas de mínimo 100 sobres de mínimo 4 g</v>
          </cell>
          <cell r="E84">
            <v>10</v>
          </cell>
          <cell r="F84">
            <v>0</v>
          </cell>
        </row>
        <row r="85">
          <cell r="A85">
            <v>174</v>
          </cell>
          <cell r="B85" t="str">
            <v>Azúcar 1 (Compra)</v>
          </cell>
          <cell r="C85" t="str">
            <v>- Blanca
- Empaque elaborado en materiales atóxicos
- Debe cumplir con Resolución 333 de 2011 sobre rotulado y etiquetado nutricional y las normas que la modifiquen</v>
          </cell>
          <cell r="D85" t="str">
            <v>Bolsa de mínimo 200 sobres o tubipacks de 5 g</v>
          </cell>
          <cell r="E85">
            <v>96</v>
          </cell>
          <cell r="F85">
            <v>81</v>
          </cell>
        </row>
        <row r="86">
          <cell r="A86">
            <v>176</v>
          </cell>
          <cell r="B86" t="str">
            <v>Azúcar 3 (Compra)</v>
          </cell>
          <cell r="C86" t="str">
            <v>- Blanca
- Empaque elaborado en materiales atóxicos
- Debe cumplir con Resolución 333 de 2011 sobre rotulado y etiquetado nutricional y las normas que la modifiquen</v>
          </cell>
          <cell r="D86" t="str">
            <v>Libra</v>
          </cell>
          <cell r="E86">
            <v>3</v>
          </cell>
          <cell r="F86">
            <v>10</v>
          </cell>
        </row>
        <row r="87">
          <cell r="A87">
            <v>192</v>
          </cell>
          <cell r="B87" t="str">
            <v>Aromática con panela 2 (Compra)</v>
          </cell>
          <cell r="C87" t="str">
            <v>- Contiene sobres de mínimo 6g
- Debe cumplir con Resolución 2492 de 2022 sobre rotulado y etiquetado nutricional y las normas que la modifiquen
- Debe cumplir con la Resolución 779 de 2006
- Mínimo 12  meses de vida útil desde la fecha de fabricación
- Sabores: Naranja, Jengibre, Papayuela, Frutos rojos, Maracuyá, Limoncillo (Entrega mínima de 3 sabores)
- 100% natural</v>
          </cell>
          <cell r="D87" t="str">
            <v>Caja de 20 unidades</v>
          </cell>
          <cell r="E87">
            <v>56</v>
          </cell>
          <cell r="F87">
            <v>389</v>
          </cell>
        </row>
        <row r="88">
          <cell r="A88">
            <v>195</v>
          </cell>
          <cell r="B88" t="str">
            <v>Aromática de fruta 2 (Compra)</v>
          </cell>
          <cell r="C88" t="str">
            <v>- Debe cumplir con Resolución 2492 de 2022 sobre rotulado y etiquetado nutricional y las normas que la modifiquen
- Mínimo 12  meses de vida útil desde la fecha de fabricación
- Sabores: Papayuela, Mora, Maracuya, Uchuva, Uva, Fresa, Piña, Durazno, Naranja, Manzana y Arandano (Entrega mínima de 3 sabores)
- 100% natural</v>
          </cell>
          <cell r="D88" t="str">
            <v>Caja de 20 unidades</v>
          </cell>
          <cell r="E88">
            <v>56</v>
          </cell>
          <cell r="F88">
            <v>519</v>
          </cell>
        </row>
        <row r="89">
          <cell r="A89">
            <v>204</v>
          </cell>
          <cell r="B89" t="str">
            <v>Agua potable 4 (Compra)</v>
          </cell>
          <cell r="C89" t="str">
            <v>- Agua potable potable purificada</v>
          </cell>
          <cell r="D89" t="str">
            <v>Botellón de mínimo 18.9 L</v>
          </cell>
          <cell r="E89">
            <v>93</v>
          </cell>
          <cell r="F89">
            <v>254</v>
          </cell>
        </row>
        <row r="90">
          <cell r="A90">
            <v>205</v>
          </cell>
          <cell r="B90" t="str">
            <v>Válvula dispensadora para botellón de agua (Compra)</v>
          </cell>
          <cell r="C90" t="str">
            <v>-Válvula en material plástico con boquilla ajustable a los diferentes tipos de botellones</v>
          </cell>
          <cell r="D90" t="str">
            <v>Unidad</v>
          </cell>
          <cell r="E90">
            <v>4</v>
          </cell>
          <cell r="F90">
            <v>0</v>
          </cell>
        </row>
        <row r="91">
          <cell r="A91">
            <v>207</v>
          </cell>
          <cell r="B91" t="str">
            <v>Cepillo para paredes y techos (Compra)</v>
          </cell>
          <cell r="C91" t="str">
            <v xml:space="preserve"> - Cuerpo elaborado en plástico
 - Cerdas duras en fibra plástica
 - Largo mínimo de 140 cm</v>
          </cell>
          <cell r="D91" t="str">
            <v>Unidad</v>
          </cell>
          <cell r="E91">
            <v>9</v>
          </cell>
          <cell r="F91">
            <v>0</v>
          </cell>
        </row>
        <row r="92">
          <cell r="A92">
            <v>208</v>
          </cell>
          <cell r="B92" t="str">
            <v>Brillador 1 (Compra)</v>
          </cell>
          <cell r="C92" t="str">
            <v>- Mopa elaborada en algodón
- Área de barrido mínima de 90 cm de largo por 16cm de ancho
- Armazón y mango metálico</v>
          </cell>
          <cell r="D92" t="str">
            <v>Unidad</v>
          </cell>
          <cell r="E92">
            <v>14</v>
          </cell>
          <cell r="F92">
            <v>0</v>
          </cell>
        </row>
        <row r="93">
          <cell r="A93">
            <v>209</v>
          </cell>
          <cell r="B93" t="str">
            <v>Brillador 2 (Compra)</v>
          </cell>
          <cell r="C93" t="str">
            <v>- Mopa elaborada en algodón
- Área de barrido mínima de 60 cm de largo por 16cm de ancho
- Armazón y mango metálico</v>
          </cell>
          <cell r="D93" t="str">
            <v>Unidad</v>
          </cell>
          <cell r="E93">
            <v>1</v>
          </cell>
          <cell r="F93">
            <v>0</v>
          </cell>
        </row>
        <row r="94">
          <cell r="A94">
            <v>210</v>
          </cell>
          <cell r="B94" t="str">
            <v>Repuestos brillador 1 (Compra)</v>
          </cell>
          <cell r="C94" t="str">
            <v>- Mopa elaborada en algodón
- Área de barrido mínima de 90 cm de largo por 16 cm de ancho</v>
          </cell>
          <cell r="D94" t="str">
            <v>Unidad</v>
          </cell>
          <cell r="E94">
            <v>14</v>
          </cell>
          <cell r="F94">
            <v>0</v>
          </cell>
        </row>
        <row r="95">
          <cell r="A95">
            <v>211</v>
          </cell>
          <cell r="B95" t="str">
            <v>Repuestos brillador 2 (Compra)</v>
          </cell>
          <cell r="C95" t="str">
            <v>- Mopa elaborada en algodón
- Área de barrido mínima de 60 cm de largo por 16 cm de ancho</v>
          </cell>
          <cell r="D95" t="str">
            <v>Unidad</v>
          </cell>
          <cell r="E95">
            <v>7</v>
          </cell>
          <cell r="F95">
            <v>0</v>
          </cell>
        </row>
        <row r="96">
          <cell r="A96">
            <v>212</v>
          </cell>
          <cell r="B96" t="str">
            <v>Destapador para sanitario (chupa) (Compra)</v>
          </cell>
          <cell r="C96" t="str">
            <v>- Tipo campana
- Chupa elaborada en caucho
- Diámetro mínimo de 12 cm
- Mango elaborado en madera
- Mango con longitud mínima de 33 cm</v>
          </cell>
          <cell r="D96" t="str">
            <v>Unidad</v>
          </cell>
          <cell r="E96">
            <v>37</v>
          </cell>
          <cell r="F96">
            <v>0</v>
          </cell>
        </row>
        <row r="97">
          <cell r="A97">
            <v>213</v>
          </cell>
          <cell r="B97" t="str">
            <v>Plumero o limpia polvo (Compra)</v>
          </cell>
          <cell r="C97" t="str">
            <v>- Fibras sintéticas
- Mango de plástico
- Largo total mínimo de 65 cm
- Electrostático</v>
          </cell>
          <cell r="D97" t="str">
            <v>Unidad</v>
          </cell>
          <cell r="E97">
            <v>1</v>
          </cell>
          <cell r="F97">
            <v>0</v>
          </cell>
        </row>
        <row r="98">
          <cell r="A98">
            <v>215</v>
          </cell>
          <cell r="B98" t="str">
            <v>Rastrillo 2 (Compra)</v>
          </cell>
          <cell r="C98" t="str">
            <v>- Barra dentada metálica con mínimo 18 dientes
- Mango metálico plastificado con longitud mínima de 120 cm</v>
          </cell>
          <cell r="D98" t="str">
            <v>Unidad</v>
          </cell>
          <cell r="E98">
            <v>15</v>
          </cell>
          <cell r="F98">
            <v>0</v>
          </cell>
        </row>
        <row r="99">
          <cell r="A99">
            <v>216</v>
          </cell>
          <cell r="B99" t="str">
            <v>Recogedor de basura 1 (Compra)</v>
          </cell>
          <cell r="C99" t="str">
            <v>- Elaborado en plástico
- Con banda de goma y dientas barrescobas
- Mango con longitud mínima de 70 cm</v>
          </cell>
          <cell r="D99" t="str">
            <v>Unidad</v>
          </cell>
          <cell r="E99">
            <v>37</v>
          </cell>
          <cell r="F99">
            <v>20</v>
          </cell>
        </row>
        <row r="100">
          <cell r="A100">
            <v>218</v>
          </cell>
          <cell r="B100" t="str">
            <v>Atomizadores (Compra)</v>
          </cell>
          <cell r="C100" t="str">
            <v>- Elaborado en plástico
- Reutilizable
- Capacidad mínima de 500 cc
- con pistola</v>
          </cell>
          <cell r="D100" t="str">
            <v>Unidad</v>
          </cell>
          <cell r="E100">
            <v>40</v>
          </cell>
          <cell r="F100">
            <v>35</v>
          </cell>
        </row>
        <row r="101">
          <cell r="A101">
            <v>251</v>
          </cell>
          <cell r="B101" t="str">
            <v>Combustible  (Compra)</v>
          </cell>
          <cell r="C101" t="str">
            <v xml:space="preserve"> - Gasolina 
- Para cortadora de césped, sopladora de hojas y guadañas</v>
          </cell>
          <cell r="D101" t="str">
            <v>Galón</v>
          </cell>
          <cell r="E101">
            <v>24</v>
          </cell>
          <cell r="F101">
            <v>0</v>
          </cell>
        </row>
        <row r="102">
          <cell r="A102">
            <v>255</v>
          </cell>
          <cell r="B102" t="str">
            <v>Haraganes 2  (Compra)</v>
          </cell>
          <cell r="C102" t="str">
            <v>- Para limpiar vidrios
- Con banda de goma con longitud mínima de 50 cm.
- Mango metálico extensible con longitud mínima
de 60 cm y máxima de 150 cm</v>
          </cell>
          <cell r="D102" t="str">
            <v>Unidad</v>
          </cell>
          <cell r="E102">
            <v>14</v>
          </cell>
          <cell r="F102">
            <v>0</v>
          </cell>
        </row>
        <row r="103">
          <cell r="A103">
            <v>257</v>
          </cell>
          <cell r="B103" t="str">
            <v>Haraganes 4  (Compra)</v>
          </cell>
          <cell r="C103" t="str">
            <v>- Para escurrir pisos
-Con banda de goma con longitud mínima de 50 cm.
- Mango metálico extensible con longitud mínima
de 60 cm y máxima de 150 cm</v>
          </cell>
          <cell r="D103" t="str">
            <v>Unidad</v>
          </cell>
          <cell r="E103">
            <v>11</v>
          </cell>
          <cell r="F103">
            <v>0</v>
          </cell>
        </row>
        <row r="104">
          <cell r="A104">
            <v>260</v>
          </cell>
          <cell r="B104" t="str">
            <v>Balde (Compra)</v>
          </cell>
          <cell r="C104" t="str">
            <v xml:space="preserve">- Capacidad mínima de 10 litros
- Con manija móvil
- Con "pico" antiderrames
- Disponibles en diferentes colores
- Elaborado en material reciclable
- Marcado de acuerdo con la norma ISO 11469 y ISO 1043. </v>
          </cell>
          <cell r="D104" t="str">
            <v>Unidad</v>
          </cell>
          <cell r="E104">
            <v>10</v>
          </cell>
          <cell r="F104">
            <v>0</v>
          </cell>
        </row>
        <row r="105">
          <cell r="A105">
            <v>291</v>
          </cell>
          <cell r="B105" t="str">
            <v>Soporte para Botellón de agua (Compra)</v>
          </cell>
          <cell r="C105" t="str">
            <v xml:space="preserve"> - Metálico
- Plegable</v>
          </cell>
          <cell r="D105" t="str">
            <v>Unidad</v>
          </cell>
          <cell r="E105">
            <v>3</v>
          </cell>
          <cell r="F105">
            <v>0</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 FACTURA ENERO"/>
      <sheetName val="PRE FACTURA FEBRERO"/>
      <sheetName val="NOM"/>
      <sheetName val="PRE FACTURA MARZO"/>
      <sheetName val="RUBROS"/>
      <sheetName val="MAQ POR SEDES MARZO"/>
      <sheetName val="INSUMOS DISCRIMINADOS"/>
      <sheetName val="NOMINA FEBRERO"/>
      <sheetName val="INSUMO POR SEDES MARZO"/>
      <sheetName val="NOMINA MARZO"/>
      <sheetName val="PERSONAL MARZO"/>
      <sheetName val="VRP"/>
      <sheetName val="VRP1"/>
      <sheetName val="PERSONAL FEBRERO"/>
      <sheetName val="PERSONAL"/>
      <sheetName val="PERSONAL FEBRERO (Sup)"/>
      <sheetName val="PERSONAL (2)"/>
      <sheetName val="BD"/>
      <sheetName val="RUBROS COPIA"/>
      <sheetName val="INSUMO POR SEDES MARZO PRUEBA"/>
      <sheetName val="PEDIDO MARZO"/>
      <sheetName val="INSUMOS MARZO"/>
      <sheetName val="Z21"/>
      <sheetName val="COT"/>
      <sheetName val="COT (2)"/>
      <sheetName val="SALARIO 2026"/>
      <sheetName val="Incluir en segun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2">
          <cell r="A2">
            <v>3</v>
          </cell>
          <cell r="B2" t="str">
            <v>Jabón para loza 1 (Compra)</v>
          </cell>
          <cell r="C2" t="str">
            <v>- Con agente(s) tensoactivo(s) principal(es) con efecto limpiador y desengrasante en una concentración mínima del 8%.
- Disponible en mínimo (2) dos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Debe contener concentraciones de fósforo iguales o inferiores a 0.65% de fósforo (Resolución 0689 de 2016)</v>
          </cell>
          <cell r="D2" t="str">
            <v>Líquido, en recipiente plástico con capacidad mínima de 3.785 ml</v>
          </cell>
          <cell r="E2">
            <v>30</v>
          </cell>
          <cell r="F2">
            <v>38</v>
          </cell>
          <cell r="G2">
            <v>8</v>
          </cell>
          <cell r="H2">
            <v>7.5</v>
          </cell>
          <cell r="I2">
            <v>37.5</v>
          </cell>
          <cell r="J2">
            <v>0.5</v>
          </cell>
          <cell r="K2">
            <v>16364.07</v>
          </cell>
          <cell r="L2">
            <v>8182.0349999999999</v>
          </cell>
          <cell r="M2">
            <v>1636.4070000000002</v>
          </cell>
          <cell r="N2">
            <v>14727.663</v>
          </cell>
          <cell r="O2">
            <v>7363.8315000000002</v>
          </cell>
          <cell r="P2">
            <v>37.5</v>
          </cell>
          <cell r="Q2">
            <v>7268.7160000000003</v>
          </cell>
          <cell r="R2">
            <v>272576.85000000003</v>
          </cell>
          <cell r="S2">
            <v>279940.68150000006</v>
          </cell>
        </row>
        <row r="3">
          <cell r="A3">
            <v>5</v>
          </cell>
          <cell r="B3" t="str">
            <v>Jabón para loza 3 (Compra)</v>
          </cell>
          <cell r="C3" t="str">
            <v xml:space="preserve"> - Con agente(s) tensoactivo(s) principal(es) con efecto limpiador y desengrasante en una concentración mínima del 15%.
 - Disponible en mínimo (2) dos fragancias
- El envase debe estar correctamente etiquetados bajo los parámetros establecidos en el sistema globalmente armonizado (Decreto 1496 de 2018) indicando: nombre comercial del producto, pictogramas de los compuestos peligrosos si aplica e instrucciones de uso.
- Debe contener concentraciones de fósforo iguales o inferiores a 0.65% de fósforo (Resolución 0689 de 2016)</v>
          </cell>
          <cell r="D3" t="str">
            <v>Crema, en recipiente plástico de mínimo 850 g</v>
          </cell>
          <cell r="E3">
            <v>6</v>
          </cell>
          <cell r="F3">
            <v>7</v>
          </cell>
          <cell r="G3">
            <v>1</v>
          </cell>
          <cell r="H3">
            <v>1.5</v>
          </cell>
          <cell r="I3">
            <v>7.5</v>
          </cell>
          <cell r="J3">
            <v>0</v>
          </cell>
          <cell r="K3">
            <v>11112.223</v>
          </cell>
          <cell r="L3">
            <v>0</v>
          </cell>
          <cell r="M3">
            <v>1111.2223000000001</v>
          </cell>
          <cell r="N3">
            <v>10001.000700000001</v>
          </cell>
          <cell r="O3">
            <v>0</v>
          </cell>
          <cell r="P3">
            <v>7</v>
          </cell>
          <cell r="Q3">
            <v>6494.1289999999999</v>
          </cell>
          <cell r="R3">
            <v>45458.902999999998</v>
          </cell>
          <cell r="S3">
            <v>45458.902999999998</v>
          </cell>
        </row>
        <row r="4">
          <cell r="A4">
            <v>8</v>
          </cell>
          <cell r="B4" t="str">
            <v>Jabón en barra azul (Compra)</v>
          </cell>
          <cell r="C4" t="str">
            <v>- Todo tipo de uso
- Biodegradable
- No debe contener PVC o Poliestireno expandido u otros plásticos de un solo uso tanto en el envase como en el embalaje.
- Debe contener concentraciones de fósforo iguales o inferiores a 0.65% de fósforo (Resolución 0689 de 2016)</v>
          </cell>
          <cell r="D4" t="str">
            <v>Barra, unidad con peso mínimo de 250 g en
envoltura individual</v>
          </cell>
          <cell r="E4">
            <v>116</v>
          </cell>
          <cell r="F4">
            <v>72</v>
          </cell>
          <cell r="G4">
            <v>-44</v>
          </cell>
          <cell r="H4">
            <v>0</v>
          </cell>
          <cell r="I4">
            <v>116</v>
          </cell>
          <cell r="J4">
            <v>0</v>
          </cell>
          <cell r="K4">
            <v>3814.0790000000002</v>
          </cell>
          <cell r="L4">
            <v>0</v>
          </cell>
          <cell r="M4">
            <v>381.40790000000004</v>
          </cell>
          <cell r="N4">
            <v>3432.6711</v>
          </cell>
          <cell r="O4">
            <v>0</v>
          </cell>
          <cell r="P4">
            <v>72</v>
          </cell>
          <cell r="Q4">
            <v>2211.3040000000001</v>
          </cell>
          <cell r="R4">
            <v>159213.88800000001</v>
          </cell>
          <cell r="S4">
            <v>159213.88800000001</v>
          </cell>
        </row>
        <row r="5">
          <cell r="A5">
            <v>9</v>
          </cell>
          <cell r="B5" t="str">
            <v>Jabón abrasivo (Compra)</v>
          </cell>
          <cell r="C5" t="str">
            <v>-Con agente(s) tensoactivo(s) pincipal(es) con efecto limpiador, pulidor y desengrasante
- Con agente activo mínimo del 5%
- Debe contener concentraciones de fósforo iguales o inferiores a 0.65% de fósforo (Resolución 0689 de 2016)</v>
          </cell>
          <cell r="D5" t="str">
            <v>En polvo, en tarro de mínimo 500 g</v>
          </cell>
          <cell r="E5">
            <v>91</v>
          </cell>
          <cell r="F5">
            <v>40</v>
          </cell>
          <cell r="G5">
            <v>-51</v>
          </cell>
          <cell r="H5">
            <v>0</v>
          </cell>
          <cell r="I5">
            <v>91</v>
          </cell>
          <cell r="J5">
            <v>0</v>
          </cell>
          <cell r="K5">
            <v>4500.3819999999996</v>
          </cell>
          <cell r="L5">
            <v>0</v>
          </cell>
          <cell r="M5">
            <v>450.03819999999996</v>
          </cell>
          <cell r="N5">
            <v>4050.3437999999996</v>
          </cell>
          <cell r="O5">
            <v>0</v>
          </cell>
          <cell r="P5">
            <v>40</v>
          </cell>
          <cell r="Q5">
            <v>3298.0379999999996</v>
          </cell>
          <cell r="R5">
            <v>131921.51999999999</v>
          </cell>
          <cell r="S5">
            <v>131921.51999999999</v>
          </cell>
        </row>
        <row r="6">
          <cell r="A6">
            <v>11</v>
          </cell>
          <cell r="B6" t="str">
            <v>Jabón de tocador 2 (Compra)</v>
          </cell>
          <cell r="C6" t="str">
            <v>- Jabón de tocador para manos en espuma
- Líquido para manos en bolsa para dispensador spray y con boquilla especial de dispensador
- Tapa tipo válvula, para dispensador, antibacterial y antiséptico 
- Con agente limpiador en una concentración mínima del 6%
- Con agente humectante en una concentración mínima del 3%
- Disponible en múltiples fragancias
- Producto biodegradable basado en ingredientes orgánicos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Elaborado en material reciclable
- No debe contener PVC, Poliestireno expandido u otros plásticos de un solo uso tanto en el envase como en el embalaje.
- Debe contener concentraciones de fósforo iguales o inferiores a 0.65% de fósforo (Resolución 0689 de 2016)</v>
          </cell>
          <cell r="D6" t="str">
            <v>Líquido, en bolsa  con capacidad mínima de 800 ml</v>
          </cell>
          <cell r="E6">
            <v>10</v>
          </cell>
          <cell r="F6">
            <v>10</v>
          </cell>
          <cell r="G6">
            <v>0</v>
          </cell>
          <cell r="H6">
            <v>0</v>
          </cell>
          <cell r="I6">
            <v>10</v>
          </cell>
          <cell r="J6">
            <v>0</v>
          </cell>
          <cell r="K6">
            <v>107027.534</v>
          </cell>
          <cell r="L6">
            <v>0</v>
          </cell>
          <cell r="M6">
            <v>10702.753400000001</v>
          </cell>
          <cell r="N6">
            <v>96324.780599999998</v>
          </cell>
          <cell r="O6">
            <v>0</v>
          </cell>
          <cell r="P6">
            <v>10</v>
          </cell>
          <cell r="Q6">
            <v>7739.5639999999985</v>
          </cell>
          <cell r="R6">
            <v>77395.639999999985</v>
          </cell>
          <cell r="S6">
            <v>77395.639999999985</v>
          </cell>
        </row>
        <row r="7">
          <cell r="A7">
            <v>13</v>
          </cell>
          <cell r="B7" t="str">
            <v>Jabón de dispensador para manos 2 (Compra)</v>
          </cell>
          <cell r="C7" t="str">
            <v>- Con agente limpiador en una concentración mínima del 6%
- Con agente humectante en una concentración mínima del 3%
- pH entre 5,5 a 7
- Disponible en mínimo (2) dos fragancias
- Debe contener concentraciones de fósforo iguales o inferiores a 0.65% de fósforo (Resolución 0689 de 2016)</v>
          </cell>
          <cell r="D7" t="str">
            <v>Líquido, en recipiente plástico con capacidad mínima de 3.785 ml</v>
          </cell>
          <cell r="E7">
            <v>81</v>
          </cell>
          <cell r="F7">
            <v>35</v>
          </cell>
          <cell r="G7">
            <v>-46</v>
          </cell>
          <cell r="H7">
            <v>0</v>
          </cell>
          <cell r="I7">
            <v>81</v>
          </cell>
          <cell r="J7">
            <v>0</v>
          </cell>
          <cell r="K7">
            <v>12825.352999999999</v>
          </cell>
          <cell r="L7">
            <v>0</v>
          </cell>
          <cell r="M7">
            <v>1282.5353</v>
          </cell>
          <cell r="N7">
            <v>11542.8177</v>
          </cell>
          <cell r="O7">
            <v>0</v>
          </cell>
          <cell r="P7">
            <v>35</v>
          </cell>
          <cell r="Q7">
            <v>6507.7919999999995</v>
          </cell>
          <cell r="R7">
            <v>227772.71999999997</v>
          </cell>
          <cell r="S7">
            <v>227772.71999999997</v>
          </cell>
        </row>
        <row r="8">
          <cell r="A8">
            <v>17</v>
          </cell>
          <cell r="B8" t="str">
            <v>Limpiador multiusos 1 (Compra)</v>
          </cell>
          <cell r="C8" t="str">
            <v>- Con agente(s) tensoactivo(s) principal(es) con efecto limpiador en una concentración mínima del 8%
- Disponible en mínimo (2) dos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8" t="str">
            <v xml:space="preserve">Líquido, en recipiente plástico con capacidad mínima de 3.785 ml </v>
          </cell>
          <cell r="E8">
            <v>116</v>
          </cell>
          <cell r="F8">
            <v>59</v>
          </cell>
          <cell r="G8">
            <v>-57</v>
          </cell>
          <cell r="H8">
            <v>0</v>
          </cell>
          <cell r="I8">
            <v>116</v>
          </cell>
          <cell r="J8">
            <v>0</v>
          </cell>
          <cell r="K8">
            <v>10614.048999999999</v>
          </cell>
          <cell r="L8">
            <v>0</v>
          </cell>
          <cell r="M8">
            <v>1061.4049</v>
          </cell>
          <cell r="N8">
            <v>9552.6440999999995</v>
          </cell>
          <cell r="O8">
            <v>0</v>
          </cell>
          <cell r="P8">
            <v>59</v>
          </cell>
          <cell r="Q8">
            <v>5647.0229999999992</v>
          </cell>
          <cell r="R8">
            <v>333174.35699999996</v>
          </cell>
          <cell r="S8">
            <v>333174.35699999996</v>
          </cell>
        </row>
        <row r="9">
          <cell r="A9">
            <v>20</v>
          </cell>
          <cell r="B9" t="str">
            <v>Limpiador desinfectante para pisos (Compra)</v>
          </cell>
          <cell r="C9" t="str">
            <v>- Apariencia: Líquido transparente
- Color y olor: De acuerdo a la fragancia
- Producto biodegradable que no afectas la capa de ozono
- Solubilidad: Total en agua
- PH: 7.5 - 8.5
- Composición: Tensoactivos, espesante, coadyuvante, colorante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Elaborado en material reciclable
- No debe contener PVC, poliestireno expandido u otros plásticos de un solo uso tanto en el envase como en el embalaje.</v>
          </cell>
          <cell r="D9" t="str">
            <v>Líquido, en garrafa  con capacidad mínima de 3.785 ml</v>
          </cell>
          <cell r="E9">
            <v>96</v>
          </cell>
          <cell r="F9">
            <v>48</v>
          </cell>
          <cell r="G9">
            <v>-48</v>
          </cell>
          <cell r="H9">
            <v>0</v>
          </cell>
          <cell r="I9">
            <v>96</v>
          </cell>
          <cell r="J9">
            <v>0</v>
          </cell>
          <cell r="K9">
            <v>10946.165000000001</v>
          </cell>
          <cell r="L9">
            <v>0</v>
          </cell>
          <cell r="M9">
            <v>1094.6165000000001</v>
          </cell>
          <cell r="N9">
            <v>9851.5485000000008</v>
          </cell>
          <cell r="O9">
            <v>0</v>
          </cell>
          <cell r="P9">
            <v>48</v>
          </cell>
          <cell r="Q9">
            <v>0</v>
          </cell>
          <cell r="R9">
            <v>0</v>
          </cell>
          <cell r="S9">
            <v>0</v>
          </cell>
        </row>
        <row r="10">
          <cell r="A10">
            <v>21</v>
          </cell>
          <cell r="B10" t="str">
            <v>Líquido desengrasante (Compra)</v>
          </cell>
          <cell r="C10" t="str">
            <v xml:space="preserve"> - Con agente(s) tensoactivo(s) principal(es) con efecto limpiador y desengrasante en una concentración mínima del 10%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Debe contener concentraciones de fósforo iguales o inferiores a 0.65% de fósforo (Resolución 0689 de 2016)</v>
          </cell>
          <cell r="D10" t="str">
            <v>Líquido, en recipiente plástico con capacidad mínima de 3.785 ml</v>
          </cell>
          <cell r="E10">
            <v>96</v>
          </cell>
          <cell r="F10">
            <v>35</v>
          </cell>
          <cell r="G10">
            <v>-61</v>
          </cell>
          <cell r="H10">
            <v>0</v>
          </cell>
          <cell r="I10">
            <v>96</v>
          </cell>
          <cell r="J10">
            <v>0</v>
          </cell>
          <cell r="K10">
            <v>12162.172</v>
          </cell>
          <cell r="L10">
            <v>0</v>
          </cell>
          <cell r="M10">
            <v>1216.2172</v>
          </cell>
          <cell r="N10">
            <v>10945.9548</v>
          </cell>
          <cell r="O10">
            <v>0</v>
          </cell>
          <cell r="P10">
            <v>35</v>
          </cell>
          <cell r="Q10">
            <v>5932.8950000000013</v>
          </cell>
          <cell r="R10">
            <v>207651.32500000004</v>
          </cell>
          <cell r="S10">
            <v>207651.32500000004</v>
          </cell>
        </row>
        <row r="11">
          <cell r="A11">
            <v>28</v>
          </cell>
          <cell r="B11" t="str">
            <v>Pastilla desinfectante para sanitario (Compra)</v>
          </cell>
          <cell r="C11" t="str">
            <v>- Con agentes bactericidas, fungicidas y virucidas.</v>
          </cell>
          <cell r="D11" t="str">
            <v>Unidad con peso mínimo de 45 g</v>
          </cell>
          <cell r="E11">
            <v>155</v>
          </cell>
          <cell r="F11">
            <v>148</v>
          </cell>
          <cell r="G11">
            <v>-7</v>
          </cell>
          <cell r="H11">
            <v>0</v>
          </cell>
          <cell r="I11">
            <v>155</v>
          </cell>
          <cell r="J11">
            <v>0</v>
          </cell>
          <cell r="K11">
            <v>4699.0209999999997</v>
          </cell>
          <cell r="L11">
            <v>0</v>
          </cell>
          <cell r="M11">
            <v>469.90210000000002</v>
          </cell>
          <cell r="N11">
            <v>4229.1188999999995</v>
          </cell>
          <cell r="O11">
            <v>0</v>
          </cell>
          <cell r="P11">
            <v>148</v>
          </cell>
          <cell r="Q11">
            <v>2764.13</v>
          </cell>
          <cell r="R11">
            <v>409091.24</v>
          </cell>
          <cell r="S11">
            <v>409091.24</v>
          </cell>
        </row>
        <row r="12">
          <cell r="A12">
            <v>29</v>
          </cell>
          <cell r="B12" t="str">
            <v>Líquido para limpiar vidrios 1 (Compra)</v>
          </cell>
          <cell r="C12" t="str">
            <v>- Con agente(s) principal(es) con efecto limpiador y desengrasante en una concentración mínima del 4%
- Disponible mínimo en dos (2) fragancias
 - El envase debe estar  correctamente etiquetados bajo los parámetros establecidos en el sistema globalmente armonizado indicando: nombre comercial del producto, pictogramas de los compuestos peligrosos e instrucciones de uso</v>
          </cell>
          <cell r="D12" t="str">
            <v>Líquido, en recipiente plástico con capacidad mínima de 3.785 ml</v>
          </cell>
          <cell r="E12">
            <v>96</v>
          </cell>
          <cell r="F12">
            <v>112</v>
          </cell>
          <cell r="G12">
            <v>16</v>
          </cell>
          <cell r="H12">
            <v>24</v>
          </cell>
          <cell r="I12">
            <v>120</v>
          </cell>
          <cell r="J12">
            <v>0</v>
          </cell>
          <cell r="K12">
            <v>8402.7450000000008</v>
          </cell>
          <cell r="L12">
            <v>0</v>
          </cell>
          <cell r="M12">
            <v>840.2745000000001</v>
          </cell>
          <cell r="N12">
            <v>7562.4705000000004</v>
          </cell>
          <cell r="O12">
            <v>0</v>
          </cell>
          <cell r="P12">
            <v>112</v>
          </cell>
          <cell r="Q12">
            <v>4829.3450000000012</v>
          </cell>
          <cell r="R12">
            <v>540886.64000000013</v>
          </cell>
          <cell r="S12">
            <v>540886.64000000013</v>
          </cell>
        </row>
        <row r="13">
          <cell r="A13">
            <v>32</v>
          </cell>
          <cell r="B13" t="str">
            <v>Blanqueador o hipoclorito 1 (Compra)</v>
          </cell>
          <cell r="C13" t="str">
            <v>- Solución con una concentración mínima del 5%
 - El  envase del producto deberá estar correctamente etiquetado, indicando: nombre comercial del producto, pictogramas de los compuestos peligrosos e instrucciones de uso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13" t="str">
            <v>Líquido, en recipiente plástico con capacidad
mínima de 3.785 ml</v>
          </cell>
          <cell r="E13">
            <v>96</v>
          </cell>
          <cell r="F13">
            <v>125</v>
          </cell>
          <cell r="G13">
            <v>29</v>
          </cell>
          <cell r="H13">
            <v>24</v>
          </cell>
          <cell r="I13">
            <v>120</v>
          </cell>
          <cell r="J13">
            <v>5</v>
          </cell>
          <cell r="K13">
            <v>7463.1509999999998</v>
          </cell>
          <cell r="L13">
            <v>37315.754999999997</v>
          </cell>
          <cell r="M13">
            <v>746.31510000000003</v>
          </cell>
          <cell r="N13">
            <v>6716.8359</v>
          </cell>
          <cell r="O13">
            <v>33584.179499999998</v>
          </cell>
          <cell r="P13">
            <v>120</v>
          </cell>
          <cell r="Q13">
            <v>4115.7160000000003</v>
          </cell>
          <cell r="R13">
            <v>493885.92000000004</v>
          </cell>
          <cell r="S13">
            <v>527470.09950000001</v>
          </cell>
        </row>
        <row r="14">
          <cell r="A14">
            <v>38</v>
          </cell>
          <cell r="B14" t="str">
            <v>Creolina 2 (Compra)</v>
          </cell>
          <cell r="C14" t="str">
            <v>- Solución con una concentración mínima de fenoles de 4%</v>
          </cell>
          <cell r="D14" t="str">
            <v>Líquido, en recipiente plástico con capacidad
mínima de 3.785 ml</v>
          </cell>
          <cell r="E14">
            <v>25</v>
          </cell>
          <cell r="F14">
            <v>104</v>
          </cell>
          <cell r="G14">
            <v>79</v>
          </cell>
          <cell r="H14">
            <v>6.25</v>
          </cell>
          <cell r="I14">
            <v>31.25</v>
          </cell>
          <cell r="J14">
            <v>72.75</v>
          </cell>
          <cell r="K14">
            <v>17358.315999999999</v>
          </cell>
          <cell r="L14">
            <v>1262817.4889999998</v>
          </cell>
          <cell r="M14">
            <v>1735.8316</v>
          </cell>
          <cell r="N14">
            <v>15622.484399999999</v>
          </cell>
          <cell r="O14">
            <v>1136535.7401000001</v>
          </cell>
          <cell r="P14">
            <v>31.25</v>
          </cell>
          <cell r="Q14">
            <v>11100.662</v>
          </cell>
          <cell r="R14">
            <v>346895.6875</v>
          </cell>
          <cell r="S14">
            <v>1483431.4276000001</v>
          </cell>
        </row>
        <row r="15">
          <cell r="A15">
            <v>41</v>
          </cell>
          <cell r="B15" t="str">
            <v>Champú para alfombras y tapizados 1 (Compra)</v>
          </cell>
          <cell r="C15" t="str">
            <v>- Con agente(s) principal(es) con efecto limpiador en una concentración mínima del 8%
 - El envase debe estar  correctamente etiquetado: nombre comercial del producto, pictogramas de los compuestos peligrosos e instrucciones de uso</v>
          </cell>
          <cell r="D15" t="str">
            <v>Líquido, en recipiente plástico con capacidad
mínima de 3.785 ml</v>
          </cell>
          <cell r="E15">
            <v>25</v>
          </cell>
          <cell r="F15">
            <v>0</v>
          </cell>
          <cell r="G15">
            <v>-25</v>
          </cell>
          <cell r="H15">
            <v>0</v>
          </cell>
          <cell r="I15">
            <v>25</v>
          </cell>
          <cell r="J15">
            <v>0</v>
          </cell>
          <cell r="K15">
            <v>13931.004999999999</v>
          </cell>
          <cell r="L15">
            <v>0</v>
          </cell>
          <cell r="M15">
            <v>1393.1005</v>
          </cell>
          <cell r="N15">
            <v>12537.904499999999</v>
          </cell>
          <cell r="O15">
            <v>0</v>
          </cell>
          <cell r="P15">
            <v>0</v>
          </cell>
          <cell r="Q15">
            <v>7034.3429999999989</v>
          </cell>
          <cell r="R15">
            <v>0</v>
          </cell>
          <cell r="S15">
            <v>0</v>
          </cell>
        </row>
        <row r="16">
          <cell r="A16">
            <v>44</v>
          </cell>
          <cell r="B16" t="str">
            <v>Líquido cubre rasguños para madera (Compra)</v>
          </cell>
          <cell r="C16" t="str">
            <v>- Con agentes limpiadores y abrillantadores en una concentración mínima del 5%
- De color oscuro para coayudar a cubrir rasguños en maderas oscuras</v>
          </cell>
          <cell r="D16" t="str">
            <v>En recipiente plástico
con capacidad mínima de 200 ml</v>
          </cell>
          <cell r="E16">
            <v>6</v>
          </cell>
          <cell r="F16">
            <v>0</v>
          </cell>
          <cell r="G16">
            <v>-6</v>
          </cell>
          <cell r="H16">
            <v>0</v>
          </cell>
          <cell r="I16">
            <v>6</v>
          </cell>
          <cell r="J16">
            <v>0</v>
          </cell>
          <cell r="K16">
            <v>5970.7309999999998</v>
          </cell>
          <cell r="L16">
            <v>0</v>
          </cell>
          <cell r="M16">
            <v>597.07309999999995</v>
          </cell>
          <cell r="N16">
            <v>5373.6579000000002</v>
          </cell>
          <cell r="O16">
            <v>0</v>
          </cell>
          <cell r="P16">
            <v>0</v>
          </cell>
          <cell r="Q16">
            <v>2787.2520000000004</v>
          </cell>
          <cell r="R16">
            <v>0</v>
          </cell>
          <cell r="S16">
            <v>0</v>
          </cell>
        </row>
        <row r="17">
          <cell r="A17">
            <v>46</v>
          </cell>
          <cell r="B17" t="str">
            <v>Cera polimérica (Compra)</v>
          </cell>
          <cell r="C17" t="str">
            <v>- Polimérica autobrillante.
- Con polímeros acrílicos, nivelantes y plastificantes.
- Neutra (para pisos de todos los colores)
- Contenido mínimo de sólidos del 10%</v>
          </cell>
          <cell r="D17" t="str">
            <v>Líquido, en recipiente plástico con capacidad mínima de 3.785 ml</v>
          </cell>
          <cell r="E17">
            <v>25</v>
          </cell>
          <cell r="F17">
            <v>10</v>
          </cell>
          <cell r="G17">
            <v>-15</v>
          </cell>
          <cell r="H17">
            <v>0</v>
          </cell>
          <cell r="I17">
            <v>25</v>
          </cell>
          <cell r="J17">
            <v>0</v>
          </cell>
          <cell r="K17">
            <v>29520.488000000001</v>
          </cell>
          <cell r="L17">
            <v>0</v>
          </cell>
          <cell r="M17">
            <v>2952.0488000000005</v>
          </cell>
          <cell r="N17">
            <v>26568.439200000001</v>
          </cell>
          <cell r="O17">
            <v>0</v>
          </cell>
          <cell r="P17">
            <v>10</v>
          </cell>
          <cell r="Q17">
            <v>7739.5640000000021</v>
          </cell>
          <cell r="R17">
            <v>77395.640000000014</v>
          </cell>
          <cell r="S17">
            <v>77395.640000000014</v>
          </cell>
        </row>
        <row r="18">
          <cell r="A18">
            <v>50</v>
          </cell>
          <cell r="B18" t="str">
            <v>Sellante para pisos (Compra)</v>
          </cell>
          <cell r="C18" t="str">
            <v>- Polimérico autobrillante.
- Con polímeros acrílicos, nivelantes y plastificantes.
- Contenido mínimo de sólidos del 20%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18" t="str">
            <v>Líquido, en recipiente plástico con capacidad mínima de 3.785 ml</v>
          </cell>
          <cell r="E18">
            <v>25</v>
          </cell>
          <cell r="F18">
            <v>5</v>
          </cell>
          <cell r="G18">
            <v>-20</v>
          </cell>
          <cell r="H18">
            <v>0</v>
          </cell>
          <cell r="I18">
            <v>25</v>
          </cell>
          <cell r="J18">
            <v>0</v>
          </cell>
          <cell r="K18">
            <v>53513.767</v>
          </cell>
          <cell r="L18">
            <v>0</v>
          </cell>
          <cell r="M18">
            <v>5351.3767000000007</v>
          </cell>
          <cell r="N18">
            <v>48162.390299999999</v>
          </cell>
          <cell r="O18">
            <v>0</v>
          </cell>
          <cell r="P18">
            <v>5</v>
          </cell>
          <cell r="Q18">
            <v>38567.495999999999</v>
          </cell>
          <cell r="R18">
            <v>192837.47999999998</v>
          </cell>
          <cell r="S18">
            <v>192837.47999999998</v>
          </cell>
        </row>
        <row r="19">
          <cell r="A19">
            <v>51</v>
          </cell>
          <cell r="B19" t="str">
            <v>Mantenedor de pisos (Compra)</v>
          </cell>
          <cell r="C19" t="str">
            <v>- Polimérico autobrillante.
- Con polímeros acrílicos, nivelantes y plastificantes.
- Contenido mínimo de sólidos del 8%</v>
          </cell>
          <cell r="D19" t="str">
            <v>Líquido, en recipiente
plástico con capacidad mínima de 3.785 ml</v>
          </cell>
          <cell r="E19">
            <v>25</v>
          </cell>
          <cell r="F19">
            <v>0</v>
          </cell>
          <cell r="G19">
            <v>-25</v>
          </cell>
          <cell r="H19">
            <v>0</v>
          </cell>
          <cell r="I19">
            <v>25</v>
          </cell>
          <cell r="J19">
            <v>0</v>
          </cell>
          <cell r="K19">
            <v>24987.525000000001</v>
          </cell>
          <cell r="L19">
            <v>0</v>
          </cell>
          <cell r="M19">
            <v>2498.7525000000005</v>
          </cell>
          <cell r="N19">
            <v>22488.772499999999</v>
          </cell>
          <cell r="O19">
            <v>0</v>
          </cell>
          <cell r="P19">
            <v>0</v>
          </cell>
          <cell r="Q19">
            <v>7739.5640000000021</v>
          </cell>
          <cell r="R19">
            <v>0</v>
          </cell>
          <cell r="S19">
            <v>0</v>
          </cell>
        </row>
        <row r="20">
          <cell r="A20">
            <v>52</v>
          </cell>
          <cell r="B20" t="str">
            <v>Removedor de cera (Compra)</v>
          </cell>
          <cell r="C20" t="str">
            <v>- Con agente activo alcalino en una concentración mínima del 9%
- pH entre 11 y 14</v>
          </cell>
          <cell r="D20" t="str">
            <v>Líquido, en recipiente plástico con capacidad mínima de 3.785 ml</v>
          </cell>
          <cell r="E20">
            <v>96</v>
          </cell>
          <cell r="F20">
            <v>20</v>
          </cell>
          <cell r="G20">
            <v>-76</v>
          </cell>
          <cell r="H20">
            <v>0</v>
          </cell>
          <cell r="I20">
            <v>96</v>
          </cell>
          <cell r="J20">
            <v>0</v>
          </cell>
          <cell r="K20">
            <v>12438.584999999999</v>
          </cell>
          <cell r="L20">
            <v>0</v>
          </cell>
          <cell r="M20">
            <v>1243.8585</v>
          </cell>
          <cell r="N20">
            <v>11194.726499999999</v>
          </cell>
          <cell r="O20">
            <v>0</v>
          </cell>
          <cell r="P20">
            <v>20</v>
          </cell>
          <cell r="Q20">
            <v>6412.1509999999998</v>
          </cell>
          <cell r="R20">
            <v>128243.01999999999</v>
          </cell>
          <cell r="S20">
            <v>128243.01999999999</v>
          </cell>
        </row>
        <row r="21">
          <cell r="A21">
            <v>54</v>
          </cell>
          <cell r="B21" t="str">
            <v>Jabón neutro para pisos 1 (Compra)</v>
          </cell>
          <cell r="C21" t="str">
            <v xml:space="preserve"> - Jabón multiusos
 - PH Neutro, 
 - No corrosivo ni tóxico
- Debe contener concentraciones de fósforo iguales o inferiores a 0.65% de fósforo (Resolución 0689 de 2016)</v>
          </cell>
          <cell r="D21" t="str">
            <v>Líquido, en recipiente
plástico con capacidad mínima de 3.785 ml</v>
          </cell>
          <cell r="E21">
            <v>96</v>
          </cell>
          <cell r="F21">
            <v>11</v>
          </cell>
          <cell r="G21">
            <v>-85</v>
          </cell>
          <cell r="H21">
            <v>0</v>
          </cell>
          <cell r="I21">
            <v>96</v>
          </cell>
          <cell r="J21">
            <v>0</v>
          </cell>
          <cell r="K21">
            <v>11277.23</v>
          </cell>
          <cell r="L21">
            <v>0</v>
          </cell>
          <cell r="M21">
            <v>1127.723</v>
          </cell>
          <cell r="N21">
            <v>10149.507</v>
          </cell>
          <cell r="O21">
            <v>0</v>
          </cell>
          <cell r="P21">
            <v>11</v>
          </cell>
          <cell r="Q21">
            <v>5359.049</v>
          </cell>
          <cell r="R21">
            <v>58949.538999999997</v>
          </cell>
          <cell r="S21">
            <v>58949.538999999997</v>
          </cell>
        </row>
        <row r="22">
          <cell r="A22">
            <v>57</v>
          </cell>
          <cell r="B22" t="str">
            <v>Varsol ecológico 2 (Compra)</v>
          </cell>
          <cell r="C22" t="str">
            <v>- Solución con agentes desinfectantes, desmanchadores y desengrasantes  en concentración mínima del 15%.
- Biodegradable mínimo en un 95%</v>
          </cell>
          <cell r="D22" t="str">
            <v>Líquido, en recipiente plástico con capacidad mínima de 3.785 ml</v>
          </cell>
          <cell r="E22">
            <v>25</v>
          </cell>
          <cell r="F22">
            <v>10</v>
          </cell>
          <cell r="G22">
            <v>-15</v>
          </cell>
          <cell r="H22">
            <v>0</v>
          </cell>
          <cell r="I22">
            <v>25</v>
          </cell>
          <cell r="J22">
            <v>0</v>
          </cell>
          <cell r="K22">
            <v>30515.785</v>
          </cell>
          <cell r="L22">
            <v>0</v>
          </cell>
          <cell r="M22">
            <v>3051.5785000000001</v>
          </cell>
          <cell r="N22">
            <v>27464.2065</v>
          </cell>
          <cell r="O22">
            <v>0</v>
          </cell>
          <cell r="P22">
            <v>10</v>
          </cell>
          <cell r="Q22">
            <v>12823.251000000004</v>
          </cell>
          <cell r="R22">
            <v>128232.51000000004</v>
          </cell>
          <cell r="S22">
            <v>128232.51000000004</v>
          </cell>
        </row>
        <row r="23">
          <cell r="A23">
            <v>59</v>
          </cell>
          <cell r="B23" t="str">
            <v>Brillametal en crema (Compra)</v>
          </cell>
          <cell r="C23" t="str">
            <v>- Con agentes con efecto limpiador, pulidor y brillador.
- Para todo tipo de metales
 - El  envase del producto deberá estar correctamente etiquetado, indicando: nombre comercial del producto, pictogramas de los compuestos peligrosos e instrucciones de uso</v>
          </cell>
          <cell r="D23" t="str">
            <v>En crema de mínimo 70 g</v>
          </cell>
          <cell r="E23">
            <v>4</v>
          </cell>
          <cell r="F23">
            <v>1</v>
          </cell>
          <cell r="G23">
            <v>-3</v>
          </cell>
          <cell r="H23">
            <v>0</v>
          </cell>
          <cell r="I23">
            <v>4</v>
          </cell>
          <cell r="J23">
            <v>0</v>
          </cell>
          <cell r="K23">
            <v>15479.128000000001</v>
          </cell>
          <cell r="L23">
            <v>0</v>
          </cell>
          <cell r="M23">
            <v>1547.9128000000001</v>
          </cell>
          <cell r="N23">
            <v>13931.215200000001</v>
          </cell>
          <cell r="O23">
            <v>0</v>
          </cell>
          <cell r="P23">
            <v>1</v>
          </cell>
          <cell r="Q23">
            <v>5528.260000000002</v>
          </cell>
          <cell r="R23">
            <v>5528.260000000002</v>
          </cell>
          <cell r="S23">
            <v>5528.260000000002</v>
          </cell>
        </row>
        <row r="24">
          <cell r="A24">
            <v>62</v>
          </cell>
          <cell r="B24" t="str">
            <v>Ambientador 1 (Compra)</v>
          </cell>
          <cell r="C24" t="str">
            <v>- Solución con alcohol etílico y solventes.
- Con fragancia en una concentración del 1,5%
- En múltiples fragancias (Mínimo 5 tipos de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24" t="str">
            <v>Líquido, en recipiente plástico con capacidad
mínima de 3.785 ml</v>
          </cell>
          <cell r="E24">
            <v>25</v>
          </cell>
          <cell r="F24">
            <v>110</v>
          </cell>
          <cell r="G24">
            <v>85</v>
          </cell>
          <cell r="H24">
            <v>6.25</v>
          </cell>
          <cell r="I24">
            <v>31.25</v>
          </cell>
          <cell r="J24">
            <v>78.75</v>
          </cell>
          <cell r="K24">
            <v>11222.578</v>
          </cell>
          <cell r="L24">
            <v>883778.01749999996</v>
          </cell>
          <cell r="M24">
            <v>1122.2578000000001</v>
          </cell>
          <cell r="N24">
            <v>10100.3202</v>
          </cell>
          <cell r="O24">
            <v>795400.21574999997</v>
          </cell>
          <cell r="P24">
            <v>31.25</v>
          </cell>
          <cell r="Q24">
            <v>5167.7669999999998</v>
          </cell>
          <cell r="R24">
            <v>161492.71875</v>
          </cell>
          <cell r="S24">
            <v>956892.93449999997</v>
          </cell>
        </row>
        <row r="25">
          <cell r="A25">
            <v>63</v>
          </cell>
          <cell r="B25" t="str">
            <v>Ambientador 2 (Compra)</v>
          </cell>
          <cell r="C25" t="str">
            <v>- Solución con alcohol etílico y solventes.
- Con fragancia en una concentración del 1,5%
- En múltiples fragancias
- libre de CFC
 - Envase correctamente etiquetado bajo los parámetros establecidos indicando: nombre comercial del producto, pictogramas de los compuestos peligrosos e instrucciones de uso.
- Elaborado en material reciclable</v>
          </cell>
          <cell r="D25" t="str">
            <v>Líquido, en aerosol seguro para la capa de ozono con capacidad mínima de 360 ml</v>
          </cell>
          <cell r="E25">
            <v>25</v>
          </cell>
          <cell r="F25">
            <v>91</v>
          </cell>
          <cell r="G25">
            <v>66</v>
          </cell>
          <cell r="H25">
            <v>6.25</v>
          </cell>
          <cell r="I25">
            <v>31.25</v>
          </cell>
          <cell r="J25">
            <v>59.75</v>
          </cell>
          <cell r="K25">
            <v>12714.998</v>
          </cell>
          <cell r="L25">
            <v>759721.13049999997</v>
          </cell>
          <cell r="M25">
            <v>1271.4998000000001</v>
          </cell>
          <cell r="N25">
            <v>11443.4982</v>
          </cell>
          <cell r="O25">
            <v>683749.01745000004</v>
          </cell>
          <cell r="P25">
            <v>31.25</v>
          </cell>
          <cell r="Q25">
            <v>8292.39</v>
          </cell>
          <cell r="R25">
            <v>259137.18749999997</v>
          </cell>
          <cell r="S25">
            <v>942886.20495000004</v>
          </cell>
        </row>
        <row r="26">
          <cell r="A26">
            <v>64</v>
          </cell>
          <cell r="B26" t="str">
            <v>Insecticida 1 (Compra)</v>
          </cell>
          <cell r="C26" t="str">
            <v>- Para eliminar insectos rastreros.
-  Con acción residual hasta por 4 semanas o de larga duración
- Sin fuertes olores químicos
- Libre de CFC
 - El  envase del producto deberá estar correctamente etiquetado, indicando: nombre comercial del producto, pictogramas de los compuestos peligrosos e instrucciones de uso</v>
          </cell>
          <cell r="D26" t="str">
            <v>Líquido, en aerosol seguro para la capa de ozono con capacidad
mínima de 350 ml</v>
          </cell>
          <cell r="E26">
            <v>25</v>
          </cell>
          <cell r="F26">
            <v>5</v>
          </cell>
          <cell r="G26">
            <v>-20</v>
          </cell>
          <cell r="H26">
            <v>0</v>
          </cell>
          <cell r="I26">
            <v>25</v>
          </cell>
          <cell r="J26">
            <v>0</v>
          </cell>
          <cell r="K26">
            <v>22665.866000000002</v>
          </cell>
          <cell r="L26">
            <v>0</v>
          </cell>
          <cell r="M26">
            <v>2266.5866000000001</v>
          </cell>
          <cell r="N26">
            <v>20399.279400000003</v>
          </cell>
          <cell r="O26">
            <v>0</v>
          </cell>
          <cell r="P26">
            <v>5</v>
          </cell>
          <cell r="Q26">
            <v>13820.650000000001</v>
          </cell>
          <cell r="R26">
            <v>69103.25</v>
          </cell>
          <cell r="S26">
            <v>69103.25</v>
          </cell>
        </row>
        <row r="27">
          <cell r="A27">
            <v>65</v>
          </cell>
          <cell r="B27" t="str">
            <v>Insecticida 2 (Compra)</v>
          </cell>
          <cell r="C27" t="str">
            <v>- Para eliminar insectos voladores
-  Con acción residual hasta por 4 semanas o de larga duración
- Sin fuertes olores químicos
- Libre de CFC
 - El  envase del producto deberá estar correctamente etiquetado, indicando: nombre comercial del producto, pictogramas de los compuestos peligrosos e instrucciones de uso</v>
          </cell>
          <cell r="D27" t="str">
            <v>Líquido, en aerosol seguro para la capa de ozono con capacidad
mínima de 350 ml</v>
          </cell>
          <cell r="E27">
            <v>25</v>
          </cell>
          <cell r="F27">
            <v>22</v>
          </cell>
          <cell r="G27">
            <v>-3</v>
          </cell>
          <cell r="H27">
            <v>0</v>
          </cell>
          <cell r="I27">
            <v>25</v>
          </cell>
          <cell r="J27">
            <v>0</v>
          </cell>
          <cell r="K27">
            <v>23661.163</v>
          </cell>
          <cell r="L27">
            <v>0</v>
          </cell>
          <cell r="M27">
            <v>2366.1163000000001</v>
          </cell>
          <cell r="N27">
            <v>21295.046699999999</v>
          </cell>
          <cell r="O27">
            <v>0</v>
          </cell>
          <cell r="P27">
            <v>22</v>
          </cell>
          <cell r="Q27">
            <v>13820.650000000001</v>
          </cell>
          <cell r="R27">
            <v>304054.30000000005</v>
          </cell>
          <cell r="S27">
            <v>304054.30000000005</v>
          </cell>
        </row>
        <row r="28">
          <cell r="A28">
            <v>66</v>
          </cell>
          <cell r="B28" t="str">
            <v>Limpiones 1 (Compra)</v>
          </cell>
          <cell r="C28" t="str">
            <v>- En tela de toalla fileteada
- Color blanco sin estampado
- Tamaño mínimo de 45cm de largo por 45cm de ancho.</v>
          </cell>
          <cell r="D28" t="str">
            <v>Unidad</v>
          </cell>
          <cell r="E28">
            <v>25</v>
          </cell>
          <cell r="F28">
            <v>153</v>
          </cell>
          <cell r="G28">
            <v>128</v>
          </cell>
          <cell r="H28">
            <v>6.25</v>
          </cell>
          <cell r="I28">
            <v>31.25</v>
          </cell>
          <cell r="J28">
            <v>121.75</v>
          </cell>
          <cell r="K28">
            <v>4643.3180000000002</v>
          </cell>
          <cell r="L28">
            <v>565323.96649999998</v>
          </cell>
          <cell r="M28">
            <v>464.33180000000004</v>
          </cell>
          <cell r="N28">
            <v>4178.9862000000003</v>
          </cell>
          <cell r="O28">
            <v>508791.56985000003</v>
          </cell>
          <cell r="P28">
            <v>31.25</v>
          </cell>
          <cell r="Q28">
            <v>2887.0970000000002</v>
          </cell>
          <cell r="R28">
            <v>90221.78125</v>
          </cell>
          <cell r="S28">
            <v>599013.35110000009</v>
          </cell>
        </row>
        <row r="29">
          <cell r="A29">
            <v>71</v>
          </cell>
          <cell r="B29" t="str">
            <v>Bayetilla 1 (Compra)</v>
          </cell>
          <cell r="C29" t="str">
            <v xml:space="preserve"> - En tela fileteada
 -  100% algodón y fibra natural 
- Color blanco sin estampado
-Tamaño mínimo de 100 cm de largo por 70 cm de ancho</v>
          </cell>
          <cell r="D29" t="str">
            <v>Unidad</v>
          </cell>
          <cell r="E29">
            <v>25</v>
          </cell>
          <cell r="F29">
            <v>49</v>
          </cell>
          <cell r="G29">
            <v>24</v>
          </cell>
          <cell r="H29">
            <v>6.25</v>
          </cell>
          <cell r="I29">
            <v>31.25</v>
          </cell>
          <cell r="J29">
            <v>17.75</v>
          </cell>
          <cell r="K29">
            <v>8845.2160000000003</v>
          </cell>
          <cell r="L29">
            <v>157002.584</v>
          </cell>
          <cell r="M29">
            <v>884.52160000000003</v>
          </cell>
          <cell r="N29">
            <v>7960.6944000000003</v>
          </cell>
          <cell r="O29">
            <v>141302.32560000001</v>
          </cell>
          <cell r="P29">
            <v>31.25</v>
          </cell>
          <cell r="Q29">
            <v>5196.1440000000002</v>
          </cell>
          <cell r="R29">
            <v>162379.5</v>
          </cell>
          <cell r="S29">
            <v>303681.82559999998</v>
          </cell>
        </row>
        <row r="30">
          <cell r="A30">
            <v>72</v>
          </cell>
          <cell r="B30" t="str">
            <v>Bayetilla 2 (Compra)</v>
          </cell>
          <cell r="C30" t="str">
            <v xml:space="preserve"> - En tela fileteada
 - 100% algodón y fibra natural 
 - Color rojo sin estampado
 -Tamaño mínimo de 100 cm de largo por 70 cm de ancho</v>
          </cell>
          <cell r="D30" t="str">
            <v>Unidad</v>
          </cell>
          <cell r="E30">
            <v>25</v>
          </cell>
          <cell r="F30">
            <v>70</v>
          </cell>
          <cell r="G30">
            <v>45</v>
          </cell>
          <cell r="H30">
            <v>6.25</v>
          </cell>
          <cell r="I30">
            <v>31.25</v>
          </cell>
          <cell r="J30">
            <v>38.75</v>
          </cell>
          <cell r="K30">
            <v>8734.8610000000008</v>
          </cell>
          <cell r="L30">
            <v>338475.86375000002</v>
          </cell>
          <cell r="M30">
            <v>873.48610000000008</v>
          </cell>
          <cell r="N30">
            <v>7861.3749000000007</v>
          </cell>
          <cell r="O30">
            <v>304628.27737500001</v>
          </cell>
          <cell r="P30">
            <v>31.25</v>
          </cell>
          <cell r="Q30">
            <v>5196.1440000000002</v>
          </cell>
          <cell r="R30">
            <v>162379.5</v>
          </cell>
          <cell r="S30">
            <v>467007.77737500001</v>
          </cell>
        </row>
        <row r="31">
          <cell r="A31">
            <v>73</v>
          </cell>
          <cell r="B31" t="str">
            <v>Toalla en tela blanca para pisos por metro (repuesto de haraganes) (Compra)</v>
          </cell>
          <cell r="C31" t="str">
            <v xml:space="preserve"> - Elaborado  en microfibras
 - Color blanco
 - Tamaño mínimo de 100 cm de largo por 70 cm de ancho</v>
          </cell>
          <cell r="D31" t="str">
            <v>Unidad</v>
          </cell>
          <cell r="E31">
            <v>25</v>
          </cell>
          <cell r="F31">
            <v>0</v>
          </cell>
          <cell r="G31">
            <v>-25</v>
          </cell>
          <cell r="H31">
            <v>0</v>
          </cell>
          <cell r="I31">
            <v>25</v>
          </cell>
          <cell r="J31">
            <v>0</v>
          </cell>
          <cell r="K31">
            <v>23881.873</v>
          </cell>
          <cell r="L31">
            <v>0</v>
          </cell>
          <cell r="M31">
            <v>2388.1873000000001</v>
          </cell>
          <cell r="N31">
            <v>21493.685699999998</v>
          </cell>
          <cell r="O31">
            <v>0</v>
          </cell>
          <cell r="P31">
            <v>0</v>
          </cell>
          <cell r="Q31">
            <v>4975.4340000000011</v>
          </cell>
          <cell r="R31">
            <v>0</v>
          </cell>
          <cell r="S31">
            <v>0</v>
          </cell>
        </row>
        <row r="32">
          <cell r="A32">
            <v>74</v>
          </cell>
          <cell r="B32" t="str">
            <v>Paño absorbente multiusos 1 (Compra)</v>
          </cell>
          <cell r="C32" t="str">
            <v>- Retira el polvo sin dejar residuos ni pelusas
- Antibacterial reutilizable
- Tela con microporos
- Tamaño mínimo de 58 cm de largo por 33 cm de ancho</v>
          </cell>
          <cell r="D32" t="str">
            <v>Paquete X 6 unidades</v>
          </cell>
          <cell r="E32">
            <v>25</v>
          </cell>
          <cell r="F32">
            <v>81</v>
          </cell>
          <cell r="G32">
            <v>56</v>
          </cell>
          <cell r="H32">
            <v>6.25</v>
          </cell>
          <cell r="I32">
            <v>31.25</v>
          </cell>
          <cell r="J32">
            <v>49.75</v>
          </cell>
          <cell r="K32">
            <v>7683.8609999999999</v>
          </cell>
          <cell r="L32">
            <v>382272.08474999998</v>
          </cell>
          <cell r="M32">
            <v>768.38610000000006</v>
          </cell>
          <cell r="N32">
            <v>6915.4749000000002</v>
          </cell>
          <cell r="O32">
            <v>344044.87627499999</v>
          </cell>
          <cell r="P32">
            <v>31.25</v>
          </cell>
          <cell r="Q32">
            <v>3261.2529999999997</v>
          </cell>
          <cell r="R32">
            <v>101914.15624999999</v>
          </cell>
          <cell r="S32">
            <v>445959.03252499999</v>
          </cell>
        </row>
        <row r="33">
          <cell r="A33">
            <v>79</v>
          </cell>
          <cell r="B33" t="str">
            <v>Esponjilla 1 (Compra)</v>
          </cell>
          <cell r="C33" t="str">
            <v>- Espuma enmallada
- Tamaño mínimo de 7 cm de largo por 10 cm de ancho</v>
          </cell>
          <cell r="D33" t="str">
            <v>Unidad</v>
          </cell>
          <cell r="E33">
            <v>37</v>
          </cell>
          <cell r="F33">
            <v>21</v>
          </cell>
          <cell r="G33">
            <v>-16</v>
          </cell>
          <cell r="H33">
            <v>0</v>
          </cell>
          <cell r="I33">
            <v>37</v>
          </cell>
          <cell r="J33">
            <v>0</v>
          </cell>
          <cell r="K33">
            <v>1039.4390000000001</v>
          </cell>
          <cell r="L33">
            <v>0</v>
          </cell>
          <cell r="M33">
            <v>103.94390000000001</v>
          </cell>
          <cell r="N33">
            <v>935.49510000000009</v>
          </cell>
          <cell r="O33">
            <v>0</v>
          </cell>
          <cell r="P33">
            <v>21</v>
          </cell>
          <cell r="Q33">
            <v>541.2650000000001</v>
          </cell>
          <cell r="R33">
            <v>11366.565000000002</v>
          </cell>
          <cell r="S33">
            <v>11366.565000000002</v>
          </cell>
        </row>
        <row r="34">
          <cell r="A34">
            <v>80</v>
          </cell>
          <cell r="B34" t="str">
            <v>Esponjilla 2 (Compra)</v>
          </cell>
          <cell r="C34" t="str">
            <v>- Doble uso (material de esponjilla blanda y abrasiva)
- Tamaño mínimo de 7 cm de largo por 10 cm de ancho
- No debe contener PVC o Poliestireno expandido u otros plásticos de un solo uso tanto en el envase como en el embalaje</v>
          </cell>
          <cell r="D34" t="str">
            <v>Unidad</v>
          </cell>
          <cell r="E34">
            <v>37</v>
          </cell>
          <cell r="F34">
            <v>21</v>
          </cell>
          <cell r="G34">
            <v>-16</v>
          </cell>
          <cell r="H34">
            <v>0</v>
          </cell>
          <cell r="I34">
            <v>37</v>
          </cell>
          <cell r="J34">
            <v>0</v>
          </cell>
          <cell r="K34">
            <v>674.74199999999996</v>
          </cell>
          <cell r="L34">
            <v>0</v>
          </cell>
          <cell r="M34">
            <v>67.474199999999996</v>
          </cell>
          <cell r="N34">
            <v>607.26779999999997</v>
          </cell>
          <cell r="O34">
            <v>0</v>
          </cell>
          <cell r="P34">
            <v>21</v>
          </cell>
          <cell r="Q34">
            <v>433.01199999999994</v>
          </cell>
          <cell r="R34">
            <v>9093.2519999999986</v>
          </cell>
          <cell r="S34">
            <v>9093.2519999999986</v>
          </cell>
        </row>
        <row r="35">
          <cell r="A35">
            <v>81</v>
          </cell>
          <cell r="B35" t="str">
            <v>Esponjilla 3 (Compra)</v>
          </cell>
          <cell r="C35" t="str">
            <v>- Abrasiva
- Tamaño mínimo de 9 cm de largo por 12 cm de</v>
          </cell>
          <cell r="D35" t="str">
            <v>Unidad</v>
          </cell>
          <cell r="E35">
            <v>37</v>
          </cell>
          <cell r="F35">
            <v>27</v>
          </cell>
          <cell r="G35">
            <v>-10</v>
          </cell>
          <cell r="H35">
            <v>0</v>
          </cell>
          <cell r="I35">
            <v>37</v>
          </cell>
          <cell r="J35">
            <v>0</v>
          </cell>
          <cell r="K35">
            <v>430.91</v>
          </cell>
          <cell r="L35">
            <v>0</v>
          </cell>
          <cell r="M35">
            <v>43.091000000000008</v>
          </cell>
          <cell r="N35">
            <v>387.81900000000002</v>
          </cell>
          <cell r="O35">
            <v>0</v>
          </cell>
          <cell r="P35">
            <v>27</v>
          </cell>
          <cell r="Q35">
            <v>211.251</v>
          </cell>
          <cell r="R35">
            <v>5703.777</v>
          </cell>
          <cell r="S35">
            <v>5703.777</v>
          </cell>
        </row>
        <row r="36">
          <cell r="A36">
            <v>82</v>
          </cell>
          <cell r="B36" t="str">
            <v>Esponjilla 4 (Compra)</v>
          </cell>
          <cell r="C36" t="str">
            <v>- Elaborada con fibra de acero inoxidable para dar brillo
- Tamaño mínimo de 5 cm de largo por 5 cm de ancho</v>
          </cell>
          <cell r="D36" t="str">
            <v>Paquete X 6 unidades</v>
          </cell>
          <cell r="E36">
            <v>37</v>
          </cell>
          <cell r="F36">
            <v>5</v>
          </cell>
          <cell r="G36">
            <v>-32</v>
          </cell>
          <cell r="H36">
            <v>0</v>
          </cell>
          <cell r="I36">
            <v>37</v>
          </cell>
          <cell r="J36">
            <v>0</v>
          </cell>
          <cell r="K36">
            <v>2177.672</v>
          </cell>
          <cell r="L36">
            <v>0</v>
          </cell>
          <cell r="M36">
            <v>217.7672</v>
          </cell>
          <cell r="N36">
            <v>1959.9048</v>
          </cell>
          <cell r="O36">
            <v>0</v>
          </cell>
          <cell r="P36">
            <v>5</v>
          </cell>
          <cell r="Q36">
            <v>1003.7049999999999</v>
          </cell>
          <cell r="R36">
            <v>5018.5249999999996</v>
          </cell>
          <cell r="S36">
            <v>5018.5249999999996</v>
          </cell>
        </row>
        <row r="37">
          <cell r="A37">
            <v>83</v>
          </cell>
          <cell r="B37" t="str">
            <v>Esponjilla 5 (Compra)</v>
          </cell>
          <cell r="C37" t="str">
            <v>- Elaborada con alambre de acero inoxidable
- Tamaño mínimo de 7 cm de largo por 10 cm de ancho</v>
          </cell>
          <cell r="D37" t="str">
            <v>Unidad</v>
          </cell>
          <cell r="E37">
            <v>37</v>
          </cell>
          <cell r="F37">
            <v>62</v>
          </cell>
          <cell r="G37">
            <v>25</v>
          </cell>
          <cell r="H37">
            <v>9.25</v>
          </cell>
          <cell r="I37">
            <v>46.25</v>
          </cell>
          <cell r="J37">
            <v>15.75</v>
          </cell>
          <cell r="K37">
            <v>408.839</v>
          </cell>
          <cell r="L37">
            <v>6439.21425</v>
          </cell>
          <cell r="M37">
            <v>40.883900000000004</v>
          </cell>
          <cell r="N37">
            <v>367.95510000000002</v>
          </cell>
          <cell r="O37">
            <v>5795.2928250000004</v>
          </cell>
          <cell r="P37">
            <v>46.25</v>
          </cell>
          <cell r="Q37">
            <v>336.32</v>
          </cell>
          <cell r="R37">
            <v>15554.8</v>
          </cell>
          <cell r="S37">
            <v>21350.092825</v>
          </cell>
        </row>
        <row r="38">
          <cell r="A38">
            <v>86</v>
          </cell>
          <cell r="B38" t="str">
            <v>Escoba 1 (Compra)</v>
          </cell>
          <cell r="C38" t="str">
            <v xml:space="preserve">- Cerdas suaves elaboradas con PET calibre entre 0,3 y 0,4 mm.
- Área de barrido mínima de 25 cm de largo por 8 cm de ancho por 10 cm de alto
- Material de base en plástico con acople tipo rosca
</v>
          </cell>
          <cell r="D38" t="str">
            <v>Unidad</v>
          </cell>
          <cell r="E38">
            <v>20</v>
          </cell>
          <cell r="F38">
            <v>34</v>
          </cell>
          <cell r="G38">
            <v>14</v>
          </cell>
          <cell r="H38">
            <v>5</v>
          </cell>
          <cell r="I38">
            <v>25</v>
          </cell>
          <cell r="J38">
            <v>9</v>
          </cell>
          <cell r="K38">
            <v>4256.55</v>
          </cell>
          <cell r="L38">
            <v>38308.950000000004</v>
          </cell>
          <cell r="M38">
            <v>425.65500000000003</v>
          </cell>
          <cell r="N38">
            <v>3830.895</v>
          </cell>
          <cell r="O38">
            <v>34478.055</v>
          </cell>
          <cell r="P38">
            <v>25</v>
          </cell>
          <cell r="Q38">
            <v>2792.5070000000005</v>
          </cell>
          <cell r="R38">
            <v>69812.675000000017</v>
          </cell>
          <cell r="S38">
            <v>104290.73000000001</v>
          </cell>
        </row>
        <row r="39">
          <cell r="A39">
            <v>87</v>
          </cell>
          <cell r="B39" t="str">
            <v>Escoba 2 (Compra)</v>
          </cell>
          <cell r="C39" t="str">
            <v xml:space="preserve">- Cerdas duras elaboradas con PET calibre entre 0,4 y 0,6 mm.
- Área de barrido mínima de 25 cm de largo por 8 cm de ancho por 10 cm de alto
- Material de base en plástico con acople tipo rosca
</v>
          </cell>
          <cell r="D39" t="str">
            <v>Unidad</v>
          </cell>
          <cell r="E39">
            <v>25</v>
          </cell>
          <cell r="F39">
            <v>28</v>
          </cell>
          <cell r="G39">
            <v>3</v>
          </cell>
          <cell r="H39">
            <v>6.25</v>
          </cell>
          <cell r="I39">
            <v>31.25</v>
          </cell>
          <cell r="J39">
            <v>0</v>
          </cell>
          <cell r="K39">
            <v>4256.55</v>
          </cell>
          <cell r="L39">
            <v>0</v>
          </cell>
          <cell r="M39">
            <v>425.65500000000003</v>
          </cell>
          <cell r="N39">
            <v>3830.895</v>
          </cell>
          <cell r="O39">
            <v>0</v>
          </cell>
          <cell r="P39">
            <v>28</v>
          </cell>
          <cell r="Q39">
            <v>0</v>
          </cell>
          <cell r="R39">
            <v>0</v>
          </cell>
          <cell r="S39">
            <v>0</v>
          </cell>
        </row>
        <row r="40">
          <cell r="A40">
            <v>88</v>
          </cell>
          <cell r="B40" t="str">
            <v>Escoba 3 (Compra)</v>
          </cell>
          <cell r="C40" t="str">
            <v xml:space="preserve">- Cerdas suaves elaboradas con PET calibre entre 0,3 y 0,4 mm.
- Área de barrido mínima de 35 cm de largo por 8 cm de ancho por 10 cm de alto
- Material de base en plástico con acople tipo rosca
</v>
          </cell>
          <cell r="D40" t="str">
            <v>Unidad</v>
          </cell>
          <cell r="E40">
            <v>67</v>
          </cell>
          <cell r="F40">
            <v>0</v>
          </cell>
          <cell r="G40">
            <v>-67</v>
          </cell>
          <cell r="H40">
            <v>0</v>
          </cell>
          <cell r="I40">
            <v>67</v>
          </cell>
          <cell r="J40">
            <v>0</v>
          </cell>
          <cell r="K40">
            <v>5285.4790000000003</v>
          </cell>
          <cell r="L40">
            <v>0</v>
          </cell>
          <cell r="M40">
            <v>528.54790000000003</v>
          </cell>
          <cell r="N40">
            <v>4756.9310999999998</v>
          </cell>
          <cell r="O40">
            <v>0</v>
          </cell>
          <cell r="P40">
            <v>0</v>
          </cell>
          <cell r="Q40">
            <v>2717.886</v>
          </cell>
          <cell r="R40">
            <v>0</v>
          </cell>
          <cell r="S40">
            <v>0</v>
          </cell>
        </row>
        <row r="41">
          <cell r="A41">
            <v>89</v>
          </cell>
          <cell r="B41" t="str">
            <v>Escoba 4 (Compra)</v>
          </cell>
          <cell r="C41" t="str">
            <v xml:space="preserve">- Cerdas duras elaboradas con PET calibre entre 0,4 y 0,6 mm.
- Área de barrido mínima de 35 cm de largo por 8 cm de ancho por 10 cm de alto
- Material de base en plástico con acople tipo rosca
</v>
          </cell>
          <cell r="D41" t="str">
            <v>Unidad</v>
          </cell>
          <cell r="E41">
            <v>35</v>
          </cell>
          <cell r="F41">
            <v>0</v>
          </cell>
          <cell r="G41">
            <v>-35</v>
          </cell>
          <cell r="H41">
            <v>0</v>
          </cell>
          <cell r="I41">
            <v>35</v>
          </cell>
          <cell r="J41">
            <v>0</v>
          </cell>
          <cell r="K41">
            <v>5285.4790000000003</v>
          </cell>
          <cell r="L41">
            <v>0</v>
          </cell>
          <cell r="M41">
            <v>528.54790000000003</v>
          </cell>
          <cell r="N41">
            <v>4756.9310999999998</v>
          </cell>
          <cell r="O41">
            <v>0</v>
          </cell>
          <cell r="P41">
            <v>0</v>
          </cell>
          <cell r="Q41">
            <v>2650.6220000000003</v>
          </cell>
          <cell r="R41">
            <v>0</v>
          </cell>
          <cell r="S41">
            <v>0</v>
          </cell>
        </row>
        <row r="42">
          <cell r="A42">
            <v>91</v>
          </cell>
          <cell r="B42" t="str">
            <v>Mango metálico escoba 1 (Compra)</v>
          </cell>
          <cell r="C42" t="str">
            <v xml:space="preserve">- Extensión mínima de 140 cm
 -Acople plástico o rosca para palos de escoba
 </v>
          </cell>
          <cell r="D42" t="str">
            <v>Unidad</v>
          </cell>
          <cell r="E42">
            <v>25</v>
          </cell>
          <cell r="F42">
            <v>18</v>
          </cell>
          <cell r="G42">
            <v>-7</v>
          </cell>
          <cell r="H42">
            <v>0</v>
          </cell>
          <cell r="I42">
            <v>25</v>
          </cell>
          <cell r="J42">
            <v>0</v>
          </cell>
          <cell r="K42">
            <v>9342.3389999999999</v>
          </cell>
          <cell r="L42">
            <v>0</v>
          </cell>
          <cell r="M42">
            <v>934.23390000000006</v>
          </cell>
          <cell r="N42">
            <v>8408.1051000000007</v>
          </cell>
          <cell r="O42">
            <v>0</v>
          </cell>
          <cell r="P42">
            <v>18</v>
          </cell>
          <cell r="Q42">
            <v>4364.8029999999999</v>
          </cell>
          <cell r="R42">
            <v>78566.453999999998</v>
          </cell>
          <cell r="S42">
            <v>78566.453999999998</v>
          </cell>
        </row>
        <row r="43">
          <cell r="A43">
            <v>92</v>
          </cell>
          <cell r="B43" t="str">
            <v>Mango madera escoba 1 (Compra)</v>
          </cell>
          <cell r="C43" t="str">
            <v xml:space="preserve">- Extensión mínima de 140 cm
 -Acople plástico o rosca para palos de escoba
 </v>
          </cell>
          <cell r="D43" t="str">
            <v>Unidad</v>
          </cell>
          <cell r="E43">
            <v>20</v>
          </cell>
          <cell r="F43">
            <v>18</v>
          </cell>
          <cell r="G43">
            <v>-2</v>
          </cell>
          <cell r="H43">
            <v>0</v>
          </cell>
          <cell r="I43">
            <v>20</v>
          </cell>
          <cell r="J43">
            <v>0</v>
          </cell>
          <cell r="K43">
            <v>3869.7820000000002</v>
          </cell>
          <cell r="L43">
            <v>0</v>
          </cell>
          <cell r="M43">
            <v>386.97820000000002</v>
          </cell>
          <cell r="N43">
            <v>3482.8038000000001</v>
          </cell>
          <cell r="O43">
            <v>0</v>
          </cell>
          <cell r="P43">
            <v>18</v>
          </cell>
          <cell r="Q43">
            <v>2380.5149999999999</v>
          </cell>
          <cell r="R43">
            <v>42849.27</v>
          </cell>
          <cell r="S43">
            <v>42849.27</v>
          </cell>
        </row>
        <row r="44">
          <cell r="A44">
            <v>94</v>
          </cell>
          <cell r="B44" t="str">
            <v>Cepillos 2 (Compra)</v>
          </cell>
          <cell r="C44" t="str">
            <v>- Para pisos
- Cuerpo elaborado en plástico
- Cerdas duras en fibra plástica
- Tamaño mínimo de 23 cm de largo por 6 cm de ancho por 7 cm de alto.
- Mango metálico con una extensión mínima de
140 cm</v>
          </cell>
          <cell r="D44" t="str">
            <v>Unidad</v>
          </cell>
          <cell r="E44">
            <v>41</v>
          </cell>
          <cell r="F44">
            <v>21</v>
          </cell>
          <cell r="G44">
            <v>-20</v>
          </cell>
          <cell r="H44">
            <v>0</v>
          </cell>
          <cell r="I44">
            <v>41</v>
          </cell>
          <cell r="J44">
            <v>0</v>
          </cell>
          <cell r="K44">
            <v>16474.424999999999</v>
          </cell>
          <cell r="L44">
            <v>0</v>
          </cell>
          <cell r="M44">
            <v>1647.4425000000001</v>
          </cell>
          <cell r="N44">
            <v>14826.982499999998</v>
          </cell>
          <cell r="O44">
            <v>0</v>
          </cell>
          <cell r="P44">
            <v>21</v>
          </cell>
          <cell r="Q44">
            <v>3316.9560000000001</v>
          </cell>
          <cell r="R44">
            <v>69656.076000000001</v>
          </cell>
          <cell r="S44">
            <v>69656.076000000001</v>
          </cell>
        </row>
        <row r="45">
          <cell r="A45">
            <v>95</v>
          </cell>
          <cell r="B45" t="str">
            <v>Cepillos 3 (Compra)</v>
          </cell>
          <cell r="C45" t="str">
            <v>- Para pisos
- Cuerpo elaborado en plástico
- Cerdas duras en fibra plástica
- Tamaño mínimo de 35 cm de largo por 6 cm de ancho por 7 cm de alto.
- Mango metálico con una extensión mínima de
140 cm</v>
          </cell>
          <cell r="D45" t="str">
            <v>Unidad</v>
          </cell>
          <cell r="E45">
            <v>22</v>
          </cell>
          <cell r="F45">
            <v>0</v>
          </cell>
          <cell r="G45">
            <v>-22</v>
          </cell>
          <cell r="H45">
            <v>0</v>
          </cell>
          <cell r="I45">
            <v>22</v>
          </cell>
          <cell r="J45">
            <v>0</v>
          </cell>
          <cell r="K45">
            <v>27862.01</v>
          </cell>
          <cell r="L45">
            <v>0</v>
          </cell>
          <cell r="M45">
            <v>2786.201</v>
          </cell>
          <cell r="N45">
            <v>25075.808999999997</v>
          </cell>
          <cell r="O45">
            <v>0</v>
          </cell>
          <cell r="P45">
            <v>0</v>
          </cell>
          <cell r="Q45">
            <v>11056.52</v>
          </cell>
          <cell r="R45">
            <v>0</v>
          </cell>
          <cell r="S45">
            <v>0</v>
          </cell>
        </row>
        <row r="46">
          <cell r="A46">
            <v>98</v>
          </cell>
          <cell r="B46" t="str">
            <v>Trapero 3 (Compra)</v>
          </cell>
          <cell r="C46" t="str">
            <v>- Elaborado con hilaza de algodón natural
- Mecha con peso mínimo de 435 gr y extensión mínima de 32 cm de largo
- Material de base en plástico con acople tipo rosca</v>
          </cell>
          <cell r="D46" t="str">
            <v>Unidad</v>
          </cell>
          <cell r="E46">
            <v>25</v>
          </cell>
          <cell r="F46">
            <v>133</v>
          </cell>
          <cell r="G46">
            <v>108</v>
          </cell>
          <cell r="H46">
            <v>6.25</v>
          </cell>
          <cell r="I46">
            <v>31.25</v>
          </cell>
          <cell r="J46">
            <v>101.75</v>
          </cell>
          <cell r="K46">
            <v>10559.397000000001</v>
          </cell>
          <cell r="L46">
            <v>1074418.64475</v>
          </cell>
          <cell r="M46">
            <v>1055.9397000000001</v>
          </cell>
          <cell r="N46">
            <v>9503.4573</v>
          </cell>
          <cell r="O46">
            <v>966976.78027500003</v>
          </cell>
          <cell r="P46">
            <v>31.25</v>
          </cell>
          <cell r="Q46">
            <v>6633.9120000000003</v>
          </cell>
          <cell r="R46">
            <v>207309.75</v>
          </cell>
          <cell r="S46">
            <v>1174286.530275</v>
          </cell>
        </row>
        <row r="47">
          <cell r="A47">
            <v>100</v>
          </cell>
          <cell r="B47" t="str">
            <v>Mango metálico trapero (Compra)</v>
          </cell>
          <cell r="C47" t="str">
            <v xml:space="preserve">- Extensión mínima de 140 cm
- Acople plástico o rosca para palos de escoba
 </v>
          </cell>
          <cell r="D47" t="str">
            <v>Unidad</v>
          </cell>
          <cell r="E47">
            <v>59</v>
          </cell>
          <cell r="F47">
            <v>0</v>
          </cell>
          <cell r="G47">
            <v>-59</v>
          </cell>
          <cell r="H47">
            <v>0</v>
          </cell>
          <cell r="I47">
            <v>59</v>
          </cell>
          <cell r="J47">
            <v>0</v>
          </cell>
          <cell r="K47">
            <v>9342.3389999999999</v>
          </cell>
          <cell r="L47">
            <v>0</v>
          </cell>
          <cell r="M47">
            <v>934.23390000000006</v>
          </cell>
          <cell r="N47">
            <v>8408.1051000000007</v>
          </cell>
          <cell r="O47">
            <v>0</v>
          </cell>
          <cell r="P47">
            <v>0</v>
          </cell>
          <cell r="Q47">
            <v>4364.8029999999999</v>
          </cell>
          <cell r="R47">
            <v>0</v>
          </cell>
          <cell r="S47">
            <v>0</v>
          </cell>
        </row>
        <row r="48">
          <cell r="A48">
            <v>102</v>
          </cell>
          <cell r="B48" t="str">
            <v>Cepillo para sanitario (churrusco) (Compra)</v>
          </cell>
          <cell r="C48" t="str">
            <v>- Cerdas duras elaboradas en fibras plásticas
- Extensión mínima de las cerdas es de 2,5 cm
- Base y mango elaborados en plástico
- Mango con longitud mínima de 33 cm (incluida la medida del cepillo)</v>
          </cell>
          <cell r="D48" t="str">
            <v>Unidad</v>
          </cell>
          <cell r="E48">
            <v>25</v>
          </cell>
          <cell r="F48">
            <v>0</v>
          </cell>
          <cell r="G48">
            <v>-25</v>
          </cell>
          <cell r="H48">
            <v>0</v>
          </cell>
          <cell r="I48">
            <v>25</v>
          </cell>
          <cell r="J48">
            <v>0</v>
          </cell>
          <cell r="K48">
            <v>6025.3829999999998</v>
          </cell>
          <cell r="L48">
            <v>0</v>
          </cell>
          <cell r="M48">
            <v>602.53830000000005</v>
          </cell>
          <cell r="N48">
            <v>5422.8446999999996</v>
          </cell>
          <cell r="O48">
            <v>0</v>
          </cell>
          <cell r="P48">
            <v>0</v>
          </cell>
          <cell r="Q48">
            <v>3811.9770000000003</v>
          </cell>
          <cell r="R48">
            <v>0</v>
          </cell>
          <cell r="S48">
            <v>0</v>
          </cell>
        </row>
        <row r="49">
          <cell r="A49">
            <v>103</v>
          </cell>
          <cell r="B49" t="str">
            <v>Pads 1 (Compra)</v>
          </cell>
          <cell r="C49" t="str">
            <v>- Para brillo
- Diámetro mínimo de 16 pulgadas
- Rojo o blanco</v>
          </cell>
          <cell r="D49" t="str">
            <v>Unidad</v>
          </cell>
          <cell r="E49">
            <v>56</v>
          </cell>
          <cell r="F49">
            <v>0</v>
          </cell>
          <cell r="G49">
            <v>-56</v>
          </cell>
          <cell r="H49">
            <v>0</v>
          </cell>
          <cell r="I49">
            <v>56</v>
          </cell>
          <cell r="J49">
            <v>0</v>
          </cell>
          <cell r="K49">
            <v>18022.547999999999</v>
          </cell>
          <cell r="L49">
            <v>0</v>
          </cell>
          <cell r="M49">
            <v>1802.2547999999999</v>
          </cell>
          <cell r="N49">
            <v>16220.293199999998</v>
          </cell>
          <cell r="O49">
            <v>0</v>
          </cell>
          <cell r="P49">
            <v>0</v>
          </cell>
          <cell r="Q49">
            <v>18022.547999999999</v>
          </cell>
          <cell r="R49">
            <v>0</v>
          </cell>
          <cell r="S49">
            <v>0</v>
          </cell>
        </row>
        <row r="50">
          <cell r="A50">
            <v>104</v>
          </cell>
          <cell r="B50" t="str">
            <v>Pads 2 (Compra)</v>
          </cell>
          <cell r="C50" t="str">
            <v>- Para remoción
- Diámetro mínimo de 16 pulgadas
- Café o negro</v>
          </cell>
          <cell r="D50" t="str">
            <v>Unidad</v>
          </cell>
          <cell r="E50">
            <v>65</v>
          </cell>
          <cell r="F50">
            <v>3</v>
          </cell>
          <cell r="G50">
            <v>-62</v>
          </cell>
          <cell r="H50">
            <v>0</v>
          </cell>
          <cell r="I50">
            <v>65</v>
          </cell>
          <cell r="J50">
            <v>0</v>
          </cell>
          <cell r="K50">
            <v>18022.547999999999</v>
          </cell>
          <cell r="L50">
            <v>0</v>
          </cell>
          <cell r="M50">
            <v>1802.2547999999999</v>
          </cell>
          <cell r="N50">
            <v>16220.293199999998</v>
          </cell>
          <cell r="O50">
            <v>0</v>
          </cell>
          <cell r="P50">
            <v>3</v>
          </cell>
          <cell r="Q50">
            <v>18022.547999999999</v>
          </cell>
          <cell r="R50">
            <v>54067.644</v>
          </cell>
          <cell r="S50">
            <v>54067.644</v>
          </cell>
        </row>
        <row r="51">
          <cell r="A51">
            <v>105</v>
          </cell>
          <cell r="B51" t="str">
            <v>Pads 3 (Compra)</v>
          </cell>
          <cell r="C51" t="str">
            <v>- Para brillo
- Diámetro mínimo de 20 pulgadas
- Rojo o blanco</v>
          </cell>
          <cell r="D51" t="str">
            <v>Unidad</v>
          </cell>
          <cell r="E51">
            <v>25</v>
          </cell>
          <cell r="F51">
            <v>0</v>
          </cell>
          <cell r="G51">
            <v>-25</v>
          </cell>
          <cell r="H51">
            <v>0</v>
          </cell>
          <cell r="I51">
            <v>25</v>
          </cell>
          <cell r="J51">
            <v>0</v>
          </cell>
          <cell r="K51">
            <v>30295.075000000001</v>
          </cell>
          <cell r="L51">
            <v>0</v>
          </cell>
          <cell r="M51">
            <v>3029.5075000000002</v>
          </cell>
          <cell r="N51">
            <v>27265.567500000001</v>
          </cell>
          <cell r="O51">
            <v>0</v>
          </cell>
          <cell r="P51">
            <v>0</v>
          </cell>
          <cell r="Q51">
            <v>27641.3</v>
          </cell>
          <cell r="R51">
            <v>0</v>
          </cell>
          <cell r="S51">
            <v>0</v>
          </cell>
        </row>
        <row r="52">
          <cell r="A52">
            <v>106</v>
          </cell>
          <cell r="B52" t="str">
            <v>Pads 4 (Compra)</v>
          </cell>
          <cell r="C52" t="str">
            <v>- Para remoción
- Diámetro mínimo de 20 pulgadas
- Café o negro</v>
          </cell>
          <cell r="D52" t="str">
            <v>Unidad</v>
          </cell>
          <cell r="E52">
            <v>25</v>
          </cell>
          <cell r="F52">
            <v>0</v>
          </cell>
          <cell r="G52">
            <v>-25</v>
          </cell>
          <cell r="H52">
            <v>0</v>
          </cell>
          <cell r="I52">
            <v>25</v>
          </cell>
          <cell r="J52">
            <v>0</v>
          </cell>
          <cell r="K52">
            <v>30295.075000000001</v>
          </cell>
          <cell r="L52">
            <v>0</v>
          </cell>
          <cell r="M52">
            <v>3029.5075000000002</v>
          </cell>
          <cell r="N52">
            <v>27265.567500000001</v>
          </cell>
          <cell r="O52">
            <v>0</v>
          </cell>
          <cell r="P52">
            <v>0</v>
          </cell>
          <cell r="Q52">
            <v>0</v>
          </cell>
          <cell r="R52">
            <v>0</v>
          </cell>
          <cell r="S52">
            <v>0</v>
          </cell>
        </row>
        <row r="53">
          <cell r="A53">
            <v>108</v>
          </cell>
          <cell r="B53" t="str">
            <v>Boneth 1 (Compra)</v>
          </cell>
          <cell r="C53" t="str">
            <v>- Diámetro mínimo de 16 pulgadas
- Elaborado en hilaza de algodón</v>
          </cell>
          <cell r="D53" t="str">
            <v>Unidad</v>
          </cell>
          <cell r="E53">
            <v>20</v>
          </cell>
          <cell r="F53">
            <v>0</v>
          </cell>
          <cell r="G53">
            <v>-20</v>
          </cell>
          <cell r="H53">
            <v>0</v>
          </cell>
          <cell r="I53">
            <v>20</v>
          </cell>
          <cell r="J53">
            <v>0</v>
          </cell>
          <cell r="K53">
            <v>88452.160000000003</v>
          </cell>
          <cell r="L53">
            <v>0</v>
          </cell>
          <cell r="M53">
            <v>8845.2160000000003</v>
          </cell>
          <cell r="N53">
            <v>79606.944000000003</v>
          </cell>
          <cell r="O53">
            <v>0</v>
          </cell>
          <cell r="P53">
            <v>0</v>
          </cell>
          <cell r="Q53">
            <v>38697.82</v>
          </cell>
          <cell r="R53">
            <v>0</v>
          </cell>
          <cell r="S53">
            <v>0</v>
          </cell>
        </row>
        <row r="54">
          <cell r="A54">
            <v>109</v>
          </cell>
          <cell r="B54" t="str">
            <v>Boneth 2 (Compra)</v>
          </cell>
          <cell r="C54" t="str">
            <v>- Diámetro mínimo de 20 pulgadas
- Elaborado en hilaza de algodón</v>
          </cell>
          <cell r="D54" t="str">
            <v>Unidad</v>
          </cell>
          <cell r="E54">
            <v>2</v>
          </cell>
          <cell r="F54">
            <v>0</v>
          </cell>
          <cell r="G54">
            <v>-2</v>
          </cell>
          <cell r="H54">
            <v>0</v>
          </cell>
          <cell r="I54">
            <v>2</v>
          </cell>
          <cell r="J54">
            <v>0</v>
          </cell>
          <cell r="K54">
            <v>98623.737999999998</v>
          </cell>
          <cell r="L54">
            <v>0</v>
          </cell>
          <cell r="M54">
            <v>9862.3738000000012</v>
          </cell>
          <cell r="N54">
            <v>88761.364199999996</v>
          </cell>
          <cell r="O54">
            <v>0</v>
          </cell>
          <cell r="P54">
            <v>0</v>
          </cell>
          <cell r="Q54">
            <v>49754.340000000004</v>
          </cell>
          <cell r="R54">
            <v>0</v>
          </cell>
          <cell r="S54">
            <v>0</v>
          </cell>
        </row>
        <row r="55">
          <cell r="A55">
            <v>110</v>
          </cell>
          <cell r="B55" t="str">
            <v>Bolsas plásticas 1 (Compra)</v>
          </cell>
          <cell r="C55" t="str">
            <v>- Elaborada en polietileno de baja densidad
- De color negro
- Calibre de mínimo 1
- Tamaño de 40 cm de ancho por 55 cm de largo</v>
          </cell>
          <cell r="D55" t="str">
            <v>Paquete de mínimo 6</v>
          </cell>
          <cell r="E55">
            <v>96</v>
          </cell>
          <cell r="F55">
            <v>375</v>
          </cell>
          <cell r="G55">
            <v>279</v>
          </cell>
          <cell r="H55">
            <v>24</v>
          </cell>
          <cell r="I55">
            <v>120</v>
          </cell>
          <cell r="J55">
            <v>255</v>
          </cell>
          <cell r="K55">
            <v>1602.7750000000001</v>
          </cell>
          <cell r="L55">
            <v>408707.625</v>
          </cell>
          <cell r="M55">
            <v>160.27750000000003</v>
          </cell>
          <cell r="N55">
            <v>1442.4974999999999</v>
          </cell>
          <cell r="O55">
            <v>367836.86249999999</v>
          </cell>
          <cell r="P55">
            <v>120</v>
          </cell>
          <cell r="Q55">
            <v>470.84799999999996</v>
          </cell>
          <cell r="R55">
            <v>56501.759999999995</v>
          </cell>
          <cell r="S55">
            <v>424338.6225</v>
          </cell>
        </row>
        <row r="56">
          <cell r="A56">
            <v>118</v>
          </cell>
          <cell r="B56" t="str">
            <v>Bolsas plásticas 15 (Compra)</v>
          </cell>
          <cell r="C56" t="str">
            <v>- Elaborada en polietileno de baja densidad
- De color negro
- Calibre de mínimo 2
- Tamaño de 70 cm de ancho por 90 cm de largo</v>
          </cell>
          <cell r="D56" t="str">
            <v>Paquete de mínimo 6</v>
          </cell>
          <cell r="E56">
            <v>96</v>
          </cell>
          <cell r="F56">
            <v>360</v>
          </cell>
          <cell r="G56">
            <v>264</v>
          </cell>
          <cell r="H56">
            <v>24</v>
          </cell>
          <cell r="I56">
            <v>120</v>
          </cell>
          <cell r="J56">
            <v>240</v>
          </cell>
          <cell r="K56">
            <v>4588.6660000000002</v>
          </cell>
          <cell r="L56">
            <v>1101279.8400000001</v>
          </cell>
          <cell r="M56">
            <v>458.86660000000006</v>
          </cell>
          <cell r="N56">
            <v>4129.7993999999999</v>
          </cell>
          <cell r="O56">
            <v>991151.85599999991</v>
          </cell>
          <cell r="P56">
            <v>120</v>
          </cell>
          <cell r="Q56">
            <v>2455.136</v>
          </cell>
          <cell r="R56">
            <v>294616.32000000001</v>
          </cell>
          <cell r="S56">
            <v>1285768.176</v>
          </cell>
        </row>
        <row r="57">
          <cell r="A57">
            <v>119</v>
          </cell>
          <cell r="B57" t="str">
            <v>Bolsas plásticas 16 (Compra)</v>
          </cell>
          <cell r="C57" t="str">
            <v>- Elaborada en polietileno de baja densidad
- De color verde
- Calibre de mínimo 2
- Tamaño de 70 cm de ancho por 90 cm de largo</v>
          </cell>
          <cell r="D57" t="str">
            <v>Paquete de mínimo 6</v>
          </cell>
          <cell r="E57">
            <v>96</v>
          </cell>
          <cell r="F57">
            <v>220</v>
          </cell>
          <cell r="G57">
            <v>124</v>
          </cell>
          <cell r="H57">
            <v>24</v>
          </cell>
          <cell r="I57">
            <v>120</v>
          </cell>
          <cell r="J57">
            <v>100</v>
          </cell>
          <cell r="K57">
            <v>4732.6530000000002</v>
          </cell>
          <cell r="L57">
            <v>473265.30000000005</v>
          </cell>
          <cell r="M57">
            <v>473.26530000000002</v>
          </cell>
          <cell r="N57">
            <v>4259.3877000000002</v>
          </cell>
          <cell r="O57">
            <v>425938.77</v>
          </cell>
          <cell r="P57">
            <v>120</v>
          </cell>
          <cell r="Q57">
            <v>2821.9350000000004</v>
          </cell>
          <cell r="R57">
            <v>338632.20000000007</v>
          </cell>
          <cell r="S57">
            <v>764570.97000000009</v>
          </cell>
        </row>
        <row r="58">
          <cell r="A58">
            <v>120</v>
          </cell>
          <cell r="B58" t="str">
            <v>Bolsas plásticas 17 (Compra)</v>
          </cell>
          <cell r="C58" t="str">
            <v>- Elaborada en polietileno de baja densidad
- De color blanco
- Calibre de mínimo 2
- Tamaño de 70 cm de ancho por 90 cm de largo</v>
          </cell>
          <cell r="D58" t="str">
            <v>Paquete de mínimo 6</v>
          </cell>
          <cell r="E58">
            <v>96</v>
          </cell>
          <cell r="F58">
            <v>354</v>
          </cell>
          <cell r="G58">
            <v>258</v>
          </cell>
          <cell r="H58">
            <v>24</v>
          </cell>
          <cell r="I58">
            <v>120</v>
          </cell>
          <cell r="J58">
            <v>234</v>
          </cell>
          <cell r="K58">
            <v>4732.6530000000002</v>
          </cell>
          <cell r="L58">
            <v>1107440.8020000001</v>
          </cell>
          <cell r="M58">
            <v>473.26530000000002</v>
          </cell>
          <cell r="N58">
            <v>4259.3877000000002</v>
          </cell>
          <cell r="O58">
            <v>996696.72180000006</v>
          </cell>
          <cell r="P58">
            <v>120</v>
          </cell>
          <cell r="Q58">
            <v>2821.9350000000004</v>
          </cell>
          <cell r="R58">
            <v>338632.20000000007</v>
          </cell>
          <cell r="S58">
            <v>1335328.9218000001</v>
          </cell>
        </row>
        <row r="59">
          <cell r="A59">
            <v>122</v>
          </cell>
          <cell r="B59" t="str">
            <v>Bolsas plásticas 21 (Compra)</v>
          </cell>
          <cell r="C59" t="str">
            <v>- Elaborada en polietileno de baja densidad
- De color negro
- Calibre de mínimo 3
- Tamaño de 80 cm de ancho por 110 cm de largo</v>
          </cell>
          <cell r="D59" t="str">
            <v>Paquete de mínimo 6</v>
          </cell>
          <cell r="E59">
            <v>96</v>
          </cell>
          <cell r="F59">
            <v>297</v>
          </cell>
          <cell r="G59">
            <v>201</v>
          </cell>
          <cell r="H59">
            <v>24</v>
          </cell>
          <cell r="I59">
            <v>120</v>
          </cell>
          <cell r="J59">
            <v>177</v>
          </cell>
          <cell r="K59">
            <v>6578.2089999999998</v>
          </cell>
          <cell r="L59">
            <v>1164342.993</v>
          </cell>
          <cell r="M59">
            <v>657.82090000000005</v>
          </cell>
          <cell r="N59">
            <v>5920.3881000000001</v>
          </cell>
          <cell r="O59">
            <v>1047908.6937000001</v>
          </cell>
          <cell r="P59">
            <v>120</v>
          </cell>
          <cell r="Q59">
            <v>5223.4699999999993</v>
          </cell>
          <cell r="R59">
            <v>626816.39999999991</v>
          </cell>
          <cell r="S59">
            <v>1674725.0937000001</v>
          </cell>
        </row>
        <row r="60">
          <cell r="A60">
            <v>123</v>
          </cell>
          <cell r="B60" t="str">
            <v>Bolsas plásticas 22 (Compra)</v>
          </cell>
          <cell r="C60" t="str">
            <v>- Elaborada en polietileno de baja densidad
- De color verde
- Calibre de mínimo 3
- Tamaño de 80 cm de ancho por 110 cm de largo</v>
          </cell>
          <cell r="D60" t="str">
            <v>Paquete de mínimo 6</v>
          </cell>
          <cell r="E60">
            <v>97</v>
          </cell>
          <cell r="F60">
            <v>0</v>
          </cell>
          <cell r="G60">
            <v>-97</v>
          </cell>
          <cell r="H60">
            <v>0</v>
          </cell>
          <cell r="I60">
            <v>97</v>
          </cell>
          <cell r="J60">
            <v>0</v>
          </cell>
          <cell r="K60">
            <v>6854.6220000000003</v>
          </cell>
          <cell r="L60">
            <v>0</v>
          </cell>
          <cell r="M60">
            <v>685.46220000000005</v>
          </cell>
          <cell r="N60">
            <v>6169.1598000000004</v>
          </cell>
          <cell r="O60">
            <v>0</v>
          </cell>
          <cell r="P60">
            <v>0</v>
          </cell>
          <cell r="Q60">
            <v>5765.7860000000001</v>
          </cell>
          <cell r="R60">
            <v>0</v>
          </cell>
          <cell r="S60">
            <v>0</v>
          </cell>
        </row>
        <row r="61">
          <cell r="A61">
            <v>124</v>
          </cell>
          <cell r="B61" t="str">
            <v>Bolsas plásticas 23 (Compra)</v>
          </cell>
          <cell r="C61" t="str">
            <v>- Elaborada en polietileno de baja densidad
- De color blanco
-Calibre de mínimo 3
- Tamaño de 80 cm de ancho por 110 cm de largo</v>
          </cell>
          <cell r="D61" t="str">
            <v>Paquete de mínimo 6</v>
          </cell>
          <cell r="E61">
            <v>96</v>
          </cell>
          <cell r="F61">
            <v>210</v>
          </cell>
          <cell r="G61">
            <v>114</v>
          </cell>
          <cell r="H61">
            <v>24</v>
          </cell>
          <cell r="I61">
            <v>120</v>
          </cell>
          <cell r="J61">
            <v>90</v>
          </cell>
          <cell r="K61">
            <v>6854.6220000000003</v>
          </cell>
          <cell r="L61">
            <v>616915.98</v>
          </cell>
          <cell r="M61">
            <v>685.46220000000005</v>
          </cell>
          <cell r="N61">
            <v>6169.1598000000004</v>
          </cell>
          <cell r="O61">
            <v>555224.38199999998</v>
          </cell>
          <cell r="P61">
            <v>120</v>
          </cell>
          <cell r="Q61">
            <v>5765.7860000000001</v>
          </cell>
          <cell r="R61">
            <v>691894.32000000007</v>
          </cell>
          <cell r="S61">
            <v>1247118.702</v>
          </cell>
        </row>
        <row r="62">
          <cell r="A62">
            <v>126</v>
          </cell>
          <cell r="B62" t="str">
            <v>Guantes 1 (Compra)</v>
          </cell>
          <cell r="C62" t="str">
            <v>- Tipo doméstico
- Elaborados en látex
- Calibre mínimo de 18
- Tallas 7 a 9 o S a XL
- Color amarillo</v>
          </cell>
          <cell r="D62" t="str">
            <v>Par</v>
          </cell>
          <cell r="E62">
            <v>26</v>
          </cell>
          <cell r="F62">
            <v>0</v>
          </cell>
          <cell r="G62">
            <v>-26</v>
          </cell>
          <cell r="H62">
            <v>0</v>
          </cell>
          <cell r="I62">
            <v>26</v>
          </cell>
          <cell r="J62">
            <v>0</v>
          </cell>
          <cell r="K62">
            <v>4941.8019999999997</v>
          </cell>
          <cell r="L62">
            <v>0</v>
          </cell>
          <cell r="M62">
            <v>494.18020000000001</v>
          </cell>
          <cell r="N62">
            <v>4447.6217999999999</v>
          </cell>
          <cell r="O62">
            <v>0</v>
          </cell>
          <cell r="P62">
            <v>0</v>
          </cell>
          <cell r="Q62">
            <v>3316.9560000000001</v>
          </cell>
          <cell r="R62">
            <v>0</v>
          </cell>
          <cell r="S62">
            <v>0</v>
          </cell>
        </row>
        <row r="63">
          <cell r="A63">
            <v>127</v>
          </cell>
          <cell r="B63" t="str">
            <v>Guantes 2 (Compra)</v>
          </cell>
          <cell r="C63" t="str">
            <v>- Tipo doméstico
- Elaborados en látex
- Calibre mínimo de 18
- Tallas 7 a 9 o S a XL
- Color negro</v>
          </cell>
          <cell r="D63" t="str">
            <v>Par</v>
          </cell>
          <cell r="E63">
            <v>30</v>
          </cell>
          <cell r="F63">
            <v>0</v>
          </cell>
          <cell r="G63">
            <v>-30</v>
          </cell>
          <cell r="H63">
            <v>0</v>
          </cell>
          <cell r="I63">
            <v>30</v>
          </cell>
          <cell r="J63">
            <v>0</v>
          </cell>
          <cell r="K63">
            <v>4919.7309999999998</v>
          </cell>
          <cell r="L63">
            <v>0</v>
          </cell>
          <cell r="M63">
            <v>491.97309999999999</v>
          </cell>
          <cell r="N63">
            <v>4427.7578999999996</v>
          </cell>
          <cell r="O63">
            <v>0</v>
          </cell>
          <cell r="P63">
            <v>0</v>
          </cell>
          <cell r="Q63">
            <v>3316.9560000000001</v>
          </cell>
          <cell r="R63">
            <v>0</v>
          </cell>
          <cell r="S63">
            <v>0</v>
          </cell>
        </row>
        <row r="64">
          <cell r="A64">
            <v>129</v>
          </cell>
          <cell r="B64" t="str">
            <v>Guantes 4 (Compra)</v>
          </cell>
          <cell r="C64" t="str">
            <v>- Tipo doméstico
- Elaborados en látex
- Calibre mínimo de 25
- Tallas 7 a 9 o S a XL
- Color rojo</v>
          </cell>
          <cell r="D64" t="str">
            <v>Par</v>
          </cell>
          <cell r="E64">
            <v>30</v>
          </cell>
          <cell r="F64">
            <v>0</v>
          </cell>
          <cell r="G64">
            <v>-30</v>
          </cell>
          <cell r="H64">
            <v>0</v>
          </cell>
          <cell r="I64">
            <v>30</v>
          </cell>
          <cell r="J64">
            <v>0</v>
          </cell>
          <cell r="K64">
            <v>5804.6729999999998</v>
          </cell>
          <cell r="L64">
            <v>0</v>
          </cell>
          <cell r="M64">
            <v>580.46730000000002</v>
          </cell>
          <cell r="N64">
            <v>5224.2056999999995</v>
          </cell>
          <cell r="O64">
            <v>0</v>
          </cell>
          <cell r="P64">
            <v>0</v>
          </cell>
          <cell r="Q64">
            <v>3787.8040000000001</v>
          </cell>
          <cell r="R64">
            <v>0</v>
          </cell>
          <cell r="S64">
            <v>0</v>
          </cell>
        </row>
        <row r="65">
          <cell r="A65">
            <v>131</v>
          </cell>
          <cell r="B65" t="str">
            <v>Guantes 6 (Compra)</v>
          </cell>
          <cell r="C65" t="str">
            <v>- Elaborados en látex desechable (tipo cirugía)
- Empovaldos
- Tallas XS a XXL</v>
          </cell>
          <cell r="D65" t="str">
            <v>Caja de mínimo 100 unidades</v>
          </cell>
          <cell r="E65">
            <v>5</v>
          </cell>
          <cell r="F65">
            <v>0</v>
          </cell>
          <cell r="G65">
            <v>-5</v>
          </cell>
          <cell r="H65">
            <v>0</v>
          </cell>
          <cell r="I65">
            <v>5</v>
          </cell>
          <cell r="J65">
            <v>0</v>
          </cell>
          <cell r="K65">
            <v>24434.699000000001</v>
          </cell>
          <cell r="L65">
            <v>0</v>
          </cell>
          <cell r="M65">
            <v>2443.4699000000001</v>
          </cell>
          <cell r="N65">
            <v>21991.2291</v>
          </cell>
          <cell r="O65">
            <v>0</v>
          </cell>
          <cell r="P65">
            <v>0</v>
          </cell>
          <cell r="Q65">
            <v>0</v>
          </cell>
          <cell r="R65">
            <v>0</v>
          </cell>
          <cell r="S65">
            <v>0</v>
          </cell>
        </row>
        <row r="66">
          <cell r="A66">
            <v>132</v>
          </cell>
          <cell r="B66" t="str">
            <v>Guantes 7 (Compra)</v>
          </cell>
          <cell r="C66" t="str">
            <v>- Elaborados en carnaza
- Tallas 7 a 9 o S a XL</v>
          </cell>
          <cell r="D66" t="str">
            <v>Par</v>
          </cell>
          <cell r="E66">
            <v>7</v>
          </cell>
          <cell r="F66">
            <v>0</v>
          </cell>
          <cell r="G66">
            <v>-7</v>
          </cell>
          <cell r="H66">
            <v>0</v>
          </cell>
          <cell r="I66">
            <v>7</v>
          </cell>
          <cell r="J66">
            <v>0</v>
          </cell>
          <cell r="K66">
            <v>10559.397000000001</v>
          </cell>
          <cell r="L66">
            <v>0</v>
          </cell>
          <cell r="M66">
            <v>1055.9397000000001</v>
          </cell>
          <cell r="N66">
            <v>9503.4573</v>
          </cell>
          <cell r="O66">
            <v>0</v>
          </cell>
          <cell r="P66">
            <v>0</v>
          </cell>
          <cell r="Q66">
            <v>0</v>
          </cell>
          <cell r="R66">
            <v>0</v>
          </cell>
          <cell r="S66">
            <v>0</v>
          </cell>
        </row>
        <row r="67">
          <cell r="A67">
            <v>134</v>
          </cell>
          <cell r="B67" t="str">
            <v>Guantes 9 (Compra)</v>
          </cell>
          <cell r="C67" t="str">
            <v>- Elaborados en hilaza
- Tallas 7 a 9 o S a XL</v>
          </cell>
          <cell r="D67" t="str">
            <v>Par</v>
          </cell>
          <cell r="E67">
            <v>34</v>
          </cell>
          <cell r="F67">
            <v>0</v>
          </cell>
          <cell r="G67">
            <v>-34</v>
          </cell>
          <cell r="H67">
            <v>0</v>
          </cell>
          <cell r="I67">
            <v>34</v>
          </cell>
          <cell r="J67">
            <v>0</v>
          </cell>
          <cell r="K67">
            <v>5085.7889999999998</v>
          </cell>
          <cell r="L67">
            <v>0</v>
          </cell>
          <cell r="M67">
            <v>508.57889999999998</v>
          </cell>
          <cell r="N67">
            <v>4577.2101000000002</v>
          </cell>
          <cell r="O67">
            <v>0</v>
          </cell>
          <cell r="P67">
            <v>0</v>
          </cell>
          <cell r="Q67">
            <v>0</v>
          </cell>
          <cell r="R67">
            <v>0</v>
          </cell>
          <cell r="S67">
            <v>0</v>
          </cell>
        </row>
        <row r="68">
          <cell r="A68">
            <v>135</v>
          </cell>
          <cell r="B68" t="str">
            <v>Tapabocas Desechable (Compra)</v>
          </cell>
          <cell r="C68" t="str">
            <v>- Elaborado en tela no tejida
- Desechable
- Con tiras elásticas</v>
          </cell>
          <cell r="D68" t="str">
            <v>Caja de mínimo 50 unidades</v>
          </cell>
          <cell r="E68">
            <v>6</v>
          </cell>
          <cell r="F68">
            <v>0</v>
          </cell>
          <cell r="G68">
            <v>-6</v>
          </cell>
          <cell r="H68">
            <v>0</v>
          </cell>
          <cell r="I68">
            <v>6</v>
          </cell>
          <cell r="J68">
            <v>0</v>
          </cell>
          <cell r="K68">
            <v>19128.2</v>
          </cell>
          <cell r="L68">
            <v>0</v>
          </cell>
          <cell r="M68">
            <v>1912.8200000000002</v>
          </cell>
          <cell r="N68">
            <v>17215.38</v>
          </cell>
          <cell r="O68">
            <v>0</v>
          </cell>
          <cell r="P68">
            <v>0</v>
          </cell>
          <cell r="Q68">
            <v>6229.277</v>
          </cell>
          <cell r="R68">
            <v>0</v>
          </cell>
          <cell r="S68">
            <v>0</v>
          </cell>
        </row>
        <row r="69">
          <cell r="A69">
            <v>137</v>
          </cell>
          <cell r="B69" t="str">
            <v>Papel higiénico 1 (Compra)</v>
          </cell>
          <cell r="C69" t="str">
            <v xml:space="preserve"> - Rollo con longitud mínima de 20 metros
 - Doble hoja blanca
 - Sin fragancia</v>
          </cell>
          <cell r="D69" t="str">
            <v>Rollo</v>
          </cell>
          <cell r="E69">
            <v>10</v>
          </cell>
          <cell r="F69">
            <v>0</v>
          </cell>
          <cell r="G69">
            <v>-10</v>
          </cell>
          <cell r="H69">
            <v>0</v>
          </cell>
          <cell r="I69">
            <v>10</v>
          </cell>
          <cell r="J69">
            <v>0</v>
          </cell>
          <cell r="K69">
            <v>1714.181</v>
          </cell>
          <cell r="L69">
            <v>0</v>
          </cell>
          <cell r="M69">
            <v>171.41810000000001</v>
          </cell>
          <cell r="N69">
            <v>1542.7628999999999</v>
          </cell>
          <cell r="O69">
            <v>0</v>
          </cell>
          <cell r="P69">
            <v>0</v>
          </cell>
          <cell r="Q69">
            <v>1245.4349999999999</v>
          </cell>
          <cell r="R69">
            <v>0</v>
          </cell>
          <cell r="S69">
            <v>0</v>
          </cell>
        </row>
        <row r="70">
          <cell r="A70">
            <v>139</v>
          </cell>
          <cell r="B70" t="str">
            <v>Papel higiénico 3 (Compra)</v>
          </cell>
          <cell r="C70" t="str">
            <v>- Rollo con longitud mínima de 250 metros
- Doble hoja de color natural
- Sin fragancia</v>
          </cell>
          <cell r="D70" t="str">
            <v>Paca X 4 rollos</v>
          </cell>
          <cell r="E70">
            <v>71</v>
          </cell>
          <cell r="F70">
            <v>195</v>
          </cell>
          <cell r="G70">
            <v>124</v>
          </cell>
          <cell r="H70">
            <v>17.75</v>
          </cell>
          <cell r="I70">
            <v>88.75</v>
          </cell>
          <cell r="J70">
            <v>106.25</v>
          </cell>
          <cell r="K70">
            <v>56941.078000000001</v>
          </cell>
          <cell r="L70">
            <v>6049989.5375000006</v>
          </cell>
          <cell r="M70">
            <v>5694.1078000000007</v>
          </cell>
          <cell r="N70">
            <v>51246.970200000003</v>
          </cell>
          <cell r="O70">
            <v>5444990.5837500002</v>
          </cell>
          <cell r="P70">
            <v>88.75</v>
          </cell>
          <cell r="Q70">
            <v>25429.996000000003</v>
          </cell>
          <cell r="R70">
            <v>2256912.145</v>
          </cell>
          <cell r="S70">
            <v>7701902.7287499998</v>
          </cell>
        </row>
        <row r="71">
          <cell r="A71">
            <v>151</v>
          </cell>
          <cell r="B71" t="str">
            <v>Toallas para manos 6 (Compra)</v>
          </cell>
          <cell r="C71" t="str">
            <v>- Toallas interdobladas, paquete con mínimo 150 unidades
- Doble hoja con un tamaño mínimo de 20 cm de largo por 15 cm de ancho
 - Hoja color blanco</v>
          </cell>
          <cell r="D71" t="str">
            <v>Unidad</v>
          </cell>
          <cell r="E71">
            <v>310</v>
          </cell>
          <cell r="F71">
            <v>1690</v>
          </cell>
          <cell r="G71">
            <v>1380</v>
          </cell>
          <cell r="H71">
            <v>77.5</v>
          </cell>
          <cell r="I71">
            <v>387.5</v>
          </cell>
          <cell r="J71">
            <v>1302.5</v>
          </cell>
          <cell r="K71">
            <v>8845.2160000000003</v>
          </cell>
          <cell r="L71">
            <v>11520893.84</v>
          </cell>
          <cell r="M71">
            <v>884.52160000000003</v>
          </cell>
          <cell r="N71">
            <v>7960.6944000000003</v>
          </cell>
          <cell r="O71">
            <v>10368804.456</v>
          </cell>
          <cell r="P71">
            <v>387.5</v>
          </cell>
          <cell r="Q71">
            <v>4422.6080000000002</v>
          </cell>
          <cell r="R71">
            <v>1713760.6</v>
          </cell>
          <cell r="S71">
            <v>12082565.056</v>
          </cell>
        </row>
        <row r="72">
          <cell r="A72">
            <v>152</v>
          </cell>
          <cell r="B72" t="str">
            <v>Toallas para manos 7 (Compra)</v>
          </cell>
          <cell r="C72" t="str">
            <v>- Toallas con precorte
- Rollo con longitud mínima de 100 metros
- Doble hoja con tamaño mínimo de 15 cms de ancho
- Color Blanco
- Sin fragancia</v>
          </cell>
          <cell r="D72" t="str">
            <v>Unidad</v>
          </cell>
          <cell r="E72">
            <v>25</v>
          </cell>
          <cell r="F72">
            <v>10</v>
          </cell>
          <cell r="G72">
            <v>-15</v>
          </cell>
          <cell r="H72">
            <v>0</v>
          </cell>
          <cell r="I72">
            <v>25</v>
          </cell>
          <cell r="J72">
            <v>0</v>
          </cell>
          <cell r="K72">
            <v>22002.685000000001</v>
          </cell>
          <cell r="L72">
            <v>0</v>
          </cell>
          <cell r="M72">
            <v>2200.2685000000001</v>
          </cell>
          <cell r="N72">
            <v>19802.416499999999</v>
          </cell>
          <cell r="O72">
            <v>0</v>
          </cell>
          <cell r="P72">
            <v>10</v>
          </cell>
          <cell r="Q72">
            <v>0</v>
          </cell>
          <cell r="R72">
            <v>0</v>
          </cell>
          <cell r="S72">
            <v>0</v>
          </cell>
        </row>
        <row r="73">
          <cell r="A73">
            <v>154</v>
          </cell>
          <cell r="B73" t="str">
            <v>Pañuelos (Compra)</v>
          </cell>
          <cell r="C73" t="str">
            <v>- Doble hoja
- Color blanco</v>
          </cell>
          <cell r="D73" t="str">
            <v>Caja de mínimo 50 unidades</v>
          </cell>
          <cell r="E73">
            <v>5</v>
          </cell>
          <cell r="F73">
            <v>5</v>
          </cell>
          <cell r="G73">
            <v>0</v>
          </cell>
          <cell r="H73">
            <v>0</v>
          </cell>
          <cell r="I73">
            <v>5</v>
          </cell>
          <cell r="J73">
            <v>0</v>
          </cell>
          <cell r="K73">
            <v>5561.8919999999998</v>
          </cell>
          <cell r="L73">
            <v>0</v>
          </cell>
          <cell r="M73">
            <v>556.18920000000003</v>
          </cell>
          <cell r="N73">
            <v>5005.7028</v>
          </cell>
          <cell r="O73">
            <v>0</v>
          </cell>
          <cell r="P73">
            <v>5</v>
          </cell>
          <cell r="Q73">
            <v>0</v>
          </cell>
          <cell r="R73">
            <v>0</v>
          </cell>
          <cell r="S73">
            <v>0</v>
          </cell>
        </row>
        <row r="74">
          <cell r="A74">
            <v>155</v>
          </cell>
          <cell r="B74" t="str">
            <v>Vasos biodegradables 1 (Compra)</v>
          </cell>
          <cell r="C74" t="str">
            <v xml:space="preserve"> - Elaborado en cartón 97% biodegradable
- Capacidad mínima de 4 oz</v>
          </cell>
          <cell r="D74" t="str">
            <v>Paquete de mínimo 50 unidades</v>
          </cell>
          <cell r="E74">
            <v>96</v>
          </cell>
          <cell r="F74">
            <v>0</v>
          </cell>
          <cell r="G74">
            <v>-96</v>
          </cell>
          <cell r="H74">
            <v>0</v>
          </cell>
          <cell r="I74">
            <v>96</v>
          </cell>
          <cell r="J74">
            <v>0</v>
          </cell>
          <cell r="K74">
            <v>5561.8919999999998</v>
          </cell>
          <cell r="L74">
            <v>0</v>
          </cell>
          <cell r="M74">
            <v>556.18920000000003</v>
          </cell>
          <cell r="N74">
            <v>5005.7028</v>
          </cell>
          <cell r="O74">
            <v>0</v>
          </cell>
          <cell r="P74">
            <v>0</v>
          </cell>
          <cell r="Q74">
            <v>3703.7239999999997</v>
          </cell>
          <cell r="R74">
            <v>0</v>
          </cell>
          <cell r="S74">
            <v>0</v>
          </cell>
        </row>
        <row r="75">
          <cell r="A75">
            <v>156</v>
          </cell>
          <cell r="B75" t="str">
            <v>Vasos biodegradables 2 (Compra)</v>
          </cell>
          <cell r="C75" t="str">
            <v xml:space="preserve"> - Elaborado en cartón 97% biodegradable
 - Capacidad mínima de 6 oz</v>
          </cell>
          <cell r="D75" t="str">
            <v>Paquete de mínimo 50</v>
          </cell>
          <cell r="E75">
            <v>70</v>
          </cell>
          <cell r="F75">
            <v>75</v>
          </cell>
          <cell r="G75">
            <v>5</v>
          </cell>
          <cell r="H75">
            <v>17.5</v>
          </cell>
          <cell r="I75">
            <v>87.5</v>
          </cell>
          <cell r="J75">
            <v>0</v>
          </cell>
          <cell r="K75">
            <v>8568.8029999999999</v>
          </cell>
          <cell r="L75">
            <v>0</v>
          </cell>
          <cell r="M75">
            <v>856.88030000000003</v>
          </cell>
          <cell r="N75">
            <v>7711.9227000000001</v>
          </cell>
          <cell r="O75">
            <v>0</v>
          </cell>
          <cell r="P75">
            <v>75</v>
          </cell>
          <cell r="Q75">
            <v>4422.6080000000002</v>
          </cell>
          <cell r="R75">
            <v>331695.60000000003</v>
          </cell>
          <cell r="S75">
            <v>331695.60000000003</v>
          </cell>
        </row>
        <row r="76">
          <cell r="A76">
            <v>157</v>
          </cell>
          <cell r="B76" t="str">
            <v>Vasos biodegradables 3 (Compra)</v>
          </cell>
          <cell r="C76" t="str">
            <v xml:space="preserve"> - Elaborado en cartón 97% biodegradable
- Capacidad mínima de 9 oz</v>
          </cell>
          <cell r="D76" t="str">
            <v>Paquete de mínimo 40 unidades</v>
          </cell>
          <cell r="E76">
            <v>96</v>
          </cell>
          <cell r="F76">
            <v>70</v>
          </cell>
          <cell r="G76">
            <v>-26</v>
          </cell>
          <cell r="H76">
            <v>0</v>
          </cell>
          <cell r="I76">
            <v>96</v>
          </cell>
          <cell r="J76">
            <v>0</v>
          </cell>
          <cell r="K76">
            <v>9950.8680000000004</v>
          </cell>
          <cell r="L76">
            <v>0</v>
          </cell>
          <cell r="M76">
            <v>995.08680000000004</v>
          </cell>
          <cell r="N76">
            <v>8955.7812000000013</v>
          </cell>
          <cell r="O76">
            <v>0</v>
          </cell>
          <cell r="P76">
            <v>70</v>
          </cell>
          <cell r="Q76">
            <v>5970.7309999999998</v>
          </cell>
          <cell r="R76">
            <v>417951.17</v>
          </cell>
          <cell r="S76">
            <v>417951.17</v>
          </cell>
        </row>
        <row r="77">
          <cell r="A77">
            <v>159</v>
          </cell>
          <cell r="B77" t="str">
            <v>Mezclador 1 (Compra)</v>
          </cell>
          <cell r="C77" t="str">
            <v>- Mezcladores  elaborados en madera y/o apartir de recursos renovables como la caña de azucar y/o almidón de maíz
- Longitud mínima de 11 cm</v>
          </cell>
          <cell r="D77" t="str">
            <v>Paquete de mínimo 500</v>
          </cell>
          <cell r="E77">
            <v>96</v>
          </cell>
          <cell r="F77">
            <v>44</v>
          </cell>
          <cell r="G77">
            <v>-52</v>
          </cell>
          <cell r="H77">
            <v>0</v>
          </cell>
          <cell r="I77">
            <v>96</v>
          </cell>
          <cell r="J77">
            <v>0</v>
          </cell>
          <cell r="K77">
            <v>7463.1509999999998</v>
          </cell>
          <cell r="L77">
            <v>0</v>
          </cell>
          <cell r="M77">
            <v>746.31510000000003</v>
          </cell>
          <cell r="N77">
            <v>6716.8359</v>
          </cell>
          <cell r="O77">
            <v>0</v>
          </cell>
          <cell r="P77">
            <v>44</v>
          </cell>
          <cell r="Q77">
            <v>0</v>
          </cell>
          <cell r="R77">
            <v>0</v>
          </cell>
          <cell r="S77">
            <v>0</v>
          </cell>
        </row>
        <row r="78">
          <cell r="A78">
            <v>160</v>
          </cell>
          <cell r="B78" t="str">
            <v>Servilleta papel (Compra)</v>
          </cell>
          <cell r="C78" t="str">
            <v>- Tipo cafetería
 - Dobe hoja
- Color blanco
- Dimensiones mínimas de 20 cm de largo y 12 cm de ancho
- 100% Biodegradable 
- Elaborado a base de papel reciclado no clorado
- No debe contener PVC o Poliestireno expandido u otros plásticos de un solo uso tanto en el envase como en el embalaje.</v>
          </cell>
          <cell r="D78" t="str">
            <v>Paquete de mínimo 100 unidades</v>
          </cell>
          <cell r="E78">
            <v>15</v>
          </cell>
          <cell r="F78">
            <v>70</v>
          </cell>
          <cell r="G78">
            <v>55</v>
          </cell>
          <cell r="H78">
            <v>3.75</v>
          </cell>
          <cell r="I78">
            <v>18.75</v>
          </cell>
          <cell r="J78">
            <v>51.25</v>
          </cell>
          <cell r="K78">
            <v>3372.6590000000001</v>
          </cell>
          <cell r="L78">
            <v>172848.77374999999</v>
          </cell>
          <cell r="M78">
            <v>337.26590000000004</v>
          </cell>
          <cell r="N78">
            <v>3035.3931000000002</v>
          </cell>
          <cell r="O78">
            <v>155563.89637500001</v>
          </cell>
          <cell r="P78">
            <v>18.75</v>
          </cell>
          <cell r="Q78">
            <v>2276.4660000000003</v>
          </cell>
          <cell r="R78">
            <v>42683.737500000003</v>
          </cell>
          <cell r="S78">
            <v>198247.633875</v>
          </cell>
        </row>
        <row r="79">
          <cell r="A79">
            <v>161</v>
          </cell>
          <cell r="B79" t="str">
            <v>Filtro para greca 1 (Compra)</v>
          </cell>
          <cell r="C79" t="str">
            <v>- Elaborada en tela
- Para greca
- Capacidad de media libra
- No debe contener PVC o Poliestireno expandido u otros plásticos de un solo uso tanto en el envase como en el embalaje</v>
          </cell>
          <cell r="D79" t="str">
            <v>Unidad</v>
          </cell>
          <cell r="E79">
            <v>18</v>
          </cell>
          <cell r="F79">
            <v>0</v>
          </cell>
          <cell r="G79">
            <v>-18</v>
          </cell>
          <cell r="H79">
            <v>0</v>
          </cell>
          <cell r="I79">
            <v>18</v>
          </cell>
          <cell r="J79">
            <v>0</v>
          </cell>
          <cell r="K79">
            <v>3703.7240000000002</v>
          </cell>
          <cell r="L79">
            <v>0</v>
          </cell>
          <cell r="M79">
            <v>370.37240000000003</v>
          </cell>
          <cell r="N79">
            <v>3333.3516</v>
          </cell>
          <cell r="O79">
            <v>0</v>
          </cell>
          <cell r="P79">
            <v>0</v>
          </cell>
          <cell r="Q79">
            <v>2236.5280000000002</v>
          </cell>
          <cell r="R79">
            <v>0</v>
          </cell>
          <cell r="S79">
            <v>0</v>
          </cell>
        </row>
        <row r="80">
          <cell r="A80">
            <v>162</v>
          </cell>
          <cell r="B80" t="str">
            <v>Filtro para greca 2 (Compra)</v>
          </cell>
          <cell r="C80" t="str">
            <v>- Elaborada en tela
- Para greca
- Capacidad de una 1 libra
- No debe contener PVC o Poliestireno expandido u otros plásticos de un solo uso tanto en el envase como en el embalaje.</v>
          </cell>
          <cell r="D80" t="str">
            <v>Unidad</v>
          </cell>
          <cell r="E80">
            <v>27</v>
          </cell>
          <cell r="F80">
            <v>20</v>
          </cell>
          <cell r="G80">
            <v>-7</v>
          </cell>
          <cell r="H80">
            <v>0</v>
          </cell>
          <cell r="I80">
            <v>27</v>
          </cell>
          <cell r="J80">
            <v>0</v>
          </cell>
          <cell r="K80">
            <v>4478.3109999999997</v>
          </cell>
          <cell r="L80">
            <v>0</v>
          </cell>
          <cell r="M80">
            <v>447.83109999999999</v>
          </cell>
          <cell r="N80">
            <v>4030.4798999999998</v>
          </cell>
          <cell r="O80">
            <v>0</v>
          </cell>
          <cell r="P80">
            <v>20</v>
          </cell>
          <cell r="Q80">
            <v>2684.2539999999999</v>
          </cell>
          <cell r="R80">
            <v>53685.08</v>
          </cell>
          <cell r="S80">
            <v>53685.08</v>
          </cell>
        </row>
        <row r="81">
          <cell r="A81">
            <v>164</v>
          </cell>
          <cell r="B81" t="str">
            <v>Churrusco para tubos de greca (Compra)</v>
          </cell>
          <cell r="C81" t="str">
            <v>- Cepillo para lavado y fregado de grecas.  
- No debe contener PVC, Poliestireno expandido u otros plásticos de un solo uso tanto en el envase como en el embalaje.
- Base y mango elaborados en alambre</v>
          </cell>
          <cell r="D81" t="str">
            <v>Unidad</v>
          </cell>
          <cell r="E81">
            <v>30</v>
          </cell>
          <cell r="F81">
            <v>14</v>
          </cell>
          <cell r="G81">
            <v>-16</v>
          </cell>
          <cell r="H81">
            <v>0</v>
          </cell>
          <cell r="I81">
            <v>30</v>
          </cell>
          <cell r="J81">
            <v>0</v>
          </cell>
          <cell r="K81">
            <v>7242.4409999999998</v>
          </cell>
          <cell r="L81">
            <v>0</v>
          </cell>
          <cell r="M81">
            <v>724.2441</v>
          </cell>
          <cell r="N81">
            <v>6518.1968999999999</v>
          </cell>
          <cell r="O81">
            <v>0</v>
          </cell>
          <cell r="P81">
            <v>14</v>
          </cell>
          <cell r="Q81">
            <v>1658.4780000000001</v>
          </cell>
          <cell r="R81">
            <v>23218.692000000003</v>
          </cell>
          <cell r="S81">
            <v>23218.692000000003</v>
          </cell>
        </row>
        <row r="82">
          <cell r="A82">
            <v>169</v>
          </cell>
          <cell r="B82" t="str">
            <v>Termo para café 2 (Compra)</v>
          </cell>
          <cell r="C82" t="str">
            <v xml:space="preserve"> - Térmico, con bomba tipo dispensador. Portatil.  
 - Bomba manual para dispensar la bebida.  
 - Acero inoxidable y plastico. 
 - Agarradera plastica, tapa con empaque, bomba manual. 
 - Capacidad mínima de 3 litros</v>
          </cell>
          <cell r="D82" t="str">
            <v>Unidad</v>
          </cell>
          <cell r="E82">
            <v>13</v>
          </cell>
          <cell r="F82">
            <v>8</v>
          </cell>
          <cell r="G82">
            <v>-5</v>
          </cell>
          <cell r="H82">
            <v>0</v>
          </cell>
          <cell r="I82">
            <v>13</v>
          </cell>
          <cell r="J82">
            <v>0</v>
          </cell>
          <cell r="K82">
            <v>174029.83499999999</v>
          </cell>
          <cell r="L82">
            <v>0</v>
          </cell>
          <cell r="M82">
            <v>17402.983499999998</v>
          </cell>
          <cell r="N82">
            <v>156626.85149999999</v>
          </cell>
          <cell r="O82">
            <v>0</v>
          </cell>
          <cell r="P82">
            <v>8</v>
          </cell>
          <cell r="Q82">
            <v>85897.178999999989</v>
          </cell>
          <cell r="R82">
            <v>687177.43199999991</v>
          </cell>
          <cell r="S82">
            <v>687177.43199999991</v>
          </cell>
        </row>
        <row r="83">
          <cell r="A83">
            <v>170</v>
          </cell>
          <cell r="B83" t="str">
            <v>Café 1 (Compra)</v>
          </cell>
          <cell r="C83" t="str">
            <v>- 100% café tostado y molido.   
- Tostión media.                                          
- Denominación de Origen (Anexo 6)
- Empacada en bolsa de polipropileno aluminizada resistente a la humedad y al oxígeno.  
- Debe cumplir con las Resoluciones 333 de 2011 y 2674 de 2013 hasta la entrada en vigencia de la Resolución 810 de 2021 y aquellas que la modifiquen, adicionen o deroguen.
- Para cambio de marca, se requiere certificar la cadena de distribución.</v>
          </cell>
          <cell r="D83" t="str">
            <v>Libra</v>
          </cell>
          <cell r="E83">
            <v>283</v>
          </cell>
          <cell r="F83">
            <v>62</v>
          </cell>
          <cell r="G83">
            <v>-221</v>
          </cell>
          <cell r="H83">
            <v>0</v>
          </cell>
          <cell r="I83">
            <v>283</v>
          </cell>
          <cell r="J83">
            <v>0</v>
          </cell>
          <cell r="K83">
            <v>50639.281999999999</v>
          </cell>
          <cell r="L83">
            <v>0</v>
          </cell>
          <cell r="M83">
            <v>5063.9282000000003</v>
          </cell>
          <cell r="N83">
            <v>45575.353799999997</v>
          </cell>
          <cell r="O83">
            <v>0</v>
          </cell>
          <cell r="P83">
            <v>62</v>
          </cell>
          <cell r="Q83">
            <v>19405.664000000001</v>
          </cell>
          <cell r="R83">
            <v>1203151.1680000001</v>
          </cell>
          <cell r="S83">
            <v>1203151.1680000001</v>
          </cell>
        </row>
        <row r="84">
          <cell r="A84">
            <v>173</v>
          </cell>
          <cell r="B84" t="str">
            <v>Crema para café (Compra)</v>
          </cell>
          <cell r="C84" t="str">
            <v>- No láctea
- Debe cumplir con Resolución 333 de 2011 sobre rotulado y etiquetado nutricional y las normas que la modifiquen</v>
          </cell>
          <cell r="D84" t="str">
            <v>Bolsas de mínimo 100 sobres de mínimo 4 g</v>
          </cell>
          <cell r="E84">
            <v>10</v>
          </cell>
          <cell r="F84">
            <v>0</v>
          </cell>
          <cell r="G84">
            <v>-10</v>
          </cell>
          <cell r="H84">
            <v>0</v>
          </cell>
          <cell r="I84">
            <v>10</v>
          </cell>
          <cell r="J84">
            <v>0</v>
          </cell>
          <cell r="K84">
            <v>23771.518</v>
          </cell>
          <cell r="L84">
            <v>0</v>
          </cell>
          <cell r="M84">
            <v>2377.1518000000001</v>
          </cell>
          <cell r="N84">
            <v>21394.3662</v>
          </cell>
          <cell r="O84">
            <v>0</v>
          </cell>
          <cell r="P84">
            <v>0</v>
          </cell>
          <cell r="Q84">
            <v>0</v>
          </cell>
          <cell r="R84">
            <v>0</v>
          </cell>
          <cell r="S84">
            <v>0</v>
          </cell>
        </row>
        <row r="85">
          <cell r="A85">
            <v>174</v>
          </cell>
          <cell r="B85" t="str">
            <v>Azúcar 1 (Compra)</v>
          </cell>
          <cell r="C85" t="str">
            <v>- Blanca
- Empaque elaborado en materiales atóxicos
- Debe cumplir con Resolución 333 de 2011 sobre rotulado y etiquetado nutricional y las normas que la modifiquen</v>
          </cell>
          <cell r="D85" t="str">
            <v>Bolsa de mínimo 200 sobres o tubipacks de 5 g</v>
          </cell>
          <cell r="E85">
            <v>96</v>
          </cell>
          <cell r="F85">
            <v>11</v>
          </cell>
          <cell r="G85">
            <v>-85</v>
          </cell>
          <cell r="H85">
            <v>0</v>
          </cell>
          <cell r="I85">
            <v>96</v>
          </cell>
          <cell r="J85">
            <v>0</v>
          </cell>
          <cell r="K85">
            <v>11166.875</v>
          </cell>
          <cell r="L85">
            <v>0</v>
          </cell>
          <cell r="M85">
            <v>1116.6875</v>
          </cell>
          <cell r="N85">
            <v>10050.1875</v>
          </cell>
          <cell r="O85">
            <v>0</v>
          </cell>
          <cell r="P85">
            <v>11</v>
          </cell>
          <cell r="Q85">
            <v>6081.0860000000002</v>
          </cell>
          <cell r="R85">
            <v>66891.945999999996</v>
          </cell>
          <cell r="S85">
            <v>66891.945999999996</v>
          </cell>
        </row>
        <row r="86">
          <cell r="A86">
            <v>176</v>
          </cell>
          <cell r="B86" t="str">
            <v>Azúcar 3 (Compra)</v>
          </cell>
          <cell r="C86" t="str">
            <v>- Blanca
- Empaque elaborado en materiales atóxicos
- Debe cumplir con Resolución 333 de 2011 sobre rotulado y etiquetado nutricional y las normas que la modifiquen</v>
          </cell>
          <cell r="D86" t="str">
            <v>Libra</v>
          </cell>
          <cell r="E86">
            <v>3</v>
          </cell>
          <cell r="F86">
            <v>0</v>
          </cell>
          <cell r="G86">
            <v>-3</v>
          </cell>
          <cell r="H86">
            <v>0</v>
          </cell>
          <cell r="I86">
            <v>3</v>
          </cell>
          <cell r="J86">
            <v>0</v>
          </cell>
          <cell r="K86">
            <v>4201.8980000000001</v>
          </cell>
          <cell r="L86">
            <v>0</v>
          </cell>
          <cell r="M86">
            <v>420.18980000000005</v>
          </cell>
          <cell r="N86">
            <v>3781.7082</v>
          </cell>
          <cell r="O86">
            <v>0</v>
          </cell>
          <cell r="P86">
            <v>0</v>
          </cell>
          <cell r="Q86">
            <v>2749.4160000000002</v>
          </cell>
          <cell r="R86">
            <v>0</v>
          </cell>
          <cell r="S86">
            <v>0</v>
          </cell>
        </row>
        <row r="87">
          <cell r="A87">
            <v>192</v>
          </cell>
          <cell r="B87" t="str">
            <v>Aromática con panela 2 (Compra)</v>
          </cell>
          <cell r="C87" t="str">
            <v>- Contiene sobres de mínimo 6g
- Debe cumplir con Resolución 2492 de 2022 sobre rotulado y etiquetado nutricional y las normas que la modifiquen
- Debe cumplir con la Resolución 779 de 2006
- Mínimo 12  meses de vida útil desde la fecha de fabricación
- Sabores: Naranja, Jengibre, Papayuela, Frutos rojos, Maracuyá, Limoncillo (Entrega mínima de 3 sabores)
- 100% natural</v>
          </cell>
          <cell r="D87" t="str">
            <v>Caja de 20 unidades</v>
          </cell>
          <cell r="E87">
            <v>56</v>
          </cell>
          <cell r="F87">
            <v>290</v>
          </cell>
          <cell r="G87">
            <v>234</v>
          </cell>
          <cell r="H87">
            <v>14</v>
          </cell>
          <cell r="I87">
            <v>70</v>
          </cell>
          <cell r="J87">
            <v>220</v>
          </cell>
          <cell r="K87">
            <v>7629.2089999999998</v>
          </cell>
          <cell r="L87">
            <v>1678425.98</v>
          </cell>
          <cell r="M87">
            <v>762.92090000000007</v>
          </cell>
          <cell r="N87">
            <v>6866.2880999999998</v>
          </cell>
          <cell r="O87">
            <v>1510583.382</v>
          </cell>
          <cell r="P87">
            <v>70</v>
          </cell>
          <cell r="Q87">
            <v>3930.7400000000002</v>
          </cell>
          <cell r="R87">
            <v>275151.8</v>
          </cell>
          <cell r="S87">
            <v>1785735.182</v>
          </cell>
        </row>
        <row r="88">
          <cell r="A88">
            <v>195</v>
          </cell>
          <cell r="B88" t="str">
            <v>Aromática de fruta 2 (Compra)</v>
          </cell>
          <cell r="C88" t="str">
            <v>- Debe cumplir con Resolución 2492 de 2022 sobre rotulado y etiquetado nutricional y las normas que la modifiquen
- Mínimo 12  meses de vida útil desde la fecha de fabricación
- Sabores: Papayuela, Mora, Maracuya, Uchuva, Uva, Fresa, Piña, Durazno, Naranja, Manzana y Arandano (Entrega mínima de 3 sabores)
- 100% natural</v>
          </cell>
          <cell r="D88" t="str">
            <v>Caja de 20 unidades</v>
          </cell>
          <cell r="E88">
            <v>56</v>
          </cell>
          <cell r="F88">
            <v>671</v>
          </cell>
          <cell r="G88">
            <v>615</v>
          </cell>
          <cell r="H88">
            <v>14</v>
          </cell>
          <cell r="I88">
            <v>70</v>
          </cell>
          <cell r="J88">
            <v>601</v>
          </cell>
          <cell r="K88">
            <v>11885.759</v>
          </cell>
          <cell r="L88">
            <v>7143341.159</v>
          </cell>
          <cell r="M88">
            <v>1188.5759</v>
          </cell>
          <cell r="N88">
            <v>10697.1831</v>
          </cell>
          <cell r="O88">
            <v>6429007.0431000004</v>
          </cell>
          <cell r="P88">
            <v>70</v>
          </cell>
          <cell r="Q88">
            <v>6431.0690000000004</v>
          </cell>
          <cell r="R88">
            <v>450174.83</v>
          </cell>
          <cell r="S88">
            <v>6879181.8731000004</v>
          </cell>
        </row>
        <row r="89">
          <cell r="A89">
            <v>204</v>
          </cell>
          <cell r="B89" t="str">
            <v>Agua potable 4 (Compra)</v>
          </cell>
          <cell r="C89" t="str">
            <v>- Agua potable potable purificada</v>
          </cell>
          <cell r="D89" t="str">
            <v>Botellón de mínimo 18.9 L</v>
          </cell>
          <cell r="E89">
            <v>93</v>
          </cell>
          <cell r="F89">
            <v>217</v>
          </cell>
          <cell r="G89">
            <v>124</v>
          </cell>
          <cell r="H89">
            <v>23.25</v>
          </cell>
          <cell r="I89">
            <v>116.25</v>
          </cell>
          <cell r="J89">
            <v>100.75</v>
          </cell>
          <cell r="K89">
            <v>28526.241999999998</v>
          </cell>
          <cell r="L89">
            <v>2874018.8814999997</v>
          </cell>
          <cell r="M89">
            <v>2852.6242000000002</v>
          </cell>
          <cell r="N89">
            <v>25673.6178</v>
          </cell>
          <cell r="O89">
            <v>2586616.9933500001</v>
          </cell>
          <cell r="P89">
            <v>116.25</v>
          </cell>
          <cell r="Q89">
            <v>14760.243999999999</v>
          </cell>
          <cell r="R89">
            <v>1715878.3649999998</v>
          </cell>
          <cell r="S89">
            <v>4302495.3583499994</v>
          </cell>
        </row>
        <row r="90">
          <cell r="A90">
            <v>205</v>
          </cell>
          <cell r="B90" t="str">
            <v>Válvula dispensadora para botellón de agua (Compra)</v>
          </cell>
          <cell r="C90" t="str">
            <v>-Válvula en material plástico con boquilla ajustable a los diferentes tipos de botellones</v>
          </cell>
          <cell r="D90" t="str">
            <v>Unidad</v>
          </cell>
          <cell r="E90">
            <v>4</v>
          </cell>
          <cell r="F90">
            <v>0</v>
          </cell>
          <cell r="G90">
            <v>-4</v>
          </cell>
          <cell r="H90">
            <v>0</v>
          </cell>
          <cell r="I90">
            <v>4</v>
          </cell>
          <cell r="J90">
            <v>0</v>
          </cell>
          <cell r="K90">
            <v>36265.805999999997</v>
          </cell>
          <cell r="L90">
            <v>0</v>
          </cell>
          <cell r="M90">
            <v>3626.5805999999998</v>
          </cell>
          <cell r="N90">
            <v>32639.225399999996</v>
          </cell>
          <cell r="O90">
            <v>0</v>
          </cell>
          <cell r="P90">
            <v>0</v>
          </cell>
          <cell r="Q90">
            <v>17690.432000000001</v>
          </cell>
          <cell r="R90">
            <v>0</v>
          </cell>
          <cell r="S90">
            <v>0</v>
          </cell>
        </row>
        <row r="91">
          <cell r="A91">
            <v>207</v>
          </cell>
          <cell r="B91" t="str">
            <v>Cepillo para paredes y techos (Compra)</v>
          </cell>
          <cell r="C91" t="str">
            <v xml:space="preserve"> - Cuerpo elaborado en plástico
 - Cerdas duras en fibra plástica
 - Largo mínimo de 140 cm</v>
          </cell>
          <cell r="D91" t="str">
            <v>Unidad</v>
          </cell>
          <cell r="E91">
            <v>9</v>
          </cell>
          <cell r="F91">
            <v>0</v>
          </cell>
          <cell r="G91">
            <v>-9</v>
          </cell>
          <cell r="H91">
            <v>0</v>
          </cell>
          <cell r="I91">
            <v>9</v>
          </cell>
          <cell r="J91">
            <v>0</v>
          </cell>
          <cell r="K91">
            <v>9121.6290000000008</v>
          </cell>
          <cell r="L91">
            <v>0</v>
          </cell>
          <cell r="M91">
            <v>912.16290000000015</v>
          </cell>
          <cell r="N91">
            <v>8209.4661000000015</v>
          </cell>
          <cell r="O91">
            <v>0</v>
          </cell>
          <cell r="P91">
            <v>0</v>
          </cell>
          <cell r="Q91">
            <v>7186.7380000000003</v>
          </cell>
          <cell r="R91">
            <v>0</v>
          </cell>
          <cell r="S91">
            <v>0</v>
          </cell>
        </row>
        <row r="92">
          <cell r="A92">
            <v>208</v>
          </cell>
          <cell r="B92" t="str">
            <v>Brillador 1 (Compra)</v>
          </cell>
          <cell r="C92" t="str">
            <v>- Mopa elaborada en algodón
- Área de barrido mínima de 90 cm de largo por 16cm de ancho
- Armazón y mango metálico</v>
          </cell>
          <cell r="D92" t="str">
            <v>Unidad</v>
          </cell>
          <cell r="E92">
            <v>14</v>
          </cell>
          <cell r="F92">
            <v>0</v>
          </cell>
          <cell r="G92">
            <v>-14</v>
          </cell>
          <cell r="H92">
            <v>0</v>
          </cell>
          <cell r="I92">
            <v>14</v>
          </cell>
          <cell r="J92">
            <v>0</v>
          </cell>
          <cell r="K92">
            <v>80822.951000000001</v>
          </cell>
          <cell r="L92">
            <v>0</v>
          </cell>
          <cell r="M92">
            <v>8082.2951000000003</v>
          </cell>
          <cell r="N92">
            <v>72740.655899999998</v>
          </cell>
          <cell r="O92">
            <v>0</v>
          </cell>
          <cell r="P92">
            <v>0</v>
          </cell>
          <cell r="Q92">
            <v>50779.065000000002</v>
          </cell>
          <cell r="R92">
            <v>0</v>
          </cell>
          <cell r="S92">
            <v>0</v>
          </cell>
        </row>
        <row r="93">
          <cell r="A93">
            <v>209</v>
          </cell>
          <cell r="B93" t="str">
            <v>Brillador 2 (Compra)</v>
          </cell>
          <cell r="C93" t="str">
            <v>- Mopa elaborada en algodón
- Área de barrido mínima de 60 cm de largo por 16cm de ancho
- Armazón y mango metálico</v>
          </cell>
          <cell r="D93" t="str">
            <v>Unidad</v>
          </cell>
          <cell r="E93">
            <v>1</v>
          </cell>
          <cell r="F93">
            <v>0</v>
          </cell>
          <cell r="G93">
            <v>-1</v>
          </cell>
          <cell r="H93">
            <v>0</v>
          </cell>
          <cell r="I93">
            <v>1</v>
          </cell>
          <cell r="J93">
            <v>0</v>
          </cell>
          <cell r="K93">
            <v>57273.194000000003</v>
          </cell>
          <cell r="L93">
            <v>0</v>
          </cell>
          <cell r="M93">
            <v>5727.3194000000003</v>
          </cell>
          <cell r="N93">
            <v>51545.874600000003</v>
          </cell>
          <cell r="O93">
            <v>0</v>
          </cell>
          <cell r="P93">
            <v>0</v>
          </cell>
          <cell r="Q93">
            <v>37357.794999999998</v>
          </cell>
          <cell r="R93">
            <v>0</v>
          </cell>
          <cell r="S93">
            <v>0</v>
          </cell>
        </row>
        <row r="94">
          <cell r="A94">
            <v>210</v>
          </cell>
          <cell r="B94" t="str">
            <v>Repuestos brillador 1 (Compra)</v>
          </cell>
          <cell r="C94" t="str">
            <v>- Mopa elaborada en algodón
- Área de barrido mínima de 90 cm de largo por 16 cm de ancho</v>
          </cell>
          <cell r="D94" t="str">
            <v>Unidad</v>
          </cell>
          <cell r="E94">
            <v>14</v>
          </cell>
          <cell r="F94">
            <v>0</v>
          </cell>
          <cell r="G94">
            <v>-14</v>
          </cell>
          <cell r="H94">
            <v>0</v>
          </cell>
          <cell r="I94">
            <v>14</v>
          </cell>
          <cell r="J94">
            <v>0</v>
          </cell>
          <cell r="K94">
            <v>43673.254000000001</v>
          </cell>
          <cell r="L94">
            <v>0</v>
          </cell>
          <cell r="M94">
            <v>4367.3254000000006</v>
          </cell>
          <cell r="N94">
            <v>39305.928599999999</v>
          </cell>
          <cell r="O94">
            <v>0</v>
          </cell>
          <cell r="P94">
            <v>0</v>
          </cell>
          <cell r="Q94">
            <v>22537.643999999997</v>
          </cell>
          <cell r="R94">
            <v>0</v>
          </cell>
          <cell r="S94">
            <v>0</v>
          </cell>
        </row>
        <row r="95">
          <cell r="A95">
            <v>211</v>
          </cell>
          <cell r="B95" t="str">
            <v>Repuestos brillador 2 (Compra)</v>
          </cell>
          <cell r="C95" t="str">
            <v>- Mopa elaborada en algodón
- Área de barrido mínima de 60 cm de largo por 16 cm de ancho</v>
          </cell>
          <cell r="D95" t="str">
            <v>Unidad</v>
          </cell>
          <cell r="E95">
            <v>7</v>
          </cell>
          <cell r="F95">
            <v>0</v>
          </cell>
          <cell r="G95">
            <v>-7</v>
          </cell>
          <cell r="H95">
            <v>0</v>
          </cell>
          <cell r="I95">
            <v>7</v>
          </cell>
          <cell r="J95">
            <v>0</v>
          </cell>
          <cell r="K95">
            <v>32837.444000000003</v>
          </cell>
          <cell r="L95">
            <v>0</v>
          </cell>
          <cell r="M95">
            <v>3283.7444000000005</v>
          </cell>
          <cell r="N95">
            <v>29553.699600000004</v>
          </cell>
          <cell r="O95">
            <v>0</v>
          </cell>
          <cell r="P95">
            <v>0</v>
          </cell>
          <cell r="Q95">
            <v>15992.016</v>
          </cell>
          <cell r="R95">
            <v>0</v>
          </cell>
          <cell r="S95">
            <v>0</v>
          </cell>
        </row>
        <row r="96">
          <cell r="A96">
            <v>212</v>
          </cell>
          <cell r="B96" t="str">
            <v>Destapador para sanitario (chupa) (Compra)</v>
          </cell>
          <cell r="C96" t="str">
            <v>- Tipo campana
- Chupa elaborada en caucho
- Diámetro mínimo de 12 cm
- Mango elaborado en madera
- Mango con longitud mínima de 33 cm</v>
          </cell>
          <cell r="D96" t="str">
            <v>Unidad</v>
          </cell>
          <cell r="E96">
            <v>37</v>
          </cell>
          <cell r="F96">
            <v>0</v>
          </cell>
          <cell r="G96">
            <v>-37</v>
          </cell>
          <cell r="H96">
            <v>0</v>
          </cell>
          <cell r="I96">
            <v>37</v>
          </cell>
          <cell r="J96">
            <v>0</v>
          </cell>
          <cell r="K96">
            <v>3703.7240000000002</v>
          </cell>
          <cell r="L96">
            <v>0</v>
          </cell>
          <cell r="M96">
            <v>370.37240000000003</v>
          </cell>
          <cell r="N96">
            <v>3333.3516</v>
          </cell>
          <cell r="O96">
            <v>0</v>
          </cell>
          <cell r="P96">
            <v>0</v>
          </cell>
          <cell r="Q96">
            <v>2505.5839999999998</v>
          </cell>
          <cell r="R96">
            <v>0</v>
          </cell>
          <cell r="S96">
            <v>0</v>
          </cell>
        </row>
        <row r="97">
          <cell r="A97">
            <v>213</v>
          </cell>
          <cell r="B97" t="str">
            <v>Plumero o limpia polvo (Compra)</v>
          </cell>
          <cell r="C97" t="str">
            <v>- Fibras sintéticas
- Mango de plástico
- Largo total mínimo de 65 cm
- Electrostático</v>
          </cell>
          <cell r="D97" t="str">
            <v>Unidad</v>
          </cell>
          <cell r="E97">
            <v>1</v>
          </cell>
          <cell r="F97">
            <v>0</v>
          </cell>
          <cell r="G97">
            <v>-1</v>
          </cell>
          <cell r="H97">
            <v>0</v>
          </cell>
          <cell r="I97">
            <v>1</v>
          </cell>
          <cell r="J97">
            <v>0</v>
          </cell>
          <cell r="K97">
            <v>11609.346</v>
          </cell>
          <cell r="L97">
            <v>0</v>
          </cell>
          <cell r="M97">
            <v>1160.9346</v>
          </cell>
          <cell r="N97">
            <v>10448.411399999999</v>
          </cell>
          <cell r="O97">
            <v>0</v>
          </cell>
          <cell r="P97">
            <v>0</v>
          </cell>
          <cell r="Q97">
            <v>0</v>
          </cell>
          <cell r="R97">
            <v>0</v>
          </cell>
          <cell r="S97">
            <v>0</v>
          </cell>
        </row>
        <row r="98">
          <cell r="A98">
            <v>215</v>
          </cell>
          <cell r="B98" t="str">
            <v>Rastrillo 2 (Compra)</v>
          </cell>
          <cell r="C98" t="str">
            <v>- Barra dentada metálica con mínimo 18 dientes
- Mango metálico plastificado con longitud mínima de 120 cm</v>
          </cell>
          <cell r="D98" t="str">
            <v>Unidad</v>
          </cell>
          <cell r="E98">
            <v>15</v>
          </cell>
          <cell r="F98">
            <v>4</v>
          </cell>
          <cell r="G98">
            <v>-11</v>
          </cell>
          <cell r="H98">
            <v>0</v>
          </cell>
          <cell r="I98">
            <v>15</v>
          </cell>
          <cell r="J98">
            <v>0</v>
          </cell>
          <cell r="K98">
            <v>35270.508999999998</v>
          </cell>
          <cell r="L98">
            <v>0</v>
          </cell>
          <cell r="M98">
            <v>3527.0509000000002</v>
          </cell>
          <cell r="N98">
            <v>31743.458099999996</v>
          </cell>
          <cell r="O98">
            <v>0</v>
          </cell>
          <cell r="P98">
            <v>4</v>
          </cell>
          <cell r="Q98">
            <v>10476.367999999999</v>
          </cell>
          <cell r="R98">
            <v>41905.471999999994</v>
          </cell>
          <cell r="S98">
            <v>41905.471999999994</v>
          </cell>
        </row>
        <row r="99">
          <cell r="A99">
            <v>216</v>
          </cell>
          <cell r="B99" t="str">
            <v>Recogedor de basura 1 (Compra)</v>
          </cell>
          <cell r="C99" t="str">
            <v>- Elaborado en plástico
- Con banda de goma y dientas barrescobas
- Mango con longitud mínima de 70 cm</v>
          </cell>
          <cell r="D99" t="str">
            <v>Unidad</v>
          </cell>
          <cell r="E99">
            <v>37</v>
          </cell>
          <cell r="F99">
            <v>0</v>
          </cell>
          <cell r="G99">
            <v>-37</v>
          </cell>
          <cell r="H99">
            <v>0</v>
          </cell>
          <cell r="I99">
            <v>37</v>
          </cell>
          <cell r="J99">
            <v>0</v>
          </cell>
          <cell r="K99">
            <v>5694.3180000000002</v>
          </cell>
          <cell r="L99">
            <v>0</v>
          </cell>
          <cell r="M99">
            <v>569.43180000000007</v>
          </cell>
          <cell r="N99">
            <v>5124.8861999999999</v>
          </cell>
          <cell r="O99">
            <v>0</v>
          </cell>
          <cell r="P99">
            <v>0</v>
          </cell>
          <cell r="Q99">
            <v>3954.9129999999996</v>
          </cell>
          <cell r="R99">
            <v>0</v>
          </cell>
          <cell r="S99">
            <v>0</v>
          </cell>
        </row>
        <row r="100">
          <cell r="A100">
            <v>218</v>
          </cell>
          <cell r="B100" t="str">
            <v>Atomizadores (Compra)</v>
          </cell>
          <cell r="C100" t="str">
            <v>- Elaborado en plástico
- Reutilizable
- Capacidad mínima de 500 cc
- con pistola</v>
          </cell>
          <cell r="D100" t="str">
            <v>Unidad</v>
          </cell>
          <cell r="E100">
            <v>40</v>
          </cell>
          <cell r="F100">
            <v>166</v>
          </cell>
          <cell r="G100">
            <v>126</v>
          </cell>
          <cell r="H100">
            <v>10</v>
          </cell>
          <cell r="I100">
            <v>50</v>
          </cell>
          <cell r="J100">
            <v>116</v>
          </cell>
          <cell r="K100">
            <v>2874.4850000000001</v>
          </cell>
          <cell r="L100">
            <v>333440.26</v>
          </cell>
          <cell r="M100">
            <v>287.44850000000002</v>
          </cell>
          <cell r="N100">
            <v>2587.0365000000002</v>
          </cell>
          <cell r="O100">
            <v>300096.234</v>
          </cell>
          <cell r="P100">
            <v>50</v>
          </cell>
          <cell r="Q100">
            <v>1437.768</v>
          </cell>
          <cell r="R100">
            <v>71888.399999999994</v>
          </cell>
          <cell r="S100">
            <v>371984.63399999996</v>
          </cell>
        </row>
        <row r="101">
          <cell r="A101">
            <v>251</v>
          </cell>
          <cell r="B101" t="str">
            <v>Combustible  (Compra)</v>
          </cell>
          <cell r="C101" t="str">
            <v xml:space="preserve"> - Gasolina 
- Para cortadora de césped, sopladora de hojas y guadañas</v>
          </cell>
          <cell r="D101" t="str">
            <v>Galón</v>
          </cell>
          <cell r="E101">
            <v>24</v>
          </cell>
          <cell r="F101">
            <v>34</v>
          </cell>
          <cell r="G101">
            <v>10</v>
          </cell>
          <cell r="H101">
            <v>6</v>
          </cell>
          <cell r="I101">
            <v>30</v>
          </cell>
          <cell r="J101">
            <v>4</v>
          </cell>
          <cell r="K101">
            <v>22665.866000000002</v>
          </cell>
          <cell r="L101">
            <v>90663.464000000007</v>
          </cell>
          <cell r="M101">
            <v>2266.5866000000001</v>
          </cell>
          <cell r="N101">
            <v>20399.279400000003</v>
          </cell>
          <cell r="O101">
            <v>81597.117600000012</v>
          </cell>
          <cell r="P101">
            <v>30</v>
          </cell>
          <cell r="Q101">
            <v>16031.954000000002</v>
          </cell>
          <cell r="R101">
            <v>480958.62000000005</v>
          </cell>
          <cell r="S101">
            <v>562555.73760000011</v>
          </cell>
        </row>
        <row r="102">
          <cell r="A102">
            <v>255</v>
          </cell>
          <cell r="B102" t="str">
            <v>Haraganes 2  (Compra)</v>
          </cell>
          <cell r="C102" t="str">
            <v>- Para limpiar vidrios
- Con banda de goma con longitud mínima de 50 cm.
- Mango metálico extensible con longitud mínima
de 60 cm y máxima de 150 cm</v>
          </cell>
          <cell r="D102" t="str">
            <v>Unidad</v>
          </cell>
          <cell r="E102">
            <v>14</v>
          </cell>
          <cell r="F102">
            <v>0</v>
          </cell>
          <cell r="G102">
            <v>-14</v>
          </cell>
          <cell r="H102">
            <v>0</v>
          </cell>
          <cell r="I102">
            <v>14</v>
          </cell>
          <cell r="J102">
            <v>0</v>
          </cell>
          <cell r="K102">
            <v>46437.383999999998</v>
          </cell>
          <cell r="L102">
            <v>0</v>
          </cell>
          <cell r="M102">
            <v>4643.7384000000002</v>
          </cell>
          <cell r="N102">
            <v>41793.645599999996</v>
          </cell>
          <cell r="O102">
            <v>0</v>
          </cell>
          <cell r="P102">
            <v>0</v>
          </cell>
          <cell r="Q102">
            <v>29299.777999999998</v>
          </cell>
          <cell r="R102">
            <v>0</v>
          </cell>
          <cell r="S102">
            <v>0</v>
          </cell>
        </row>
        <row r="103">
          <cell r="A103">
            <v>257</v>
          </cell>
          <cell r="B103" t="str">
            <v>Haraganes 4  (Compra)</v>
          </cell>
          <cell r="C103" t="str">
            <v>- Para escurrir pisos
-Con banda de goma con longitud mínima de 50 cm.
- Mango metálico extensible con longitud mínima
de 60 cm y máxima de 150 cm</v>
          </cell>
          <cell r="D103" t="str">
            <v>Unidad</v>
          </cell>
          <cell r="E103">
            <v>11</v>
          </cell>
          <cell r="F103">
            <v>0</v>
          </cell>
          <cell r="G103">
            <v>-11</v>
          </cell>
          <cell r="H103">
            <v>0</v>
          </cell>
          <cell r="I103">
            <v>11</v>
          </cell>
          <cell r="J103">
            <v>0</v>
          </cell>
          <cell r="K103">
            <v>59484.498</v>
          </cell>
          <cell r="L103">
            <v>0</v>
          </cell>
          <cell r="M103">
            <v>5948.4498000000003</v>
          </cell>
          <cell r="N103">
            <v>53536.048199999997</v>
          </cell>
          <cell r="O103">
            <v>0</v>
          </cell>
          <cell r="P103">
            <v>0</v>
          </cell>
          <cell r="Q103">
            <v>18796.084000000003</v>
          </cell>
          <cell r="R103">
            <v>0</v>
          </cell>
          <cell r="S103">
            <v>0</v>
          </cell>
        </row>
        <row r="104">
          <cell r="A104">
            <v>260</v>
          </cell>
          <cell r="B104" t="str">
            <v>Balde (Compra)</v>
          </cell>
          <cell r="C104" t="str">
            <v xml:space="preserve">- Capacidad mínima de 10 litros
- Con manija móvil
- Con "pico" antiderrames
- Disponibles en diferentes colores
- Elaborado en material reciclable
- Marcado de acuerdo con la norma ISO 11469 y ISO 1043. </v>
          </cell>
          <cell r="D104" t="str">
            <v>Unidad</v>
          </cell>
          <cell r="E104">
            <v>10</v>
          </cell>
          <cell r="F104">
            <v>0</v>
          </cell>
          <cell r="G104">
            <v>-10</v>
          </cell>
          <cell r="H104">
            <v>0</v>
          </cell>
          <cell r="I104">
            <v>10</v>
          </cell>
          <cell r="J104">
            <v>0</v>
          </cell>
          <cell r="K104">
            <v>9453.7450000000008</v>
          </cell>
          <cell r="L104">
            <v>0</v>
          </cell>
          <cell r="M104">
            <v>945.37450000000013</v>
          </cell>
          <cell r="N104">
            <v>8508.3705000000009</v>
          </cell>
          <cell r="O104">
            <v>0</v>
          </cell>
          <cell r="P104">
            <v>0</v>
          </cell>
          <cell r="Q104">
            <v>3417.8520000000008</v>
          </cell>
          <cell r="R104">
            <v>0</v>
          </cell>
          <cell r="S104">
            <v>0</v>
          </cell>
        </row>
        <row r="105">
          <cell r="A105">
            <v>291</v>
          </cell>
          <cell r="B105" t="str">
            <v>Soporte para Botellón de agua (Compra)</v>
          </cell>
          <cell r="C105" t="str">
            <v xml:space="preserve"> - Metálico
- Plegable</v>
          </cell>
          <cell r="D105" t="str">
            <v>Unidad</v>
          </cell>
          <cell r="E105">
            <v>3</v>
          </cell>
          <cell r="F105">
            <v>0</v>
          </cell>
          <cell r="G105">
            <v>-3</v>
          </cell>
          <cell r="H105">
            <v>0</v>
          </cell>
          <cell r="I105">
            <v>3</v>
          </cell>
          <cell r="J105">
            <v>0</v>
          </cell>
          <cell r="K105">
            <v>72862.676999999996</v>
          </cell>
          <cell r="L105">
            <v>0</v>
          </cell>
          <cell r="M105">
            <v>7286.2677000000003</v>
          </cell>
          <cell r="N105">
            <v>65576.409299999999</v>
          </cell>
          <cell r="O105">
            <v>0</v>
          </cell>
          <cell r="P105">
            <v>0</v>
          </cell>
          <cell r="Q105">
            <v>20454.562000000005</v>
          </cell>
          <cell r="R105">
            <v>0</v>
          </cell>
          <cell r="S105">
            <v>0</v>
          </cell>
        </row>
      </sheetData>
      <sheetData sheetId="22" refreshError="1"/>
      <sheetData sheetId="23" refreshError="1"/>
      <sheetData sheetId="24" refreshError="1"/>
      <sheetData sheetId="25" refreshError="1"/>
      <sheetData sheetId="2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 FACTURA ENERO"/>
      <sheetName val="INSUMOS POR SEDES"/>
      <sheetName val="PRE FACTURA FEBRERO"/>
      <sheetName val="NOM"/>
      <sheetName val="PRE FACTURA FEBRERO."/>
      <sheetName val="MAQ POR SEDES FEBRERO"/>
      <sheetName val="NOMINA FEBRERO"/>
      <sheetName val="INSUMOS DISCRIMINADOS"/>
      <sheetName val="PERSONAL"/>
      <sheetName val="RUBROS"/>
      <sheetName val="INSUMO POR SEDES"/>
      <sheetName val="PERSONAL (2)"/>
      <sheetName val="BD"/>
      <sheetName val="INSUMOS ENE"/>
      <sheetName val="Z21"/>
      <sheetName val="COT"/>
      <sheetName val="COT (2)"/>
      <sheetName val="SALARIO 2026"/>
      <sheetName val="Incluir en segund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Jardineria mt2</v>
          </cell>
          <cell r="C2" t="str">
            <v>Servicio especializado de jardinería en metros cuadrados.</v>
          </cell>
          <cell r="D2" t="str">
            <v>Metros cuadrados</v>
          </cell>
          <cell r="E2">
            <v>25863</v>
          </cell>
          <cell r="F2">
            <v>400</v>
          </cell>
          <cell r="G2">
            <v>316</v>
          </cell>
          <cell r="H2">
            <v>0</v>
          </cell>
          <cell r="I2">
            <v>0.21</v>
          </cell>
          <cell r="J2">
            <v>316</v>
          </cell>
          <cell r="K2">
            <v>8172708</v>
          </cell>
          <cell r="L2">
            <v>20.399999999999999</v>
          </cell>
          <cell r="M2">
            <v>420.4</v>
          </cell>
          <cell r="N2">
            <v>88.283999999999992</v>
          </cell>
          <cell r="O2">
            <v>332.11599999999999</v>
          </cell>
        </row>
        <row r="3">
          <cell r="B3" t="str">
            <v>Café Social 1 (Compra)</v>
          </cell>
          <cell r="C3" t="str">
            <v>- Diferentes tostiones
- Orgánico y/o artesanal
- Empacada en bolsa de polipropileno aluminizada resistente a la humedad y al oxígeno.  
- Debe cumplir con las Resoluciones 333 de 2011 y 2674 de 2013 hasta la entrada en vigencia de la Resolución 810 de 2021 y aquellas que la modifiquen, adicionen o deroguen</v>
          </cell>
          <cell r="D3" t="str">
            <v>Bolsa de mínimo 500 g</v>
          </cell>
          <cell r="E3">
            <v>0</v>
          </cell>
          <cell r="F3">
            <v>0</v>
          </cell>
          <cell r="G3">
            <v>0</v>
          </cell>
          <cell r="H3">
            <v>0</v>
          </cell>
          <cell r="I3">
            <v>0</v>
          </cell>
          <cell r="J3">
            <v>0</v>
          </cell>
          <cell r="K3">
            <v>0</v>
          </cell>
          <cell r="L3">
            <v>0</v>
          </cell>
          <cell r="M3">
            <v>0</v>
          </cell>
          <cell r="N3">
            <v>0</v>
          </cell>
          <cell r="O3">
            <v>0</v>
          </cell>
        </row>
        <row r="4">
          <cell r="B4" t="str">
            <v>Café Social 2 (Compra)</v>
          </cell>
          <cell r="C4" t="str">
            <v>- 100% café tostado y molido.
- Puntaje de taza mayor a 80 según la clasificación SCA y/o Denominación de Origen
- Empacada en bolsa de polipropileno aluminizada resistente a la humedad y al oxígeno.  
- Debe cumplir con las Resoluciones 333 de 2011 y 2674 de 2013 hasta la entrada en vigencia de la Resolución 810 de 2021 y aquellas que la modifiquen, adicionen o deroguen</v>
          </cell>
          <cell r="D4" t="str">
            <v>Bolsa de mínimo 500 g</v>
          </cell>
          <cell r="E4">
            <v>0</v>
          </cell>
          <cell r="F4">
            <v>0</v>
          </cell>
          <cell r="G4">
            <v>0</v>
          </cell>
          <cell r="H4">
            <v>0</v>
          </cell>
          <cell r="I4">
            <v>0</v>
          </cell>
          <cell r="J4">
            <v>0</v>
          </cell>
          <cell r="K4">
            <v>0</v>
          </cell>
          <cell r="L4">
            <v>0</v>
          </cell>
          <cell r="M4">
            <v>0</v>
          </cell>
          <cell r="N4">
            <v>0</v>
          </cell>
          <cell r="O4">
            <v>0</v>
          </cell>
        </row>
        <row r="5">
          <cell r="B5" t="str">
            <v>Jabón para loza 1 (Compra)</v>
          </cell>
          <cell r="C5" t="str">
            <v>- Con agente(s) tensoactivo(s) principal(es) con efecto limpiador y desengrasante en una concentración mínima del 8%.
- Disponible en mínimo (2) dos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Debe contener concentraciones de fósforo iguales o inferiores a 0.65% de fósforo (Resolución 0689 de 2016)</v>
          </cell>
          <cell r="D5" t="str">
            <v>Líquido, en recipiente plástico con capacidad mínima de 3.785 ml</v>
          </cell>
          <cell r="E5">
            <v>30</v>
          </cell>
          <cell r="F5">
            <v>15570</v>
          </cell>
          <cell r="G5">
            <v>6916</v>
          </cell>
          <cell r="H5">
            <v>0</v>
          </cell>
          <cell r="I5">
            <v>0.55581245985870265</v>
          </cell>
          <cell r="J5">
            <v>6916</v>
          </cell>
          <cell r="K5">
            <v>207480</v>
          </cell>
          <cell r="L5">
            <v>794.06999999999994</v>
          </cell>
          <cell r="M5">
            <v>16364.07</v>
          </cell>
          <cell r="N5">
            <v>9095.3539999999994</v>
          </cell>
          <cell r="O5">
            <v>7268.7160000000003</v>
          </cell>
        </row>
        <row r="6">
          <cell r="B6" t="str">
            <v>Jabón para loza 2 (Compra)</v>
          </cell>
          <cell r="C6" t="str">
            <v>- Con agente(s) tensoactivo(s) principal(es) con efecto limpiador y desengrasante en una concentración mínima del 8%.
- Disponible en mínimo (2) dos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Debe contener concentraciones de fósforo iguales o inferiores a 0.65% de fósforo (Resolución 0689 de 2016)</v>
          </cell>
          <cell r="D6" t="str">
            <v>Líquido, en recipiente plástico de mínimo 500 ml</v>
          </cell>
          <cell r="E6">
            <v>0</v>
          </cell>
          <cell r="F6">
            <v>0</v>
          </cell>
          <cell r="G6">
            <v>0</v>
          </cell>
          <cell r="H6">
            <v>0</v>
          </cell>
          <cell r="I6">
            <v>0</v>
          </cell>
          <cell r="J6">
            <v>0</v>
          </cell>
          <cell r="K6">
            <v>0</v>
          </cell>
          <cell r="L6">
            <v>0</v>
          </cell>
          <cell r="M6">
            <v>0</v>
          </cell>
          <cell r="N6">
            <v>0</v>
          </cell>
          <cell r="O6">
            <v>0</v>
          </cell>
        </row>
        <row r="7">
          <cell r="B7" t="str">
            <v>Jabón para loza 3 (Compra)</v>
          </cell>
          <cell r="C7" t="str">
            <v xml:space="preserve"> - Con agente(s) tensoactivo(s) principal(es) con efecto limpiador y desengrasante en una concentración mínima del 15%.
 - Disponible en mínimo (2) dos fragancias
- El envase debe estar correctamente etiquetados bajo los parámetros establecidos en el sistema globalmente armonizado (Decreto 1496 de 2018) indicando: nombre comercial del producto, pictogramas de los compuestos peligrosos si aplica e instrucciones de uso.
- Debe contener concentraciones de fósforo iguales o inferiores a 0.65% de fósforo (Resolución 0689 de 2016)</v>
          </cell>
          <cell r="D7" t="str">
            <v>Crema, en recipiente plástico de mínimo 850 g</v>
          </cell>
          <cell r="E7">
            <v>6</v>
          </cell>
          <cell r="F7">
            <v>10573</v>
          </cell>
          <cell r="G7">
            <v>6179</v>
          </cell>
          <cell r="H7">
            <v>0</v>
          </cell>
          <cell r="I7">
            <v>0.41558687222169677</v>
          </cell>
          <cell r="J7">
            <v>6179</v>
          </cell>
          <cell r="K7">
            <v>37074</v>
          </cell>
          <cell r="L7">
            <v>539.22299999999996</v>
          </cell>
          <cell r="M7">
            <v>11112.223</v>
          </cell>
          <cell r="N7">
            <v>4618.0940000000001</v>
          </cell>
          <cell r="O7">
            <v>6494.1289999999999</v>
          </cell>
        </row>
        <row r="8">
          <cell r="B8" t="str">
            <v>Jabón para loza 4 (Compra)</v>
          </cell>
          <cell r="C8" t="str">
            <v>- Con agente(s) tensoactivo(s) con efecto limpiador y desengrasante. 
- Disponible en múltiples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Elaborado en material reciclable
- Con etiqueta de amigable con el ambiente
- Debe contener concentraciones de fósforo iguales o inferiores a 0.65% de fósforo (Resolución 0689 de 2016)</v>
          </cell>
          <cell r="D8" t="str">
            <v>Crema, en recipiente plástico de mínimo 1000 g</v>
          </cell>
          <cell r="E8">
            <v>0</v>
          </cell>
          <cell r="F8">
            <v>0</v>
          </cell>
          <cell r="G8">
            <v>0</v>
          </cell>
          <cell r="H8">
            <v>0</v>
          </cell>
          <cell r="I8">
            <v>0</v>
          </cell>
          <cell r="J8">
            <v>0</v>
          </cell>
          <cell r="K8">
            <v>0</v>
          </cell>
          <cell r="L8">
            <v>0</v>
          </cell>
          <cell r="M8">
            <v>0</v>
          </cell>
          <cell r="N8">
            <v>0</v>
          </cell>
          <cell r="O8">
            <v>0</v>
          </cell>
        </row>
        <row r="9">
          <cell r="B9" t="str">
            <v>Jabón en barra (Compra)</v>
          </cell>
          <cell r="C9" t="str">
            <v>-Composición de ácidos grasos de mínimo 50%.
- Debe contener concentraciones de fósforo iguales o inferiores a 0.65% de fósforo (Resolución 0689 de 2016)</v>
          </cell>
          <cell r="D9" t="str">
            <v>Barra, unidad con peso mínimo de 250 g en
envoltura individual</v>
          </cell>
          <cell r="E9">
            <v>0</v>
          </cell>
          <cell r="F9">
            <v>0</v>
          </cell>
          <cell r="G9">
            <v>0</v>
          </cell>
          <cell r="H9">
            <v>0</v>
          </cell>
          <cell r="I9">
            <v>0</v>
          </cell>
          <cell r="J9">
            <v>0</v>
          </cell>
          <cell r="K9">
            <v>0</v>
          </cell>
          <cell r="L9">
            <v>0</v>
          </cell>
          <cell r="M9">
            <v>0</v>
          </cell>
          <cell r="N9">
            <v>0</v>
          </cell>
          <cell r="O9">
            <v>0</v>
          </cell>
        </row>
        <row r="10">
          <cell r="B10" t="str">
            <v>Jabón en barra azul (Compra)</v>
          </cell>
          <cell r="C10" t="str">
            <v>- Todo tipo de uso
- Biodegradable
- No debe contener PVC o Poliestireno expandido u otros plásticos de un solo uso tanto en el envase como en el embalaje.
- Debe contener concentraciones de fósforo iguales o inferiores a 0.65% de fósforo (Resolución 0689 de 2016)</v>
          </cell>
          <cell r="D10" t="str">
            <v>Barra, unidad con peso mínimo de 250 g en
envoltura individual</v>
          </cell>
          <cell r="E10">
            <v>116</v>
          </cell>
          <cell r="F10">
            <v>3629</v>
          </cell>
          <cell r="G10">
            <v>2104</v>
          </cell>
          <cell r="H10">
            <v>0</v>
          </cell>
          <cell r="I10">
            <v>0.42022595756406722</v>
          </cell>
          <cell r="J10">
            <v>2104</v>
          </cell>
          <cell r="K10">
            <v>244064</v>
          </cell>
          <cell r="L10">
            <v>185.07899999999998</v>
          </cell>
          <cell r="M10">
            <v>3814.0790000000002</v>
          </cell>
          <cell r="N10">
            <v>1602.7750000000001</v>
          </cell>
          <cell r="O10">
            <v>2211.3040000000001</v>
          </cell>
        </row>
        <row r="11">
          <cell r="B11" t="str">
            <v>Jabón abrasivo (Compra)</v>
          </cell>
          <cell r="C11" t="str">
            <v>-Con agente(s) tensoactivo(s) pincipal(es) con efecto limpiador, pulidor y desengrasante
- Con agente activo mínimo del 5%
- Debe contener concentraciones de fósforo iguales o inferiores a 0.65% de fósforo (Resolución 0689 de 2016)</v>
          </cell>
          <cell r="D11" t="str">
            <v>En polvo, en tarro de mínimo 500 g</v>
          </cell>
          <cell r="E11">
            <v>91</v>
          </cell>
          <cell r="F11">
            <v>4282</v>
          </cell>
          <cell r="G11">
            <v>3138</v>
          </cell>
          <cell r="H11">
            <v>0</v>
          </cell>
          <cell r="I11">
            <v>0.26716487622606255</v>
          </cell>
          <cell r="J11">
            <v>3138</v>
          </cell>
          <cell r="K11">
            <v>285558</v>
          </cell>
          <cell r="L11">
            <v>218.38199999999998</v>
          </cell>
          <cell r="M11">
            <v>4500.3819999999996</v>
          </cell>
          <cell r="N11">
            <v>1202.3439999999998</v>
          </cell>
          <cell r="O11">
            <v>3298.0379999999996</v>
          </cell>
        </row>
        <row r="12">
          <cell r="B12" t="str">
            <v>Jabón de tocador 1 (Compra)</v>
          </cell>
          <cell r="C12" t="str">
            <v xml:space="preserve"> - Elaborado con grasas vegetales
 - Con agente humectante
 - pH modificar entre PH 5,5 a 7
 - Disponible en mínimo (2) dos fragancias
 - Debe estar  correctamente etiquetados bajo los parámetros indicando: nombre comercial del producto, pictogramas de los compuestos peligrosos e instrucciones de uso
- Debe contener concentraciones de fósforo iguales o inferiores a 0.65% de fósforo (Resolución 0689 de 2016)</v>
          </cell>
          <cell r="D12" t="str">
            <v>Barra, unidad con peso mínimo de 125 g en envoltura individual</v>
          </cell>
          <cell r="E12">
            <v>0</v>
          </cell>
          <cell r="F12">
            <v>0</v>
          </cell>
          <cell r="G12">
            <v>0</v>
          </cell>
          <cell r="H12">
            <v>0</v>
          </cell>
          <cell r="I12">
            <v>0</v>
          </cell>
          <cell r="J12">
            <v>0</v>
          </cell>
          <cell r="K12">
            <v>0</v>
          </cell>
          <cell r="L12">
            <v>0</v>
          </cell>
          <cell r="M12">
            <v>0</v>
          </cell>
          <cell r="N12">
            <v>0</v>
          </cell>
          <cell r="O12">
            <v>0</v>
          </cell>
        </row>
        <row r="13">
          <cell r="B13" t="str">
            <v>Jabón de tocador 2 (Compra)</v>
          </cell>
          <cell r="C13" t="str">
            <v>- Jabón de tocador para manos en espuma
- Líquido para manos en bolsa para dispensador spray y con boquilla especial de dispensador
- Tapa tipo válvula, para dispensador, antibacterial y antiséptico 
- Con agente limpiador en una concentración mínima del 6%
- Con agente humectante en una concentración mínima del 3%
- Disponible en múltiples fragancias
- Producto biodegradable basado en ingredientes orgánicos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Elaborado en material reciclable
- No debe contener PVC, Poliestireno expandido u otros plásticos de un solo uso tanto en el envase como en el embalaje.
- Debe contener concentraciones de fósforo iguales o inferiores a 0.65% de fósforo (Resolución 0689 de 2016)</v>
          </cell>
          <cell r="D13" t="str">
            <v>Líquido, en bolsa  con capacidad mínima de 800 ml</v>
          </cell>
          <cell r="E13">
            <v>10</v>
          </cell>
          <cell r="F13">
            <v>101834</v>
          </cell>
          <cell r="G13">
            <v>7364</v>
          </cell>
          <cell r="H13">
            <v>0</v>
          </cell>
          <cell r="I13">
            <v>0.92768623446000353</v>
          </cell>
          <cell r="J13">
            <v>7364</v>
          </cell>
          <cell r="K13">
            <v>73640</v>
          </cell>
          <cell r="L13">
            <v>5193.5339999999997</v>
          </cell>
          <cell r="M13">
            <v>107027.534</v>
          </cell>
          <cell r="N13">
            <v>99287.97</v>
          </cell>
          <cell r="O13">
            <v>7739.5639999999985</v>
          </cell>
        </row>
        <row r="14">
          <cell r="B14" t="str">
            <v>Jabón de dispensador para manos 1 (Compra)</v>
          </cell>
          <cell r="C14" t="str">
            <v>- Con agente limpiador en una concentración mínima del 6%
- Con agente humectante en una concentración mínima del 3%
- pH entre 5,5 a 7
- Disponible en mínimo (2) dos fragancias
- Debe contener concentraciones de fósforo iguales o inferiores a 0.65% de fósforo (Resolución 0689 de 2016)</v>
          </cell>
          <cell r="D14" t="str">
            <v>Líquido, en recipiente plástico con dispensador y capacidad mínima de 500 ml</v>
          </cell>
          <cell r="E14">
            <v>0</v>
          </cell>
          <cell r="F14">
            <v>0</v>
          </cell>
          <cell r="G14">
            <v>0</v>
          </cell>
          <cell r="H14">
            <v>0</v>
          </cell>
          <cell r="I14">
            <v>0</v>
          </cell>
          <cell r="J14">
            <v>0</v>
          </cell>
          <cell r="K14">
            <v>0</v>
          </cell>
          <cell r="L14">
            <v>0</v>
          </cell>
          <cell r="M14">
            <v>0</v>
          </cell>
          <cell r="N14">
            <v>0</v>
          </cell>
          <cell r="O14">
            <v>0</v>
          </cell>
        </row>
        <row r="15">
          <cell r="B15" t="str">
            <v>Jabón de dispensador para manos 2 (Compra)</v>
          </cell>
          <cell r="C15" t="str">
            <v>- Con agente limpiador en una concentración mínima del 6%
- Con agente humectante en una concentración mínima del 3%
- pH entre 5,5 a 7
- Disponible en mínimo (2) dos fragancias
- Debe contener concentraciones de fósforo iguales o inferiores a 0.65% de fósforo (Resolución 0689 de 2016)</v>
          </cell>
          <cell r="D15" t="str">
            <v>Líquido, en recipiente plástico con capacidad mínima de 3.785 ml</v>
          </cell>
          <cell r="E15">
            <v>81</v>
          </cell>
          <cell r="F15">
            <v>12203</v>
          </cell>
          <cell r="G15">
            <v>6192</v>
          </cell>
          <cell r="H15">
            <v>0</v>
          </cell>
          <cell r="I15">
            <v>0.49258379087109727</v>
          </cell>
          <cell r="J15">
            <v>6192</v>
          </cell>
          <cell r="K15">
            <v>501552</v>
          </cell>
          <cell r="L15">
            <v>622.35299999999995</v>
          </cell>
          <cell r="M15">
            <v>12825.352999999999</v>
          </cell>
          <cell r="N15">
            <v>6317.5609999999997</v>
          </cell>
          <cell r="O15">
            <v>6507.7919999999995</v>
          </cell>
        </row>
        <row r="16">
          <cell r="B16" t="str">
            <v>Jabón de dispensador para manos 3 (Compra)</v>
          </cell>
          <cell r="C16" t="str">
            <v>- Con agente limpiador en una concentración mínima del 6%.
- Con agente antibacterial en una concentración mínima del 0,2%
- Con agente humectante en una concentración mínima del 3%
- pH entre 5,5 a 7
- Disponible en mínimo (2) dos fragancias
- Debe contener concentraciones de fósforo iguales o inferiores a 0.65% de fósforo (Resolución 0689 de 2016)</v>
          </cell>
          <cell r="D16" t="str">
            <v>Líquido, en recipiente plástico con capacidad mínima de 3.785 ml</v>
          </cell>
          <cell r="E16">
            <v>0</v>
          </cell>
          <cell r="F16">
            <v>0</v>
          </cell>
          <cell r="G16">
            <v>0</v>
          </cell>
          <cell r="H16">
            <v>0</v>
          </cell>
          <cell r="I16">
            <v>0</v>
          </cell>
          <cell r="J16">
            <v>0</v>
          </cell>
          <cell r="K16">
            <v>0</v>
          </cell>
          <cell r="L16">
            <v>0</v>
          </cell>
          <cell r="M16">
            <v>0</v>
          </cell>
          <cell r="N16">
            <v>0</v>
          </cell>
          <cell r="O16">
            <v>0</v>
          </cell>
        </row>
        <row r="17">
          <cell r="B17" t="str">
            <v>Gel antibacterial para manos (Compra)</v>
          </cell>
          <cell r="C17" t="str">
            <v>- Con agente antibacterial en una concentración mínima del 0,2%
- Con agente humectante
- pH entre 5, 5 a 7
- Con fragancia</v>
          </cell>
          <cell r="D17" t="str">
            <v>Gel, en recipiente plástico con capacidad mínima de 3.785 ml</v>
          </cell>
          <cell r="E17">
            <v>0</v>
          </cell>
          <cell r="F17">
            <v>0</v>
          </cell>
          <cell r="G17">
            <v>0</v>
          </cell>
          <cell r="H17">
            <v>0</v>
          </cell>
          <cell r="I17">
            <v>0</v>
          </cell>
          <cell r="J17">
            <v>0</v>
          </cell>
          <cell r="K17">
            <v>0</v>
          </cell>
          <cell r="L17">
            <v>0</v>
          </cell>
          <cell r="M17">
            <v>0</v>
          </cell>
          <cell r="N17">
            <v>0</v>
          </cell>
          <cell r="O17">
            <v>0</v>
          </cell>
        </row>
        <row r="18">
          <cell r="B18" t="str">
            <v>Dispensador de gel antibacterial para manos (Compra)</v>
          </cell>
          <cell r="C18" t="str">
            <v>- Material: Plástico
- Tipo de instalación: De pared
- Incluye Chazos y tornillos
- Con visor para determinar el nivel del líquido
- Con ventanilla en la parte superior para añadir el gel 
- Funcionamiento: Manual</v>
          </cell>
          <cell r="D18" t="str">
            <v>Recipiente con capacidad mínima de 500 ml (Unidad)</v>
          </cell>
          <cell r="E18">
            <v>0</v>
          </cell>
          <cell r="F18">
            <v>0</v>
          </cell>
          <cell r="G18">
            <v>0</v>
          </cell>
          <cell r="H18">
            <v>0</v>
          </cell>
          <cell r="I18">
            <v>0</v>
          </cell>
          <cell r="J18">
            <v>0</v>
          </cell>
          <cell r="K18">
            <v>0</v>
          </cell>
          <cell r="L18">
            <v>0</v>
          </cell>
          <cell r="M18">
            <v>0</v>
          </cell>
          <cell r="N18">
            <v>0</v>
          </cell>
          <cell r="O18">
            <v>0</v>
          </cell>
        </row>
        <row r="19">
          <cell r="B19" t="str">
            <v>Limpiador multiusos 1 (Compra)</v>
          </cell>
          <cell r="C19" t="str">
            <v>- Con agente(s) tensoactivo(s) principal(es) con efecto limpiador en una concentración mínima del 8%
- Disponible en mínimo (2) dos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19" t="str">
            <v xml:space="preserve">Líquido, en recipiente plástico con capacidad mínima de 3.785 ml </v>
          </cell>
          <cell r="E19">
            <v>116</v>
          </cell>
          <cell r="F19">
            <v>10099</v>
          </cell>
          <cell r="G19">
            <v>5373</v>
          </cell>
          <cell r="H19">
            <v>0</v>
          </cell>
          <cell r="I19">
            <v>0.46796712545796615</v>
          </cell>
          <cell r="J19">
            <v>5373</v>
          </cell>
          <cell r="K19">
            <v>623268</v>
          </cell>
          <cell r="L19">
            <v>515.04899999999998</v>
          </cell>
          <cell r="M19">
            <v>10614.048999999999</v>
          </cell>
          <cell r="N19">
            <v>4967.0259999999998</v>
          </cell>
          <cell r="O19">
            <v>5647.0229999999992</v>
          </cell>
        </row>
        <row r="20">
          <cell r="B20" t="str">
            <v>Limpiador multiusos 2 (Compra)</v>
          </cell>
          <cell r="C20" t="str">
            <v>- Con agente(s) tensoactivo(s) principal(es) con efecto limpiador y desengrasante en una concentración mínima del 8%
- Disponible en mínimo (2) dos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20" t="str">
            <v>Líquido, en recipiente plástico con capacidad mínima de 500 ml, con
atomizador de pistola.</v>
          </cell>
          <cell r="E20">
            <v>0</v>
          </cell>
          <cell r="F20">
            <v>0</v>
          </cell>
          <cell r="G20">
            <v>0</v>
          </cell>
          <cell r="H20">
            <v>0</v>
          </cell>
          <cell r="I20">
            <v>0</v>
          </cell>
          <cell r="J20">
            <v>0</v>
          </cell>
          <cell r="K20">
            <v>0</v>
          </cell>
          <cell r="L20">
            <v>0</v>
          </cell>
          <cell r="M20">
            <v>0</v>
          </cell>
          <cell r="N20">
            <v>0</v>
          </cell>
          <cell r="O20">
            <v>0</v>
          </cell>
        </row>
        <row r="21">
          <cell r="B21" t="str">
            <v>Limpiador multiusos 3 (Compra)</v>
          </cell>
          <cell r="C21" t="str">
            <v>- Con agente(s) tensoactivo(s) principal(es) con efecto limpiador y desengrasante en una concentración mínima del 8%
- Disponible en mínimo (2) dos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21" t="str">
            <v>Líquido, en recipiente plástico de repuesto  con capacidad mínima de 500 ml</v>
          </cell>
          <cell r="E21">
            <v>0</v>
          </cell>
          <cell r="F21">
            <v>0</v>
          </cell>
          <cell r="G21">
            <v>0</v>
          </cell>
          <cell r="H21">
            <v>0</v>
          </cell>
          <cell r="I21">
            <v>0</v>
          </cell>
          <cell r="J21">
            <v>0</v>
          </cell>
          <cell r="K21">
            <v>0</v>
          </cell>
          <cell r="L21">
            <v>0</v>
          </cell>
          <cell r="M21">
            <v>0</v>
          </cell>
          <cell r="N21">
            <v>0</v>
          </cell>
          <cell r="O21">
            <v>0</v>
          </cell>
        </row>
        <row r="22">
          <cell r="B22" t="str">
            <v>Limpiador desinfectante para pisos (Compra)</v>
          </cell>
          <cell r="C22" t="str">
            <v>- Apariencia: Líquido transparente
- Color y olor: De acuerdo a la fragancia
- Producto biodegradable que no afectas la capa de ozono
- Solubilidad: Total en agua
- PH: 7.5 - 8.5
- Composición: Tensoactivos, espesante, coadyuvante, colorante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Elaborado en material reciclable
- No debe contener PVC, poliestireno expandido u otros plásticos de un solo uso tanto en el envase como en el embalaje.</v>
          </cell>
          <cell r="D22" t="str">
            <v>Líquido, en garrafa  con capacidad mínima de 3.785 ml</v>
          </cell>
          <cell r="E22">
            <v>96</v>
          </cell>
          <cell r="F22">
            <v>10415</v>
          </cell>
          <cell r="G22">
            <v>4919</v>
          </cell>
          <cell r="H22">
            <v>1</v>
          </cell>
          <cell r="I22">
            <v>1</v>
          </cell>
          <cell r="J22">
            <v>0</v>
          </cell>
          <cell r="K22">
            <v>0</v>
          </cell>
          <cell r="L22">
            <v>531.16499999999996</v>
          </cell>
          <cell r="M22">
            <v>10946.165000000001</v>
          </cell>
          <cell r="N22">
            <v>10946.165000000001</v>
          </cell>
          <cell r="O22">
            <v>0</v>
          </cell>
        </row>
        <row r="23">
          <cell r="B23" t="str">
            <v>Líquido desengrasante (Compra)</v>
          </cell>
          <cell r="C23" t="str">
            <v xml:space="preserve"> - Con agente(s) tensoactivo(s) principal(es) con efecto limpiador y desengrasante en una concentración mínima del 10%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Debe contener concentraciones de fósforo iguales o inferiores a 0.65% de fósforo (Resolución 0689 de 2016)</v>
          </cell>
          <cell r="D23" t="str">
            <v>Líquido, en recipiente plástico con capacidad mínima de 3.785 ml</v>
          </cell>
          <cell r="E23">
            <v>96</v>
          </cell>
          <cell r="F23">
            <v>11572</v>
          </cell>
          <cell r="G23">
            <v>5645</v>
          </cell>
          <cell r="H23">
            <v>0</v>
          </cell>
          <cell r="I23">
            <v>0.51218458347735907</v>
          </cell>
          <cell r="J23">
            <v>5645</v>
          </cell>
          <cell r="K23">
            <v>541920</v>
          </cell>
          <cell r="L23">
            <v>590.17199999999991</v>
          </cell>
          <cell r="M23">
            <v>12162.172</v>
          </cell>
          <cell r="N23">
            <v>6229.2769999999991</v>
          </cell>
          <cell r="O23">
            <v>5932.8950000000013</v>
          </cell>
        </row>
        <row r="24">
          <cell r="B24" t="str">
            <v>Crema desengrasante (Compra)</v>
          </cell>
          <cell r="C24" t="str">
            <v xml:space="preserve">- Disponible en múltiples fragancias 
- Limpia y desengrasa todos los metales, plásticos, gomas, vidrio, cerámica y madera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Elaborado en material reciclable o biodegradable
- No debe contener PVC o Poliestireno expandido u otros plásticos de un solo uso tanto en el envase como en el embalaje. </v>
          </cell>
          <cell r="D24" t="str">
            <v>Crema, en recipiente reciclable o biodegadable con capacidad mínima de 500 g</v>
          </cell>
          <cell r="E24">
            <v>0</v>
          </cell>
          <cell r="F24">
            <v>0</v>
          </cell>
          <cell r="G24">
            <v>0</v>
          </cell>
          <cell r="H24">
            <v>0</v>
          </cell>
          <cell r="I24">
            <v>0</v>
          </cell>
          <cell r="J24">
            <v>0</v>
          </cell>
          <cell r="K24">
            <v>0</v>
          </cell>
          <cell r="L24">
            <v>0</v>
          </cell>
          <cell r="M24">
            <v>0</v>
          </cell>
          <cell r="N24">
            <v>0</v>
          </cell>
          <cell r="O24">
            <v>0</v>
          </cell>
        </row>
        <row r="25">
          <cell r="B25" t="str">
            <v>Detergente biodegradable multiusos en polvo (Compra)</v>
          </cell>
          <cell r="C25" t="str">
            <v xml:space="preserve"> - Con agente tensoactivo de mínimo 60% de biodegradabilidad
  -Con efecto limpiador de mínimo 9%.
 -  El  envase del producto deberá estar correctamente etiquetado bajo los parámetros: nombre comercial del producto, pictogramas de los compuestos peligrosos e instrucciones de uso
- Debe contener concentraciones de fósforo iguales o inferiores a 0.65% de fósforo (Resolución 0689 de 2016)
</v>
          </cell>
          <cell r="D25" t="str">
            <v>Polvo, en bolsa plástica o recipiente plástico
con un peso de 1.000 g</v>
          </cell>
          <cell r="E25">
            <v>0</v>
          </cell>
          <cell r="F25">
            <v>0</v>
          </cell>
          <cell r="G25">
            <v>0</v>
          </cell>
          <cell r="H25">
            <v>0</v>
          </cell>
          <cell r="I25">
            <v>0</v>
          </cell>
          <cell r="J25">
            <v>0</v>
          </cell>
          <cell r="K25">
            <v>0</v>
          </cell>
          <cell r="L25">
            <v>0</v>
          </cell>
          <cell r="M25">
            <v>0</v>
          </cell>
          <cell r="N25">
            <v>0</v>
          </cell>
          <cell r="O25">
            <v>0</v>
          </cell>
        </row>
        <row r="26">
          <cell r="B26" t="str">
            <v>Limpiador desinfectante para uso general 1 (Compra)</v>
          </cell>
          <cell r="C26" t="str">
            <v>- Con agente(s) tensoactivo(s) con efecto antibacterial en una concentración mínima del 0,2%
- Con agente(s) tensoactivo(s) con efecto limpiador y desengrasante en una concentración mínima del 1,5%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26" t="str">
            <v>Líquido, en recipiente plástico con capacidad mínima de 3.785 ml</v>
          </cell>
          <cell r="E26">
            <v>0</v>
          </cell>
          <cell r="F26">
            <v>0</v>
          </cell>
          <cell r="G26">
            <v>0</v>
          </cell>
          <cell r="H26">
            <v>0</v>
          </cell>
          <cell r="I26">
            <v>0</v>
          </cell>
          <cell r="J26">
            <v>0</v>
          </cell>
          <cell r="K26">
            <v>0</v>
          </cell>
          <cell r="L26">
            <v>0</v>
          </cell>
          <cell r="M26">
            <v>0</v>
          </cell>
          <cell r="N26">
            <v>0</v>
          </cell>
          <cell r="O26">
            <v>0</v>
          </cell>
        </row>
        <row r="27">
          <cell r="B27" t="str">
            <v>Limpiador desinfectante para uso general 2 (Compra)</v>
          </cell>
          <cell r="C27" t="str">
            <v>- Con agente(s) tensoactivo(s) con efecto antibacterial en una concentración mínima del 0,2%
- Con agente(s) tensoactivo(s) con efecto limpiador y desengrasante en una concentración mínima del 1,5%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27" t="str">
            <v>Líquido, en recipiente plástico con capacidad mínima de 500 ml, con atomizador de pistola.</v>
          </cell>
          <cell r="E27">
            <v>0</v>
          </cell>
          <cell r="F27">
            <v>0</v>
          </cell>
          <cell r="G27">
            <v>0</v>
          </cell>
          <cell r="H27">
            <v>0</v>
          </cell>
          <cell r="I27">
            <v>0</v>
          </cell>
          <cell r="J27">
            <v>0</v>
          </cell>
          <cell r="K27">
            <v>0</v>
          </cell>
          <cell r="L27">
            <v>0</v>
          </cell>
          <cell r="M27">
            <v>0</v>
          </cell>
          <cell r="N27">
            <v>0</v>
          </cell>
          <cell r="O27">
            <v>0</v>
          </cell>
        </row>
        <row r="28">
          <cell r="B28" t="str">
            <v>Limpiador desinfectante para uso general 3 (Compra)</v>
          </cell>
          <cell r="C28" t="str">
            <v>- Con agente(s) tensoactivo(s) con efecto antibacterial en una concentración mínima del 0,2%
- Con agente(s) tensoactivo(s) con efecto limpiador y desengrasante en una concentración mínima del 1,5%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28" t="str">
            <v>Líquido, en recipiente plástico con capacidad mínima de 500 ml</v>
          </cell>
          <cell r="E28">
            <v>0</v>
          </cell>
          <cell r="F28">
            <v>0</v>
          </cell>
          <cell r="G28">
            <v>0</v>
          </cell>
          <cell r="H28">
            <v>0</v>
          </cell>
          <cell r="I28">
            <v>0</v>
          </cell>
          <cell r="J28">
            <v>0</v>
          </cell>
          <cell r="K28">
            <v>0</v>
          </cell>
          <cell r="L28">
            <v>0</v>
          </cell>
          <cell r="M28">
            <v>0</v>
          </cell>
          <cell r="N28">
            <v>0</v>
          </cell>
          <cell r="O28">
            <v>0</v>
          </cell>
        </row>
        <row r="29">
          <cell r="B29" t="str">
            <v>Desinfectante de alto nivel de desinfección para uso hospitalario (Compra)</v>
          </cell>
          <cell r="C29" t="str">
            <v xml:space="preserve"> - Con agentes bactericidas, fungicidas, tubercolicidas, esporicidas y virucidas.
 - Sin fragacia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29" t="str">
            <v>Líquido, en recipiente plástico con capacidad
mínima de 3.785 ml</v>
          </cell>
          <cell r="E29">
            <v>0</v>
          </cell>
          <cell r="F29">
            <v>0</v>
          </cell>
          <cell r="G29">
            <v>0</v>
          </cell>
          <cell r="H29">
            <v>0</v>
          </cell>
          <cell r="I29">
            <v>0</v>
          </cell>
          <cell r="J29">
            <v>0</v>
          </cell>
          <cell r="K29">
            <v>0</v>
          </cell>
          <cell r="L29">
            <v>0</v>
          </cell>
          <cell r="M29">
            <v>0</v>
          </cell>
          <cell r="N29">
            <v>0</v>
          </cell>
          <cell r="O29">
            <v>0</v>
          </cell>
        </row>
        <row r="30">
          <cell r="B30" t="str">
            <v>Pastilla desinfectante para sanitario (Compra)</v>
          </cell>
          <cell r="C30" t="str">
            <v>- Con agentes bactericidas, fungicidas y virucidas.</v>
          </cell>
          <cell r="D30" t="str">
            <v>Unidad con peso mínimo de 45 g</v>
          </cell>
          <cell r="E30">
            <v>155</v>
          </cell>
          <cell r="F30">
            <v>4471</v>
          </cell>
          <cell r="G30">
            <v>2630</v>
          </cell>
          <cell r="H30">
            <v>0</v>
          </cell>
          <cell r="I30">
            <v>0.41176470588235292</v>
          </cell>
          <cell r="J30">
            <v>2630</v>
          </cell>
          <cell r="K30">
            <v>407650</v>
          </cell>
          <cell r="L30">
            <v>228.02099999999999</v>
          </cell>
          <cell r="M30">
            <v>4699.0209999999997</v>
          </cell>
          <cell r="N30">
            <v>1934.8909999999998</v>
          </cell>
          <cell r="O30">
            <v>2764.13</v>
          </cell>
        </row>
        <row r="31">
          <cell r="B31" t="str">
            <v>Líquido para limpiar vidrios 1 (Compra)</v>
          </cell>
          <cell r="C31" t="str">
            <v>- Con agente(s) principal(es) con efecto limpiador y desengrasante en una concentración mínima del 4%
- Disponible mínimo en dos (2) fragancias
 - El envase debe estar  correctamente etiquetados bajo los parámetros establecidos en el sistema globalmente armonizado indicando: nombre comercial del producto, pictogramas de los compuestos peligrosos e instrucciones de uso</v>
          </cell>
          <cell r="D31" t="str">
            <v>Líquido, en recipiente plástico con capacidad mínima de 3.785 ml</v>
          </cell>
          <cell r="E31">
            <v>96</v>
          </cell>
          <cell r="F31">
            <v>7995</v>
          </cell>
          <cell r="G31">
            <v>4595</v>
          </cell>
          <cell r="H31">
            <v>0</v>
          </cell>
          <cell r="I31">
            <v>0.42526579111944962</v>
          </cell>
          <cell r="J31">
            <v>4595</v>
          </cell>
          <cell r="K31">
            <v>441120</v>
          </cell>
          <cell r="L31">
            <v>407.74499999999995</v>
          </cell>
          <cell r="M31">
            <v>8402.7450000000008</v>
          </cell>
          <cell r="N31">
            <v>3573.4</v>
          </cell>
          <cell r="O31">
            <v>4829.3450000000012</v>
          </cell>
        </row>
        <row r="32">
          <cell r="B32" t="str">
            <v>Líquido para limpiar vidrios 2 (Compra)</v>
          </cell>
          <cell r="C32" t="str">
            <v>- Con agente(s) principal(es) con efecto limpiador y desengrasante en una concentración mínima del 4%
- Disponible mínimo en dos (2)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32" t="str">
            <v>Líquido, en recipiente plástico con capacidad mínima de 500 ml, con
atomizador de pistola.</v>
          </cell>
          <cell r="E32">
            <v>0</v>
          </cell>
          <cell r="F32">
            <v>0</v>
          </cell>
          <cell r="G32">
            <v>0</v>
          </cell>
          <cell r="H32">
            <v>0</v>
          </cell>
          <cell r="I32">
            <v>0</v>
          </cell>
          <cell r="J32">
            <v>0</v>
          </cell>
          <cell r="K32">
            <v>0</v>
          </cell>
          <cell r="L32">
            <v>0</v>
          </cell>
          <cell r="M32">
            <v>0</v>
          </cell>
          <cell r="N32">
            <v>0</v>
          </cell>
          <cell r="O32">
            <v>0</v>
          </cell>
        </row>
        <row r="33">
          <cell r="B33" t="str">
            <v>Líquido para limpiar vidrios 3 (Compra)</v>
          </cell>
          <cell r="C33" t="str">
            <v>- Con agente(s) principal(es) con efecto limpiador y desengrasante en una concentración mínima del 4%
- Disponible mínimo en dos (2)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33" t="str">
            <v>Líquido, en recipiente plástico de repuesto con capacidad mínima
de 500 ml</v>
          </cell>
          <cell r="E33">
            <v>0</v>
          </cell>
          <cell r="F33">
            <v>0</v>
          </cell>
          <cell r="G33">
            <v>0</v>
          </cell>
          <cell r="H33">
            <v>0</v>
          </cell>
          <cell r="I33">
            <v>0</v>
          </cell>
          <cell r="J33">
            <v>0</v>
          </cell>
          <cell r="K33">
            <v>0</v>
          </cell>
          <cell r="L33">
            <v>0</v>
          </cell>
          <cell r="M33">
            <v>0</v>
          </cell>
          <cell r="N33">
            <v>0</v>
          </cell>
          <cell r="O33">
            <v>0</v>
          </cell>
        </row>
        <row r="34">
          <cell r="B34" t="str">
            <v>Blanqueador o hipoclorito 1 (Compra)</v>
          </cell>
          <cell r="C34" t="str">
            <v>- Solución con una concentración mínima del 5%
 - El  envase del producto deberá estar correctamente etiquetado, indicando: nombre comercial del producto, pictogramas de los compuestos peligrosos e instrucciones de uso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34" t="str">
            <v>Líquido, en recipiente plástico con capacidad
mínima de 3.785 ml</v>
          </cell>
          <cell r="E34">
            <v>96</v>
          </cell>
          <cell r="F34">
            <v>7101</v>
          </cell>
          <cell r="G34">
            <v>3916</v>
          </cell>
          <cell r="H34">
            <v>0</v>
          </cell>
          <cell r="I34">
            <v>0.44852837628503028</v>
          </cell>
          <cell r="J34">
            <v>3916</v>
          </cell>
          <cell r="K34">
            <v>375936</v>
          </cell>
          <cell r="L34">
            <v>362.15099999999995</v>
          </cell>
          <cell r="M34">
            <v>7463.1509999999998</v>
          </cell>
          <cell r="N34">
            <v>3347.4349999999999</v>
          </cell>
          <cell r="O34">
            <v>4115.7160000000003</v>
          </cell>
        </row>
        <row r="35">
          <cell r="B35" t="str">
            <v>Blanqueador o hipoclorito 2 (Compra)</v>
          </cell>
          <cell r="C35" t="str">
            <v>- Solución con una concentración mínima del 5%
 - El  envase del producto deberá estar correctamente etiquetado, indicando: nombre comercial del producto, pictogramas de los compuestos peligrosos e instrucciones de uso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35" t="str">
            <v>Líquido, en recipiente plástico con capacidad
mínima de 1.000 ml</v>
          </cell>
          <cell r="E35">
            <v>0</v>
          </cell>
          <cell r="F35">
            <v>0</v>
          </cell>
          <cell r="G35">
            <v>0</v>
          </cell>
          <cell r="H35">
            <v>0</v>
          </cell>
          <cell r="I35">
            <v>0</v>
          </cell>
          <cell r="J35">
            <v>0</v>
          </cell>
          <cell r="K35">
            <v>0</v>
          </cell>
          <cell r="L35">
            <v>0</v>
          </cell>
          <cell r="M35">
            <v>0</v>
          </cell>
          <cell r="N35">
            <v>0</v>
          </cell>
          <cell r="O35">
            <v>0</v>
          </cell>
        </row>
        <row r="36">
          <cell r="B36" t="str">
            <v>Blanqueador o hipoclorito 3 (Compra)</v>
          </cell>
          <cell r="C36" t="str">
            <v>- Granulado con una concentración mínima del 90%
 - El  envase del producto deberá estar correctamente etiquetado, indicando: nombre comercial del producto, pictogramas de los compuestos peligrosos e instrucciones de uso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36" t="str">
            <v>ganulado, en bolsa plástica de mínimo
1.000 g</v>
          </cell>
          <cell r="E36">
            <v>0</v>
          </cell>
          <cell r="F36">
            <v>0</v>
          </cell>
          <cell r="G36">
            <v>0</v>
          </cell>
          <cell r="H36">
            <v>0</v>
          </cell>
          <cell r="I36">
            <v>0</v>
          </cell>
          <cell r="J36">
            <v>0</v>
          </cell>
          <cell r="K36">
            <v>0</v>
          </cell>
          <cell r="L36">
            <v>0</v>
          </cell>
          <cell r="M36">
            <v>0</v>
          </cell>
          <cell r="N36">
            <v>0</v>
          </cell>
          <cell r="O36">
            <v>0</v>
          </cell>
        </row>
        <row r="37">
          <cell r="B37" t="str">
            <v>Alcohol industrial 1 (Compra)</v>
          </cell>
          <cell r="C37" t="str">
            <v xml:space="preserve"> - Solución acuosa de alcohol etílico desnaturalizado con una concentración mínima de 70%
 - Desnaturalizado</v>
          </cell>
          <cell r="D37" t="str">
            <v>Líquido, en recipiente plástico con capacidad mínima de 3.785 ml</v>
          </cell>
          <cell r="E37">
            <v>0</v>
          </cell>
          <cell r="F37">
            <v>0</v>
          </cell>
          <cell r="G37">
            <v>0</v>
          </cell>
          <cell r="H37">
            <v>0</v>
          </cell>
          <cell r="I37">
            <v>0</v>
          </cell>
          <cell r="J37">
            <v>0</v>
          </cell>
          <cell r="K37">
            <v>0</v>
          </cell>
          <cell r="L37">
            <v>0</v>
          </cell>
          <cell r="M37">
            <v>0</v>
          </cell>
          <cell r="N37">
            <v>0</v>
          </cell>
          <cell r="O37">
            <v>0</v>
          </cell>
        </row>
        <row r="38">
          <cell r="B38" t="str">
            <v>Alcohol industrial 2 (Compra)</v>
          </cell>
          <cell r="C38" t="str">
            <v>- Solución acuosa de alcohol etílico desnaturalizado con una concentración mínima de 70%
- Desnaturalizado</v>
          </cell>
          <cell r="D38" t="str">
            <v>Líquido, en recipiente plástico con capacidad mínima de 1000ml</v>
          </cell>
          <cell r="E38">
            <v>0</v>
          </cell>
          <cell r="F38">
            <v>0</v>
          </cell>
          <cell r="G38">
            <v>0</v>
          </cell>
          <cell r="H38">
            <v>0</v>
          </cell>
          <cell r="I38">
            <v>0</v>
          </cell>
          <cell r="J38">
            <v>0</v>
          </cell>
          <cell r="K38">
            <v>0</v>
          </cell>
          <cell r="L38">
            <v>0</v>
          </cell>
          <cell r="M38">
            <v>0</v>
          </cell>
          <cell r="N38">
            <v>0</v>
          </cell>
          <cell r="O38">
            <v>0</v>
          </cell>
        </row>
        <row r="39">
          <cell r="B39" t="str">
            <v>Creolina 1 (Compra)</v>
          </cell>
          <cell r="C39" t="str">
            <v>- Solución con una concentración mínima de fenoles de 4%</v>
          </cell>
          <cell r="D39" t="str">
            <v>Líquido, en recipiente
plástico con capacidad mínima de 500 ml</v>
          </cell>
          <cell r="E39">
            <v>0</v>
          </cell>
          <cell r="F39">
            <v>0</v>
          </cell>
          <cell r="G39">
            <v>0</v>
          </cell>
          <cell r="H39">
            <v>0</v>
          </cell>
          <cell r="I39">
            <v>0</v>
          </cell>
          <cell r="J39">
            <v>0</v>
          </cell>
          <cell r="K39">
            <v>0</v>
          </cell>
          <cell r="L39">
            <v>0</v>
          </cell>
          <cell r="M39">
            <v>0</v>
          </cell>
          <cell r="N39">
            <v>0</v>
          </cell>
          <cell r="O39">
            <v>0</v>
          </cell>
        </row>
        <row r="40">
          <cell r="B40" t="str">
            <v>Creolina 2 (Compra)</v>
          </cell>
          <cell r="C40" t="str">
            <v>- Solución con una concentración mínima de fenoles de 4%</v>
          </cell>
          <cell r="D40" t="str">
            <v>Líquido, en recipiente plástico con capacidad
mínima de 3.785 ml</v>
          </cell>
          <cell r="E40">
            <v>25</v>
          </cell>
          <cell r="F40">
            <v>16516</v>
          </cell>
          <cell r="G40">
            <v>10562</v>
          </cell>
          <cell r="H40">
            <v>0</v>
          </cell>
          <cell r="I40">
            <v>0.3604989101477355</v>
          </cell>
          <cell r="J40">
            <v>10562</v>
          </cell>
          <cell r="K40">
            <v>264050</v>
          </cell>
          <cell r="L40">
            <v>842.31599999999992</v>
          </cell>
          <cell r="M40">
            <v>17358.315999999999</v>
          </cell>
          <cell r="N40">
            <v>6257.6539999999986</v>
          </cell>
          <cell r="O40">
            <v>11100.662</v>
          </cell>
        </row>
        <row r="41">
          <cell r="B41" t="str">
            <v>Líquido para limpiar equipos de oficina 1 (Compra)</v>
          </cell>
          <cell r="C41" t="str">
            <v xml:space="preserve"> - Con agente(s) principal(es) con efecto limpiador, desengrasante y desinfectante en una concentración mínima del 4%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41" t="str">
            <v>Líquido, en recipiente plástico con capacidad mínima de 500 ml con
atomizador</v>
          </cell>
          <cell r="E41">
            <v>0</v>
          </cell>
          <cell r="F41">
            <v>0</v>
          </cell>
          <cell r="G41">
            <v>0</v>
          </cell>
          <cell r="H41">
            <v>0</v>
          </cell>
          <cell r="I41">
            <v>0</v>
          </cell>
          <cell r="J41">
            <v>0</v>
          </cell>
          <cell r="K41">
            <v>0</v>
          </cell>
          <cell r="L41">
            <v>0</v>
          </cell>
          <cell r="M41">
            <v>0</v>
          </cell>
          <cell r="N41">
            <v>0</v>
          </cell>
          <cell r="O41">
            <v>0</v>
          </cell>
        </row>
        <row r="42">
          <cell r="B42" t="str">
            <v>Líquido para limpiar equipos de oficina 2 (Compra)</v>
          </cell>
          <cell r="C42" t="str">
            <v xml:space="preserve"> - Con agente(s) principal(es) con efecto limpiador, desengrasante y desinfectante en una concentración mínima del 4%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42" t="str">
            <v>Líquido, en recipiente plástico con capacidad
mínima de 500 ml</v>
          </cell>
          <cell r="E42">
            <v>0</v>
          </cell>
          <cell r="F42">
            <v>0</v>
          </cell>
          <cell r="G42">
            <v>0</v>
          </cell>
          <cell r="H42">
            <v>0</v>
          </cell>
          <cell r="I42">
            <v>0</v>
          </cell>
          <cell r="J42">
            <v>0</v>
          </cell>
          <cell r="K42">
            <v>0</v>
          </cell>
          <cell r="L42">
            <v>0</v>
          </cell>
          <cell r="M42">
            <v>0</v>
          </cell>
          <cell r="N42">
            <v>0</v>
          </cell>
          <cell r="O42">
            <v>0</v>
          </cell>
        </row>
        <row r="43">
          <cell r="B43" t="str">
            <v>Champú para alfombras y tapizados 1 (Compra)</v>
          </cell>
          <cell r="C43" t="str">
            <v>- Con agente(s) principal(es) con efecto limpiador en una concentración mínima del 8%
 - El envase debe estar  correctamente etiquetado: nombre comercial del producto, pictogramas de los compuestos peligrosos e instrucciones de uso</v>
          </cell>
          <cell r="D43" t="str">
            <v>Líquido, en recipiente plástico con capacidad
mínima de 3.785 ml</v>
          </cell>
          <cell r="E43">
            <v>25</v>
          </cell>
          <cell r="F43">
            <v>13255</v>
          </cell>
          <cell r="G43">
            <v>6693</v>
          </cell>
          <cell r="H43">
            <v>0</v>
          </cell>
          <cell r="I43">
            <v>0.49505846850245194</v>
          </cell>
          <cell r="J43">
            <v>6693</v>
          </cell>
          <cell r="K43">
            <v>167325</v>
          </cell>
          <cell r="L43">
            <v>676.005</v>
          </cell>
          <cell r="M43">
            <v>13931.004999999999</v>
          </cell>
          <cell r="N43">
            <v>6896.6620000000003</v>
          </cell>
          <cell r="O43">
            <v>7034.3429999999989</v>
          </cell>
        </row>
        <row r="44">
          <cell r="B44" t="str">
            <v>Champú para alfombras y tapizados 2 (Compra)</v>
          </cell>
          <cell r="C44" t="str">
            <v>- Con agente(s) principal(es) con efecto limpiador en una concentración mínima del 8%
- Con agente espumante para la generación de espuma seca
 - El envase debe estar  correctamente etiquetados: nombre comercial del producto, pictogramas de los compuestos peligrosos e instrucciones de uso</v>
          </cell>
          <cell r="D44" t="str">
            <v xml:space="preserve">Líquido, en recipiente plástico con capacidad mínima de 3.785 ml </v>
          </cell>
          <cell r="E44">
            <v>0</v>
          </cell>
          <cell r="F44">
            <v>0</v>
          </cell>
          <cell r="G44">
            <v>0</v>
          </cell>
          <cell r="H44">
            <v>0</v>
          </cell>
          <cell r="I44">
            <v>0</v>
          </cell>
          <cell r="J44">
            <v>0</v>
          </cell>
          <cell r="K44">
            <v>0</v>
          </cell>
          <cell r="L44">
            <v>0</v>
          </cell>
          <cell r="M44">
            <v>0</v>
          </cell>
          <cell r="N44">
            <v>0</v>
          </cell>
          <cell r="O44">
            <v>0</v>
          </cell>
        </row>
        <row r="45">
          <cell r="B45" t="str">
            <v>Lustrador de muebles (Compra)</v>
          </cell>
          <cell r="C45" t="str">
            <v xml:space="preserve"> - Con agentes limpiadores y abrillantadores en una concentración mínima del 5%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45" t="str">
            <v>Líquido, en recipiente plástico con capacidad mínima de 200 ml</v>
          </cell>
          <cell r="E45">
            <v>0</v>
          </cell>
          <cell r="F45">
            <v>0</v>
          </cell>
          <cell r="G45">
            <v>0</v>
          </cell>
          <cell r="H45">
            <v>0</v>
          </cell>
          <cell r="I45">
            <v>0</v>
          </cell>
          <cell r="J45">
            <v>0</v>
          </cell>
          <cell r="K45">
            <v>0</v>
          </cell>
          <cell r="L45">
            <v>0</v>
          </cell>
          <cell r="M45">
            <v>0</v>
          </cell>
          <cell r="N45">
            <v>0</v>
          </cell>
          <cell r="O45">
            <v>0</v>
          </cell>
        </row>
        <row r="46">
          <cell r="B46" t="str">
            <v>Líquido cubre rasguños para madera (Compra)</v>
          </cell>
          <cell r="C46" t="str">
            <v>- Con agentes limpiadores y abrillantadores en una concentración mínima del 5%
- De color oscuro para coayudar a cubrir rasguños en maderas oscuras</v>
          </cell>
          <cell r="D46" t="str">
            <v>En recipiente plástico
con capacidad mínima de 200 ml</v>
          </cell>
          <cell r="E46">
            <v>6</v>
          </cell>
          <cell r="F46">
            <v>5681</v>
          </cell>
          <cell r="G46">
            <v>2652</v>
          </cell>
          <cell r="H46">
            <v>0</v>
          </cell>
          <cell r="I46">
            <v>0.53318077803203656</v>
          </cell>
          <cell r="J46">
            <v>2652</v>
          </cell>
          <cell r="K46">
            <v>15912</v>
          </cell>
          <cell r="L46">
            <v>289.73099999999999</v>
          </cell>
          <cell r="M46">
            <v>5970.7309999999998</v>
          </cell>
          <cell r="N46">
            <v>3183.4789999999994</v>
          </cell>
          <cell r="O46">
            <v>2787.2520000000004</v>
          </cell>
        </row>
        <row r="47">
          <cell r="B47" t="str">
            <v>Crema para cuero (Compra)</v>
          </cell>
          <cell r="C47" t="str">
            <v xml:space="preserve"> - Con agentes limpiadores y abrillantadores en una concentración mínima del 5% </v>
          </cell>
          <cell r="D47" t="str">
            <v>Crema, en recipiente plástico con capacidad
mínima de 200 ml</v>
          </cell>
          <cell r="E47">
            <v>0</v>
          </cell>
          <cell r="F47">
            <v>0</v>
          </cell>
          <cell r="G47">
            <v>0</v>
          </cell>
          <cell r="H47">
            <v>0</v>
          </cell>
          <cell r="I47">
            <v>0</v>
          </cell>
          <cell r="J47">
            <v>0</v>
          </cell>
          <cell r="K47">
            <v>0</v>
          </cell>
          <cell r="L47">
            <v>0</v>
          </cell>
          <cell r="M47">
            <v>0</v>
          </cell>
          <cell r="N47">
            <v>0</v>
          </cell>
          <cell r="O47">
            <v>0</v>
          </cell>
        </row>
        <row r="48">
          <cell r="B48" t="str">
            <v>Cera polimérica (Compra)</v>
          </cell>
          <cell r="C48" t="str">
            <v>- Polimérica autobrillante.
- Con polímeros acrílicos, nivelantes y plastificantes.
- Neutra (para pisos de todos los colores)
- Contenido mínimo de sólidos del 10%</v>
          </cell>
          <cell r="D48" t="str">
            <v>Líquido, en recipiente plástico con capacidad mínima de 3.785 ml</v>
          </cell>
          <cell r="E48">
            <v>25</v>
          </cell>
          <cell r="F48">
            <v>28088</v>
          </cell>
          <cell r="G48">
            <v>7364</v>
          </cell>
          <cell r="H48">
            <v>0</v>
          </cell>
          <cell r="I48">
            <v>0.73782398177157504</v>
          </cell>
          <cell r="J48">
            <v>7364</v>
          </cell>
          <cell r="K48">
            <v>184100</v>
          </cell>
          <cell r="L48">
            <v>1432.4879999999998</v>
          </cell>
          <cell r="M48">
            <v>29520.488000000001</v>
          </cell>
          <cell r="N48">
            <v>21780.923999999999</v>
          </cell>
          <cell r="O48">
            <v>7739.5640000000021</v>
          </cell>
        </row>
        <row r="49">
          <cell r="B49" t="str">
            <v>Cera emulsionada Neutra (Compra)</v>
          </cell>
          <cell r="C49" t="str">
            <v>- Emulsionada
- Neutra (para pisos de todos los colores)
- Contenido mínimo de sólidos del 5%</v>
          </cell>
          <cell r="D49" t="str">
            <v>Líquido, en recipiente plástico con capacidad
mínima de 3.785 ml</v>
          </cell>
          <cell r="E49">
            <v>0</v>
          </cell>
          <cell r="F49">
            <v>0</v>
          </cell>
          <cell r="G49">
            <v>0</v>
          </cell>
          <cell r="H49">
            <v>0</v>
          </cell>
          <cell r="I49">
            <v>0</v>
          </cell>
          <cell r="J49">
            <v>0</v>
          </cell>
          <cell r="K49">
            <v>0</v>
          </cell>
          <cell r="L49">
            <v>0</v>
          </cell>
          <cell r="M49">
            <v>0</v>
          </cell>
          <cell r="N49">
            <v>0</v>
          </cell>
          <cell r="O49">
            <v>0</v>
          </cell>
        </row>
        <row r="50">
          <cell r="B50" t="str">
            <v>Cera emulsionada roja (Compra)</v>
          </cell>
          <cell r="C50" t="str">
            <v>- Emulsionada
- Roja
- Contenido mínimo de sólidos del 5%
- Antideslizante</v>
          </cell>
          <cell r="D50" t="str">
            <v>Líquido, en recipiente plástico con capacidad mínima de 3.785 ml</v>
          </cell>
          <cell r="E50">
            <v>0</v>
          </cell>
          <cell r="F50">
            <v>0</v>
          </cell>
          <cell r="G50">
            <v>0</v>
          </cell>
          <cell r="H50">
            <v>0</v>
          </cell>
          <cell r="I50">
            <v>0</v>
          </cell>
          <cell r="J50">
            <v>0</v>
          </cell>
          <cell r="K50">
            <v>0</v>
          </cell>
          <cell r="L50">
            <v>0</v>
          </cell>
          <cell r="M50">
            <v>0</v>
          </cell>
          <cell r="N50">
            <v>0</v>
          </cell>
          <cell r="O50">
            <v>0</v>
          </cell>
        </row>
        <row r="51">
          <cell r="B51" t="str">
            <v>Cera solvente (Compra)</v>
          </cell>
          <cell r="C51" t="str">
            <v>- Solvente
- Contenido mínimo de sólidos del 10%</v>
          </cell>
          <cell r="D51" t="str">
            <v>Líquido, en recipiente plástico con capacidad
mínima de 3.785 ml</v>
          </cell>
          <cell r="E51">
            <v>0</v>
          </cell>
          <cell r="F51">
            <v>0</v>
          </cell>
          <cell r="G51">
            <v>0</v>
          </cell>
          <cell r="H51">
            <v>0</v>
          </cell>
          <cell r="I51">
            <v>0</v>
          </cell>
          <cell r="J51">
            <v>0</v>
          </cell>
          <cell r="K51">
            <v>0</v>
          </cell>
          <cell r="L51">
            <v>0</v>
          </cell>
          <cell r="M51">
            <v>0</v>
          </cell>
          <cell r="N51">
            <v>0</v>
          </cell>
          <cell r="O51">
            <v>0</v>
          </cell>
        </row>
        <row r="52">
          <cell r="B52" t="str">
            <v>Sellante para pisos (Compra)</v>
          </cell>
          <cell r="C52" t="str">
            <v>- Polimérico autobrillante.
- Con polímeros acrílicos, nivelantes y plastificantes.
- Contenido mínimo de sólidos del 20%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52" t="str">
            <v>Líquido, en recipiente plástico con capacidad mínima de 3.785 ml</v>
          </cell>
          <cell r="E52">
            <v>25</v>
          </cell>
          <cell r="F52">
            <v>50917</v>
          </cell>
          <cell r="G52">
            <v>36696</v>
          </cell>
          <cell r="H52">
            <v>0</v>
          </cell>
          <cell r="I52">
            <v>0.27929768053891624</v>
          </cell>
          <cell r="J52">
            <v>36696</v>
          </cell>
          <cell r="K52">
            <v>917400</v>
          </cell>
          <cell r="L52">
            <v>2596.7669999999998</v>
          </cell>
          <cell r="M52">
            <v>53513.767</v>
          </cell>
          <cell r="N52">
            <v>14946.270999999999</v>
          </cell>
          <cell r="O52">
            <v>38567.495999999999</v>
          </cell>
        </row>
        <row r="53">
          <cell r="B53" t="str">
            <v>Mantenedor de pisos (Compra)</v>
          </cell>
          <cell r="C53" t="str">
            <v>- Polimérico autobrillante.
- Con polímeros acrílicos, nivelantes y plastificantes.
- Contenido mínimo de sólidos del 8%</v>
          </cell>
          <cell r="D53" t="str">
            <v>Líquido, en recipiente
plástico con capacidad mínima de 3.785 ml</v>
          </cell>
          <cell r="E53">
            <v>25</v>
          </cell>
          <cell r="F53">
            <v>23775</v>
          </cell>
          <cell r="G53">
            <v>7364</v>
          </cell>
          <cell r="H53">
            <v>0</v>
          </cell>
          <cell r="I53">
            <v>0.69026288117770762</v>
          </cell>
          <cell r="J53">
            <v>7364</v>
          </cell>
          <cell r="K53">
            <v>184100</v>
          </cell>
          <cell r="L53">
            <v>1212.5249999999999</v>
          </cell>
          <cell r="M53">
            <v>24987.525000000001</v>
          </cell>
          <cell r="N53">
            <v>17247.960999999999</v>
          </cell>
          <cell r="O53">
            <v>7739.5640000000021</v>
          </cell>
        </row>
        <row r="54">
          <cell r="B54" t="str">
            <v>Removedor de cera (Compra)</v>
          </cell>
          <cell r="C54" t="str">
            <v>- Con agente activo alcalino en una concentración mínima del 9%
- pH entre 11 y 14</v>
          </cell>
          <cell r="D54" t="str">
            <v>Líquido, en recipiente plástico con capacidad mínima de 3.785 ml</v>
          </cell>
          <cell r="E54">
            <v>96</v>
          </cell>
          <cell r="F54">
            <v>11835</v>
          </cell>
          <cell r="G54">
            <v>6101</v>
          </cell>
          <cell r="H54">
            <v>0</v>
          </cell>
          <cell r="I54">
            <v>0.48449514152936202</v>
          </cell>
          <cell r="J54">
            <v>6101</v>
          </cell>
          <cell r="K54">
            <v>585696</v>
          </cell>
          <cell r="L54">
            <v>603.58499999999992</v>
          </cell>
          <cell r="M54">
            <v>12438.584999999999</v>
          </cell>
          <cell r="N54">
            <v>6026.4339999999993</v>
          </cell>
          <cell r="O54">
            <v>6412.1509999999998</v>
          </cell>
        </row>
        <row r="55">
          <cell r="B55" t="str">
            <v>Abrillantador para piso laminado (Compra)</v>
          </cell>
          <cell r="C55" t="str">
            <v>- Con agente(s) con efecto limpiador y brillador.</v>
          </cell>
          <cell r="D55" t="str">
            <v>Líquido, en recipiente
plástico con capacidad mínima de 3.785 ml</v>
          </cell>
          <cell r="E55">
            <v>0</v>
          </cell>
          <cell r="F55">
            <v>0</v>
          </cell>
          <cell r="G55">
            <v>0</v>
          </cell>
          <cell r="H55">
            <v>0</v>
          </cell>
          <cell r="I55">
            <v>0</v>
          </cell>
          <cell r="J55">
            <v>0</v>
          </cell>
          <cell r="K55">
            <v>0</v>
          </cell>
          <cell r="L55">
            <v>0</v>
          </cell>
          <cell r="M55">
            <v>0</v>
          </cell>
          <cell r="N55">
            <v>0</v>
          </cell>
          <cell r="O55">
            <v>0</v>
          </cell>
        </row>
        <row r="56">
          <cell r="B56" t="str">
            <v>Jabón neutro para pisos 1 (Compra)</v>
          </cell>
          <cell r="C56" t="str">
            <v xml:space="preserve"> - Jabón multiusos
 - PH Neutro, 
 - No corrosivo ni tóxico
- Debe contener concentraciones de fósforo iguales o inferiores a 0.65% de fósforo (Resolución 0689 de 2016)</v>
          </cell>
          <cell r="D56" t="str">
            <v>Líquido, en recipiente
plástico con capacidad mínima de 3.785 ml</v>
          </cell>
          <cell r="E56">
            <v>96</v>
          </cell>
          <cell r="F56">
            <v>10730</v>
          </cell>
          <cell r="G56">
            <v>5099</v>
          </cell>
          <cell r="H56">
            <v>0</v>
          </cell>
          <cell r="I56">
            <v>0.52479030754892819</v>
          </cell>
          <cell r="J56">
            <v>5099</v>
          </cell>
          <cell r="K56">
            <v>489504</v>
          </cell>
          <cell r="L56">
            <v>547.23</v>
          </cell>
          <cell r="M56">
            <v>11277.23</v>
          </cell>
          <cell r="N56">
            <v>5918.1809999999996</v>
          </cell>
          <cell r="O56">
            <v>5359.049</v>
          </cell>
        </row>
        <row r="57">
          <cell r="B57" t="str">
            <v>Jabón neutro para pisos 2 (Compra)</v>
          </cell>
          <cell r="C57" t="str">
            <v>- Jabón neutro biodegradable multiusos
- PH Neutro
- No es corrosivo ni tóxico
- Color: Azul claro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
- Elaborado en material reciclable, no debe contener PVC, Poliestireno expandido u otros plásticos de un solo uso tanto en el envase como en el embalaje.
- Debe contener concentraciones de fósforo iguales o inferiores a 0.65% de fósforo (Resolución 0689 de 2016)</v>
          </cell>
          <cell r="D57" t="str">
            <v>Líquido, en cuñete con capacidad de 20 L</v>
          </cell>
          <cell r="E57">
            <v>0</v>
          </cell>
          <cell r="F57">
            <v>0</v>
          </cell>
          <cell r="G57">
            <v>0</v>
          </cell>
          <cell r="H57">
            <v>0</v>
          </cell>
          <cell r="I57">
            <v>0</v>
          </cell>
          <cell r="J57">
            <v>0</v>
          </cell>
          <cell r="K57">
            <v>0</v>
          </cell>
          <cell r="L57">
            <v>0</v>
          </cell>
          <cell r="M57">
            <v>0</v>
          </cell>
          <cell r="N57">
            <v>0</v>
          </cell>
          <cell r="O57">
            <v>0</v>
          </cell>
        </row>
        <row r="58">
          <cell r="B58" t="str">
            <v>Varsol  ecológico 1 (Compra)</v>
          </cell>
          <cell r="C58" t="str">
            <v>- Solución con agentes desinfectantes, desmanchadores y desengrasantes  en concentración mínima del 15%.
- Biodegradable mínimo en un 95%</v>
          </cell>
          <cell r="D58" t="str">
            <v>Líquido, en recipiente plástico con capacidad mínima de 1000 ml</v>
          </cell>
          <cell r="E58">
            <v>0</v>
          </cell>
          <cell r="F58">
            <v>0</v>
          </cell>
          <cell r="G58">
            <v>0</v>
          </cell>
          <cell r="H58">
            <v>0</v>
          </cell>
          <cell r="I58">
            <v>0</v>
          </cell>
          <cell r="J58">
            <v>0</v>
          </cell>
          <cell r="K58">
            <v>0</v>
          </cell>
          <cell r="L58">
            <v>0</v>
          </cell>
          <cell r="M58">
            <v>0</v>
          </cell>
          <cell r="N58">
            <v>0</v>
          </cell>
          <cell r="O58">
            <v>0</v>
          </cell>
        </row>
        <row r="59">
          <cell r="B59" t="str">
            <v>Varsol ecológico 2 (Compra)</v>
          </cell>
          <cell r="C59" t="str">
            <v>- Solución con agentes desinfectantes, desmanchadores y desengrasantes  en concentración mínima del 15%.
- Biodegradable mínimo en un 95%</v>
          </cell>
          <cell r="D59" t="str">
            <v>Líquido, en recipiente plástico con capacidad mínima de 3.785 ml</v>
          </cell>
          <cell r="E59">
            <v>25</v>
          </cell>
          <cell r="F59">
            <v>29035</v>
          </cell>
          <cell r="G59">
            <v>12201</v>
          </cell>
          <cell r="H59">
            <v>0</v>
          </cell>
          <cell r="I59">
            <v>0.57978302049250896</v>
          </cell>
          <cell r="J59">
            <v>12201</v>
          </cell>
          <cell r="K59">
            <v>305025</v>
          </cell>
          <cell r="L59">
            <v>1480.7849999999999</v>
          </cell>
          <cell r="M59">
            <v>30515.785</v>
          </cell>
          <cell r="N59">
            <v>17692.533999999996</v>
          </cell>
          <cell r="O59">
            <v>12823.251000000004</v>
          </cell>
        </row>
        <row r="60">
          <cell r="B60" t="str">
            <v>Desmanchador multiusos (Compra)</v>
          </cell>
          <cell r="C60" t="str">
            <v>- Con agente(s) tensoactivo(s) con efecto limpiador y desengrasante
- Para superficies de todo tipo.</v>
          </cell>
          <cell r="D60" t="str">
            <v>Crema, en bolsa plástica de mínimo 500 g</v>
          </cell>
          <cell r="E60">
            <v>0</v>
          </cell>
          <cell r="F60">
            <v>0</v>
          </cell>
          <cell r="G60">
            <v>0</v>
          </cell>
          <cell r="H60">
            <v>0</v>
          </cell>
          <cell r="I60">
            <v>0</v>
          </cell>
          <cell r="J60">
            <v>0</v>
          </cell>
          <cell r="K60">
            <v>0</v>
          </cell>
          <cell r="L60">
            <v>0</v>
          </cell>
          <cell r="M60">
            <v>0</v>
          </cell>
          <cell r="N60">
            <v>0</v>
          </cell>
          <cell r="O60">
            <v>0</v>
          </cell>
        </row>
        <row r="61">
          <cell r="B61" t="str">
            <v>Brillametal en crema (Compra)</v>
          </cell>
          <cell r="C61" t="str">
            <v>- Con agentes con efecto limpiador, pulidor y brillador.
- Para todo tipo de metales
 - El  envase del producto deberá estar correctamente etiquetado, indicando: nombre comercial del producto, pictogramas de los compuestos peligrosos e instrucciones de uso</v>
          </cell>
          <cell r="D61" t="str">
            <v>En crema de mínimo 70 g</v>
          </cell>
          <cell r="E61">
            <v>4</v>
          </cell>
          <cell r="F61">
            <v>14728</v>
          </cell>
          <cell r="G61">
            <v>5260</v>
          </cell>
          <cell r="H61">
            <v>0</v>
          </cell>
          <cell r="I61">
            <v>0.64285714285714279</v>
          </cell>
          <cell r="J61">
            <v>5260</v>
          </cell>
          <cell r="K61">
            <v>21040</v>
          </cell>
          <cell r="L61">
            <v>751.12799999999993</v>
          </cell>
          <cell r="M61">
            <v>15479.128000000001</v>
          </cell>
          <cell r="N61">
            <v>9950.8679999999986</v>
          </cell>
          <cell r="O61">
            <v>5528.260000000002</v>
          </cell>
        </row>
        <row r="62">
          <cell r="B62" t="str">
            <v>Brillametal líquido (Compra)</v>
          </cell>
          <cell r="C62" t="str">
            <v>- Con agentes con efecto limpiador, pulidor y brillador.
- Para todo tipo de metales</v>
          </cell>
          <cell r="D62" t="str">
            <v>Líquido , en recipiente plástico con capacidad mínima de 200 ml</v>
          </cell>
          <cell r="E62">
            <v>0</v>
          </cell>
          <cell r="F62">
            <v>0</v>
          </cell>
          <cell r="G62">
            <v>0</v>
          </cell>
          <cell r="H62">
            <v>0</v>
          </cell>
          <cell r="I62">
            <v>0</v>
          </cell>
          <cell r="J62">
            <v>0</v>
          </cell>
          <cell r="K62">
            <v>0</v>
          </cell>
          <cell r="L62">
            <v>0</v>
          </cell>
          <cell r="M62">
            <v>0</v>
          </cell>
          <cell r="N62">
            <v>0</v>
          </cell>
          <cell r="O62">
            <v>0</v>
          </cell>
        </row>
        <row r="63">
          <cell r="B63" t="str">
            <v>Betún (Compra)</v>
          </cell>
          <cell r="C63" t="str">
            <v>- Contenido mínimo de sólidos del 30%
- Color negro
- No debe contener ningún material que sea cancerígeno ( Clasificación 1 y 2a por la IARC), Mutagénico, Tóxico, Contaminante peligroso del aire o que sea agotador de la capa de ozono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63" t="str">
            <v>Tarro de mínimo 100 g</v>
          </cell>
          <cell r="E63">
            <v>0</v>
          </cell>
          <cell r="F63">
            <v>0</v>
          </cell>
          <cell r="G63">
            <v>0</v>
          </cell>
          <cell r="H63">
            <v>0</v>
          </cell>
          <cell r="I63">
            <v>0</v>
          </cell>
          <cell r="J63">
            <v>0</v>
          </cell>
          <cell r="K63">
            <v>0</v>
          </cell>
          <cell r="L63">
            <v>0</v>
          </cell>
          <cell r="M63">
            <v>0</v>
          </cell>
          <cell r="N63">
            <v>0</v>
          </cell>
          <cell r="O63">
            <v>0</v>
          </cell>
        </row>
        <row r="64">
          <cell r="B64" t="str">
            <v>Ambientador 1 (Compra)</v>
          </cell>
          <cell r="C64" t="str">
            <v>- Solución con alcohol etílico y solventes.
- Con fragancia en una concentración del 1,5%
- En múltiples fragancias (Mínimo 5 tipos de fragancias)
- El envase debe estar correctamente etiquetado bajo los parámetros establecidos en el sistema globalmente armonizado (Decreto 1496 de 2018) indicando: nombre comercial del producto, pictogramas de los compuestos peligrosos si aplica e instrucciones de uso de acuerdo con los tiempos de transición descritos en el artículo 24 de la Resolución 773 de 2021.</v>
          </cell>
          <cell r="D64" t="str">
            <v>Líquido, en recipiente plástico con capacidad
mínima de 3.785 ml</v>
          </cell>
          <cell r="E64">
            <v>25</v>
          </cell>
          <cell r="F64">
            <v>10678</v>
          </cell>
          <cell r="G64">
            <v>4917</v>
          </cell>
          <cell r="H64">
            <v>0</v>
          </cell>
          <cell r="I64">
            <v>0.53952050945870011</v>
          </cell>
          <cell r="J64">
            <v>4917</v>
          </cell>
          <cell r="K64">
            <v>122925</v>
          </cell>
          <cell r="L64">
            <v>544.57799999999997</v>
          </cell>
          <cell r="M64">
            <v>11222.578</v>
          </cell>
          <cell r="N64">
            <v>6054.8109999999997</v>
          </cell>
          <cell r="O64">
            <v>5167.7669999999998</v>
          </cell>
        </row>
        <row r="65">
          <cell r="B65" t="str">
            <v>Ambientador 2 (Compra)</v>
          </cell>
          <cell r="C65" t="str">
            <v>- Solución con alcohol etílico y solventes.
- Con fragancia en una concentración del 1,5%
- En múltiples fragancias
- libre de CFC
 - Envase correctamente etiquetado bajo los parámetros establecidos indicando: nombre comercial del producto, pictogramas de los compuestos peligrosos e instrucciones de uso.
- Elaborado en material reciclable</v>
          </cell>
          <cell r="D65" t="str">
            <v>Líquido, en aerosol seguro para la capa de ozono con capacidad mínima de 360 ml</v>
          </cell>
          <cell r="E65">
            <v>25</v>
          </cell>
          <cell r="F65">
            <v>12098</v>
          </cell>
          <cell r="G65">
            <v>7890</v>
          </cell>
          <cell r="H65">
            <v>0</v>
          </cell>
          <cell r="I65">
            <v>0.34782608695652173</v>
          </cell>
          <cell r="J65">
            <v>7890</v>
          </cell>
          <cell r="K65">
            <v>197250</v>
          </cell>
          <cell r="L65">
            <v>616.99799999999993</v>
          </cell>
          <cell r="M65">
            <v>12714.998</v>
          </cell>
          <cell r="N65">
            <v>4422.6080000000002</v>
          </cell>
          <cell r="O65">
            <v>8292.39</v>
          </cell>
        </row>
        <row r="66">
          <cell r="B66" t="str">
            <v>Insecticida 1 (Compra)</v>
          </cell>
          <cell r="C66" t="str">
            <v>- Para eliminar insectos rastreros.
-  Con acción residual hasta por 4 semanas o de larga duración
- Sin fuertes olores químicos
- Libre de CFC
 - El  envase del producto deberá estar correctamente etiquetado, indicando: nombre comercial del producto, pictogramas de los compuestos peligrosos e instrucciones de uso</v>
          </cell>
          <cell r="D66" t="str">
            <v>Líquido, en aerosol seguro para la capa de ozono con capacidad
mínima de 350 ml</v>
          </cell>
          <cell r="E66">
            <v>25</v>
          </cell>
          <cell r="F66">
            <v>21566</v>
          </cell>
          <cell r="G66">
            <v>13150</v>
          </cell>
          <cell r="H66">
            <v>0</v>
          </cell>
          <cell r="I66">
            <v>0.3902439024390244</v>
          </cell>
          <cell r="J66">
            <v>13150</v>
          </cell>
          <cell r="K66">
            <v>328750</v>
          </cell>
          <cell r="L66">
            <v>1099.866</v>
          </cell>
          <cell r="M66">
            <v>22665.866000000002</v>
          </cell>
          <cell r="N66">
            <v>8845.2160000000003</v>
          </cell>
          <cell r="O66">
            <v>13820.650000000001</v>
          </cell>
        </row>
        <row r="67">
          <cell r="B67" t="str">
            <v>Insecticida 2 (Compra)</v>
          </cell>
          <cell r="C67" t="str">
            <v>- Para eliminar insectos voladores
-  Con acción residual hasta por 4 semanas o de larga duración
- Sin fuertes olores químicos
- Libre de CFC
 - El  envase del producto deberá estar correctamente etiquetado, indicando: nombre comercial del producto, pictogramas de los compuestos peligrosos e instrucciones de uso</v>
          </cell>
          <cell r="D67" t="str">
            <v>Líquido, en aerosol seguro para la capa de ozono con capacidad
mínima de 350 ml</v>
          </cell>
          <cell r="E67">
            <v>25</v>
          </cell>
          <cell r="F67">
            <v>22513</v>
          </cell>
          <cell r="G67">
            <v>13150</v>
          </cell>
          <cell r="H67">
            <v>0</v>
          </cell>
          <cell r="I67">
            <v>0.41589303957713319</v>
          </cell>
          <cell r="J67">
            <v>13150</v>
          </cell>
          <cell r="K67">
            <v>328750</v>
          </cell>
          <cell r="L67">
            <v>1148.163</v>
          </cell>
          <cell r="M67">
            <v>23661.163</v>
          </cell>
          <cell r="N67">
            <v>9840.512999999999</v>
          </cell>
          <cell r="O67">
            <v>13820.650000000001</v>
          </cell>
        </row>
        <row r="68">
          <cell r="B68" t="str">
            <v>Limpiones 1 (Compra)</v>
          </cell>
          <cell r="C68" t="str">
            <v>- En tela de toalla fileteada
- Color blanco sin estampado
- Tamaño mínimo de 45cm de largo por 45cm de ancho.</v>
          </cell>
          <cell r="D68" t="str">
            <v>Unidad</v>
          </cell>
          <cell r="E68">
            <v>25</v>
          </cell>
          <cell r="F68">
            <v>4418</v>
          </cell>
          <cell r="G68">
            <v>2747</v>
          </cell>
          <cell r="H68">
            <v>0</v>
          </cell>
          <cell r="I68">
            <v>0.3782254413761883</v>
          </cell>
          <cell r="J68">
            <v>2747</v>
          </cell>
          <cell r="K68">
            <v>68675</v>
          </cell>
          <cell r="L68">
            <v>225.31799999999998</v>
          </cell>
          <cell r="M68">
            <v>4643.3180000000002</v>
          </cell>
          <cell r="N68">
            <v>1756.221</v>
          </cell>
          <cell r="O68">
            <v>2887.0970000000002</v>
          </cell>
        </row>
        <row r="69">
          <cell r="B69" t="str">
            <v>Limpiones 2 (Compra)</v>
          </cell>
          <cell r="C69" t="str">
            <v>- En tela de toalla fileteada
- Color blanco sin estampado
-Tamaño mínimo de 100 cm de largo por 70 cm de ancho</v>
          </cell>
          <cell r="D69" t="str">
            <v>Unidad</v>
          </cell>
          <cell r="E69">
            <v>0</v>
          </cell>
          <cell r="F69">
            <v>0</v>
          </cell>
          <cell r="G69">
            <v>0</v>
          </cell>
          <cell r="H69">
            <v>0</v>
          </cell>
          <cell r="I69">
            <v>0</v>
          </cell>
          <cell r="J69">
            <v>0</v>
          </cell>
          <cell r="K69">
            <v>0</v>
          </cell>
          <cell r="L69">
            <v>0</v>
          </cell>
          <cell r="M69">
            <v>0</v>
          </cell>
          <cell r="N69">
            <v>0</v>
          </cell>
          <cell r="O69">
            <v>0</v>
          </cell>
        </row>
        <row r="70">
          <cell r="B70" t="str">
            <v>Limpiones 3 (Compra)</v>
          </cell>
          <cell r="C70" t="str">
            <v>- En tela fileteada
- Color blanco sin estampado
- Tamaño mínimo de 45 cm de largo por 45 cm de ancho</v>
          </cell>
          <cell r="D70" t="str">
            <v>Unidad</v>
          </cell>
          <cell r="E70">
            <v>0</v>
          </cell>
          <cell r="F70">
            <v>0</v>
          </cell>
          <cell r="G70">
            <v>0</v>
          </cell>
          <cell r="H70">
            <v>0</v>
          </cell>
          <cell r="I70">
            <v>0</v>
          </cell>
          <cell r="J70">
            <v>0</v>
          </cell>
          <cell r="K70">
            <v>0</v>
          </cell>
          <cell r="L70">
            <v>0</v>
          </cell>
          <cell r="M70">
            <v>0</v>
          </cell>
          <cell r="N70">
            <v>0</v>
          </cell>
          <cell r="O70">
            <v>0</v>
          </cell>
        </row>
        <row r="71">
          <cell r="B71" t="str">
            <v>Limpiones 4 (Compra)</v>
          </cell>
          <cell r="C71" t="str">
            <v>- En tela fileteada
- Color blanco sin estampado
-Tamaño mínimo de 100 cm de largo por 70 cm de ancho</v>
          </cell>
          <cell r="D71" t="str">
            <v>Unidad</v>
          </cell>
          <cell r="E71">
            <v>0</v>
          </cell>
          <cell r="F71">
            <v>0</v>
          </cell>
          <cell r="G71">
            <v>0</v>
          </cell>
          <cell r="H71">
            <v>0</v>
          </cell>
          <cell r="I71">
            <v>0</v>
          </cell>
          <cell r="J71">
            <v>0</v>
          </cell>
          <cell r="K71">
            <v>0</v>
          </cell>
          <cell r="L71">
            <v>0</v>
          </cell>
          <cell r="M71">
            <v>0</v>
          </cell>
          <cell r="N71">
            <v>0</v>
          </cell>
          <cell r="O71">
            <v>0</v>
          </cell>
        </row>
        <row r="72">
          <cell r="B72" t="str">
            <v>Limpiones 5 (Compra)</v>
          </cell>
          <cell r="C72" t="str">
            <v>- En tela tipo galleta fileteada
- Color blanco o beige sin estampado
-Tamaño mínimo de 100 cm de largo por 70 cm de ancho</v>
          </cell>
          <cell r="D72" t="str">
            <v>Unidad</v>
          </cell>
          <cell r="E72">
            <v>0</v>
          </cell>
          <cell r="F72">
            <v>0</v>
          </cell>
          <cell r="G72">
            <v>0</v>
          </cell>
          <cell r="H72">
            <v>0</v>
          </cell>
          <cell r="I72">
            <v>0</v>
          </cell>
          <cell r="J72">
            <v>0</v>
          </cell>
          <cell r="K72">
            <v>0</v>
          </cell>
          <cell r="L72">
            <v>0</v>
          </cell>
          <cell r="M72">
            <v>0</v>
          </cell>
          <cell r="N72">
            <v>0</v>
          </cell>
          <cell r="O72">
            <v>0</v>
          </cell>
        </row>
        <row r="73">
          <cell r="B73" t="str">
            <v>Bayetilla 1 (Compra)</v>
          </cell>
          <cell r="C73" t="str">
            <v xml:space="preserve"> - En tela fileteada
 -  100% algodón y fibra natural 
- Color blanco sin estampado
-Tamaño mínimo de 100 cm de largo por 70 cm de ancho</v>
          </cell>
          <cell r="D73" t="str">
            <v>Unidad</v>
          </cell>
          <cell r="E73">
            <v>25</v>
          </cell>
          <cell r="F73">
            <v>8416</v>
          </cell>
          <cell r="G73">
            <v>4944</v>
          </cell>
          <cell r="H73">
            <v>0</v>
          </cell>
          <cell r="I73">
            <v>0.4125475285171103</v>
          </cell>
          <cell r="J73">
            <v>4944</v>
          </cell>
          <cell r="K73">
            <v>123600</v>
          </cell>
          <cell r="L73">
            <v>429.21599999999995</v>
          </cell>
          <cell r="M73">
            <v>8845.2160000000003</v>
          </cell>
          <cell r="N73">
            <v>3649.0720000000006</v>
          </cell>
          <cell r="O73">
            <v>5196.1440000000002</v>
          </cell>
        </row>
        <row r="74">
          <cell r="B74" t="str">
            <v>Bayetilla 2 (Compra)</v>
          </cell>
          <cell r="C74" t="str">
            <v xml:space="preserve"> - En tela fileteada
 - 100% algodón y fibra natural 
 - Color rojo sin estampado
 -Tamaño mínimo de 100 cm de largo por 70 cm de ancho</v>
          </cell>
          <cell r="D74" t="str">
            <v>Unidad</v>
          </cell>
          <cell r="E74">
            <v>25</v>
          </cell>
          <cell r="F74">
            <v>8311</v>
          </cell>
          <cell r="G74">
            <v>4944</v>
          </cell>
          <cell r="H74">
            <v>0</v>
          </cell>
          <cell r="I74">
            <v>0.40512573697509324</v>
          </cell>
          <cell r="J74">
            <v>4944</v>
          </cell>
          <cell r="K74">
            <v>123600</v>
          </cell>
          <cell r="L74">
            <v>423.86099999999999</v>
          </cell>
          <cell r="M74">
            <v>8734.8610000000008</v>
          </cell>
          <cell r="N74">
            <v>3538.7170000000001</v>
          </cell>
          <cell r="O74">
            <v>5196.1440000000002</v>
          </cell>
        </row>
        <row r="75">
          <cell r="B75" t="str">
            <v>Toalla en tela blanca para pisos por metro (repuesto de haraganes) (Compra)</v>
          </cell>
          <cell r="C75" t="str">
            <v xml:space="preserve"> - Elaborado  en microfibras
 - Color blanco
 - Tamaño mínimo de 100 cm de largo por 70 cm de ancho</v>
          </cell>
          <cell r="D75" t="str">
            <v>Unidad</v>
          </cell>
          <cell r="E75">
            <v>25</v>
          </cell>
          <cell r="F75">
            <v>22723</v>
          </cell>
          <cell r="G75">
            <v>4734</v>
          </cell>
          <cell r="H75">
            <v>0</v>
          </cell>
          <cell r="I75">
            <v>0.7916648329886018</v>
          </cell>
          <cell r="J75">
            <v>4734</v>
          </cell>
          <cell r="K75">
            <v>118350</v>
          </cell>
          <cell r="L75">
            <v>1158.8729999999998</v>
          </cell>
          <cell r="M75">
            <v>23881.873</v>
          </cell>
          <cell r="N75">
            <v>18906.438999999998</v>
          </cell>
          <cell r="O75">
            <v>4975.4340000000011</v>
          </cell>
        </row>
        <row r="76">
          <cell r="B76" t="str">
            <v>Paño absorbente multiusos 1 (Compra)</v>
          </cell>
          <cell r="C76" t="str">
            <v>- Retira el polvo sin dejar residuos ni pelusas
- Antibacterial reutilizable
- Tela con microporos
- Tamaño mínimo de 58 cm de largo por 33 cm de ancho</v>
          </cell>
          <cell r="D76" t="str">
            <v>Paquete X 6 unidades</v>
          </cell>
          <cell r="E76">
            <v>25</v>
          </cell>
          <cell r="F76">
            <v>7311</v>
          </cell>
          <cell r="G76">
            <v>3103</v>
          </cell>
          <cell r="H76">
            <v>0</v>
          </cell>
          <cell r="I76">
            <v>0.57557105731090141</v>
          </cell>
          <cell r="J76">
            <v>3103</v>
          </cell>
          <cell r="K76">
            <v>77575</v>
          </cell>
          <cell r="L76">
            <v>372.86099999999999</v>
          </cell>
          <cell r="M76">
            <v>7683.8609999999999</v>
          </cell>
          <cell r="N76">
            <v>4422.6080000000002</v>
          </cell>
          <cell r="O76">
            <v>3261.2529999999997</v>
          </cell>
        </row>
        <row r="77">
          <cell r="B77" t="str">
            <v>Paño absorbente multiusos 2 (Compra)</v>
          </cell>
          <cell r="C77" t="str">
            <v>- Retira el polvo sin dejar residuos ni pelusas
- Antibacterial reutilizable
- Tela con microporos
- Tamaño mínimo de 58 cm de largo por 33 cm de ancho</v>
          </cell>
          <cell r="D77" t="str">
            <v>Unidad</v>
          </cell>
          <cell r="E77">
            <v>0</v>
          </cell>
          <cell r="F77">
            <v>0</v>
          </cell>
          <cell r="G77">
            <v>0</v>
          </cell>
          <cell r="H77">
            <v>0</v>
          </cell>
          <cell r="I77">
            <v>0</v>
          </cell>
          <cell r="J77">
            <v>0</v>
          </cell>
          <cell r="K77">
            <v>0</v>
          </cell>
          <cell r="L77">
            <v>0</v>
          </cell>
          <cell r="M77">
            <v>0</v>
          </cell>
          <cell r="N77">
            <v>0</v>
          </cell>
          <cell r="O77">
            <v>0</v>
          </cell>
        </row>
        <row r="78">
          <cell r="B78" t="str">
            <v>Paño absorbente multiusos 3 (Compra)</v>
          </cell>
          <cell r="C78" t="str">
            <v>- Retira el polvo sin dejar residuos ni pelusas
- Antibacterial reutilizable
- Tela con microporos
- Tamaño mínimo de 20 cm de largo por 45 cm de ancho</v>
          </cell>
          <cell r="D78" t="str">
            <v>Rollo X 40 unidades</v>
          </cell>
          <cell r="E78">
            <v>0</v>
          </cell>
          <cell r="F78">
            <v>0</v>
          </cell>
          <cell r="G78">
            <v>0</v>
          </cell>
          <cell r="H78">
            <v>0</v>
          </cell>
          <cell r="I78">
            <v>0</v>
          </cell>
          <cell r="J78">
            <v>0</v>
          </cell>
          <cell r="K78">
            <v>0</v>
          </cell>
          <cell r="L78">
            <v>0</v>
          </cell>
          <cell r="M78">
            <v>0</v>
          </cell>
          <cell r="N78">
            <v>0</v>
          </cell>
          <cell r="O78">
            <v>0</v>
          </cell>
        </row>
        <row r="79">
          <cell r="B79" t="str">
            <v>Paño absorbente multiusos 4 (Compra)</v>
          </cell>
          <cell r="C79" t="str">
            <v>- Retira el polvo sin dejar residuos ni pelusas
- Antibacterial reutilizable
- Tela con microporos
- Tamaño mínimo de 20 cm de largo por 45 cm de ancho</v>
          </cell>
          <cell r="D79" t="str">
            <v>Unidad</v>
          </cell>
          <cell r="E79">
            <v>0</v>
          </cell>
          <cell r="F79">
            <v>0</v>
          </cell>
          <cell r="G79">
            <v>0</v>
          </cell>
          <cell r="H79">
            <v>0</v>
          </cell>
          <cell r="I79">
            <v>0</v>
          </cell>
          <cell r="J79">
            <v>0</v>
          </cell>
          <cell r="K79">
            <v>0</v>
          </cell>
          <cell r="L79">
            <v>0</v>
          </cell>
          <cell r="M79">
            <v>0</v>
          </cell>
          <cell r="N79">
            <v>0</v>
          </cell>
          <cell r="O79">
            <v>0</v>
          </cell>
        </row>
        <row r="80">
          <cell r="B80" t="str">
            <v>Estopa (Compra)</v>
          </cell>
          <cell r="C80" t="str">
            <v>- Hecha 100% de hilos de algodón blanco peinado.
-Suave al tacto, para lustrar
- No debe contener PVC o Poliestireno expandido u otros plásticos de un solo uso tanto en el envase como en el embalaje.</v>
          </cell>
          <cell r="D80" t="str">
            <v>Bolsa de mínimo 400 g</v>
          </cell>
          <cell r="E80">
            <v>0</v>
          </cell>
          <cell r="F80">
            <v>0</v>
          </cell>
          <cell r="G80">
            <v>0</v>
          </cell>
          <cell r="H80">
            <v>0</v>
          </cell>
          <cell r="I80">
            <v>0</v>
          </cell>
          <cell r="J80">
            <v>0</v>
          </cell>
          <cell r="K80">
            <v>0</v>
          </cell>
          <cell r="L80">
            <v>0</v>
          </cell>
          <cell r="M80">
            <v>0</v>
          </cell>
          <cell r="N80">
            <v>0</v>
          </cell>
          <cell r="O80">
            <v>0</v>
          </cell>
        </row>
        <row r="81">
          <cell r="B81" t="str">
            <v>Esponjilla 1 (Compra)</v>
          </cell>
          <cell r="C81" t="str">
            <v>- Espuma enmallada
- Tamaño mínimo de 7 cm de largo por 10 cm de ancho</v>
          </cell>
          <cell r="D81" t="str">
            <v>Unidad</v>
          </cell>
          <cell r="E81">
            <v>37</v>
          </cell>
          <cell r="F81">
            <v>989</v>
          </cell>
          <cell r="G81">
            <v>515</v>
          </cell>
          <cell r="H81">
            <v>0</v>
          </cell>
          <cell r="I81">
            <v>0.47927199191102121</v>
          </cell>
          <cell r="J81">
            <v>515</v>
          </cell>
          <cell r="K81">
            <v>19055</v>
          </cell>
          <cell r="L81">
            <v>50.439</v>
          </cell>
          <cell r="M81">
            <v>1039.4390000000001</v>
          </cell>
          <cell r="N81">
            <v>498.17400000000004</v>
          </cell>
          <cell r="O81">
            <v>541.2650000000001</v>
          </cell>
        </row>
        <row r="82">
          <cell r="B82" t="str">
            <v>Esponjilla 2 (Compra)</v>
          </cell>
          <cell r="C82" t="str">
            <v>- Doble uso (material de esponjilla blanda y abrasiva)
- Tamaño mínimo de 7 cm de largo por 10 cm de ancho
- No debe contener PVC o Poliestireno expandido u otros plásticos de un solo uso tanto en el envase como en el embalaje</v>
          </cell>
          <cell r="D82" t="str">
            <v>Unidad</v>
          </cell>
          <cell r="E82">
            <v>37</v>
          </cell>
          <cell r="F82">
            <v>642</v>
          </cell>
          <cell r="G82">
            <v>412</v>
          </cell>
          <cell r="H82">
            <v>0</v>
          </cell>
          <cell r="I82">
            <v>0.35825545171339568</v>
          </cell>
          <cell r="J82">
            <v>412</v>
          </cell>
          <cell r="K82">
            <v>15244</v>
          </cell>
          <cell r="L82">
            <v>32.741999999999997</v>
          </cell>
          <cell r="M82">
            <v>674.74199999999996</v>
          </cell>
          <cell r="N82">
            <v>241.73000000000002</v>
          </cell>
          <cell r="O82">
            <v>433.01199999999994</v>
          </cell>
        </row>
        <row r="83">
          <cell r="B83" t="str">
            <v>Esponjilla 3 (Compra)</v>
          </cell>
          <cell r="C83" t="str">
            <v>- Abrasiva
- Tamaño mínimo de 9 cm de largo por 12 cm de</v>
          </cell>
          <cell r="D83" t="str">
            <v>Unidad</v>
          </cell>
          <cell r="E83">
            <v>37</v>
          </cell>
          <cell r="F83">
            <v>410</v>
          </cell>
          <cell r="G83">
            <v>201</v>
          </cell>
          <cell r="H83">
            <v>0</v>
          </cell>
          <cell r="I83">
            <v>0.50975609756097562</v>
          </cell>
          <cell r="J83">
            <v>201</v>
          </cell>
          <cell r="K83">
            <v>7437</v>
          </cell>
          <cell r="L83">
            <v>20.91</v>
          </cell>
          <cell r="M83">
            <v>430.91</v>
          </cell>
          <cell r="N83">
            <v>219.65900000000002</v>
          </cell>
          <cell r="O83">
            <v>211.251</v>
          </cell>
        </row>
        <row r="84">
          <cell r="B84" t="str">
            <v>Esponjilla 4 (Compra)</v>
          </cell>
          <cell r="C84" t="str">
            <v>- Elaborada con fibra de acero inoxidable para dar brillo
- Tamaño mínimo de 5 cm de largo por 5 cm de ancho</v>
          </cell>
          <cell r="D84" t="str">
            <v>Paquete X 6 unidades</v>
          </cell>
          <cell r="E84">
            <v>37</v>
          </cell>
          <cell r="F84">
            <v>2072</v>
          </cell>
          <cell r="G84">
            <v>955</v>
          </cell>
          <cell r="H84">
            <v>0</v>
          </cell>
          <cell r="I84">
            <v>0.5390926640926641</v>
          </cell>
          <cell r="J84">
            <v>955</v>
          </cell>
          <cell r="K84">
            <v>35335</v>
          </cell>
          <cell r="L84">
            <v>105.672</v>
          </cell>
          <cell r="M84">
            <v>2177.672</v>
          </cell>
          <cell r="N84">
            <v>1173.9670000000001</v>
          </cell>
          <cell r="O84">
            <v>1003.7049999999999</v>
          </cell>
        </row>
        <row r="85">
          <cell r="B85" t="str">
            <v>Esponjilla 5 (Compra)</v>
          </cell>
          <cell r="C85" t="str">
            <v>- Elaborada con alambre de acero inoxidable
- Tamaño mínimo de 7 cm de largo por 10 cm de ancho</v>
          </cell>
          <cell r="D85" t="str">
            <v>Unidad</v>
          </cell>
          <cell r="E85">
            <v>37</v>
          </cell>
          <cell r="F85">
            <v>389</v>
          </cell>
          <cell r="G85">
            <v>320</v>
          </cell>
          <cell r="H85">
            <v>0</v>
          </cell>
          <cell r="I85">
            <v>0.17737789203084831</v>
          </cell>
          <cell r="J85">
            <v>320</v>
          </cell>
          <cell r="K85">
            <v>11840</v>
          </cell>
          <cell r="L85">
            <v>19.838999999999999</v>
          </cell>
          <cell r="M85">
            <v>408.839</v>
          </cell>
          <cell r="N85">
            <v>72.518999999999991</v>
          </cell>
          <cell r="O85">
            <v>336.32</v>
          </cell>
        </row>
        <row r="86">
          <cell r="B86" t="str">
            <v>Esponjilla 6 (Compra)</v>
          </cell>
          <cell r="C86" t="str">
            <v>- Espuma enmallada
- Tamaño mínimo de 7 cm de largo por 10 cm de ancho
- No debe contener PVC o Poliestireno expandido u otros plásticos de un solo uso tanto en el envase como en el embalaje.</v>
          </cell>
          <cell r="D86" t="str">
            <v>Unidad</v>
          </cell>
          <cell r="E86">
            <v>0</v>
          </cell>
          <cell r="F86">
            <v>0</v>
          </cell>
          <cell r="G86">
            <v>0</v>
          </cell>
          <cell r="H86">
            <v>0</v>
          </cell>
          <cell r="I86">
            <v>0</v>
          </cell>
          <cell r="J86">
            <v>0</v>
          </cell>
          <cell r="K86">
            <v>0</v>
          </cell>
          <cell r="L86">
            <v>0</v>
          </cell>
          <cell r="M86">
            <v>0</v>
          </cell>
          <cell r="N86">
            <v>0</v>
          </cell>
          <cell r="O86">
            <v>0</v>
          </cell>
        </row>
        <row r="87">
          <cell r="B87" t="str">
            <v>Esponjilla 7 (Compra)</v>
          </cell>
          <cell r="C87" t="str">
            <v>- Abrasiva
- Tamaño mínimo de 9 cm de largo por 12 cm de ancho
- No debe contener PVC o Poliestireno expandido u otros plásticos de un solo uso tanto en el envase como en el embalaje.</v>
          </cell>
          <cell r="D87" t="str">
            <v>Unidad</v>
          </cell>
          <cell r="E87">
            <v>0</v>
          </cell>
          <cell r="F87">
            <v>0</v>
          </cell>
          <cell r="G87">
            <v>0</v>
          </cell>
          <cell r="H87">
            <v>0</v>
          </cell>
          <cell r="I87">
            <v>0</v>
          </cell>
          <cell r="J87">
            <v>0</v>
          </cell>
          <cell r="K87">
            <v>0</v>
          </cell>
          <cell r="L87">
            <v>0</v>
          </cell>
          <cell r="M87">
            <v>0</v>
          </cell>
          <cell r="N87">
            <v>0</v>
          </cell>
          <cell r="O87">
            <v>0</v>
          </cell>
        </row>
        <row r="88">
          <cell r="B88" t="str">
            <v>Escoba 1 (Compra)</v>
          </cell>
          <cell r="C88" t="str">
            <v xml:space="preserve">- Cerdas suaves elaboradas con PET calibre entre 0,3 y 0,4 mm.
- Área de barrido mínima de 25 cm de largo por 8 cm de ancho por 10 cm de alto
- Material de base en plástico con acople tipo rosca
</v>
          </cell>
          <cell r="D88" t="str">
            <v>Unidad</v>
          </cell>
          <cell r="E88">
            <v>20</v>
          </cell>
          <cell r="F88">
            <v>4050</v>
          </cell>
          <cell r="G88">
            <v>2657</v>
          </cell>
          <cell r="H88">
            <v>0</v>
          </cell>
          <cell r="I88">
            <v>0.3439506172839506</v>
          </cell>
          <cell r="J88">
            <v>2657</v>
          </cell>
          <cell r="K88">
            <v>53140</v>
          </cell>
          <cell r="L88">
            <v>206.54999999999998</v>
          </cell>
          <cell r="M88">
            <v>4256.55</v>
          </cell>
          <cell r="N88">
            <v>1464.0429999999999</v>
          </cell>
          <cell r="O88">
            <v>2792.5070000000005</v>
          </cell>
        </row>
        <row r="89">
          <cell r="B89" t="str">
            <v>Escoba 2 (Compra)</v>
          </cell>
          <cell r="C89" t="str">
            <v xml:space="preserve">- Cerdas duras elaboradas con PET calibre entre 0,4 y 0,6 mm.
- Área de barrido mínima de 25 cm de largo por 8 cm de ancho por 10 cm de alto
- Material de base en plástico con acople tipo rosca
</v>
          </cell>
          <cell r="D89" t="str">
            <v>Unidad</v>
          </cell>
          <cell r="E89">
            <v>25</v>
          </cell>
          <cell r="F89">
            <v>4050</v>
          </cell>
          <cell r="G89">
            <v>2614</v>
          </cell>
          <cell r="H89">
            <v>1</v>
          </cell>
          <cell r="I89">
            <v>1</v>
          </cell>
          <cell r="J89">
            <v>0</v>
          </cell>
          <cell r="K89">
            <v>0</v>
          </cell>
          <cell r="L89">
            <v>206.54999999999998</v>
          </cell>
          <cell r="M89">
            <v>4256.55</v>
          </cell>
          <cell r="N89">
            <v>4256.55</v>
          </cell>
          <cell r="O89">
            <v>0</v>
          </cell>
        </row>
        <row r="90">
          <cell r="B90" t="str">
            <v>Escoba 3 (Compra)</v>
          </cell>
          <cell r="C90" t="str">
            <v xml:space="preserve">- Cerdas suaves elaboradas con PET calibre entre 0,3 y 0,4 mm.
- Área de barrido mínima de 35 cm de largo por 8 cm de ancho por 10 cm de alto
- Material de base en plástico con acople tipo rosca
</v>
          </cell>
          <cell r="D90" t="str">
            <v>Unidad</v>
          </cell>
          <cell r="E90">
            <v>67</v>
          </cell>
          <cell r="F90">
            <v>5029</v>
          </cell>
          <cell r="G90">
            <v>2586</v>
          </cell>
          <cell r="H90">
            <v>0</v>
          </cell>
          <cell r="I90">
            <v>0.48578246172201234</v>
          </cell>
          <cell r="J90">
            <v>2586</v>
          </cell>
          <cell r="K90">
            <v>173262</v>
          </cell>
          <cell r="L90">
            <v>256.47899999999998</v>
          </cell>
          <cell r="M90">
            <v>5285.4790000000003</v>
          </cell>
          <cell r="N90">
            <v>2567.5930000000003</v>
          </cell>
          <cell r="O90">
            <v>2717.886</v>
          </cell>
        </row>
        <row r="91">
          <cell r="B91" t="str">
            <v>Escoba 4 (Compra)</v>
          </cell>
          <cell r="C91" t="str">
            <v xml:space="preserve">- Cerdas duras elaboradas con PET calibre entre 0,4 y 0,6 mm.
- Área de barrido mínima de 35 cm de largo por 8 cm de ancho por 10 cm de alto
- Material de base en plástico con acople tipo rosca
</v>
          </cell>
          <cell r="D91" t="str">
            <v>Unidad</v>
          </cell>
          <cell r="E91">
            <v>35</v>
          </cell>
          <cell r="F91">
            <v>5029</v>
          </cell>
          <cell r="G91">
            <v>2522</v>
          </cell>
          <cell r="H91">
            <v>0</v>
          </cell>
          <cell r="I91">
            <v>0.49850864983098031</v>
          </cell>
          <cell r="J91">
            <v>2522</v>
          </cell>
          <cell r="K91">
            <v>88270</v>
          </cell>
          <cell r="L91">
            <v>256.47899999999998</v>
          </cell>
          <cell r="M91">
            <v>5285.4790000000003</v>
          </cell>
          <cell r="N91">
            <v>2634.857</v>
          </cell>
          <cell r="O91">
            <v>2650.6220000000003</v>
          </cell>
        </row>
        <row r="92">
          <cell r="B92" t="str">
            <v>Escoba 5 (Compra)</v>
          </cell>
          <cell r="C92" t="str">
            <v xml:space="preserve">- Cerdas suaves elaboradas con PET calibre entre 0,3 y 0,4 mm.
- Área de barrido mínima de 35 cm de largo por 8 cm de ancho por 10 cm de alto
- Mango de madera proveniente de explotación forestal sostenible certificada ( FSC, PEFC o equivalentes) y/o Mango y Fibra de plástico (reciclado o nuevo) de polipropileno (PP) o polietileno (PE) y/o cabo metálico que no contenga material plastificado
- No debe contener PVC u otros plásticos con cloro. 
- Cabo de madera 140cm elaborada con fibra natural, con soporte para colgar, con capucha plástica protectora que evita que se desprendan las fibras o se deformen
</v>
          </cell>
          <cell r="D92" t="str">
            <v>Unidad</v>
          </cell>
          <cell r="E92">
            <v>0</v>
          </cell>
          <cell r="F92">
            <v>0</v>
          </cell>
          <cell r="G92">
            <v>0</v>
          </cell>
          <cell r="H92">
            <v>0</v>
          </cell>
          <cell r="I92">
            <v>0</v>
          </cell>
          <cell r="J92">
            <v>0</v>
          </cell>
          <cell r="K92">
            <v>0</v>
          </cell>
          <cell r="L92">
            <v>0</v>
          </cell>
          <cell r="M92">
            <v>0</v>
          </cell>
          <cell r="N92">
            <v>0</v>
          </cell>
          <cell r="O92">
            <v>0</v>
          </cell>
        </row>
        <row r="93">
          <cell r="B93" t="str">
            <v>Mango metálico escoba 1 (Compra)</v>
          </cell>
          <cell r="C93" t="str">
            <v xml:space="preserve">- Extensión mínima de 140 cm
 -Acople plástico o rosca para palos de escoba
 </v>
          </cell>
          <cell r="D93" t="str">
            <v>Unidad</v>
          </cell>
          <cell r="E93">
            <v>25</v>
          </cell>
          <cell r="F93">
            <v>8889</v>
          </cell>
          <cell r="G93">
            <v>4153</v>
          </cell>
          <cell r="H93">
            <v>0</v>
          </cell>
          <cell r="I93">
            <v>0.53279334008324897</v>
          </cell>
          <cell r="J93">
            <v>4153</v>
          </cell>
          <cell r="K93">
            <v>103825</v>
          </cell>
          <cell r="L93">
            <v>453.339</v>
          </cell>
          <cell r="M93">
            <v>9342.3389999999999</v>
          </cell>
          <cell r="N93">
            <v>4977.5360000000001</v>
          </cell>
          <cell r="O93">
            <v>4364.8029999999999</v>
          </cell>
        </row>
        <row r="94">
          <cell r="B94" t="str">
            <v>Mango madera escoba 1 (Compra)</v>
          </cell>
          <cell r="C94" t="str">
            <v xml:space="preserve">- Extensión mínima de 140 cm
 -Acople plástico o rosca para palos de escoba
 </v>
          </cell>
          <cell r="D94" t="str">
            <v>Unidad</v>
          </cell>
          <cell r="E94">
            <v>20</v>
          </cell>
          <cell r="F94">
            <v>3682</v>
          </cell>
          <cell r="G94">
            <v>2265</v>
          </cell>
          <cell r="H94">
            <v>0</v>
          </cell>
          <cell r="I94">
            <v>0.38484519282998375</v>
          </cell>
          <cell r="J94">
            <v>2265</v>
          </cell>
          <cell r="K94">
            <v>45300</v>
          </cell>
          <cell r="L94">
            <v>187.78199999999998</v>
          </cell>
          <cell r="M94">
            <v>3869.7820000000002</v>
          </cell>
          <cell r="N94">
            <v>1489.2670000000003</v>
          </cell>
          <cell r="O94">
            <v>2380.5149999999999</v>
          </cell>
        </row>
        <row r="95">
          <cell r="B95" t="str">
            <v>Cepillos 1 (Compra)</v>
          </cell>
          <cell r="C95" t="str">
            <v>- Tipo plancha, con mango de plástico
- Cuerpo elaborado en plástico
- Cerdas duras en fibra plástica
- Tamaño mínimo de 15 cm de largo por 5cm de ancho por 6 cm de alto.</v>
          </cell>
          <cell r="D95" t="str">
            <v>Unidad</v>
          </cell>
          <cell r="E95">
            <v>0</v>
          </cell>
          <cell r="F95">
            <v>0</v>
          </cell>
          <cell r="G95">
            <v>0</v>
          </cell>
          <cell r="H95">
            <v>0</v>
          </cell>
          <cell r="I95">
            <v>0</v>
          </cell>
          <cell r="J95">
            <v>0</v>
          </cell>
          <cell r="K95">
            <v>0</v>
          </cell>
          <cell r="L95">
            <v>0</v>
          </cell>
          <cell r="M95">
            <v>0</v>
          </cell>
          <cell r="N95">
            <v>0</v>
          </cell>
          <cell r="O95">
            <v>0</v>
          </cell>
        </row>
        <row r="96">
          <cell r="B96" t="str">
            <v>Cepillos 2 (Compra)</v>
          </cell>
          <cell r="C96" t="str">
            <v>- Para pisos
- Cuerpo elaborado en plástico
- Cerdas duras en fibra plástica
- Tamaño mínimo de 23 cm de largo por 6 cm de ancho por 7 cm de alto.
- Mango metálico con una extensión mínima de
140 cm</v>
          </cell>
          <cell r="D96" t="str">
            <v>Unidad</v>
          </cell>
          <cell r="E96">
            <v>41</v>
          </cell>
          <cell r="F96">
            <v>15675</v>
          </cell>
          <cell r="G96">
            <v>3156</v>
          </cell>
          <cell r="H96">
            <v>0</v>
          </cell>
          <cell r="I96">
            <v>0.79866028708133974</v>
          </cell>
          <cell r="J96">
            <v>3156</v>
          </cell>
          <cell r="K96">
            <v>129396</v>
          </cell>
          <cell r="L96">
            <v>799.42499999999995</v>
          </cell>
          <cell r="M96">
            <v>16474.424999999999</v>
          </cell>
          <cell r="N96">
            <v>13157.468999999999</v>
          </cell>
          <cell r="O96">
            <v>3316.9560000000001</v>
          </cell>
        </row>
        <row r="97">
          <cell r="B97" t="str">
            <v>Cepillos 3 (Compra)</v>
          </cell>
          <cell r="C97" t="str">
            <v>- Para pisos
- Cuerpo elaborado en plástico
- Cerdas duras en fibra plástica
- Tamaño mínimo de 35 cm de largo por 6 cm de ancho por 7 cm de alto.
- Mango metálico con una extensión mínima de
140 cm</v>
          </cell>
          <cell r="D97" t="str">
            <v>Unidad</v>
          </cell>
          <cell r="E97">
            <v>22</v>
          </cell>
          <cell r="F97">
            <v>26510</v>
          </cell>
          <cell r="G97">
            <v>10520</v>
          </cell>
          <cell r="H97">
            <v>0</v>
          </cell>
          <cell r="I97">
            <v>0.60316861561674839</v>
          </cell>
          <cell r="J97">
            <v>10520</v>
          </cell>
          <cell r="K97">
            <v>231440</v>
          </cell>
          <cell r="L97">
            <v>1352.01</v>
          </cell>
          <cell r="M97">
            <v>27862.01</v>
          </cell>
          <cell r="N97">
            <v>16805.489999999998</v>
          </cell>
          <cell r="O97">
            <v>11056.52</v>
          </cell>
        </row>
        <row r="98">
          <cell r="B98" t="str">
            <v>Trapero 1 (Compra)</v>
          </cell>
          <cell r="C98" t="str">
            <v xml:space="preserve"> - Elaborado con hilaza de algodón natural
 - Mecha con peso mínimo 250 gr y extensión mínima de 32 cm de  largo
 - Material de base en plástico con acople tipo rosca
</v>
          </cell>
          <cell r="D98" t="str">
            <v>Unidad</v>
          </cell>
          <cell r="E98">
            <v>0</v>
          </cell>
          <cell r="F98">
            <v>0</v>
          </cell>
          <cell r="G98">
            <v>0</v>
          </cell>
          <cell r="H98">
            <v>0</v>
          </cell>
          <cell r="I98">
            <v>0</v>
          </cell>
          <cell r="J98">
            <v>0</v>
          </cell>
          <cell r="K98">
            <v>0</v>
          </cell>
          <cell r="L98">
            <v>0</v>
          </cell>
          <cell r="M98">
            <v>0</v>
          </cell>
          <cell r="N98">
            <v>0</v>
          </cell>
          <cell r="O98">
            <v>0</v>
          </cell>
        </row>
        <row r="99">
          <cell r="B99" t="str">
            <v>Trapero 2 (Compra)</v>
          </cell>
          <cell r="C99" t="str">
            <v xml:space="preserve">- Elaborado con hilaza de algodón natural
- Mecha con peso mínimo de 350 gr y extensión mínima de 32 cm de largo
- Material de base en plástico con acople tipo rosca
</v>
          </cell>
          <cell r="D99" t="str">
            <v>Unidad</v>
          </cell>
          <cell r="E99">
            <v>0</v>
          </cell>
          <cell r="F99">
            <v>0</v>
          </cell>
          <cell r="G99">
            <v>0</v>
          </cell>
          <cell r="H99">
            <v>0</v>
          </cell>
          <cell r="I99">
            <v>0</v>
          </cell>
          <cell r="J99">
            <v>0</v>
          </cell>
          <cell r="K99">
            <v>0</v>
          </cell>
          <cell r="L99">
            <v>0</v>
          </cell>
          <cell r="M99">
            <v>0</v>
          </cell>
          <cell r="N99">
            <v>0</v>
          </cell>
          <cell r="O99">
            <v>0</v>
          </cell>
        </row>
        <row r="100">
          <cell r="B100" t="str">
            <v>Trapero 3 (Compra)</v>
          </cell>
          <cell r="C100" t="str">
            <v>- Elaborado con hilaza de algodón natural
- Mecha con peso mínimo de 435 gr y extensión mínima de 32 cm de largo
- Material de base en plástico con acople tipo rosca</v>
          </cell>
          <cell r="D100" t="str">
            <v>Unidad</v>
          </cell>
          <cell r="E100">
            <v>25</v>
          </cell>
          <cell r="F100">
            <v>10047</v>
          </cell>
          <cell r="G100">
            <v>6312</v>
          </cell>
          <cell r="H100">
            <v>0</v>
          </cell>
          <cell r="I100">
            <v>0.37175276201851304</v>
          </cell>
          <cell r="J100">
            <v>6312</v>
          </cell>
          <cell r="K100">
            <v>157800</v>
          </cell>
          <cell r="L100">
            <v>512.39699999999993</v>
          </cell>
          <cell r="M100">
            <v>10559.397000000001</v>
          </cell>
          <cell r="N100">
            <v>3925.485000000001</v>
          </cell>
          <cell r="O100">
            <v>6633.9120000000003</v>
          </cell>
        </row>
        <row r="101">
          <cell r="B101" t="str">
            <v>Trapero 4 (Compra)</v>
          </cell>
          <cell r="C101" t="str">
            <v>- Trapero con cabo en madera 
- Mecha con peso mínimo de 400 gr y extensión mínima de 1.40 cm de largo
- Mango de madera proveniente de explotación forestal sostenible certificada ( FSC, PEFC o equivalentes) y/o cabo metálico que no contenga material plastificado
- Fibras en tela , algodón o pabilo de fibra de Rayón. 
- No debe contener PVC o Poliestireno expandido u otros plásticos de un solo uso tanto en el envase como en el embalaje.</v>
          </cell>
          <cell r="D101" t="str">
            <v>Unidad</v>
          </cell>
          <cell r="E101">
            <v>0</v>
          </cell>
          <cell r="F101">
            <v>0</v>
          </cell>
          <cell r="G101">
            <v>0</v>
          </cell>
          <cell r="H101">
            <v>0</v>
          </cell>
          <cell r="I101">
            <v>0</v>
          </cell>
          <cell r="J101">
            <v>0</v>
          </cell>
          <cell r="K101">
            <v>0</v>
          </cell>
          <cell r="L101">
            <v>0</v>
          </cell>
          <cell r="M101">
            <v>0</v>
          </cell>
          <cell r="N101">
            <v>0</v>
          </cell>
          <cell r="O101">
            <v>0</v>
          </cell>
        </row>
        <row r="102">
          <cell r="B102" t="str">
            <v>Mango metálico trapero (Compra)</v>
          </cell>
          <cell r="C102" t="str">
            <v xml:space="preserve">- Extensión mínima de 140 cm
- Acople plástico o rosca para palos de escoba
 </v>
          </cell>
          <cell r="D102" t="str">
            <v>Unidad</v>
          </cell>
          <cell r="E102">
            <v>59</v>
          </cell>
          <cell r="F102">
            <v>8889</v>
          </cell>
          <cell r="G102">
            <v>4153</v>
          </cell>
          <cell r="H102">
            <v>0</v>
          </cell>
          <cell r="I102">
            <v>0.53279334008324897</v>
          </cell>
          <cell r="J102">
            <v>4153</v>
          </cell>
          <cell r="K102">
            <v>245027</v>
          </cell>
          <cell r="L102">
            <v>453.339</v>
          </cell>
          <cell r="M102">
            <v>9342.3389999999999</v>
          </cell>
          <cell r="N102">
            <v>4977.5360000000001</v>
          </cell>
          <cell r="O102">
            <v>4364.8029999999999</v>
          </cell>
        </row>
        <row r="103">
          <cell r="B103" t="str">
            <v>Mango madera trapero (Compra)</v>
          </cell>
          <cell r="C103" t="str">
            <v xml:space="preserve">- Extensión mínima de 140 cm
- Acople plástico o rosca para palos de escoba
 </v>
          </cell>
          <cell r="D103" t="str">
            <v>Unidad</v>
          </cell>
          <cell r="E103">
            <v>0</v>
          </cell>
          <cell r="F103">
            <v>0</v>
          </cell>
          <cell r="G103">
            <v>0</v>
          </cell>
          <cell r="H103">
            <v>0</v>
          </cell>
          <cell r="I103">
            <v>0</v>
          </cell>
          <cell r="J103">
            <v>0</v>
          </cell>
          <cell r="K103">
            <v>0</v>
          </cell>
          <cell r="L103">
            <v>0</v>
          </cell>
          <cell r="M103">
            <v>0</v>
          </cell>
          <cell r="N103">
            <v>0</v>
          </cell>
          <cell r="O103">
            <v>0</v>
          </cell>
        </row>
        <row r="104">
          <cell r="B104" t="str">
            <v>Cepillo para sanitario (churrusco) (Compra)</v>
          </cell>
          <cell r="C104" t="str">
            <v>- Cerdas duras elaboradas en fibras plásticas
- Extensión mínima de las cerdas es de 2,5 cm
- Base y mango elaborados en plástico
- Mango con longitud mínima de 33 cm (incluida la medida del cepillo)</v>
          </cell>
          <cell r="D104" t="str">
            <v>Unidad</v>
          </cell>
          <cell r="E104">
            <v>25</v>
          </cell>
          <cell r="F104">
            <v>5733</v>
          </cell>
          <cell r="G104">
            <v>3627</v>
          </cell>
          <cell r="H104">
            <v>0</v>
          </cell>
          <cell r="I104">
            <v>0.36734693877551017</v>
          </cell>
          <cell r="J104">
            <v>3627</v>
          </cell>
          <cell r="K104">
            <v>90675</v>
          </cell>
          <cell r="L104">
            <v>292.38299999999998</v>
          </cell>
          <cell r="M104">
            <v>6025.3829999999998</v>
          </cell>
          <cell r="N104">
            <v>2213.4059999999995</v>
          </cell>
          <cell r="O104">
            <v>3811.9770000000003</v>
          </cell>
        </row>
        <row r="105">
          <cell r="B105" t="str">
            <v>Pads 1 (Compra)</v>
          </cell>
          <cell r="C105" t="str">
            <v>- Para brillo
- Diámetro mínimo de 16 pulgadas
- Rojo o blanco</v>
          </cell>
          <cell r="D105" t="str">
            <v>Unidad</v>
          </cell>
          <cell r="E105">
            <v>56</v>
          </cell>
          <cell r="F105">
            <v>17148</v>
          </cell>
          <cell r="G105">
            <v>17148</v>
          </cell>
          <cell r="H105">
            <v>0</v>
          </cell>
          <cell r="I105">
            <v>0</v>
          </cell>
          <cell r="J105">
            <v>17148</v>
          </cell>
          <cell r="K105">
            <v>960288</v>
          </cell>
          <cell r="L105">
            <v>874.54799999999989</v>
          </cell>
          <cell r="M105">
            <v>18022.547999999999</v>
          </cell>
          <cell r="N105">
            <v>0</v>
          </cell>
          <cell r="O105">
            <v>18022.547999999999</v>
          </cell>
        </row>
        <row r="106">
          <cell r="B106" t="str">
            <v>Pads 2 (Compra)</v>
          </cell>
          <cell r="C106" t="str">
            <v>- Para remoción
- Diámetro mínimo de 16 pulgadas
- Café o negro</v>
          </cell>
          <cell r="D106" t="str">
            <v>Unidad</v>
          </cell>
          <cell r="E106">
            <v>65</v>
          </cell>
          <cell r="F106">
            <v>17148</v>
          </cell>
          <cell r="G106">
            <v>17148</v>
          </cell>
          <cell r="H106">
            <v>0</v>
          </cell>
          <cell r="I106">
            <v>0</v>
          </cell>
          <cell r="J106">
            <v>17148</v>
          </cell>
          <cell r="K106">
            <v>1114620</v>
          </cell>
          <cell r="L106">
            <v>874.54799999999989</v>
          </cell>
          <cell r="M106">
            <v>18022.547999999999</v>
          </cell>
          <cell r="N106">
            <v>0</v>
          </cell>
          <cell r="O106">
            <v>18022.547999999999</v>
          </cell>
        </row>
        <row r="107">
          <cell r="B107" t="str">
            <v>Pads 3 (Compra)</v>
          </cell>
          <cell r="C107" t="str">
            <v>- Para brillo
- Diámetro mínimo de 20 pulgadas
- Rojo o blanco</v>
          </cell>
          <cell r="D107" t="str">
            <v>Unidad</v>
          </cell>
          <cell r="E107">
            <v>25</v>
          </cell>
          <cell r="F107">
            <v>28825</v>
          </cell>
          <cell r="G107">
            <v>26300</v>
          </cell>
          <cell r="H107">
            <v>0</v>
          </cell>
          <cell r="I107">
            <v>8.7597571552471831E-2</v>
          </cell>
          <cell r="J107">
            <v>26300</v>
          </cell>
          <cell r="K107">
            <v>657500</v>
          </cell>
          <cell r="L107">
            <v>1470.0749999999998</v>
          </cell>
          <cell r="M107">
            <v>30295.075000000001</v>
          </cell>
          <cell r="N107">
            <v>2653.7750000000005</v>
          </cell>
          <cell r="O107">
            <v>27641.3</v>
          </cell>
        </row>
        <row r="108">
          <cell r="B108" t="str">
            <v>Pads 4 (Compra)</v>
          </cell>
          <cell r="C108" t="str">
            <v>- Para remoción
- Diámetro mínimo de 20 pulgadas
- Café o negro</v>
          </cell>
          <cell r="D108" t="str">
            <v>Unidad</v>
          </cell>
          <cell r="E108">
            <v>25</v>
          </cell>
          <cell r="F108">
            <v>28825</v>
          </cell>
          <cell r="G108">
            <v>26300</v>
          </cell>
          <cell r="H108">
            <v>1</v>
          </cell>
          <cell r="I108">
            <v>1</v>
          </cell>
          <cell r="J108">
            <v>0</v>
          </cell>
          <cell r="K108">
            <v>0</v>
          </cell>
          <cell r="L108">
            <v>1470.0749999999998</v>
          </cell>
          <cell r="M108">
            <v>30295.075000000001</v>
          </cell>
          <cell r="N108">
            <v>30295.075000000001</v>
          </cell>
          <cell r="O108">
            <v>0</v>
          </cell>
        </row>
        <row r="109">
          <cell r="B109" t="str">
            <v>Pads 5 (Compra)</v>
          </cell>
          <cell r="C109" t="str">
            <v>- Pad de fibras para máquinas de baja densidad para lavado suave de mantención, remueve marcas, suciedad y derrames. 
- Diámetro: 17" 
- Color: blanco. 
- No debe contener PVC o Poliestireno expandido u otros plásticos de un solo uso tanto en el envase como en el embalaje.</v>
          </cell>
          <cell r="D109" t="str">
            <v>Unidad</v>
          </cell>
          <cell r="E109">
            <v>0</v>
          </cell>
          <cell r="F109">
            <v>0</v>
          </cell>
          <cell r="G109">
            <v>0</v>
          </cell>
          <cell r="H109">
            <v>0</v>
          </cell>
          <cell r="I109">
            <v>0</v>
          </cell>
          <cell r="J109">
            <v>0</v>
          </cell>
          <cell r="K109">
            <v>0</v>
          </cell>
          <cell r="L109">
            <v>0</v>
          </cell>
          <cell r="M109">
            <v>0</v>
          </cell>
          <cell r="N109">
            <v>0</v>
          </cell>
          <cell r="O109">
            <v>0</v>
          </cell>
        </row>
        <row r="110">
          <cell r="B110" t="str">
            <v>Boneth 1 (Compra)</v>
          </cell>
          <cell r="C110" t="str">
            <v>- Diámetro mínimo de 16 pulgadas
- Elaborado en hilaza de algodón</v>
          </cell>
          <cell r="D110" t="str">
            <v>Unidad</v>
          </cell>
          <cell r="E110">
            <v>20</v>
          </cell>
          <cell r="F110">
            <v>84160</v>
          </cell>
          <cell r="G110">
            <v>36820</v>
          </cell>
          <cell r="H110">
            <v>0</v>
          </cell>
          <cell r="I110">
            <v>0.5625</v>
          </cell>
          <cell r="J110">
            <v>36820</v>
          </cell>
          <cell r="K110">
            <v>736400</v>
          </cell>
          <cell r="L110">
            <v>4292.16</v>
          </cell>
          <cell r="M110">
            <v>88452.160000000003</v>
          </cell>
          <cell r="N110">
            <v>49754.340000000004</v>
          </cell>
          <cell r="O110">
            <v>38697.82</v>
          </cell>
        </row>
        <row r="111">
          <cell r="B111" t="str">
            <v>Boneth 2 (Compra)</v>
          </cell>
          <cell r="C111" t="str">
            <v>- Diámetro mínimo de 20 pulgadas
- Elaborado en hilaza de algodón</v>
          </cell>
          <cell r="D111" t="str">
            <v>Unidad</v>
          </cell>
          <cell r="E111">
            <v>2</v>
          </cell>
          <cell r="F111">
            <v>93838</v>
          </cell>
          <cell r="G111">
            <v>47340</v>
          </cell>
          <cell r="H111">
            <v>0</v>
          </cell>
          <cell r="I111">
            <v>0.49551354461945052</v>
          </cell>
          <cell r="J111">
            <v>47340</v>
          </cell>
          <cell r="K111">
            <v>94680</v>
          </cell>
          <cell r="L111">
            <v>4785.7379999999994</v>
          </cell>
          <cell r="M111">
            <v>98623.737999999998</v>
          </cell>
          <cell r="N111">
            <v>48869.397999999994</v>
          </cell>
          <cell r="O111">
            <v>49754.340000000004</v>
          </cell>
        </row>
        <row r="112">
          <cell r="B112" t="str">
            <v>Bolsas plásticas 1 (Compra)</v>
          </cell>
          <cell r="C112" t="str">
            <v>- Elaborada en polietileno de baja densidad
- De color negro
- Calibre de mínimo 1
- Tamaño de 40 cm de ancho por 55 cm de largo</v>
          </cell>
          <cell r="D112" t="str">
            <v>Paquete de mínimo 6</v>
          </cell>
          <cell r="E112">
            <v>96</v>
          </cell>
          <cell r="F112">
            <v>1525</v>
          </cell>
          <cell r="G112">
            <v>448</v>
          </cell>
          <cell r="H112">
            <v>0</v>
          </cell>
          <cell r="I112">
            <v>0.70622950819672137</v>
          </cell>
          <cell r="J112">
            <v>448</v>
          </cell>
          <cell r="K112">
            <v>43008</v>
          </cell>
          <cell r="L112">
            <v>77.774999999999991</v>
          </cell>
          <cell r="M112">
            <v>1602.7750000000001</v>
          </cell>
          <cell r="N112">
            <v>1131.9270000000001</v>
          </cell>
          <cell r="O112">
            <v>470.84799999999996</v>
          </cell>
        </row>
        <row r="113">
          <cell r="B113" t="str">
            <v>Bolsas plásticas 2 (Compra)</v>
          </cell>
          <cell r="C113" t="str">
            <v>- Elaborada en polietileno de baja densidad
- De color verde
- Calibre de mínimo 1
- Tamaño de 40 cm de ancho por 55 cm de largo</v>
          </cell>
          <cell r="D113" t="str">
            <v>Paquete de mínimo 6</v>
          </cell>
          <cell r="E113">
            <v>0</v>
          </cell>
          <cell r="F113">
            <v>0</v>
          </cell>
          <cell r="G113">
            <v>0</v>
          </cell>
          <cell r="H113">
            <v>0</v>
          </cell>
          <cell r="I113">
            <v>0</v>
          </cell>
          <cell r="J113">
            <v>0</v>
          </cell>
          <cell r="K113">
            <v>0</v>
          </cell>
          <cell r="L113">
            <v>0</v>
          </cell>
          <cell r="M113">
            <v>0</v>
          </cell>
          <cell r="N113">
            <v>0</v>
          </cell>
          <cell r="O113">
            <v>0</v>
          </cell>
        </row>
        <row r="114">
          <cell r="B114" t="str">
            <v>Bolsas plásticas 3 (Compra)</v>
          </cell>
          <cell r="C114" t="str">
            <v>- Elaborada en polietileno de baja densidad
- De color blanco
- Calibre de mínimo 1
- Tamaño de 40 cm de ancho por 55 cm de largo</v>
          </cell>
          <cell r="D114" t="str">
            <v>Paquete de mínimo 6</v>
          </cell>
          <cell r="E114">
            <v>0</v>
          </cell>
          <cell r="F114">
            <v>0</v>
          </cell>
          <cell r="G114">
            <v>0</v>
          </cell>
          <cell r="H114">
            <v>0</v>
          </cell>
          <cell r="I114">
            <v>0</v>
          </cell>
          <cell r="J114">
            <v>0</v>
          </cell>
          <cell r="K114">
            <v>0</v>
          </cell>
          <cell r="L114">
            <v>0</v>
          </cell>
          <cell r="M114">
            <v>0</v>
          </cell>
          <cell r="N114">
            <v>0</v>
          </cell>
          <cell r="O114">
            <v>0</v>
          </cell>
        </row>
        <row r="115">
          <cell r="B115" t="str">
            <v>Bolsas plásticas 4 (Compra)</v>
          </cell>
          <cell r="C115" t="str">
            <v>- Elaborada en polietileno de baja densidad
- De color rojo
- Calibre de mínimo 1
- Tamaño de 40 cm de ancho por 55 cm de largo
 - Con impresión de aviso de riesgo biológico</v>
          </cell>
          <cell r="D115" t="str">
            <v>Paquete de mínimo 6</v>
          </cell>
          <cell r="E115">
            <v>0</v>
          </cell>
          <cell r="F115">
            <v>0</v>
          </cell>
          <cell r="G115">
            <v>0</v>
          </cell>
          <cell r="H115">
            <v>0</v>
          </cell>
          <cell r="I115">
            <v>0</v>
          </cell>
          <cell r="J115">
            <v>0</v>
          </cell>
          <cell r="K115">
            <v>0</v>
          </cell>
          <cell r="L115">
            <v>0</v>
          </cell>
          <cell r="M115">
            <v>0</v>
          </cell>
          <cell r="N115">
            <v>0</v>
          </cell>
          <cell r="O115">
            <v>0</v>
          </cell>
        </row>
        <row r="116">
          <cell r="B116" t="str">
            <v>Bolsas plásticas 8 (Compra)</v>
          </cell>
          <cell r="C116" t="str">
            <v>- Elaborada en polietileno de baja densidad
- De color negro
-Calibre de mínimo 2
- Tamaño de 60 cm de ancho por 70 cm de largo</v>
          </cell>
          <cell r="D116" t="str">
            <v>Paquete de mínimo 6</v>
          </cell>
          <cell r="E116">
            <v>0</v>
          </cell>
          <cell r="F116">
            <v>0</v>
          </cell>
          <cell r="G116">
            <v>0</v>
          </cell>
          <cell r="H116">
            <v>0</v>
          </cell>
          <cell r="I116">
            <v>0</v>
          </cell>
          <cell r="J116">
            <v>0</v>
          </cell>
          <cell r="K116">
            <v>0</v>
          </cell>
          <cell r="L116">
            <v>0</v>
          </cell>
          <cell r="M116">
            <v>0</v>
          </cell>
          <cell r="N116">
            <v>0</v>
          </cell>
          <cell r="O116">
            <v>0</v>
          </cell>
        </row>
        <row r="117">
          <cell r="B117" t="str">
            <v>Bolsas plásticas 9 (Compra)</v>
          </cell>
          <cell r="C117" t="str">
            <v>- Elaborada en polietileno de baja densidad
- De color verde
- Calibre de mínimo 2
- Tamaño de 60 cm de ancho por 70 cm de largo</v>
          </cell>
          <cell r="D117" t="str">
            <v>Paquete de mínimo 6</v>
          </cell>
          <cell r="E117">
            <v>0</v>
          </cell>
          <cell r="F117">
            <v>0</v>
          </cell>
          <cell r="G117">
            <v>0</v>
          </cell>
          <cell r="H117">
            <v>0</v>
          </cell>
          <cell r="I117">
            <v>0</v>
          </cell>
          <cell r="J117">
            <v>0</v>
          </cell>
          <cell r="K117">
            <v>0</v>
          </cell>
          <cell r="L117">
            <v>0</v>
          </cell>
          <cell r="M117">
            <v>0</v>
          </cell>
          <cell r="N117">
            <v>0</v>
          </cell>
          <cell r="O117">
            <v>0</v>
          </cell>
        </row>
        <row r="118">
          <cell r="B118" t="str">
            <v>Bolsas plásticas 10 (Compra)</v>
          </cell>
          <cell r="C118" t="str">
            <v>- Elaborada en polietileno de baja densidad
- De color blanco
- Calibre de mínimo 2
- Tamaño de 60 cm de ancho por 70 cm de largo</v>
          </cell>
          <cell r="D118" t="str">
            <v>Paquete de mínimo 6</v>
          </cell>
          <cell r="E118">
            <v>0</v>
          </cell>
          <cell r="F118">
            <v>0</v>
          </cell>
          <cell r="G118">
            <v>0</v>
          </cell>
          <cell r="H118">
            <v>0</v>
          </cell>
          <cell r="I118">
            <v>0</v>
          </cell>
          <cell r="J118">
            <v>0</v>
          </cell>
          <cell r="K118">
            <v>0</v>
          </cell>
          <cell r="L118">
            <v>0</v>
          </cell>
          <cell r="M118">
            <v>0</v>
          </cell>
          <cell r="N118">
            <v>0</v>
          </cell>
          <cell r="O118">
            <v>0</v>
          </cell>
        </row>
        <row r="119">
          <cell r="B119" t="str">
            <v>Bolsas plásticas 11 (Compra)</v>
          </cell>
          <cell r="C119" t="str">
            <v>- Elaborada en polietileno de baja densidad
- De color rojo
- Calibre de mínimo 2
- Tamaño de 60 cm de ancho por 70 cm de largo
- Con impresión de aviso de riesgo biológico</v>
          </cell>
          <cell r="D119" t="str">
            <v>Paquete de mínimo 6</v>
          </cell>
          <cell r="E119">
            <v>0</v>
          </cell>
          <cell r="F119">
            <v>0</v>
          </cell>
          <cell r="G119">
            <v>0</v>
          </cell>
          <cell r="H119">
            <v>0</v>
          </cell>
          <cell r="I119">
            <v>0</v>
          </cell>
          <cell r="J119">
            <v>0</v>
          </cell>
          <cell r="K119">
            <v>0</v>
          </cell>
          <cell r="L119">
            <v>0</v>
          </cell>
          <cell r="M119">
            <v>0</v>
          </cell>
          <cell r="N119">
            <v>0</v>
          </cell>
          <cell r="O119">
            <v>0</v>
          </cell>
        </row>
        <row r="120">
          <cell r="B120" t="str">
            <v>Bolsas plásticas 15 (Compra)</v>
          </cell>
          <cell r="C120" t="str">
            <v>- Elaborada en polietileno de baja densidad
- De color negro
- Calibre de mínimo 2
- Tamaño de 70 cm de ancho por 90 cm de largo</v>
          </cell>
          <cell r="D120" t="str">
            <v>Paquete de mínimo 6</v>
          </cell>
          <cell r="E120">
            <v>96</v>
          </cell>
          <cell r="F120">
            <v>4366</v>
          </cell>
          <cell r="G120">
            <v>2336</v>
          </cell>
          <cell r="H120">
            <v>0</v>
          </cell>
          <cell r="I120">
            <v>0.46495648190563443</v>
          </cell>
          <cell r="J120">
            <v>2336</v>
          </cell>
          <cell r="K120">
            <v>224256</v>
          </cell>
          <cell r="L120">
            <v>222.666</v>
          </cell>
          <cell r="M120">
            <v>4588.6660000000002</v>
          </cell>
          <cell r="N120">
            <v>2133.5300000000002</v>
          </cell>
          <cell r="O120">
            <v>2455.136</v>
          </cell>
        </row>
        <row r="121">
          <cell r="B121" t="str">
            <v>Bolsas plásticas 16 (Compra)</v>
          </cell>
          <cell r="C121" t="str">
            <v>- Elaborada en polietileno de baja densidad
- De color verde
- Calibre de mínimo 2
- Tamaño de 70 cm de ancho por 90 cm de largo</v>
          </cell>
          <cell r="D121" t="str">
            <v>Paquete de mínimo 6</v>
          </cell>
          <cell r="E121">
            <v>96</v>
          </cell>
          <cell r="F121">
            <v>4503</v>
          </cell>
          <cell r="G121">
            <v>2685</v>
          </cell>
          <cell r="H121">
            <v>0</v>
          </cell>
          <cell r="I121">
            <v>0.40373084610259824</v>
          </cell>
          <cell r="J121">
            <v>2685</v>
          </cell>
          <cell r="K121">
            <v>257760</v>
          </cell>
          <cell r="L121">
            <v>229.65299999999999</v>
          </cell>
          <cell r="M121">
            <v>4732.6530000000002</v>
          </cell>
          <cell r="N121">
            <v>1910.7180000000001</v>
          </cell>
          <cell r="O121">
            <v>2821.9350000000004</v>
          </cell>
        </row>
        <row r="122">
          <cell r="B122" t="str">
            <v>Bolsas plásticas 17 (Compra)</v>
          </cell>
          <cell r="C122" t="str">
            <v>- Elaborada en polietileno de baja densidad
- De color blanco
- Calibre de mínimo 2
- Tamaño de 70 cm de ancho por 90 cm de largo</v>
          </cell>
          <cell r="D122" t="str">
            <v>Paquete de mínimo 6</v>
          </cell>
          <cell r="E122">
            <v>96</v>
          </cell>
          <cell r="F122">
            <v>4503</v>
          </cell>
          <cell r="G122">
            <v>2685</v>
          </cell>
          <cell r="H122">
            <v>0</v>
          </cell>
          <cell r="I122">
            <v>0.40373084610259824</v>
          </cell>
          <cell r="J122">
            <v>2685</v>
          </cell>
          <cell r="K122">
            <v>257760</v>
          </cell>
          <cell r="L122">
            <v>229.65299999999999</v>
          </cell>
          <cell r="M122">
            <v>4732.6530000000002</v>
          </cell>
          <cell r="N122">
            <v>1910.7180000000001</v>
          </cell>
          <cell r="O122">
            <v>2821.9350000000004</v>
          </cell>
        </row>
        <row r="123">
          <cell r="B123" t="str">
            <v>Bolsas plásticas 18 (Compra)</v>
          </cell>
          <cell r="C123" t="str">
            <v>- Elaborada en polietileno de baja densidad
- De color rojo
- Calibre de mínimo 2
- Tamaño de 70 cm de ancho por 90 cm de largo
- Con impresión de aviso de riesgo biológico</v>
          </cell>
          <cell r="D123" t="str">
            <v>Paquete de mínimo 6</v>
          </cell>
          <cell r="E123">
            <v>0</v>
          </cell>
          <cell r="F123">
            <v>0</v>
          </cell>
          <cell r="G123">
            <v>0</v>
          </cell>
          <cell r="H123">
            <v>0</v>
          </cell>
          <cell r="I123">
            <v>0</v>
          </cell>
          <cell r="J123">
            <v>0</v>
          </cell>
          <cell r="K123">
            <v>0</v>
          </cell>
          <cell r="L123">
            <v>0</v>
          </cell>
          <cell r="M123">
            <v>0</v>
          </cell>
          <cell r="N123">
            <v>0</v>
          </cell>
          <cell r="O123">
            <v>0</v>
          </cell>
        </row>
        <row r="124">
          <cell r="B124" t="str">
            <v>Bolsas plásticas 21 (Compra)</v>
          </cell>
          <cell r="C124" t="str">
            <v>- Elaborada en polietileno de baja densidad
- De color negro
- Calibre de mínimo 3
- Tamaño de 80 cm de ancho por 110 cm de largo</v>
          </cell>
          <cell r="D124" t="str">
            <v>Paquete de mínimo 6</v>
          </cell>
          <cell r="E124">
            <v>96</v>
          </cell>
          <cell r="F124">
            <v>6259</v>
          </cell>
          <cell r="G124">
            <v>4970</v>
          </cell>
          <cell r="H124">
            <v>0</v>
          </cell>
          <cell r="I124">
            <v>0.2059434414443202</v>
          </cell>
          <cell r="J124">
            <v>4970</v>
          </cell>
          <cell r="K124">
            <v>477120</v>
          </cell>
          <cell r="L124">
            <v>319.209</v>
          </cell>
          <cell r="M124">
            <v>6578.2089999999998</v>
          </cell>
          <cell r="N124">
            <v>1354.739</v>
          </cell>
          <cell r="O124">
            <v>5223.4699999999993</v>
          </cell>
        </row>
        <row r="125">
          <cell r="B125" t="str">
            <v>Bolsas plásticas 22 (Compra)</v>
          </cell>
          <cell r="C125" t="str">
            <v>- Elaborada en polietileno de baja densidad
- De color verde
- Calibre de mínimo 3
- Tamaño de 80 cm de ancho por 110 cm de largo</v>
          </cell>
          <cell r="D125" t="str">
            <v>Paquete de mínimo 6</v>
          </cell>
          <cell r="E125">
            <v>97</v>
          </cell>
          <cell r="F125">
            <v>6522</v>
          </cell>
          <cell r="G125">
            <v>5486</v>
          </cell>
          <cell r="H125">
            <v>0</v>
          </cell>
          <cell r="I125">
            <v>0.15884697945415516</v>
          </cell>
          <cell r="J125">
            <v>5486</v>
          </cell>
          <cell r="K125">
            <v>532142</v>
          </cell>
          <cell r="L125">
            <v>332.62199999999996</v>
          </cell>
          <cell r="M125">
            <v>6854.6220000000003</v>
          </cell>
          <cell r="N125">
            <v>1088.836</v>
          </cell>
          <cell r="O125">
            <v>5765.7860000000001</v>
          </cell>
        </row>
        <row r="126">
          <cell r="B126" t="str">
            <v>Bolsas plásticas 23 (Compra)</v>
          </cell>
          <cell r="C126" t="str">
            <v>- Elaborada en polietileno de baja densidad
- De color blanco
-Calibre de mínimo 3
- Tamaño de 80 cm de ancho por 110 cm de largo</v>
          </cell>
          <cell r="D126" t="str">
            <v>Paquete de mínimo 6</v>
          </cell>
          <cell r="E126">
            <v>96</v>
          </cell>
          <cell r="F126">
            <v>6522</v>
          </cell>
          <cell r="G126">
            <v>5486</v>
          </cell>
          <cell r="H126">
            <v>0</v>
          </cell>
          <cell r="I126">
            <v>0.15884697945415516</v>
          </cell>
          <cell r="J126">
            <v>5486</v>
          </cell>
          <cell r="K126">
            <v>526656</v>
          </cell>
          <cell r="L126">
            <v>332.62199999999996</v>
          </cell>
          <cell r="M126">
            <v>6854.6220000000003</v>
          </cell>
          <cell r="N126">
            <v>1088.836</v>
          </cell>
          <cell r="O126">
            <v>5765.7860000000001</v>
          </cell>
        </row>
        <row r="127">
          <cell r="B127" t="str">
            <v>Bolsas plásticas 24 (Compra)</v>
          </cell>
          <cell r="C127" t="str">
            <v>- Elaborada en polietileno de baja densidad
- De color rojo
-Calibre de mínimo 3
- Tamaño de 80 cm de ancho por 110 cm de largo
- Con impresión de aviso de riesgo biológico</v>
          </cell>
          <cell r="D127" t="str">
            <v>Paquete de mínimo 6</v>
          </cell>
          <cell r="E127">
            <v>0</v>
          </cell>
          <cell r="F127">
            <v>0</v>
          </cell>
          <cell r="G127">
            <v>0</v>
          </cell>
          <cell r="H127">
            <v>0</v>
          </cell>
          <cell r="I127">
            <v>0</v>
          </cell>
          <cell r="J127">
            <v>0</v>
          </cell>
          <cell r="K127">
            <v>0</v>
          </cell>
          <cell r="L127">
            <v>0</v>
          </cell>
          <cell r="M127">
            <v>0</v>
          </cell>
          <cell r="N127">
            <v>0</v>
          </cell>
          <cell r="O127">
            <v>0</v>
          </cell>
        </row>
        <row r="128">
          <cell r="B128" t="str">
            <v>Guantes 1 (Compra)</v>
          </cell>
          <cell r="C128" t="str">
            <v>- Tipo doméstico
- Elaborados en látex
- Calibre mínimo de 18
- Tallas 7 a 9 o S a XL
- Color amarillo</v>
          </cell>
          <cell r="D128" t="str">
            <v>Par</v>
          </cell>
          <cell r="E128">
            <v>26</v>
          </cell>
          <cell r="F128">
            <v>4702</v>
          </cell>
          <cell r="G128">
            <v>3156</v>
          </cell>
          <cell r="H128">
            <v>0</v>
          </cell>
          <cell r="I128">
            <v>0.32879625691195236</v>
          </cell>
          <cell r="J128">
            <v>3156</v>
          </cell>
          <cell r="K128">
            <v>82056</v>
          </cell>
          <cell r="L128">
            <v>239.80199999999999</v>
          </cell>
          <cell r="M128">
            <v>4941.8019999999997</v>
          </cell>
          <cell r="N128">
            <v>1624.8459999999998</v>
          </cell>
          <cell r="O128">
            <v>3316.9560000000001</v>
          </cell>
        </row>
        <row r="129">
          <cell r="B129" t="str">
            <v>Guantes 2 (Compra)</v>
          </cell>
          <cell r="C129" t="str">
            <v>- Tipo doméstico
- Elaborados en látex
- Calibre mínimo de 18
- Tallas 7 a 9 o S a XL
- Color negro</v>
          </cell>
          <cell r="D129" t="str">
            <v>Par</v>
          </cell>
          <cell r="E129">
            <v>30</v>
          </cell>
          <cell r="F129">
            <v>4681</v>
          </cell>
          <cell r="G129">
            <v>3156</v>
          </cell>
          <cell r="H129">
            <v>0</v>
          </cell>
          <cell r="I129">
            <v>0.32578508865626998</v>
          </cell>
          <cell r="J129">
            <v>3156</v>
          </cell>
          <cell r="K129">
            <v>94680</v>
          </cell>
          <cell r="L129">
            <v>238.73099999999999</v>
          </cell>
          <cell r="M129">
            <v>4919.7309999999998</v>
          </cell>
          <cell r="N129">
            <v>1602.7749999999996</v>
          </cell>
          <cell r="O129">
            <v>3316.9560000000001</v>
          </cell>
        </row>
        <row r="130">
          <cell r="B130" t="str">
            <v>Guantes 3 (Compra)</v>
          </cell>
          <cell r="C130" t="str">
            <v>- Tipo doméstico
- Elaborados en látex
- Calibre mínimo de 25
- Tallas 7 a 9 o S a XL
- Color negro</v>
          </cell>
          <cell r="D130" t="str">
            <v>Par</v>
          </cell>
          <cell r="E130">
            <v>0</v>
          </cell>
          <cell r="F130">
            <v>0</v>
          </cell>
          <cell r="G130">
            <v>0</v>
          </cell>
          <cell r="H130">
            <v>0</v>
          </cell>
          <cell r="I130">
            <v>0</v>
          </cell>
          <cell r="J130">
            <v>0</v>
          </cell>
          <cell r="K130">
            <v>0</v>
          </cell>
          <cell r="L130">
            <v>0</v>
          </cell>
          <cell r="M130">
            <v>0</v>
          </cell>
          <cell r="N130">
            <v>0</v>
          </cell>
          <cell r="O130">
            <v>0</v>
          </cell>
        </row>
        <row r="131">
          <cell r="B131" t="str">
            <v>Guantes 4 (Compra)</v>
          </cell>
          <cell r="C131" t="str">
            <v>- Tipo doméstico
- Elaborados en látex
- Calibre mínimo de 25
- Tallas 7 a 9 o S a XL
- Color rojo</v>
          </cell>
          <cell r="D131" t="str">
            <v>Par</v>
          </cell>
          <cell r="E131">
            <v>30</v>
          </cell>
          <cell r="F131">
            <v>5523</v>
          </cell>
          <cell r="G131">
            <v>3604</v>
          </cell>
          <cell r="H131">
            <v>0</v>
          </cell>
          <cell r="I131">
            <v>0.34745609270324096</v>
          </cell>
          <cell r="J131">
            <v>3604</v>
          </cell>
          <cell r="K131">
            <v>108120</v>
          </cell>
          <cell r="L131">
            <v>281.673</v>
          </cell>
          <cell r="M131">
            <v>5804.6729999999998</v>
          </cell>
          <cell r="N131">
            <v>2016.8689999999997</v>
          </cell>
          <cell r="O131">
            <v>3787.8040000000001</v>
          </cell>
        </row>
        <row r="132">
          <cell r="B132" t="str">
            <v>Guantes 5 (Compra)</v>
          </cell>
          <cell r="C132" t="str">
            <v>- Tipo industrial
- Elaborados en látex
- Calibre mínimo de 35
- Tallas 7 a 9 o S a XL
- Color negro</v>
          </cell>
          <cell r="D132" t="str">
            <v>Par</v>
          </cell>
          <cell r="E132">
            <v>0</v>
          </cell>
          <cell r="F132">
            <v>0</v>
          </cell>
          <cell r="G132">
            <v>0</v>
          </cell>
          <cell r="H132">
            <v>0</v>
          </cell>
          <cell r="I132">
            <v>0</v>
          </cell>
          <cell r="J132">
            <v>0</v>
          </cell>
          <cell r="K132">
            <v>0</v>
          </cell>
          <cell r="L132">
            <v>0</v>
          </cell>
          <cell r="M132">
            <v>0</v>
          </cell>
          <cell r="N132">
            <v>0</v>
          </cell>
          <cell r="O132">
            <v>0</v>
          </cell>
        </row>
        <row r="133">
          <cell r="B133" t="str">
            <v>Guantes 6 (Compra)</v>
          </cell>
          <cell r="C133" t="str">
            <v>- Elaborados en látex desechable (tipo cirugía)
- Empovaldos
- Tallas XS a XXL</v>
          </cell>
          <cell r="D133" t="str">
            <v>Caja de mínimo 100 unidades</v>
          </cell>
          <cell r="E133">
            <v>5</v>
          </cell>
          <cell r="F133">
            <v>23249</v>
          </cell>
          <cell r="G133">
            <v>18741</v>
          </cell>
          <cell r="H133">
            <v>1</v>
          </cell>
          <cell r="I133">
            <v>1</v>
          </cell>
          <cell r="J133">
            <v>0</v>
          </cell>
          <cell r="K133">
            <v>0</v>
          </cell>
          <cell r="L133">
            <v>1185.6989999999998</v>
          </cell>
          <cell r="M133">
            <v>24434.699000000001</v>
          </cell>
          <cell r="N133">
            <v>24434.699000000001</v>
          </cell>
          <cell r="O133">
            <v>0</v>
          </cell>
        </row>
        <row r="134">
          <cell r="B134" t="str">
            <v>Guantes 7 (Compra)</v>
          </cell>
          <cell r="C134" t="str">
            <v>- Elaborados en carnaza
- Tallas 7 a 9 o S a XL</v>
          </cell>
          <cell r="D134" t="str">
            <v>Par</v>
          </cell>
          <cell r="E134">
            <v>7</v>
          </cell>
          <cell r="F134">
            <v>10047</v>
          </cell>
          <cell r="G134">
            <v>7494</v>
          </cell>
          <cell r="H134">
            <v>1</v>
          </cell>
          <cell r="I134">
            <v>1</v>
          </cell>
          <cell r="J134">
            <v>0</v>
          </cell>
          <cell r="K134">
            <v>0</v>
          </cell>
          <cell r="L134">
            <v>512.39699999999993</v>
          </cell>
          <cell r="M134">
            <v>10559.397000000001</v>
          </cell>
          <cell r="N134">
            <v>10559.397000000001</v>
          </cell>
          <cell r="O134">
            <v>0</v>
          </cell>
        </row>
        <row r="135">
          <cell r="B135" t="str">
            <v>Guantes 8 (Compra)</v>
          </cell>
          <cell r="C135" t="str">
            <v>- Tipo mosquetero
- Calibre mínimo de 40
- Tallas 7 a 9 o S a XL
- Color negro</v>
          </cell>
          <cell r="D135" t="str">
            <v>Par</v>
          </cell>
          <cell r="E135">
            <v>0</v>
          </cell>
          <cell r="F135">
            <v>0</v>
          </cell>
          <cell r="G135">
            <v>0</v>
          </cell>
          <cell r="H135">
            <v>0</v>
          </cell>
          <cell r="I135">
            <v>0</v>
          </cell>
          <cell r="J135">
            <v>0</v>
          </cell>
          <cell r="K135">
            <v>0</v>
          </cell>
          <cell r="L135">
            <v>0</v>
          </cell>
          <cell r="M135">
            <v>0</v>
          </cell>
          <cell r="N135">
            <v>0</v>
          </cell>
          <cell r="O135">
            <v>0</v>
          </cell>
        </row>
        <row r="136">
          <cell r="B136" t="str">
            <v>Guantes 9 (Compra)</v>
          </cell>
          <cell r="C136" t="str">
            <v>- Elaborados en hilaza
- Tallas 7 a 9 o S a XL</v>
          </cell>
          <cell r="D136" t="str">
            <v>Par</v>
          </cell>
          <cell r="E136">
            <v>34</v>
          </cell>
          <cell r="F136">
            <v>4839</v>
          </cell>
          <cell r="G136">
            <v>2630</v>
          </cell>
          <cell r="H136">
            <v>1</v>
          </cell>
          <cell r="I136">
            <v>1</v>
          </cell>
          <cell r="J136">
            <v>0</v>
          </cell>
          <cell r="K136">
            <v>0</v>
          </cell>
          <cell r="L136">
            <v>246.78899999999999</v>
          </cell>
          <cell r="M136">
            <v>5085.7889999999998</v>
          </cell>
          <cell r="N136">
            <v>5085.7889999999998</v>
          </cell>
          <cell r="O136">
            <v>0</v>
          </cell>
        </row>
        <row r="137">
          <cell r="B137" t="str">
            <v>Tapabocas Desechable (Compra)</v>
          </cell>
          <cell r="C137" t="str">
            <v>- Elaborado en tela no tejida
- Desechable
- Con tiras elásticas</v>
          </cell>
          <cell r="D137" t="str">
            <v>Caja de mínimo 50 unidades</v>
          </cell>
          <cell r="E137">
            <v>6</v>
          </cell>
          <cell r="F137">
            <v>18200</v>
          </cell>
          <cell r="G137">
            <v>5927</v>
          </cell>
          <cell r="H137">
            <v>0</v>
          </cell>
          <cell r="I137">
            <v>0.67434065934065934</v>
          </cell>
          <cell r="J137">
            <v>5927</v>
          </cell>
          <cell r="K137">
            <v>35562</v>
          </cell>
          <cell r="L137">
            <v>928.19999999999993</v>
          </cell>
          <cell r="M137">
            <v>19128.2</v>
          </cell>
          <cell r="N137">
            <v>12898.923000000001</v>
          </cell>
          <cell r="O137">
            <v>6229.277</v>
          </cell>
        </row>
        <row r="138">
          <cell r="B138" t="str">
            <v>Tapabocas Industrial (Compra)</v>
          </cell>
          <cell r="C138" t="str">
            <v>- Material no tejido suave con filtro
- Color blanco y negro
- Uso civil o medico
- Clip nasal ajustable</v>
          </cell>
          <cell r="D138" t="str">
            <v>Caja de mínimo 50 unidades</v>
          </cell>
          <cell r="E138">
            <v>0</v>
          </cell>
          <cell r="F138">
            <v>0</v>
          </cell>
          <cell r="G138">
            <v>0</v>
          </cell>
          <cell r="H138">
            <v>0</v>
          </cell>
          <cell r="I138">
            <v>0</v>
          </cell>
          <cell r="J138">
            <v>0</v>
          </cell>
          <cell r="K138">
            <v>0</v>
          </cell>
          <cell r="L138">
            <v>0</v>
          </cell>
          <cell r="M138">
            <v>0</v>
          </cell>
          <cell r="N138">
            <v>0</v>
          </cell>
          <cell r="O138">
            <v>0</v>
          </cell>
        </row>
        <row r="139">
          <cell r="B139" t="str">
            <v>Papel higiénico 1 (Compra)</v>
          </cell>
          <cell r="C139" t="str">
            <v xml:space="preserve"> - Rollo con longitud mínima de 20 metros
 - Doble hoja blanca
 - Sin fragancia</v>
          </cell>
          <cell r="D139" t="str">
            <v>Rollo</v>
          </cell>
          <cell r="E139">
            <v>10</v>
          </cell>
          <cell r="F139">
            <v>1631</v>
          </cell>
          <cell r="G139">
            <v>1185</v>
          </cell>
          <cell r="H139">
            <v>0</v>
          </cell>
          <cell r="I139">
            <v>0.27345187001839366</v>
          </cell>
          <cell r="J139">
            <v>1185</v>
          </cell>
          <cell r="K139">
            <v>11850</v>
          </cell>
          <cell r="L139">
            <v>83.180999999999997</v>
          </cell>
          <cell r="M139">
            <v>1714.181</v>
          </cell>
          <cell r="N139">
            <v>468.74600000000009</v>
          </cell>
          <cell r="O139">
            <v>1245.4349999999999</v>
          </cell>
        </row>
        <row r="140">
          <cell r="B140" t="str">
            <v>Papel higiénico 2 (Compra)</v>
          </cell>
          <cell r="C140" t="str">
            <v>- Rollo con longitud mínima de 250 metros
- Doble hoja de color natural
- Sin fragancia</v>
          </cell>
          <cell r="D140" t="str">
            <v>Rollo</v>
          </cell>
          <cell r="E140">
            <v>0</v>
          </cell>
          <cell r="F140">
            <v>0</v>
          </cell>
          <cell r="G140">
            <v>0</v>
          </cell>
          <cell r="H140">
            <v>0</v>
          </cell>
          <cell r="I140">
            <v>0</v>
          </cell>
          <cell r="J140">
            <v>0</v>
          </cell>
          <cell r="K140">
            <v>0</v>
          </cell>
          <cell r="L140">
            <v>0</v>
          </cell>
          <cell r="M140">
            <v>0</v>
          </cell>
          <cell r="N140">
            <v>0</v>
          </cell>
          <cell r="O140">
            <v>0</v>
          </cell>
        </row>
        <row r="141">
          <cell r="B141" t="str">
            <v>Papel higiénico 3 (Compra)</v>
          </cell>
          <cell r="C141" t="str">
            <v>- Rollo con longitud mínima de 250 metros
- Doble hoja de color natural
- Sin fragancia</v>
          </cell>
          <cell r="D141" t="str">
            <v>Paca X 4 rollos</v>
          </cell>
          <cell r="E141">
            <v>71</v>
          </cell>
          <cell r="F141">
            <v>54178</v>
          </cell>
          <cell r="G141">
            <v>24196</v>
          </cell>
          <cell r="H141">
            <v>0</v>
          </cell>
          <cell r="I141">
            <v>0.55339805825242716</v>
          </cell>
          <cell r="J141">
            <v>24196</v>
          </cell>
          <cell r="K141">
            <v>1717916</v>
          </cell>
          <cell r="L141">
            <v>2763.078</v>
          </cell>
          <cell r="M141">
            <v>56941.078000000001</v>
          </cell>
          <cell r="N141">
            <v>31511.081999999999</v>
          </cell>
          <cell r="O141">
            <v>25429.996000000003</v>
          </cell>
        </row>
        <row r="142">
          <cell r="B142" t="str">
            <v>Papel higiénico 4 (Compra)</v>
          </cell>
          <cell r="C142" t="str">
            <v>- Rollo con longitud mínima de 250 metros
- Doble hoja blanca
- Sin fragancia</v>
          </cell>
          <cell r="D142" t="str">
            <v>Rollo</v>
          </cell>
          <cell r="E142">
            <v>0</v>
          </cell>
          <cell r="F142">
            <v>0</v>
          </cell>
          <cell r="G142">
            <v>0</v>
          </cell>
          <cell r="H142">
            <v>0</v>
          </cell>
          <cell r="I142">
            <v>0</v>
          </cell>
          <cell r="J142">
            <v>0</v>
          </cell>
          <cell r="K142">
            <v>0</v>
          </cell>
          <cell r="L142">
            <v>0</v>
          </cell>
          <cell r="M142">
            <v>0</v>
          </cell>
          <cell r="N142">
            <v>0</v>
          </cell>
          <cell r="O142">
            <v>0</v>
          </cell>
        </row>
        <row r="143">
          <cell r="B143" t="str">
            <v>Papel higiénico 5 (Compra)</v>
          </cell>
          <cell r="C143" t="str">
            <v>- Rollo con longitud mínima de 250 metros
- Doble hoja blanca
- Sin fragancia</v>
          </cell>
          <cell r="D143" t="str">
            <v>Paca X 4 rollos</v>
          </cell>
          <cell r="E143">
            <v>0</v>
          </cell>
          <cell r="F143">
            <v>0</v>
          </cell>
          <cell r="G143">
            <v>0</v>
          </cell>
          <cell r="H143">
            <v>0</v>
          </cell>
          <cell r="I143">
            <v>0</v>
          </cell>
          <cell r="J143">
            <v>0</v>
          </cell>
          <cell r="K143">
            <v>0</v>
          </cell>
          <cell r="L143">
            <v>0</v>
          </cell>
          <cell r="M143">
            <v>0</v>
          </cell>
          <cell r="N143">
            <v>0</v>
          </cell>
          <cell r="O143">
            <v>0</v>
          </cell>
        </row>
        <row r="144">
          <cell r="B144" t="str">
            <v>Papel higiénico 6 (Compra)</v>
          </cell>
          <cell r="C144" t="str">
            <v>- Rollo con longitud mínima de 400 metros
- Hoja sencilla de color natural
- Sinfragancia</v>
          </cell>
          <cell r="D144" t="str">
            <v>Rollo</v>
          </cell>
          <cell r="E144">
            <v>0</v>
          </cell>
          <cell r="F144">
            <v>0</v>
          </cell>
          <cell r="G144">
            <v>0</v>
          </cell>
          <cell r="H144">
            <v>0</v>
          </cell>
          <cell r="I144">
            <v>0</v>
          </cell>
          <cell r="J144">
            <v>0</v>
          </cell>
          <cell r="K144">
            <v>0</v>
          </cell>
          <cell r="L144">
            <v>0</v>
          </cell>
          <cell r="M144">
            <v>0</v>
          </cell>
          <cell r="N144">
            <v>0</v>
          </cell>
          <cell r="O144">
            <v>0</v>
          </cell>
        </row>
        <row r="145">
          <cell r="B145" t="str">
            <v>Papel higiénico 7 (Compra)</v>
          </cell>
          <cell r="C145" t="str">
            <v>- Rollo con longitud mínima de 400 metros
- Hoja sencilla de color natural
- Sinfragancia</v>
          </cell>
          <cell r="D145" t="str">
            <v>Paca X 4 rollos</v>
          </cell>
          <cell r="E145">
            <v>0</v>
          </cell>
          <cell r="F145">
            <v>0</v>
          </cell>
          <cell r="G145">
            <v>0</v>
          </cell>
          <cell r="H145">
            <v>0</v>
          </cell>
          <cell r="I145">
            <v>0</v>
          </cell>
          <cell r="J145">
            <v>0</v>
          </cell>
          <cell r="K145">
            <v>0</v>
          </cell>
          <cell r="L145">
            <v>0</v>
          </cell>
          <cell r="M145">
            <v>0</v>
          </cell>
          <cell r="N145">
            <v>0</v>
          </cell>
          <cell r="O145">
            <v>0</v>
          </cell>
        </row>
        <row r="146">
          <cell r="B146" t="str">
            <v>Papel higiénico 8 (Compra)</v>
          </cell>
          <cell r="C146" t="str">
            <v xml:space="preserve"> - Rollo con longitud mínima de 400 metros
 - Hoja sencilla de color blanco
 - Sin fragancia</v>
          </cell>
          <cell r="D146" t="str">
            <v>Rollo</v>
          </cell>
          <cell r="E146">
            <v>0</v>
          </cell>
          <cell r="F146">
            <v>0</v>
          </cell>
          <cell r="G146">
            <v>0</v>
          </cell>
          <cell r="H146">
            <v>0</v>
          </cell>
          <cell r="I146">
            <v>0</v>
          </cell>
          <cell r="J146">
            <v>0</v>
          </cell>
          <cell r="K146">
            <v>0</v>
          </cell>
          <cell r="L146">
            <v>0</v>
          </cell>
          <cell r="M146">
            <v>0</v>
          </cell>
          <cell r="N146">
            <v>0</v>
          </cell>
          <cell r="O146">
            <v>0</v>
          </cell>
        </row>
        <row r="147">
          <cell r="B147" t="str">
            <v>Papel higiénico 9 (Compra)</v>
          </cell>
          <cell r="C147" t="str">
            <v xml:space="preserve"> - Rollo con longitud mínima de 400 metros
 - Hoja sencilla de color blanco
 - Sin fragancia</v>
          </cell>
          <cell r="D147" t="str">
            <v>Paca X 4 rollos</v>
          </cell>
          <cell r="E147">
            <v>0</v>
          </cell>
          <cell r="F147">
            <v>0</v>
          </cell>
          <cell r="G147">
            <v>0</v>
          </cell>
          <cell r="H147">
            <v>0</v>
          </cell>
          <cell r="I147">
            <v>0</v>
          </cell>
          <cell r="J147">
            <v>0</v>
          </cell>
          <cell r="K147">
            <v>0</v>
          </cell>
          <cell r="L147">
            <v>0</v>
          </cell>
          <cell r="M147">
            <v>0</v>
          </cell>
          <cell r="N147">
            <v>0</v>
          </cell>
          <cell r="O147">
            <v>0</v>
          </cell>
        </row>
        <row r="148">
          <cell r="B148" t="str">
            <v>Toallas para manos 1 (Compra)</v>
          </cell>
          <cell r="C148" t="str">
            <v>- Rollo con longitud mínima de 100 metros
- Doble hoja con un tamaño mínimo 15 cm de ancho
- Disponibles en color blanco</v>
          </cell>
          <cell r="D148" t="str">
            <v>Rollo</v>
          </cell>
          <cell r="E148">
            <v>0</v>
          </cell>
          <cell r="F148">
            <v>0</v>
          </cell>
          <cell r="G148">
            <v>0</v>
          </cell>
          <cell r="H148">
            <v>0</v>
          </cell>
          <cell r="I148">
            <v>0</v>
          </cell>
          <cell r="J148">
            <v>0</v>
          </cell>
          <cell r="K148">
            <v>0</v>
          </cell>
          <cell r="L148">
            <v>0</v>
          </cell>
          <cell r="M148">
            <v>0</v>
          </cell>
          <cell r="N148">
            <v>0</v>
          </cell>
          <cell r="O148">
            <v>0</v>
          </cell>
        </row>
        <row r="149">
          <cell r="B149" t="str">
            <v>Toallas para manos 2 (Compra)</v>
          </cell>
          <cell r="C149" t="str">
            <v>- Rollo con longitud mínima de 100 metros
- Doble hoja con un tamaño mínimo 15 cm de ancho
- Disponibles en color natural</v>
          </cell>
          <cell r="D149" t="str">
            <v>Rollo</v>
          </cell>
          <cell r="E149">
            <v>0</v>
          </cell>
          <cell r="F149">
            <v>0</v>
          </cell>
          <cell r="G149">
            <v>0</v>
          </cell>
          <cell r="H149">
            <v>0</v>
          </cell>
          <cell r="I149">
            <v>0</v>
          </cell>
          <cell r="J149">
            <v>0</v>
          </cell>
          <cell r="K149">
            <v>0</v>
          </cell>
          <cell r="L149">
            <v>0</v>
          </cell>
          <cell r="M149">
            <v>0</v>
          </cell>
          <cell r="N149">
            <v>0</v>
          </cell>
          <cell r="O149">
            <v>0</v>
          </cell>
        </row>
        <row r="150">
          <cell r="B150" t="str">
            <v>Toallas para manos 3 (Compra)</v>
          </cell>
          <cell r="C150" t="str">
            <v xml:space="preserve"> - Rollo con longitud mínima de 150 metros
 - Doble hoja con un tamaño mínimo 15 cm de ancho
 - Disponibles en color blanco
 - Sin olor o fragancia</v>
          </cell>
          <cell r="D150" t="str">
            <v>Rollo</v>
          </cell>
          <cell r="E150">
            <v>0</v>
          </cell>
          <cell r="F150">
            <v>0</v>
          </cell>
          <cell r="G150">
            <v>0</v>
          </cell>
          <cell r="H150">
            <v>0</v>
          </cell>
          <cell r="I150">
            <v>0</v>
          </cell>
          <cell r="J150">
            <v>0</v>
          </cell>
          <cell r="K150">
            <v>0</v>
          </cell>
          <cell r="L150">
            <v>0</v>
          </cell>
          <cell r="M150">
            <v>0</v>
          </cell>
          <cell r="N150">
            <v>0</v>
          </cell>
          <cell r="O150">
            <v>0</v>
          </cell>
        </row>
        <row r="151">
          <cell r="B151" t="str">
            <v>Toallas para manos 4 (Compra)</v>
          </cell>
          <cell r="C151" t="str">
            <v xml:space="preserve"> - Rollo con longitud mínima de 150 metros
 - Doble hoja con un tamaño mínimo 15 cm de ancho
 - Disponibles en color natural
 - Sin fragancia</v>
          </cell>
          <cell r="D151" t="str">
            <v>Rollo</v>
          </cell>
          <cell r="E151">
            <v>0</v>
          </cell>
          <cell r="F151">
            <v>0</v>
          </cell>
          <cell r="G151">
            <v>0</v>
          </cell>
          <cell r="H151">
            <v>0</v>
          </cell>
          <cell r="I151">
            <v>0</v>
          </cell>
          <cell r="J151">
            <v>0</v>
          </cell>
          <cell r="K151">
            <v>0</v>
          </cell>
          <cell r="L151">
            <v>0</v>
          </cell>
          <cell r="M151">
            <v>0</v>
          </cell>
          <cell r="N151">
            <v>0</v>
          </cell>
          <cell r="O151">
            <v>0</v>
          </cell>
        </row>
        <row r="152">
          <cell r="B152" t="str">
            <v>Toallas para manos 5 (Compra)</v>
          </cell>
          <cell r="C152" t="str">
            <v>- Toallas interdobladas, paquete con mínimo 150 unidades
- Doble hoja con un tamaño mínimo de 20 cm de largo por 15 cm de ancho
 - Hoja color natural</v>
          </cell>
          <cell r="D152" t="str">
            <v>Unidad</v>
          </cell>
          <cell r="E152">
            <v>0</v>
          </cell>
          <cell r="F152">
            <v>0</v>
          </cell>
          <cell r="G152">
            <v>0</v>
          </cell>
          <cell r="H152">
            <v>0</v>
          </cell>
          <cell r="I152">
            <v>0</v>
          </cell>
          <cell r="J152">
            <v>0</v>
          </cell>
          <cell r="K152">
            <v>0</v>
          </cell>
          <cell r="L152">
            <v>0</v>
          </cell>
          <cell r="M152">
            <v>0</v>
          </cell>
          <cell r="N152">
            <v>0</v>
          </cell>
          <cell r="O152">
            <v>0</v>
          </cell>
        </row>
        <row r="153">
          <cell r="B153" t="str">
            <v>Toallas para manos 6 (Compra)</v>
          </cell>
          <cell r="C153" t="str">
            <v>- Toallas interdobladas, paquete con mínimo 150 unidades
- Doble hoja con un tamaño mínimo de 20 cm de largo por 15 cm de ancho
 - Hoja color blanco</v>
          </cell>
          <cell r="D153" t="str">
            <v>Unidad</v>
          </cell>
          <cell r="E153">
            <v>310</v>
          </cell>
          <cell r="F153">
            <v>8416</v>
          </cell>
          <cell r="G153">
            <v>4208</v>
          </cell>
          <cell r="H153">
            <v>0</v>
          </cell>
          <cell r="I153">
            <v>0.5</v>
          </cell>
          <cell r="J153">
            <v>4208</v>
          </cell>
          <cell r="K153">
            <v>1304480</v>
          </cell>
          <cell r="L153">
            <v>429.21599999999995</v>
          </cell>
          <cell r="M153">
            <v>8845.2160000000003</v>
          </cell>
          <cell r="N153">
            <v>4422.6080000000002</v>
          </cell>
          <cell r="O153">
            <v>4422.6080000000002</v>
          </cell>
        </row>
        <row r="154">
          <cell r="B154" t="str">
            <v>Toallas para manos 7 (Compra)</v>
          </cell>
          <cell r="C154" t="str">
            <v>- Toallas con precorte
- Rollo con longitud mínima de 100 metros
- Doble hoja con tamaño mínimo de 15 cms de ancho
- Color Blanco
- Sin fragancia</v>
          </cell>
          <cell r="D154" t="str">
            <v>Unidad</v>
          </cell>
          <cell r="E154">
            <v>25</v>
          </cell>
          <cell r="F154">
            <v>20935</v>
          </cell>
          <cell r="G154">
            <v>11682</v>
          </cell>
          <cell r="H154">
            <v>1</v>
          </cell>
          <cell r="I154">
            <v>1</v>
          </cell>
          <cell r="J154">
            <v>0</v>
          </cell>
          <cell r="K154">
            <v>0</v>
          </cell>
          <cell r="L154">
            <v>1067.6849999999999</v>
          </cell>
          <cell r="M154">
            <v>22002.685000000001</v>
          </cell>
          <cell r="N154">
            <v>22002.685000000001</v>
          </cell>
          <cell r="O154">
            <v>0</v>
          </cell>
        </row>
        <row r="155">
          <cell r="B155" t="str">
            <v>Toallas para manos 8 (Compra)</v>
          </cell>
          <cell r="C155" t="str">
            <v>- Toallas con precorte
- Rollo con longitud mínima de 100 metros
- Doble hoja con tamaño mínimo de 15 cms de ancho
- Color Natural
- Sin fragancia</v>
          </cell>
          <cell r="D155" t="str">
            <v>Unidad</v>
          </cell>
          <cell r="E155">
            <v>0</v>
          </cell>
          <cell r="F155">
            <v>0</v>
          </cell>
          <cell r="G155">
            <v>0</v>
          </cell>
          <cell r="H155">
            <v>0</v>
          </cell>
          <cell r="I155">
            <v>0</v>
          </cell>
          <cell r="J155">
            <v>0</v>
          </cell>
          <cell r="K155">
            <v>0</v>
          </cell>
          <cell r="L155">
            <v>0</v>
          </cell>
          <cell r="M155">
            <v>0</v>
          </cell>
          <cell r="N155">
            <v>0</v>
          </cell>
          <cell r="O155">
            <v>0</v>
          </cell>
        </row>
        <row r="156">
          <cell r="B156" t="str">
            <v>Pañuelos (Compra)</v>
          </cell>
          <cell r="C156" t="str">
            <v>- Doble hoja
- Color blanco</v>
          </cell>
          <cell r="D156" t="str">
            <v>Caja de mínimo 50 unidades</v>
          </cell>
          <cell r="E156">
            <v>5</v>
          </cell>
          <cell r="F156">
            <v>5292</v>
          </cell>
          <cell r="G156">
            <v>3604</v>
          </cell>
          <cell r="H156">
            <v>1</v>
          </cell>
          <cell r="I156">
            <v>1</v>
          </cell>
          <cell r="J156">
            <v>0</v>
          </cell>
          <cell r="K156">
            <v>0</v>
          </cell>
          <cell r="L156">
            <v>269.892</v>
          </cell>
          <cell r="M156">
            <v>5561.8919999999998</v>
          </cell>
          <cell r="N156">
            <v>5561.8919999999998</v>
          </cell>
          <cell r="O156">
            <v>0</v>
          </cell>
        </row>
        <row r="157">
          <cell r="B157" t="str">
            <v>Vasos biodegradables 1 (Compra)</v>
          </cell>
          <cell r="C157" t="str">
            <v xml:space="preserve"> - Elaborado en cartón 97% biodegradable
- Capacidad mínima de 4 oz</v>
          </cell>
          <cell r="D157" t="str">
            <v>Paquete de mínimo 50 unidades</v>
          </cell>
          <cell r="E157">
            <v>96</v>
          </cell>
          <cell r="F157">
            <v>5292</v>
          </cell>
          <cell r="G157">
            <v>3524</v>
          </cell>
          <cell r="H157">
            <v>0</v>
          </cell>
          <cell r="I157">
            <v>0.33408919123204839</v>
          </cell>
          <cell r="J157">
            <v>3524</v>
          </cell>
          <cell r="K157">
            <v>338304</v>
          </cell>
          <cell r="L157">
            <v>269.892</v>
          </cell>
          <cell r="M157">
            <v>5561.8919999999998</v>
          </cell>
          <cell r="N157">
            <v>1858.1680000000001</v>
          </cell>
          <cell r="O157">
            <v>3703.7239999999997</v>
          </cell>
        </row>
        <row r="158">
          <cell r="B158" t="str">
            <v>Vasos biodegradables 2 (Compra)</v>
          </cell>
          <cell r="C158" t="str">
            <v xml:space="preserve"> - Elaborado en cartón 97% biodegradable
 - Capacidad mínima de 6 oz</v>
          </cell>
          <cell r="D158" t="str">
            <v>Paquete de mínimo 50</v>
          </cell>
          <cell r="E158">
            <v>70</v>
          </cell>
          <cell r="F158">
            <v>8153</v>
          </cell>
          <cell r="G158">
            <v>4208</v>
          </cell>
          <cell r="H158">
            <v>0</v>
          </cell>
          <cell r="I158">
            <v>0.4838709677419355</v>
          </cell>
          <cell r="J158">
            <v>4208</v>
          </cell>
          <cell r="K158">
            <v>294560</v>
          </cell>
          <cell r="L158">
            <v>415.803</v>
          </cell>
          <cell r="M158">
            <v>8568.8029999999999</v>
          </cell>
          <cell r="N158">
            <v>4146.1949999999997</v>
          </cell>
          <cell r="O158">
            <v>4422.6080000000002</v>
          </cell>
        </row>
        <row r="159">
          <cell r="B159" t="str">
            <v>Vasos biodegradables 3 (Compra)</v>
          </cell>
          <cell r="C159" t="str">
            <v xml:space="preserve"> - Elaborado en cartón 97% biodegradable
- Capacidad mínima de 9 oz</v>
          </cell>
          <cell r="D159" t="str">
            <v>Paquete de mínimo 40 unidades</v>
          </cell>
          <cell r="E159">
            <v>96</v>
          </cell>
          <cell r="F159">
            <v>9468</v>
          </cell>
          <cell r="G159">
            <v>5681</v>
          </cell>
          <cell r="H159">
            <v>0</v>
          </cell>
          <cell r="I159">
            <v>0.3999788762146177</v>
          </cell>
          <cell r="J159">
            <v>5681</v>
          </cell>
          <cell r="K159">
            <v>545376</v>
          </cell>
          <cell r="L159">
            <v>482.86799999999999</v>
          </cell>
          <cell r="M159">
            <v>9950.8680000000004</v>
          </cell>
          <cell r="N159">
            <v>3980.1370000000006</v>
          </cell>
          <cell r="O159">
            <v>5970.7309999999998</v>
          </cell>
        </row>
        <row r="160">
          <cell r="B160" t="str">
            <v>Vasos biodegradables 4 (Compra)</v>
          </cell>
          <cell r="C160" t="str">
            <v>- Capacidad mínima de 9 onzas 
- Sin tapa 
- Liso
- Biodegradable y compostable.
- Elaborado en polyboard (cartón)  y/ocon la fibra de caña de azúcar o almidón de maíz</v>
          </cell>
          <cell r="D160" t="str">
            <v>Paquete de mínimo 50 unidades</v>
          </cell>
          <cell r="E160">
            <v>0</v>
          </cell>
          <cell r="F160">
            <v>0</v>
          </cell>
          <cell r="G160">
            <v>0</v>
          </cell>
          <cell r="H160">
            <v>0</v>
          </cell>
          <cell r="I160">
            <v>0</v>
          </cell>
          <cell r="J160">
            <v>0</v>
          </cell>
          <cell r="K160">
            <v>0</v>
          </cell>
          <cell r="L160">
            <v>0</v>
          </cell>
          <cell r="M160">
            <v>0</v>
          </cell>
          <cell r="N160">
            <v>0</v>
          </cell>
          <cell r="O160">
            <v>0</v>
          </cell>
        </row>
        <row r="161">
          <cell r="B161" t="str">
            <v>Mezclador 1 (Compra)</v>
          </cell>
          <cell r="C161" t="str">
            <v>- Mezcladores  elaborados en madera y/o apartir de recursos renovables como la caña de azucar y/o almidón de maíz
- Longitud mínima de 11 cm</v>
          </cell>
          <cell r="D161" t="str">
            <v>Paquete de mínimo 500</v>
          </cell>
          <cell r="E161">
            <v>96</v>
          </cell>
          <cell r="F161">
            <v>7101</v>
          </cell>
          <cell r="G161">
            <v>4734</v>
          </cell>
          <cell r="H161">
            <v>1</v>
          </cell>
          <cell r="I161">
            <v>1</v>
          </cell>
          <cell r="J161">
            <v>0</v>
          </cell>
          <cell r="K161">
            <v>0</v>
          </cell>
          <cell r="L161">
            <v>362.15099999999995</v>
          </cell>
          <cell r="M161">
            <v>7463.1509999999998</v>
          </cell>
          <cell r="N161">
            <v>7463.1509999999998</v>
          </cell>
          <cell r="O161">
            <v>0</v>
          </cell>
        </row>
        <row r="162">
          <cell r="B162" t="str">
            <v>Servilleta papel (Compra)</v>
          </cell>
          <cell r="C162" t="str">
            <v>- Tipo cafetería
 - Dobe hoja
- Color blanco
- Dimensiones mínimas de 20 cm de largo y 12 cm de ancho
- 100% Biodegradable 
- Elaborado a base de papel reciclado no clorado
- No debe contener PVC o Poliestireno expandido u otros plásticos de un solo uso tanto en el envase como en el embalaje.</v>
          </cell>
          <cell r="D162" t="str">
            <v>Paquete de mínimo 100 unidades</v>
          </cell>
          <cell r="E162">
            <v>15</v>
          </cell>
          <cell r="F162">
            <v>3209</v>
          </cell>
          <cell r="G162">
            <v>2166</v>
          </cell>
          <cell r="H162">
            <v>0</v>
          </cell>
          <cell r="I162">
            <v>0.32502337176690554</v>
          </cell>
          <cell r="J162">
            <v>2166</v>
          </cell>
          <cell r="K162">
            <v>32490</v>
          </cell>
          <cell r="L162">
            <v>163.65899999999999</v>
          </cell>
          <cell r="M162">
            <v>3372.6590000000001</v>
          </cell>
          <cell r="N162">
            <v>1096.193</v>
          </cell>
          <cell r="O162">
            <v>2276.4660000000003</v>
          </cell>
        </row>
        <row r="163">
          <cell r="B163" t="str">
            <v>Filtro para greca 1 (Compra)</v>
          </cell>
          <cell r="C163" t="str">
            <v>- Elaborada en tela
- Para greca
- Capacidad de media libra
- No debe contener PVC o Poliestireno expandido u otros plásticos de un solo uso tanto en el envase como en el embalaje</v>
          </cell>
          <cell r="D163" t="str">
            <v>Unidad</v>
          </cell>
          <cell r="E163">
            <v>18</v>
          </cell>
          <cell r="F163">
            <v>3524</v>
          </cell>
          <cell r="G163">
            <v>2128</v>
          </cell>
          <cell r="H163">
            <v>0</v>
          </cell>
          <cell r="I163">
            <v>0.39614074914869468</v>
          </cell>
          <cell r="J163">
            <v>2128</v>
          </cell>
          <cell r="K163">
            <v>38304</v>
          </cell>
          <cell r="L163">
            <v>179.72399999999999</v>
          </cell>
          <cell r="M163">
            <v>3703.7240000000002</v>
          </cell>
          <cell r="N163">
            <v>1467.1960000000001</v>
          </cell>
          <cell r="O163">
            <v>2236.5280000000002</v>
          </cell>
        </row>
        <row r="164">
          <cell r="B164" t="str">
            <v>Filtro para greca 2 (Compra)</v>
          </cell>
          <cell r="C164" t="str">
            <v>- Elaborada en tela
- Para greca
- Capacidad de una 1 libra
- No debe contener PVC o Poliestireno expandido u otros plásticos de un solo uso tanto en el envase como en el embalaje.</v>
          </cell>
          <cell r="D164" t="str">
            <v>Unidad</v>
          </cell>
          <cell r="E164">
            <v>27</v>
          </cell>
          <cell r="F164">
            <v>4261</v>
          </cell>
          <cell r="G164">
            <v>2554</v>
          </cell>
          <cell r="H164">
            <v>0</v>
          </cell>
          <cell r="I164">
            <v>0.40061018540248772</v>
          </cell>
          <cell r="J164">
            <v>2554</v>
          </cell>
          <cell r="K164">
            <v>68958</v>
          </cell>
          <cell r="L164">
            <v>217.31099999999998</v>
          </cell>
          <cell r="M164">
            <v>4478.3109999999997</v>
          </cell>
          <cell r="N164">
            <v>1794.057</v>
          </cell>
          <cell r="O164">
            <v>2684.2539999999999</v>
          </cell>
        </row>
        <row r="165">
          <cell r="B165" t="str">
            <v>Filtro para greca 3 (Compra)</v>
          </cell>
          <cell r="C165" t="str">
            <v>- Elaborada en tela
- Para greca
- Capacidad de dos 2 libras
- No debe contener PVC o Poliestireno expandido u otros plásticos de un solo uso tanto en el envase como en el embalaje.</v>
          </cell>
          <cell r="D165" t="str">
            <v>Unidad</v>
          </cell>
          <cell r="E165">
            <v>0</v>
          </cell>
          <cell r="F165">
            <v>0</v>
          </cell>
          <cell r="G165">
            <v>0</v>
          </cell>
          <cell r="H165">
            <v>0</v>
          </cell>
          <cell r="I165">
            <v>0</v>
          </cell>
          <cell r="J165">
            <v>0</v>
          </cell>
          <cell r="K165">
            <v>0</v>
          </cell>
          <cell r="L165">
            <v>0</v>
          </cell>
          <cell r="M165">
            <v>0</v>
          </cell>
          <cell r="N165">
            <v>0</v>
          </cell>
          <cell r="O165">
            <v>0</v>
          </cell>
        </row>
        <row r="166">
          <cell r="B166" t="str">
            <v>Churrusco para tubos de greca (Compra)</v>
          </cell>
          <cell r="C166" t="str">
            <v>- Cepillo para lavado y fregado de grecas.  
- No debe contener PVC, Poliestireno expandido u otros plásticos de un solo uso tanto en el envase como en el embalaje.
- Base y mango elaborados en alambre</v>
          </cell>
          <cell r="D166" t="str">
            <v>Unidad</v>
          </cell>
          <cell r="E166">
            <v>30</v>
          </cell>
          <cell r="F166">
            <v>6891</v>
          </cell>
          <cell r="G166">
            <v>1578</v>
          </cell>
          <cell r="H166">
            <v>0</v>
          </cell>
          <cell r="I166">
            <v>0.77100565955594247</v>
          </cell>
          <cell r="J166">
            <v>1578</v>
          </cell>
          <cell r="K166">
            <v>47340</v>
          </cell>
          <cell r="L166">
            <v>351.44099999999997</v>
          </cell>
          <cell r="M166">
            <v>7242.4409999999998</v>
          </cell>
          <cell r="N166">
            <v>5583.9629999999997</v>
          </cell>
          <cell r="O166">
            <v>1658.4780000000001</v>
          </cell>
        </row>
        <row r="167">
          <cell r="B167" t="str">
            <v>Papel Aluminio 1 (Compra)</v>
          </cell>
          <cell r="C167" t="str">
            <v>- Longitud mínima del rollo de 40 metros
- Ancho mínimo del rollo de 27 cm</v>
          </cell>
          <cell r="D167" t="str">
            <v>Caja de carton con un 1 rollo de mínimo 40 metros de largo y 27
cm de ancho</v>
          </cell>
          <cell r="E167">
            <v>0</v>
          </cell>
          <cell r="F167">
            <v>0</v>
          </cell>
          <cell r="G167">
            <v>0</v>
          </cell>
          <cell r="H167">
            <v>0</v>
          </cell>
          <cell r="I167">
            <v>0</v>
          </cell>
          <cell r="J167">
            <v>0</v>
          </cell>
          <cell r="K167">
            <v>0</v>
          </cell>
          <cell r="L167">
            <v>0</v>
          </cell>
          <cell r="M167">
            <v>0</v>
          </cell>
          <cell r="N167">
            <v>0</v>
          </cell>
          <cell r="O167">
            <v>0</v>
          </cell>
        </row>
        <row r="168">
          <cell r="B168" t="str">
            <v>Papel Aluminio 2 (Compra)</v>
          </cell>
          <cell r="C168" t="str">
            <v>- Longitud mínima del rollo de 100 metros
- Ancho mínimo del rollo de 27 cm</v>
          </cell>
          <cell r="D168" t="str">
            <v>Caja de carton con un 1 rollo de mínimo 100 metros de largo y 27
cm de ancho</v>
          </cell>
          <cell r="E168">
            <v>0</v>
          </cell>
          <cell r="F168">
            <v>0</v>
          </cell>
          <cell r="G168">
            <v>0</v>
          </cell>
          <cell r="H168">
            <v>0</v>
          </cell>
          <cell r="I168">
            <v>0</v>
          </cell>
          <cell r="J168">
            <v>0</v>
          </cell>
          <cell r="K168">
            <v>0</v>
          </cell>
          <cell r="L168">
            <v>0</v>
          </cell>
          <cell r="M168">
            <v>0</v>
          </cell>
          <cell r="N168">
            <v>0</v>
          </cell>
          <cell r="O168">
            <v>0</v>
          </cell>
        </row>
        <row r="169">
          <cell r="B169" t="str">
            <v>Película transparente para alimentos (Compra)</v>
          </cell>
          <cell r="C169" t="str">
            <v>- Longitud mínima del rollo de 50 metros
- Ancho mínimo del rollo de 27 cm</v>
          </cell>
          <cell r="D169" t="str">
            <v>Caja de carton con un 1 rollo</v>
          </cell>
          <cell r="E169">
            <v>0</v>
          </cell>
          <cell r="F169">
            <v>0</v>
          </cell>
          <cell r="G169">
            <v>0</v>
          </cell>
          <cell r="H169">
            <v>0</v>
          </cell>
          <cell r="I169">
            <v>0</v>
          </cell>
          <cell r="J169">
            <v>0</v>
          </cell>
          <cell r="K169">
            <v>0</v>
          </cell>
          <cell r="L169">
            <v>0</v>
          </cell>
          <cell r="M169">
            <v>0</v>
          </cell>
          <cell r="N169">
            <v>0</v>
          </cell>
          <cell r="O169">
            <v>0</v>
          </cell>
        </row>
        <row r="170">
          <cell r="B170" t="str">
            <v>Termo para café 1 (Compra)</v>
          </cell>
          <cell r="C170" t="str">
            <v>- Elaborado en plástico
- Capacidad mínima de 1 litro</v>
          </cell>
          <cell r="D170" t="str">
            <v>Unidad</v>
          </cell>
          <cell r="E170">
            <v>0</v>
          </cell>
          <cell r="F170">
            <v>0</v>
          </cell>
          <cell r="G170">
            <v>0</v>
          </cell>
          <cell r="H170">
            <v>0</v>
          </cell>
          <cell r="I170">
            <v>0</v>
          </cell>
          <cell r="J170">
            <v>0</v>
          </cell>
          <cell r="K170">
            <v>0</v>
          </cell>
          <cell r="L170">
            <v>0</v>
          </cell>
          <cell r="M170">
            <v>0</v>
          </cell>
          <cell r="N170">
            <v>0</v>
          </cell>
          <cell r="O170">
            <v>0</v>
          </cell>
        </row>
        <row r="171">
          <cell r="B171" t="str">
            <v>Termo para café 2 (Compra)</v>
          </cell>
          <cell r="C171" t="str">
            <v xml:space="preserve"> - Térmico, con bomba tipo dispensador. Portatil.  
 - Bomba manual para dispensar la bebida.  
 - Acero inoxidable y plastico. 
 - Agarradera plastica, tapa con empaque, bomba manual. 
 - Capacidad mínima de 3 litros</v>
          </cell>
          <cell r="D171" t="str">
            <v>Unidad</v>
          </cell>
          <cell r="E171">
            <v>13</v>
          </cell>
          <cell r="F171">
            <v>165585</v>
          </cell>
          <cell r="G171">
            <v>81729</v>
          </cell>
          <cell r="H171">
            <v>0</v>
          </cell>
          <cell r="I171">
            <v>0.50642268321405925</v>
          </cell>
          <cell r="J171">
            <v>81729</v>
          </cell>
          <cell r="K171">
            <v>1062477</v>
          </cell>
          <cell r="L171">
            <v>8444.8349999999991</v>
          </cell>
          <cell r="M171">
            <v>174029.83499999999</v>
          </cell>
          <cell r="N171">
            <v>88132.656000000003</v>
          </cell>
          <cell r="O171">
            <v>85897.178999999989</v>
          </cell>
        </row>
        <row r="172">
          <cell r="B172" t="str">
            <v>Café 1 (Compra)</v>
          </cell>
          <cell r="C172" t="str">
            <v>- 100% café tostado y molido.   
- Tostión media.                                          
- Denominación de Origen (Anexo 6)
- Empacada en bolsa de polipropileno aluminizada resistente a la humedad y al oxígeno.  
- Debe cumplir con las Resoluciones 333 de 2011 y 2674 de 2013 hasta la entrada en vigencia de la Resolución 810 de 2021 y aquellas que la modifiquen, adicionen o deroguen.
- Para cambio de marca, se requiere certificar la cadena de distribución.</v>
          </cell>
          <cell r="D172" t="str">
            <v>Libra</v>
          </cell>
          <cell r="E172">
            <v>283</v>
          </cell>
          <cell r="F172">
            <v>48182</v>
          </cell>
          <cell r="G172">
            <v>18464</v>
          </cell>
          <cell r="H172">
            <v>0</v>
          </cell>
          <cell r="I172">
            <v>0.61678635174961605</v>
          </cell>
          <cell r="J172">
            <v>18464</v>
          </cell>
          <cell r="K172">
            <v>5225312</v>
          </cell>
          <cell r="L172">
            <v>2457.2819999999997</v>
          </cell>
          <cell r="M172">
            <v>50639.281999999999</v>
          </cell>
          <cell r="N172">
            <v>31233.617999999999</v>
          </cell>
          <cell r="O172">
            <v>19405.664000000001</v>
          </cell>
        </row>
        <row r="173">
          <cell r="B173" t="str">
            <v>Café 2 (Compra)</v>
          </cell>
          <cell r="C173" t="str">
            <v>- Tostión media
- Descafeinado
- Empacado en bolsa de polipropileno aluminizada resistente a la humedad y al oxigeno
- Debe cumplir con las Resoluciones 333 de 2011 y 2674 de 2013 y aquellas que la modifiquen, adicionen o deroguen.</v>
          </cell>
          <cell r="D173" t="str">
            <v>Libra</v>
          </cell>
          <cell r="E173">
            <v>0</v>
          </cell>
          <cell r="F173">
            <v>0</v>
          </cell>
          <cell r="G173">
            <v>0</v>
          </cell>
          <cell r="H173">
            <v>0</v>
          </cell>
          <cell r="I173">
            <v>0</v>
          </cell>
          <cell r="J173">
            <v>0</v>
          </cell>
          <cell r="K173">
            <v>0</v>
          </cell>
          <cell r="L173">
            <v>0</v>
          </cell>
          <cell r="M173">
            <v>0</v>
          </cell>
          <cell r="N173">
            <v>0</v>
          </cell>
          <cell r="O173">
            <v>0</v>
          </cell>
        </row>
        <row r="174">
          <cell r="B174" t="str">
            <v>Café 3 (Compra)</v>
          </cell>
          <cell r="C174" t="str">
            <v xml:space="preserve">- Instantáneo, para máquinas automáticas
- Tostión media
- Empacada en bolsa de polipropileno aluminizada resistente a la humedad y al oxígeno.  
- Debe cumplir con las Resoluciones 333 de 2011 y 2674 de 2013 hasta la entrada en vigencia de la Resolución 810 de 2021 y aquellas que la modifiquen, adicionen o deroguen.                          </v>
          </cell>
          <cell r="D174" t="str">
            <v>Bolsa de mínimo 500 g</v>
          </cell>
          <cell r="E174">
            <v>0</v>
          </cell>
          <cell r="F174">
            <v>0</v>
          </cell>
          <cell r="G174">
            <v>0</v>
          </cell>
          <cell r="H174">
            <v>0</v>
          </cell>
          <cell r="I174">
            <v>0</v>
          </cell>
          <cell r="J174">
            <v>0</v>
          </cell>
          <cell r="K174">
            <v>0</v>
          </cell>
          <cell r="L174">
            <v>0</v>
          </cell>
          <cell r="M174">
            <v>0</v>
          </cell>
          <cell r="N174">
            <v>0</v>
          </cell>
          <cell r="O174">
            <v>0</v>
          </cell>
        </row>
        <row r="175">
          <cell r="B175" t="str">
            <v>Crema para café (Compra)</v>
          </cell>
          <cell r="C175" t="str">
            <v>- No láctea
- Debe cumplir con Resolución 333 de 2011 sobre rotulado y etiquetado nutricional y las normas que la modifiquen</v>
          </cell>
          <cell r="D175" t="str">
            <v>Bolsas de mínimo 100 sobres de mínimo 4 g</v>
          </cell>
          <cell r="E175">
            <v>10</v>
          </cell>
          <cell r="F175">
            <v>22618</v>
          </cell>
          <cell r="G175">
            <v>14769</v>
          </cell>
          <cell r="H175">
            <v>1</v>
          </cell>
          <cell r="I175">
            <v>1</v>
          </cell>
          <cell r="J175">
            <v>0</v>
          </cell>
          <cell r="K175">
            <v>0</v>
          </cell>
          <cell r="L175">
            <v>1153.518</v>
          </cell>
          <cell r="M175">
            <v>23771.518</v>
          </cell>
          <cell r="N175">
            <v>23771.518</v>
          </cell>
          <cell r="O175">
            <v>0</v>
          </cell>
        </row>
        <row r="176">
          <cell r="B176" t="str">
            <v>Azúcar 1 (Compra)</v>
          </cell>
          <cell r="C176" t="str">
            <v>- Blanca
- Empaque elaborado en materiales atóxicos
- Debe cumplir con Resolución 333 de 2011 sobre rotulado y etiquetado nutricional y las normas que la modifiquen</v>
          </cell>
          <cell r="D176" t="str">
            <v>Bolsa de mínimo 200 sobres o tubipacks de 5 g</v>
          </cell>
          <cell r="E176">
            <v>96</v>
          </cell>
          <cell r="F176">
            <v>10625</v>
          </cell>
          <cell r="G176">
            <v>5786</v>
          </cell>
          <cell r="H176">
            <v>0</v>
          </cell>
          <cell r="I176">
            <v>0.45543529411764705</v>
          </cell>
          <cell r="J176">
            <v>5786</v>
          </cell>
          <cell r="K176">
            <v>555456</v>
          </cell>
          <cell r="L176">
            <v>541.875</v>
          </cell>
          <cell r="M176">
            <v>11166.875</v>
          </cell>
          <cell r="N176">
            <v>5085.7889999999998</v>
          </cell>
          <cell r="O176">
            <v>6081.0860000000002</v>
          </cell>
        </row>
        <row r="177">
          <cell r="B177" t="str">
            <v>Azúcar 2 (Compra)</v>
          </cell>
          <cell r="C177" t="str">
            <v>- Blanca
- Empaque elaborado en materiales atóxicos
- Debe cumplir con Resolución 333 de 2011 sobre rotulado y etiquetado nutricional y las normas que la modifiquen</v>
          </cell>
          <cell r="D177" t="str">
            <v>Bolsa de mínimo 200 sobres o tubipacks de 3,5 g</v>
          </cell>
          <cell r="E177">
            <v>0</v>
          </cell>
          <cell r="F177">
            <v>0</v>
          </cell>
          <cell r="G177">
            <v>0</v>
          </cell>
          <cell r="H177">
            <v>0</v>
          </cell>
          <cell r="I177">
            <v>0</v>
          </cell>
          <cell r="J177">
            <v>0</v>
          </cell>
          <cell r="K177">
            <v>0</v>
          </cell>
          <cell r="L177">
            <v>0</v>
          </cell>
          <cell r="M177">
            <v>0</v>
          </cell>
          <cell r="N177">
            <v>0</v>
          </cell>
          <cell r="O177">
            <v>0</v>
          </cell>
        </row>
        <row r="178">
          <cell r="B178" t="str">
            <v>Azúcar 3 (Compra)</v>
          </cell>
          <cell r="C178" t="str">
            <v>- Blanca
- Empaque elaborado en materiales atóxicos
- Debe cumplir con Resolución 333 de 2011 sobre rotulado y etiquetado nutricional y las normas que la modifiquen</v>
          </cell>
          <cell r="D178" t="str">
            <v>Libra</v>
          </cell>
          <cell r="E178">
            <v>3</v>
          </cell>
          <cell r="F178">
            <v>3998</v>
          </cell>
          <cell r="G178">
            <v>2616</v>
          </cell>
          <cell r="H178">
            <v>0</v>
          </cell>
          <cell r="I178">
            <v>0.34567283641820912</v>
          </cell>
          <cell r="J178">
            <v>2616</v>
          </cell>
          <cell r="K178">
            <v>7848</v>
          </cell>
          <cell r="L178">
            <v>203.898</v>
          </cell>
          <cell r="M178">
            <v>4201.8980000000001</v>
          </cell>
          <cell r="N178">
            <v>1452.4820000000002</v>
          </cell>
          <cell r="O178">
            <v>2749.4160000000002</v>
          </cell>
        </row>
        <row r="179">
          <cell r="B179" t="str">
            <v>Azúcar 4 (Compra)</v>
          </cell>
          <cell r="C179" t="str">
            <v>- Morena
- Empaque elaborado en materiales atóxicos
- Debe cumplir con Resolución 333 de 2011 sobre rotulado y etiquetado nutricional y las normas que la modifiquen</v>
          </cell>
          <cell r="D179" t="str">
            <v>Libra</v>
          </cell>
          <cell r="E179">
            <v>0</v>
          </cell>
          <cell r="F179">
            <v>0</v>
          </cell>
          <cell r="G179">
            <v>0</v>
          </cell>
          <cell r="H179">
            <v>0</v>
          </cell>
          <cell r="I179">
            <v>0</v>
          </cell>
          <cell r="J179">
            <v>0</v>
          </cell>
          <cell r="K179">
            <v>0</v>
          </cell>
          <cell r="L179">
            <v>0</v>
          </cell>
          <cell r="M179">
            <v>0</v>
          </cell>
          <cell r="N179">
            <v>0</v>
          </cell>
          <cell r="O179">
            <v>0</v>
          </cell>
        </row>
        <row r="180">
          <cell r="B180" t="str">
            <v>Endulzante (Compra)</v>
          </cell>
          <cell r="C180" t="str">
            <v>- Sin calorías
- Empaque elaborado en materiales atóxicos
- Debe cumplir con Resolución 333 de 2011 sobre rotulado y etiquetado nutricional y las normas que la modifiquen</v>
          </cell>
          <cell r="D180" t="str">
            <v>Caja de mínimo 100 sobres</v>
          </cell>
          <cell r="E180">
            <v>0</v>
          </cell>
          <cell r="F180">
            <v>0</v>
          </cell>
          <cell r="G180">
            <v>0</v>
          </cell>
          <cell r="H180">
            <v>0</v>
          </cell>
          <cell r="I180">
            <v>0</v>
          </cell>
          <cell r="J180">
            <v>0</v>
          </cell>
          <cell r="K180">
            <v>0</v>
          </cell>
          <cell r="L180">
            <v>0</v>
          </cell>
          <cell r="M180">
            <v>0</v>
          </cell>
          <cell r="N180">
            <v>0</v>
          </cell>
          <cell r="O180">
            <v>0</v>
          </cell>
        </row>
        <row r="181">
          <cell r="B181" t="str">
            <v>Panela (Compra)</v>
          </cell>
          <cell r="C181" t="str">
            <v>- Panela instantánes pulverizada, deshidratada
- Debe cumplir con la NTC 1311 sobreo productos agrícolas
- Empaque elaborado en materiales atóxicos
- Debe cumplir con la Resolucion 779 de 2006
- Debe cumplir con Resolución 333 de 2011 sobre rotulado y etiquetado nutricional y las normas que la modifiquen</v>
          </cell>
          <cell r="D181" t="str">
            <v>Bolsa de mínimo 100 sobres de mínimo 5 g</v>
          </cell>
          <cell r="E181">
            <v>0</v>
          </cell>
          <cell r="F181">
            <v>0</v>
          </cell>
          <cell r="G181">
            <v>0</v>
          </cell>
          <cell r="H181">
            <v>0</v>
          </cell>
          <cell r="I181">
            <v>0</v>
          </cell>
          <cell r="J181">
            <v>0</v>
          </cell>
          <cell r="K181">
            <v>0</v>
          </cell>
          <cell r="L181">
            <v>0</v>
          </cell>
          <cell r="M181">
            <v>0</v>
          </cell>
          <cell r="N181">
            <v>0</v>
          </cell>
          <cell r="O181">
            <v>0</v>
          </cell>
        </row>
        <row r="182">
          <cell r="B182" t="str">
            <v>Panela pulverizada 1 (Compra)</v>
          </cell>
          <cell r="C182" t="str">
            <v>- Panela instantánea, deshidratada
- Debe cumplir con la Resolución 779 de 2006
- Debe cumplir con Resolución 2492 de 2022 sobre rotulado y etiquetado nutricional y las normas que la modifiquen
- Mínimo 12 meses de vida útil desde la fecha de fabricación</v>
          </cell>
          <cell r="D182" t="str">
            <v>Bolsa de mínimo 500g</v>
          </cell>
          <cell r="E182">
            <v>0</v>
          </cell>
          <cell r="F182">
            <v>0</v>
          </cell>
          <cell r="G182">
            <v>0</v>
          </cell>
          <cell r="H182">
            <v>0</v>
          </cell>
          <cell r="I182">
            <v>0</v>
          </cell>
          <cell r="J182">
            <v>0</v>
          </cell>
          <cell r="K182">
            <v>0</v>
          </cell>
          <cell r="L182">
            <v>0</v>
          </cell>
          <cell r="M182">
            <v>0</v>
          </cell>
          <cell r="N182">
            <v>0</v>
          </cell>
          <cell r="O182">
            <v>0</v>
          </cell>
        </row>
        <row r="183">
          <cell r="B183" t="str">
            <v>Panela pulverizada 2 (Compra)</v>
          </cell>
          <cell r="C183" t="str">
            <v>- Panela instantánea, deshidratada
- Debe cumplir con la Resolución 779 de 2006
- Debe cumplir con Resolución 2492 de 2022 sobre rotulado y etiquetado nutricional y las normas que la modifiquen
- Mínimo 12 meses de vida útil desde la fecha de fabricación</v>
          </cell>
          <cell r="D183" t="str">
            <v>Bolsa de mínimo 10 Kg</v>
          </cell>
          <cell r="E183">
            <v>0</v>
          </cell>
          <cell r="F183">
            <v>0</v>
          </cell>
          <cell r="G183">
            <v>0</v>
          </cell>
          <cell r="H183">
            <v>0</v>
          </cell>
          <cell r="I183">
            <v>0</v>
          </cell>
          <cell r="J183">
            <v>0</v>
          </cell>
          <cell r="K183">
            <v>0</v>
          </cell>
          <cell r="L183">
            <v>0</v>
          </cell>
          <cell r="M183">
            <v>0</v>
          </cell>
          <cell r="N183">
            <v>0</v>
          </cell>
          <cell r="O183">
            <v>0</v>
          </cell>
        </row>
        <row r="184">
          <cell r="B184" t="str">
            <v>Panela pulverizada 3 (Compra)</v>
          </cell>
          <cell r="C184" t="str">
            <v>- Panela instantánea, deshidratada
- Debe cumplir con la Resolución 779 de 2006
- Debe cumplir con Resolución 2492 de 2022 sobre rotulado y etiquetado nutricional y las normas que la modifiquen
- Mínimo 12 meses de vida útil desde la fecha de fabricación</v>
          </cell>
          <cell r="D184" t="str">
            <v>Bolsa de mínimo 25 Kg</v>
          </cell>
          <cell r="E184">
            <v>0</v>
          </cell>
          <cell r="F184">
            <v>0</v>
          </cell>
          <cell r="G184">
            <v>0</v>
          </cell>
          <cell r="H184">
            <v>0</v>
          </cell>
          <cell r="I184">
            <v>0</v>
          </cell>
          <cell r="J184">
            <v>0</v>
          </cell>
          <cell r="K184">
            <v>0</v>
          </cell>
          <cell r="L184">
            <v>0</v>
          </cell>
          <cell r="M184">
            <v>0</v>
          </cell>
          <cell r="N184">
            <v>0</v>
          </cell>
          <cell r="O184">
            <v>0</v>
          </cell>
        </row>
        <row r="185">
          <cell r="B185" t="str">
            <v>Panela pulverizada 4 (Compra)</v>
          </cell>
          <cell r="C185" t="str">
            <v>- Contiene sachets de mínimo 6g
- Panela instantánea, deshidratada
- Debe cumplir con la Resolución 779 de 2006
- Debe cumplir con Resolución 2492 de 2022 sobre rotulado y etiquetado nutricional y las normas que la modifiquen
- Mínimo 12 meses de vida útil desde la fecha de fabricación</v>
          </cell>
          <cell r="D185" t="str">
            <v>Bolsa de mínimo 10 unidades</v>
          </cell>
          <cell r="E185">
            <v>0</v>
          </cell>
          <cell r="F185">
            <v>0</v>
          </cell>
          <cell r="G185">
            <v>0</v>
          </cell>
          <cell r="H185">
            <v>0</v>
          </cell>
          <cell r="I185">
            <v>0</v>
          </cell>
          <cell r="J185">
            <v>0</v>
          </cell>
          <cell r="K185">
            <v>0</v>
          </cell>
          <cell r="L185">
            <v>0</v>
          </cell>
          <cell r="M185">
            <v>0</v>
          </cell>
          <cell r="N185">
            <v>0</v>
          </cell>
          <cell r="O185">
            <v>0</v>
          </cell>
        </row>
        <row r="186">
          <cell r="B186" t="str">
            <v>Panela pulverizada 5 (Compra)</v>
          </cell>
          <cell r="C186" t="str">
            <v>- Contiene sachets de mínimo 6g
- Panela instantánea, deshidratada
- Debe cumplir con la Resolución 779 de 2006
- Debe cumplir con Resolución 2492 de 2022 sobre rotulado y etiquetado nutricional y las normas que la modifiquen
- Mínimo 12 meses de vida útil desde la fecha de fabricación</v>
          </cell>
          <cell r="D186" t="str">
            <v>Bolsa de mínimo 15 unidades</v>
          </cell>
          <cell r="E186">
            <v>0</v>
          </cell>
          <cell r="F186">
            <v>0</v>
          </cell>
          <cell r="G186">
            <v>0</v>
          </cell>
          <cell r="H186">
            <v>0</v>
          </cell>
          <cell r="I186">
            <v>0</v>
          </cell>
          <cell r="J186">
            <v>0</v>
          </cell>
          <cell r="K186">
            <v>0</v>
          </cell>
          <cell r="L186">
            <v>0</v>
          </cell>
          <cell r="M186">
            <v>0</v>
          </cell>
          <cell r="N186">
            <v>0</v>
          </cell>
          <cell r="O186">
            <v>0</v>
          </cell>
        </row>
        <row r="187">
          <cell r="B187" t="str">
            <v>Panela pulverizada 6 (Compra)</v>
          </cell>
          <cell r="C187" t="str">
            <v>- Contiene sachets de mínimo 6g
- Panela instantánea, deshidratada
- Debe cumplir con la Resolución 779 de 2006
- Debe cumplir con Resolución 2492 de 2022 sobre rotulado y etiquetado nutricional y las normas que la modifiquen
- Mínimo 12 meses de vida útil desde la fecha de fabricación</v>
          </cell>
          <cell r="D187" t="str">
            <v>Bolsa de mínimo 100 unidades</v>
          </cell>
          <cell r="E187">
            <v>0</v>
          </cell>
          <cell r="F187">
            <v>0</v>
          </cell>
          <cell r="G187">
            <v>0</v>
          </cell>
          <cell r="H187">
            <v>0</v>
          </cell>
          <cell r="I187">
            <v>0</v>
          </cell>
          <cell r="J187">
            <v>0</v>
          </cell>
          <cell r="K187">
            <v>0</v>
          </cell>
          <cell r="L187">
            <v>0</v>
          </cell>
          <cell r="M187">
            <v>0</v>
          </cell>
          <cell r="N187">
            <v>0</v>
          </cell>
          <cell r="O187">
            <v>0</v>
          </cell>
        </row>
        <row r="188">
          <cell r="B188" t="str">
            <v>Panela saborizada 1 (Compra)</v>
          </cell>
          <cell r="C188" t="str">
            <v>- Contiene sachets de 6g
- Debe cumplir con la Resolución 779 de 2006
- Debe cumplir con Resolución 2492 de 2022 sobre rotulado y etiquetado nutricional y las normas que la modifiquen
- Mínimo 6 meses de vida útil desde la fecha de fabricación
- Sabores: Naranja, Jengibre, Papayuela, Frutos rojos, Maracuyá, Limoncillo</v>
          </cell>
          <cell r="D188" t="str">
            <v>Bolsa de 100 unidades</v>
          </cell>
          <cell r="E188">
            <v>0</v>
          </cell>
          <cell r="F188">
            <v>0</v>
          </cell>
          <cell r="G188">
            <v>0</v>
          </cell>
          <cell r="H188">
            <v>0</v>
          </cell>
          <cell r="I188">
            <v>0</v>
          </cell>
          <cell r="J188">
            <v>0</v>
          </cell>
          <cell r="K188">
            <v>0</v>
          </cell>
          <cell r="L188">
            <v>0</v>
          </cell>
          <cell r="M188">
            <v>0</v>
          </cell>
          <cell r="N188">
            <v>0</v>
          </cell>
          <cell r="O188">
            <v>0</v>
          </cell>
        </row>
        <row r="189">
          <cell r="B189" t="str">
            <v>Panela saborizada 2 (Compra)</v>
          </cell>
          <cell r="C189" t="str">
            <v>- Contiene cubos de 6g
- Debe cumplir con la Resolución 779 de 2006
- Debe cumplir con Resolución 2492 de 2022 sobre rotulado y etiquetado nutricional y las normas que la modifiquen
- Mínimo 6 meses de vida útil desde la fecha de fabricación
- Sabores: Naranja, Jengibre, Papayuela, Frutos rojos, Maracuyá, Limoncillo</v>
          </cell>
          <cell r="D189" t="str">
            <v>Caja de 48</v>
          </cell>
          <cell r="E189">
            <v>0</v>
          </cell>
          <cell r="F189">
            <v>0</v>
          </cell>
          <cell r="G189">
            <v>0</v>
          </cell>
          <cell r="H189">
            <v>0</v>
          </cell>
          <cell r="I189">
            <v>0</v>
          </cell>
          <cell r="J189">
            <v>0</v>
          </cell>
          <cell r="K189">
            <v>0</v>
          </cell>
          <cell r="L189">
            <v>0</v>
          </cell>
          <cell r="M189">
            <v>0</v>
          </cell>
          <cell r="N189">
            <v>0</v>
          </cell>
          <cell r="O189">
            <v>0</v>
          </cell>
        </row>
        <row r="190">
          <cell r="B190" t="str">
            <v>Sal 1 (Compra)</v>
          </cell>
          <cell r="C190" t="str">
            <v>- Refinada, con un 99,9% de pureza
- Con adiciones de yodo y flúor
- Debe cumplir con Resolución 333 de 2011 sobre rotulado y etiquetado nutricional y las normas que la modifiquen</v>
          </cell>
          <cell r="D190" t="str">
            <v>Libra (500 g)</v>
          </cell>
          <cell r="E190">
            <v>0</v>
          </cell>
          <cell r="F190">
            <v>0</v>
          </cell>
          <cell r="G190">
            <v>0</v>
          </cell>
          <cell r="H190">
            <v>0</v>
          </cell>
          <cell r="I190">
            <v>0</v>
          </cell>
          <cell r="J190">
            <v>0</v>
          </cell>
          <cell r="K190">
            <v>0</v>
          </cell>
          <cell r="L190">
            <v>0</v>
          </cell>
          <cell r="M190">
            <v>0</v>
          </cell>
          <cell r="N190">
            <v>0</v>
          </cell>
          <cell r="O190">
            <v>0</v>
          </cell>
        </row>
        <row r="191">
          <cell r="B191" t="str">
            <v>Sal 2 (Compra)</v>
          </cell>
          <cell r="C191" t="str">
            <v>- Refinada, con un 99,9% de pureza
- Con adiciones de yodo y flúor
- Debe cumplir con Resolución 333 de 2011 sobre rotulado y etiquetado nutricional y las normas que la modifiquen</v>
          </cell>
          <cell r="D191" t="str">
            <v>1 kg (1.000 g)</v>
          </cell>
          <cell r="E191">
            <v>0</v>
          </cell>
          <cell r="F191">
            <v>0</v>
          </cell>
          <cell r="G191">
            <v>0</v>
          </cell>
          <cell r="H191">
            <v>0</v>
          </cell>
          <cell r="I191">
            <v>0</v>
          </cell>
          <cell r="J191">
            <v>0</v>
          </cell>
          <cell r="K191">
            <v>0</v>
          </cell>
          <cell r="L191">
            <v>0</v>
          </cell>
          <cell r="M191">
            <v>0</v>
          </cell>
          <cell r="N191">
            <v>0</v>
          </cell>
          <cell r="O191">
            <v>0</v>
          </cell>
        </row>
        <row r="192">
          <cell r="B192" t="str">
            <v>Sal 3 (Compra)</v>
          </cell>
          <cell r="C192" t="str">
            <v>- Refinada, con un 99,9% de pureza
- Con adiciones de yodo y flúor
- Debe cumplir con Resolución 333 de 2011 sobre rotulado y etiquetado nutricional y las normas que la modifiquen</v>
          </cell>
          <cell r="D192" t="str">
            <v>Salero de mínimo 130 g</v>
          </cell>
          <cell r="E192">
            <v>0</v>
          </cell>
          <cell r="F192">
            <v>0</v>
          </cell>
          <cell r="G192">
            <v>0</v>
          </cell>
          <cell r="H192">
            <v>0</v>
          </cell>
          <cell r="I192">
            <v>0</v>
          </cell>
          <cell r="J192">
            <v>0</v>
          </cell>
          <cell r="K192">
            <v>0</v>
          </cell>
          <cell r="L192">
            <v>0</v>
          </cell>
          <cell r="M192">
            <v>0</v>
          </cell>
          <cell r="N192">
            <v>0</v>
          </cell>
          <cell r="O192">
            <v>0</v>
          </cell>
        </row>
        <row r="193">
          <cell r="B193" t="str">
            <v>Aromática con panela 1 (Compra)</v>
          </cell>
          <cell r="C193" t="str">
            <v>- Debe cumplir con Resolución 2492 de 2022 sobre rotulado y etiquetado nutricional y las normas que la modifiquen
- Debe cumplir con la Resolución 779 de 2006
- Mínimo 12  meses de vida útil desde la fecha de fabricación
- Sabores: Naranja, Jengibre, Papayuela, Frutos rojos, Maracuyá, Limoncillo (Entrega mínima de 3 sabores)
- 100% natural</v>
          </cell>
          <cell r="D193" t="str">
            <v>Bolsa de 1000g</v>
          </cell>
          <cell r="E193">
            <v>0</v>
          </cell>
          <cell r="F193">
            <v>0</v>
          </cell>
          <cell r="G193">
            <v>0</v>
          </cell>
          <cell r="H193">
            <v>0</v>
          </cell>
          <cell r="I193">
            <v>0</v>
          </cell>
          <cell r="J193">
            <v>0</v>
          </cell>
          <cell r="K193">
            <v>0</v>
          </cell>
          <cell r="L193">
            <v>0</v>
          </cell>
          <cell r="M193">
            <v>0</v>
          </cell>
          <cell r="N193">
            <v>0</v>
          </cell>
          <cell r="O193">
            <v>0</v>
          </cell>
        </row>
        <row r="194">
          <cell r="B194" t="str">
            <v>Aromática con panela 2 (Compra)</v>
          </cell>
          <cell r="C194" t="str">
            <v>- Contiene sobres de mínimo 6g
- Debe cumplir con Resolución 2492 de 2022 sobre rotulado y etiquetado nutricional y las normas que la modifiquen
- Debe cumplir con la Resolución 779 de 2006
- Mínimo 12  meses de vida útil desde la fecha de fabricación
- Sabores: Naranja, Jengibre, Papayuela, Frutos rojos, Maracuyá, Limoncillo (Entrega mínima de 3 sabores)
- 100% natural</v>
          </cell>
          <cell r="D194" t="str">
            <v>Caja de 20 unidades</v>
          </cell>
          <cell r="E194">
            <v>56</v>
          </cell>
          <cell r="F194">
            <v>7259</v>
          </cell>
          <cell r="G194">
            <v>3740</v>
          </cell>
          <cell r="H194">
            <v>0</v>
          </cell>
          <cell r="I194">
            <v>0.48477751756440279</v>
          </cell>
          <cell r="J194">
            <v>3740</v>
          </cell>
          <cell r="K194">
            <v>209440</v>
          </cell>
          <cell r="L194">
            <v>370.209</v>
          </cell>
          <cell r="M194">
            <v>7629.2089999999998</v>
          </cell>
          <cell r="N194">
            <v>3698.4689999999996</v>
          </cell>
          <cell r="O194">
            <v>3930.7400000000002</v>
          </cell>
        </row>
        <row r="195">
          <cell r="B195" t="str">
            <v>Aromática con panela 3 (Compra)</v>
          </cell>
          <cell r="C195" t="str">
            <v>- Contiene sobres de mínimo 6g
- Debe cumplir con Resolución 2492 de 2022 sobre rotulado y etiquetado nutricional y las normas que la modifiquen
- Debe cumplir con la Resolución 779 de 2006
- Mínimo 12  meses de vida útil desde la fecha de fabricación
- Sabores: Naranja, Jengibre, Papayuela, Frutos rojos, Maracuyá, Limoncillo (Entrega mínima de 3 sabores)
- 100% natural</v>
          </cell>
          <cell r="D195" t="str">
            <v>Caja de 100 unidades</v>
          </cell>
          <cell r="E195">
            <v>0</v>
          </cell>
          <cell r="F195">
            <v>0</v>
          </cell>
          <cell r="G195">
            <v>0</v>
          </cell>
          <cell r="H195">
            <v>0</v>
          </cell>
          <cell r="I195">
            <v>0</v>
          </cell>
          <cell r="J195">
            <v>0</v>
          </cell>
          <cell r="K195">
            <v>0</v>
          </cell>
          <cell r="L195">
            <v>0</v>
          </cell>
          <cell r="M195">
            <v>0</v>
          </cell>
          <cell r="N195">
            <v>0</v>
          </cell>
          <cell r="O195">
            <v>0</v>
          </cell>
        </row>
        <row r="196">
          <cell r="B196" t="str">
            <v>Aromática de fruta 1 (Compra)</v>
          </cell>
          <cell r="C196" t="str">
            <v>- Debe cumplir con Resolución 2492 de 2022 sobre rotulado y etiquetado nutricional y las normas que la modifiquen
- Mínimo 12  meses de vida útil desde la fecha de fabricación
- Sabores: Papayuela, Mora, Maracuya, Uchuva, Uva, Fresa, Piña, Durazno, Naranja, Manzana y Arandano (Entrega mínima de 3 sabores)
- 100% natural</v>
          </cell>
          <cell r="D196" t="str">
            <v>Bolsa de 1000g</v>
          </cell>
          <cell r="E196">
            <v>0</v>
          </cell>
          <cell r="F196">
            <v>0</v>
          </cell>
          <cell r="G196">
            <v>0</v>
          </cell>
          <cell r="H196">
            <v>0</v>
          </cell>
          <cell r="I196">
            <v>0</v>
          </cell>
          <cell r="J196">
            <v>0</v>
          </cell>
          <cell r="K196">
            <v>0</v>
          </cell>
          <cell r="L196">
            <v>0</v>
          </cell>
          <cell r="M196">
            <v>0</v>
          </cell>
          <cell r="N196">
            <v>0</v>
          </cell>
          <cell r="O196">
            <v>0</v>
          </cell>
        </row>
        <row r="197">
          <cell r="B197" t="str">
            <v>Aromática de fruta 2 (Compra)</v>
          </cell>
          <cell r="C197" t="str">
            <v>- Debe cumplir con Resolución 2492 de 2022 sobre rotulado y etiquetado nutricional y las normas que la modifiquen
- Mínimo 12  meses de vida útil desde la fecha de fabricación
- Sabores: Papayuela, Mora, Maracuya, Uchuva, Uva, Fresa, Piña, Durazno, Naranja, Manzana y Arandano (Entrega mínima de 3 sabores)
- 100% natural</v>
          </cell>
          <cell r="D197" t="str">
            <v>Caja de 20 unidades</v>
          </cell>
          <cell r="E197">
            <v>56</v>
          </cell>
          <cell r="F197">
            <v>11309</v>
          </cell>
          <cell r="G197">
            <v>6119</v>
          </cell>
          <cell r="H197">
            <v>0</v>
          </cell>
          <cell r="I197">
            <v>0.45892651870191881</v>
          </cell>
          <cell r="J197">
            <v>6119</v>
          </cell>
          <cell r="K197">
            <v>342664</v>
          </cell>
          <cell r="L197">
            <v>576.75900000000001</v>
          </cell>
          <cell r="M197">
            <v>11885.759</v>
          </cell>
          <cell r="N197">
            <v>5454.69</v>
          </cell>
          <cell r="O197">
            <v>6431.0690000000004</v>
          </cell>
        </row>
        <row r="198">
          <cell r="B198" t="str">
            <v>Aromática de fruta 3 (Compra)</v>
          </cell>
          <cell r="C198" t="str">
            <v>- Debe cumplir con Resolución 2492 de 2022 sobre rotulado y etiquetado nutricional y las normas que la modifiquen
- Mínimo 12  meses de vida útil desde la fecha de fabricación
- Sabores: Papayuela, Mora, Maracuya, Uchuva, Uva, Fresa, Piña, Durazno, Naranja, Manzana y Arandano (Entrega mínima de 3 sabores)
- 100% natural</v>
          </cell>
          <cell r="D198" t="str">
            <v>Caja de 100 unidades</v>
          </cell>
          <cell r="E198">
            <v>0</v>
          </cell>
          <cell r="F198">
            <v>0</v>
          </cell>
          <cell r="G198">
            <v>0</v>
          </cell>
          <cell r="H198">
            <v>0</v>
          </cell>
          <cell r="I198">
            <v>0</v>
          </cell>
          <cell r="J198">
            <v>0</v>
          </cell>
          <cell r="K198">
            <v>0</v>
          </cell>
          <cell r="L198">
            <v>0</v>
          </cell>
          <cell r="M198">
            <v>0</v>
          </cell>
          <cell r="N198">
            <v>0</v>
          </cell>
          <cell r="O198">
            <v>0</v>
          </cell>
        </row>
        <row r="199">
          <cell r="B199" t="str">
            <v>Aromática de panela (Compra)</v>
          </cell>
          <cell r="C199" t="str">
            <v>- Para infusión
- Cajas disponbiles en sabor limón, yerbabuena, canela y naranja
- Panela 100% natural y ecológica
- Embalaje en cartón corrugado  
- Debe cumplir con la NTC 1311 sobre productos agrícolas 
- Empaque elaborado en materiales atóxicos 
- Debe cumplir con la Resolucion 779 de 2006 
- Debe cumplir con Resolución 333 de 2011 sobre rotulado y etiquetado nutricional y las normas que la modifiquen. 
- Uso: Panela instantánea soluble al agua 
- Azúcares reductores expresados en glucosa, mínimo 5,74%; azúcares no reductores expresados en sacarosa, máximo 90%; proteínas, mínimo 0,2%; cenizas, mínimo 1%; humedad, máximo 5%; plomo expresado como As en mg/kg, máximo 0,1;
- No debe contener PVC o Poliestireno expandido u otros plásticos de un solo uso tanto en el envase como en el embalaje.</v>
          </cell>
          <cell r="D199" t="str">
            <v>Cajas de mínimo 20 en sobres.</v>
          </cell>
          <cell r="E199">
            <v>0</v>
          </cell>
          <cell r="F199">
            <v>0</v>
          </cell>
          <cell r="G199">
            <v>0</v>
          </cell>
          <cell r="H199">
            <v>0</v>
          </cell>
          <cell r="I199">
            <v>0</v>
          </cell>
          <cell r="J199">
            <v>0</v>
          </cell>
          <cell r="K199">
            <v>0</v>
          </cell>
          <cell r="L199">
            <v>0</v>
          </cell>
          <cell r="M199">
            <v>0</v>
          </cell>
          <cell r="N199">
            <v>0</v>
          </cell>
          <cell r="O199">
            <v>0</v>
          </cell>
        </row>
        <row r="200">
          <cell r="B200" t="str">
            <v>Bebida de frutas (Compra)</v>
          </cell>
          <cell r="C200" t="str">
            <v>- Contiene sobres de mínimo 1,4g, para diluir
- Debe cumplir con Resolución 2492 de 2022 sobre rotulado y etiquetado nutricional y las normas que la modifiquen
- Mínimo 12  meses de vida útil desde la fecha de fabricación
- Sabores: Papayuela, Mora, Maracuya, Uchuva, Uva, Fresa, Piña, Durazno, Naranja, Manzana y Arandano</v>
          </cell>
          <cell r="D200" t="str">
            <v>Caja de mínimo 20 sobres</v>
          </cell>
          <cell r="E200">
            <v>0</v>
          </cell>
          <cell r="F200">
            <v>0</v>
          </cell>
          <cell r="G200">
            <v>0</v>
          </cell>
          <cell r="H200">
            <v>0</v>
          </cell>
          <cell r="I200">
            <v>0</v>
          </cell>
          <cell r="J200">
            <v>0</v>
          </cell>
          <cell r="K200">
            <v>0</v>
          </cell>
          <cell r="L200">
            <v>0</v>
          </cell>
          <cell r="M200">
            <v>0</v>
          </cell>
          <cell r="N200">
            <v>0</v>
          </cell>
          <cell r="O200">
            <v>0</v>
          </cell>
        </row>
        <row r="201">
          <cell r="B201" t="str">
            <v>Bebida de panela (Compra)</v>
          </cell>
          <cell r="C201" t="str">
            <v>- Contiene sobres de mínimo 1,4g, para diluir
- Debe cumplir con Resolución 2492 de 2022 sobre rotulado y etiquetado nutricional y las normas que la modifiquen
- Debe cumplir con la Resolución 779 de 2006
- Mínimo 12  meses de vida útil desde la fecha de fabricación
- Sabores: Naranja, Jengibre, Papayuela, Frutos rojos, Maracuyá, Limoncillo</v>
          </cell>
          <cell r="D201" t="str">
            <v>Caja de mínimo 20 sobres</v>
          </cell>
          <cell r="E201">
            <v>0</v>
          </cell>
          <cell r="F201">
            <v>0</v>
          </cell>
          <cell r="G201">
            <v>0</v>
          </cell>
          <cell r="H201">
            <v>0</v>
          </cell>
          <cell r="I201">
            <v>0</v>
          </cell>
          <cell r="J201">
            <v>0</v>
          </cell>
          <cell r="K201">
            <v>0</v>
          </cell>
          <cell r="L201">
            <v>0</v>
          </cell>
          <cell r="M201">
            <v>0</v>
          </cell>
          <cell r="N201">
            <v>0</v>
          </cell>
          <cell r="O201">
            <v>0</v>
          </cell>
        </row>
        <row r="202">
          <cell r="B202" t="str">
            <v>Té (Compra)</v>
          </cell>
          <cell r="C202" t="str">
            <v>- Para infusión
- Cajas disponbiles en mínimo tres (3) sabores
- 100% naturales</v>
          </cell>
          <cell r="D202" t="str">
            <v>Caja x 20 mínimo sobres</v>
          </cell>
          <cell r="E202">
            <v>0</v>
          </cell>
          <cell r="F202">
            <v>0</v>
          </cell>
          <cell r="G202">
            <v>0</v>
          </cell>
          <cell r="H202">
            <v>0</v>
          </cell>
          <cell r="I202">
            <v>0</v>
          </cell>
          <cell r="J202">
            <v>0</v>
          </cell>
          <cell r="K202">
            <v>0</v>
          </cell>
          <cell r="L202">
            <v>0</v>
          </cell>
          <cell r="M202">
            <v>0</v>
          </cell>
          <cell r="N202">
            <v>0</v>
          </cell>
          <cell r="O202">
            <v>0</v>
          </cell>
        </row>
        <row r="203">
          <cell r="B203" t="str">
            <v>Agua potable 1 (Compra)</v>
          </cell>
          <cell r="C203" t="str">
            <v>- Agua potable purificada sin gas</v>
          </cell>
          <cell r="D203" t="str">
            <v>Botella plástica de
mínimo 300 ml</v>
          </cell>
          <cell r="E203">
            <v>0</v>
          </cell>
          <cell r="F203">
            <v>0</v>
          </cell>
          <cell r="G203">
            <v>0</v>
          </cell>
          <cell r="H203">
            <v>0</v>
          </cell>
          <cell r="I203">
            <v>0</v>
          </cell>
          <cell r="J203">
            <v>0</v>
          </cell>
          <cell r="K203">
            <v>0</v>
          </cell>
          <cell r="L203">
            <v>0</v>
          </cell>
          <cell r="M203">
            <v>0</v>
          </cell>
          <cell r="N203">
            <v>0</v>
          </cell>
          <cell r="O203">
            <v>0</v>
          </cell>
        </row>
        <row r="204">
          <cell r="B204" t="str">
            <v>Agua potable 2 (Compra)</v>
          </cell>
          <cell r="C204" t="str">
            <v xml:space="preserve"> - Agua potable purificada sin gas</v>
          </cell>
          <cell r="D204" t="str">
            <v>Botella plástica de
mínimo 600 ml</v>
          </cell>
          <cell r="E204">
            <v>0</v>
          </cell>
          <cell r="F204">
            <v>0</v>
          </cell>
          <cell r="G204">
            <v>0</v>
          </cell>
          <cell r="H204">
            <v>0</v>
          </cell>
          <cell r="I204">
            <v>0</v>
          </cell>
          <cell r="J204">
            <v>0</v>
          </cell>
          <cell r="K204">
            <v>0</v>
          </cell>
          <cell r="L204">
            <v>0</v>
          </cell>
          <cell r="M204">
            <v>0</v>
          </cell>
          <cell r="N204">
            <v>0</v>
          </cell>
          <cell r="O204">
            <v>0</v>
          </cell>
        </row>
        <row r="205">
          <cell r="B205" t="str">
            <v>Agua potable 3 (Compra)</v>
          </cell>
          <cell r="C205" t="str">
            <v xml:space="preserve"> - Agua potable purificada
-  Con gas</v>
          </cell>
          <cell r="D205" t="str">
            <v>Botella plástica de
mínimo 600 ml</v>
          </cell>
          <cell r="E205">
            <v>0</v>
          </cell>
          <cell r="F205">
            <v>0</v>
          </cell>
          <cell r="G205">
            <v>0</v>
          </cell>
          <cell r="H205">
            <v>0</v>
          </cell>
          <cell r="I205">
            <v>0</v>
          </cell>
          <cell r="J205">
            <v>0</v>
          </cell>
          <cell r="K205">
            <v>0</v>
          </cell>
          <cell r="L205">
            <v>0</v>
          </cell>
          <cell r="M205">
            <v>0</v>
          </cell>
          <cell r="N205">
            <v>0</v>
          </cell>
          <cell r="O205">
            <v>0</v>
          </cell>
        </row>
        <row r="206">
          <cell r="B206" t="str">
            <v>Agua potable 4 (Compra)</v>
          </cell>
          <cell r="C206" t="str">
            <v>- Agua potable potable purificada</v>
          </cell>
          <cell r="D206" t="str">
            <v>Botellón de mínimo 18.9 L</v>
          </cell>
          <cell r="E206">
            <v>93</v>
          </cell>
          <cell r="F206">
            <v>27142</v>
          </cell>
          <cell r="G206">
            <v>14044</v>
          </cell>
          <cell r="H206">
            <v>0</v>
          </cell>
          <cell r="I206">
            <v>0.48257313388843859</v>
          </cell>
          <cell r="J206">
            <v>14044</v>
          </cell>
          <cell r="K206">
            <v>1306092</v>
          </cell>
          <cell r="L206">
            <v>1384.242</v>
          </cell>
          <cell r="M206">
            <v>28526.241999999998</v>
          </cell>
          <cell r="N206">
            <v>13765.998</v>
          </cell>
          <cell r="O206">
            <v>14760.243999999999</v>
          </cell>
        </row>
        <row r="207">
          <cell r="B207" t="str">
            <v>Válvula dispensadora para botellón de agua (Compra)</v>
          </cell>
          <cell r="C207" t="str">
            <v>-Válvula en material plástico con boquilla ajustable a los diferentes tipos de botellones</v>
          </cell>
          <cell r="D207" t="str">
            <v>Unidad</v>
          </cell>
          <cell r="E207">
            <v>4</v>
          </cell>
          <cell r="F207">
            <v>34506</v>
          </cell>
          <cell r="G207">
            <v>16832</v>
          </cell>
          <cell r="H207">
            <v>0</v>
          </cell>
          <cell r="I207">
            <v>0.51220077667651998</v>
          </cell>
          <cell r="J207">
            <v>16832</v>
          </cell>
          <cell r="K207">
            <v>67328</v>
          </cell>
          <cell r="L207">
            <v>1759.8059999999998</v>
          </cell>
          <cell r="M207">
            <v>36265.805999999997</v>
          </cell>
          <cell r="N207">
            <v>18575.373999999996</v>
          </cell>
          <cell r="O207">
            <v>17690.432000000001</v>
          </cell>
        </row>
        <row r="208">
          <cell r="B208" t="str">
            <v>Servilleta de tela (Compra)</v>
          </cell>
          <cell r="C208" t="str">
            <v>- Elaborada en tela
- Color blanco
- Dimensiones mínimas de 40 cm de largo y 40 cm de ancho.</v>
          </cell>
          <cell r="D208" t="str">
            <v>Unidad</v>
          </cell>
          <cell r="E208">
            <v>0</v>
          </cell>
          <cell r="F208">
            <v>0</v>
          </cell>
          <cell r="G208">
            <v>0</v>
          </cell>
          <cell r="H208">
            <v>0</v>
          </cell>
          <cell r="I208">
            <v>0</v>
          </cell>
          <cell r="J208">
            <v>0</v>
          </cell>
          <cell r="K208">
            <v>0</v>
          </cell>
          <cell r="L208">
            <v>0</v>
          </cell>
          <cell r="M208">
            <v>0</v>
          </cell>
          <cell r="N208">
            <v>0</v>
          </cell>
          <cell r="O208">
            <v>0</v>
          </cell>
        </row>
        <row r="209">
          <cell r="B209" t="str">
            <v>Cepillo para paredes y techos (Compra)</v>
          </cell>
          <cell r="C209" t="str">
            <v xml:space="preserve"> - Cuerpo elaborado en plástico
 - Cerdas duras en fibra plástica
 - Largo mínimo de 140 cm</v>
          </cell>
          <cell r="D209" t="str">
            <v>Unidad</v>
          </cell>
          <cell r="E209">
            <v>9</v>
          </cell>
          <cell r="F209">
            <v>8679</v>
          </cell>
          <cell r="G209">
            <v>6838</v>
          </cell>
          <cell r="H209">
            <v>0</v>
          </cell>
          <cell r="I209">
            <v>0.21212121212121215</v>
          </cell>
          <cell r="J209">
            <v>6838</v>
          </cell>
          <cell r="K209">
            <v>61542</v>
          </cell>
          <cell r="L209">
            <v>442.62899999999996</v>
          </cell>
          <cell r="M209">
            <v>9121.6290000000008</v>
          </cell>
          <cell r="N209">
            <v>1934.8910000000005</v>
          </cell>
          <cell r="O209">
            <v>7186.7380000000003</v>
          </cell>
        </row>
        <row r="210">
          <cell r="B210" t="str">
            <v>Brillador 1 (Compra)</v>
          </cell>
          <cell r="C210" t="str">
            <v>- Mopa elaborada en algodón
- Área de barrido mínima de 90 cm de largo por 16cm de ancho
- Armazón y mango metálico</v>
          </cell>
          <cell r="D210" t="str">
            <v>Unidad</v>
          </cell>
          <cell r="E210">
            <v>14</v>
          </cell>
          <cell r="F210">
            <v>76901</v>
          </cell>
          <cell r="G210">
            <v>48315</v>
          </cell>
          <cell r="H210">
            <v>0</v>
          </cell>
          <cell r="I210">
            <v>0.37172468498459055</v>
          </cell>
          <cell r="J210">
            <v>48315</v>
          </cell>
          <cell r="K210">
            <v>676410</v>
          </cell>
          <cell r="L210">
            <v>3921.9509999999996</v>
          </cell>
          <cell r="M210">
            <v>80822.951000000001</v>
          </cell>
          <cell r="N210">
            <v>30043.885999999999</v>
          </cell>
          <cell r="O210">
            <v>50779.065000000002</v>
          </cell>
        </row>
        <row r="211">
          <cell r="B211" t="str">
            <v>Brillador 2 (Compra)</v>
          </cell>
          <cell r="C211" t="str">
            <v>- Mopa elaborada en algodón
- Área de barrido mínima de 60 cm de largo por 16cm de ancho
- Armazón y mango metálico</v>
          </cell>
          <cell r="D211" t="str">
            <v>Unidad</v>
          </cell>
          <cell r="E211">
            <v>1</v>
          </cell>
          <cell r="F211">
            <v>54494</v>
          </cell>
          <cell r="G211">
            <v>35545</v>
          </cell>
          <cell r="H211">
            <v>0</v>
          </cell>
          <cell r="I211">
            <v>0.34772635519506734</v>
          </cell>
          <cell r="J211">
            <v>35545</v>
          </cell>
          <cell r="K211">
            <v>35545</v>
          </cell>
          <cell r="L211">
            <v>2779.194</v>
          </cell>
          <cell r="M211">
            <v>57273.194000000003</v>
          </cell>
          <cell r="N211">
            <v>19915.399000000001</v>
          </cell>
          <cell r="O211">
            <v>37357.794999999998</v>
          </cell>
        </row>
        <row r="212">
          <cell r="B212" t="str">
            <v>Repuestos brillador 1 (Compra)</v>
          </cell>
          <cell r="C212" t="str">
            <v>- Mopa elaborada en algodón
- Área de barrido mínima de 90 cm de largo por 16 cm de ancho</v>
          </cell>
          <cell r="D212" t="str">
            <v>Unidad</v>
          </cell>
          <cell r="E212">
            <v>14</v>
          </cell>
          <cell r="F212">
            <v>41554</v>
          </cell>
          <cell r="G212">
            <v>21444</v>
          </cell>
          <cell r="H212">
            <v>0</v>
          </cell>
          <cell r="I212">
            <v>0.4839485970063051</v>
          </cell>
          <cell r="J212">
            <v>21444</v>
          </cell>
          <cell r="K212">
            <v>300216</v>
          </cell>
          <cell r="L212">
            <v>2119.2539999999999</v>
          </cell>
          <cell r="M212">
            <v>43673.254000000001</v>
          </cell>
          <cell r="N212">
            <v>21135.610000000004</v>
          </cell>
          <cell r="O212">
            <v>22537.643999999997</v>
          </cell>
        </row>
        <row r="213">
          <cell r="B213" t="str">
            <v>Repuestos brillador 2 (Compra)</v>
          </cell>
          <cell r="C213" t="str">
            <v>- Mopa elaborada en algodón
- Área de barrido mínima de 60 cm de largo por 16 cm de ancho</v>
          </cell>
          <cell r="D213" t="str">
            <v>Unidad</v>
          </cell>
          <cell r="E213">
            <v>7</v>
          </cell>
          <cell r="F213">
            <v>31244</v>
          </cell>
          <cell r="G213">
            <v>15216</v>
          </cell>
          <cell r="H213">
            <v>0</v>
          </cell>
          <cell r="I213">
            <v>0.51299449494302907</v>
          </cell>
          <cell r="J213">
            <v>15216</v>
          </cell>
          <cell r="K213">
            <v>106512</v>
          </cell>
          <cell r="L213">
            <v>1593.444</v>
          </cell>
          <cell r="M213">
            <v>32837.444000000003</v>
          </cell>
          <cell r="N213">
            <v>16845.428000000004</v>
          </cell>
          <cell r="O213">
            <v>15992.016</v>
          </cell>
        </row>
        <row r="214">
          <cell r="B214" t="str">
            <v>Destapador para sanitario (chupa) (Compra)</v>
          </cell>
          <cell r="C214" t="str">
            <v>- Tipo campana
- Chupa elaborada en caucho
- Diámetro mínimo de 12 cm
- Mango elaborado en madera
- Mango con longitud mínima de 33 cm</v>
          </cell>
          <cell r="D214" t="str">
            <v>Unidad</v>
          </cell>
          <cell r="E214">
            <v>37</v>
          </cell>
          <cell r="F214">
            <v>3524</v>
          </cell>
          <cell r="G214">
            <v>2384</v>
          </cell>
          <cell r="H214">
            <v>0</v>
          </cell>
          <cell r="I214">
            <v>0.32349602724177073</v>
          </cell>
          <cell r="J214">
            <v>2384</v>
          </cell>
          <cell r="K214">
            <v>88208</v>
          </cell>
          <cell r="L214">
            <v>179.72399999999999</v>
          </cell>
          <cell r="M214">
            <v>3703.7240000000002</v>
          </cell>
          <cell r="N214">
            <v>1198.1400000000001</v>
          </cell>
          <cell r="O214">
            <v>2505.5839999999998</v>
          </cell>
        </row>
        <row r="215">
          <cell r="B215" t="str">
            <v>Plumero o limpia polvo (Compra)</v>
          </cell>
          <cell r="C215" t="str">
            <v>- Fibras sintéticas
- Mango de plástico
- Largo total mínimo de 65 cm
- Electrostático</v>
          </cell>
          <cell r="D215" t="str">
            <v>Unidad</v>
          </cell>
          <cell r="E215">
            <v>1</v>
          </cell>
          <cell r="F215">
            <v>11046</v>
          </cell>
          <cell r="G215">
            <v>5786</v>
          </cell>
          <cell r="H215">
            <v>1</v>
          </cell>
          <cell r="I215">
            <v>1</v>
          </cell>
          <cell r="J215">
            <v>0</v>
          </cell>
          <cell r="K215">
            <v>0</v>
          </cell>
          <cell r="L215">
            <v>563.346</v>
          </cell>
          <cell r="M215">
            <v>11609.346</v>
          </cell>
          <cell r="N215">
            <v>11609.346</v>
          </cell>
          <cell r="O215">
            <v>0</v>
          </cell>
        </row>
        <row r="216">
          <cell r="B216" t="str">
            <v>Rastrillo 1 (Compra)</v>
          </cell>
          <cell r="C216" t="str">
            <v>- Barra dentada plástica con mínimo 18 dientes
- Mango metálico  plastificado con longitud mínima de 120 cm</v>
          </cell>
          <cell r="D216" t="str">
            <v>Unidad</v>
          </cell>
          <cell r="E216">
            <v>0</v>
          </cell>
          <cell r="F216">
            <v>0</v>
          </cell>
          <cell r="G216">
            <v>0</v>
          </cell>
          <cell r="H216">
            <v>0</v>
          </cell>
          <cell r="I216">
            <v>0</v>
          </cell>
          <cell r="J216">
            <v>0</v>
          </cell>
          <cell r="K216">
            <v>0</v>
          </cell>
          <cell r="L216">
            <v>0</v>
          </cell>
          <cell r="M216">
            <v>0</v>
          </cell>
          <cell r="N216">
            <v>0</v>
          </cell>
          <cell r="O216">
            <v>0</v>
          </cell>
        </row>
        <row r="217">
          <cell r="B217" t="str">
            <v>Rastrillo 2 (Compra)</v>
          </cell>
          <cell r="C217" t="str">
            <v>- Barra dentada metálica con mínimo 18 dientes
- Mango metálico plastificado con longitud mínima de 120 cm</v>
          </cell>
          <cell r="D217" t="str">
            <v>Unidad</v>
          </cell>
          <cell r="E217">
            <v>15</v>
          </cell>
          <cell r="F217">
            <v>33559</v>
          </cell>
          <cell r="G217">
            <v>9968</v>
          </cell>
          <cell r="H217">
            <v>0</v>
          </cell>
          <cell r="I217">
            <v>0.70297088709437117</v>
          </cell>
          <cell r="J217">
            <v>9968</v>
          </cell>
          <cell r="K217">
            <v>149520</v>
          </cell>
          <cell r="L217">
            <v>1711.5089999999998</v>
          </cell>
          <cell r="M217">
            <v>35270.508999999998</v>
          </cell>
          <cell r="N217">
            <v>24794.141</v>
          </cell>
          <cell r="O217">
            <v>10476.367999999999</v>
          </cell>
        </row>
        <row r="218">
          <cell r="B218" t="str">
            <v>Recogedor de basura 1 (Compra)</v>
          </cell>
          <cell r="C218" t="str">
            <v>- Elaborado en plástico
- Con banda de goma y dientas barrescobas
- Mango con longitud mínima de 70 cm</v>
          </cell>
          <cell r="D218" t="str">
            <v>Unidad</v>
          </cell>
          <cell r="E218">
            <v>37</v>
          </cell>
          <cell r="F218">
            <v>5418</v>
          </cell>
          <cell r="G218">
            <v>3763</v>
          </cell>
          <cell r="H218">
            <v>0</v>
          </cell>
          <cell r="I218">
            <v>0.30546327057954969</v>
          </cell>
          <cell r="J218">
            <v>3763</v>
          </cell>
          <cell r="K218">
            <v>139231</v>
          </cell>
          <cell r="L218">
            <v>276.31799999999998</v>
          </cell>
          <cell r="M218">
            <v>5694.3180000000002</v>
          </cell>
          <cell r="N218">
            <v>1739.4050000000004</v>
          </cell>
          <cell r="O218">
            <v>3954.9129999999996</v>
          </cell>
        </row>
        <row r="219">
          <cell r="B219" t="str">
            <v>Recogedor de basura 2 (Compra)</v>
          </cell>
          <cell r="C219" t="str">
            <v xml:space="preserve"> - Elaborado en plástico
 - Plegable, con tapa que abre y cierra</v>
          </cell>
          <cell r="D219" t="str">
            <v>Unidad</v>
          </cell>
          <cell r="E219">
            <v>0</v>
          </cell>
          <cell r="F219">
            <v>0</v>
          </cell>
          <cell r="G219">
            <v>0</v>
          </cell>
          <cell r="H219">
            <v>0</v>
          </cell>
          <cell r="I219">
            <v>0</v>
          </cell>
          <cell r="J219">
            <v>0</v>
          </cell>
          <cell r="K219">
            <v>0</v>
          </cell>
          <cell r="L219">
            <v>0</v>
          </cell>
          <cell r="M219">
            <v>0</v>
          </cell>
          <cell r="N219">
            <v>0</v>
          </cell>
          <cell r="O219">
            <v>0</v>
          </cell>
        </row>
        <row r="220">
          <cell r="B220" t="str">
            <v>Atomizadores (Compra)</v>
          </cell>
          <cell r="C220" t="str">
            <v>- Elaborado en plástico
- Reutilizable
- Capacidad mínima de 500 cc
- con pistola</v>
          </cell>
          <cell r="D220" t="str">
            <v>Unidad</v>
          </cell>
          <cell r="E220">
            <v>40</v>
          </cell>
          <cell r="F220">
            <v>2735</v>
          </cell>
          <cell r="G220">
            <v>1368</v>
          </cell>
          <cell r="H220">
            <v>0</v>
          </cell>
          <cell r="I220">
            <v>0.4998171846435101</v>
          </cell>
          <cell r="J220">
            <v>1368</v>
          </cell>
          <cell r="K220">
            <v>54720</v>
          </cell>
          <cell r="L220">
            <v>139.48499999999999</v>
          </cell>
          <cell r="M220">
            <v>2874.4850000000001</v>
          </cell>
          <cell r="N220">
            <v>1436.7170000000001</v>
          </cell>
          <cell r="O220">
            <v>1437.768</v>
          </cell>
        </row>
        <row r="221">
          <cell r="B221" t="str">
            <v>Caneca para almacenar ropa sucia  (Compra)</v>
          </cell>
          <cell r="C221" t="str">
            <v>- Elaborado en plástico
- Dimensiones mínimas de 50 cm de alto por 30 cm de ancho
- Incluye tapa
- En colores variados</v>
          </cell>
          <cell r="D221" t="str">
            <v>Unidad</v>
          </cell>
          <cell r="E221">
            <v>0</v>
          </cell>
          <cell r="F221">
            <v>0</v>
          </cell>
          <cell r="G221">
            <v>0</v>
          </cell>
          <cell r="H221">
            <v>0</v>
          </cell>
          <cell r="I221">
            <v>0</v>
          </cell>
          <cell r="J221">
            <v>0</v>
          </cell>
          <cell r="K221">
            <v>0</v>
          </cell>
          <cell r="L221">
            <v>0</v>
          </cell>
          <cell r="M221">
            <v>0</v>
          </cell>
          <cell r="N221">
            <v>0</v>
          </cell>
          <cell r="O221">
            <v>0</v>
          </cell>
        </row>
        <row r="222">
          <cell r="B222" t="str">
            <v>Vasos  1 (Arrendamiento)</v>
          </cell>
          <cell r="C222" t="str">
            <v>- Elaborado en vidrio
- Cilíndrico
- Capacidad mínima de 9 oz</v>
          </cell>
          <cell r="D222" t="str">
            <v>Unidad</v>
          </cell>
          <cell r="E222">
            <v>0</v>
          </cell>
          <cell r="F222">
            <v>0</v>
          </cell>
          <cell r="G222">
            <v>0</v>
          </cell>
          <cell r="H222">
            <v>0</v>
          </cell>
          <cell r="I222">
            <v>0</v>
          </cell>
          <cell r="J222">
            <v>0</v>
          </cell>
          <cell r="K222">
            <v>0</v>
          </cell>
          <cell r="L222">
            <v>0</v>
          </cell>
          <cell r="M222">
            <v>0</v>
          </cell>
          <cell r="N222">
            <v>0</v>
          </cell>
          <cell r="O222">
            <v>0</v>
          </cell>
        </row>
        <row r="223">
          <cell r="B223" t="str">
            <v>Vasos  1 (Compra)</v>
          </cell>
          <cell r="C223" t="str">
            <v>- Elaborado en vidrio
- Cilíndrico
- Capacidad mínima de 9 oz</v>
          </cell>
          <cell r="D223" t="str">
            <v>Unidad</v>
          </cell>
          <cell r="E223">
            <v>0</v>
          </cell>
          <cell r="F223">
            <v>0</v>
          </cell>
          <cell r="G223">
            <v>0</v>
          </cell>
          <cell r="H223">
            <v>0</v>
          </cell>
          <cell r="I223">
            <v>0</v>
          </cell>
          <cell r="J223">
            <v>0</v>
          </cell>
          <cell r="K223">
            <v>0</v>
          </cell>
          <cell r="L223">
            <v>0</v>
          </cell>
          <cell r="M223">
            <v>0</v>
          </cell>
          <cell r="N223">
            <v>0</v>
          </cell>
          <cell r="O223">
            <v>0</v>
          </cell>
        </row>
        <row r="224">
          <cell r="B224" t="str">
            <v>Vasos  2 (Arrendamiento)</v>
          </cell>
          <cell r="C224" t="str">
            <v>- Elaborado en vidrio
- Cilíndrico
- Capacidad mínima de 12 oz</v>
          </cell>
          <cell r="D224" t="str">
            <v>Unidad</v>
          </cell>
          <cell r="E224">
            <v>0</v>
          </cell>
          <cell r="F224">
            <v>0</v>
          </cell>
          <cell r="G224">
            <v>0</v>
          </cell>
          <cell r="H224">
            <v>0</v>
          </cell>
          <cell r="I224">
            <v>0</v>
          </cell>
          <cell r="J224">
            <v>0</v>
          </cell>
          <cell r="K224">
            <v>0</v>
          </cell>
          <cell r="L224">
            <v>0</v>
          </cell>
          <cell r="M224">
            <v>0</v>
          </cell>
          <cell r="N224">
            <v>0</v>
          </cell>
          <cell r="O224">
            <v>0</v>
          </cell>
        </row>
        <row r="225">
          <cell r="B225" t="str">
            <v>Vasos  2 (Compra)</v>
          </cell>
          <cell r="C225" t="str">
            <v>- Elaborado en vidrio
- Cilíndrico
- Capacidad mínima de 12 oz</v>
          </cell>
          <cell r="D225" t="str">
            <v>Unidad</v>
          </cell>
          <cell r="E225">
            <v>0</v>
          </cell>
          <cell r="F225">
            <v>0</v>
          </cell>
          <cell r="G225">
            <v>0</v>
          </cell>
          <cell r="H225">
            <v>0</v>
          </cell>
          <cell r="I225">
            <v>0</v>
          </cell>
          <cell r="J225">
            <v>0</v>
          </cell>
          <cell r="K225">
            <v>0</v>
          </cell>
          <cell r="L225">
            <v>0</v>
          </cell>
          <cell r="M225">
            <v>0</v>
          </cell>
          <cell r="N225">
            <v>0</v>
          </cell>
          <cell r="O225">
            <v>0</v>
          </cell>
        </row>
        <row r="226">
          <cell r="B226" t="str">
            <v>Cuchara  (Compra)</v>
          </cell>
          <cell r="C226" t="str">
            <v>- Elaboradas en acero inoxidable
- Longitud total mínima de 17 cm</v>
          </cell>
          <cell r="D226" t="str">
            <v>Unidad</v>
          </cell>
          <cell r="E226">
            <v>0</v>
          </cell>
          <cell r="F226">
            <v>0</v>
          </cell>
          <cell r="G226">
            <v>0</v>
          </cell>
          <cell r="H226">
            <v>0</v>
          </cell>
          <cell r="I226">
            <v>0</v>
          </cell>
          <cell r="J226">
            <v>0</v>
          </cell>
          <cell r="K226">
            <v>0</v>
          </cell>
          <cell r="L226">
            <v>0</v>
          </cell>
          <cell r="M226">
            <v>0</v>
          </cell>
          <cell r="N226">
            <v>0</v>
          </cell>
          <cell r="O226">
            <v>0</v>
          </cell>
        </row>
        <row r="227">
          <cell r="B227" t="str">
            <v>Tenedor  (Compra)</v>
          </cell>
          <cell r="C227" t="str">
            <v>- Elaborados en acero inoxidable
- lisos
- Longitud total mínima de 17 cm</v>
          </cell>
          <cell r="D227" t="str">
            <v>Unidad</v>
          </cell>
          <cell r="E227">
            <v>0</v>
          </cell>
          <cell r="F227">
            <v>0</v>
          </cell>
          <cell r="G227">
            <v>0</v>
          </cell>
          <cell r="H227">
            <v>0</v>
          </cell>
          <cell r="I227">
            <v>0</v>
          </cell>
          <cell r="J227">
            <v>0</v>
          </cell>
          <cell r="K227">
            <v>0</v>
          </cell>
          <cell r="L227">
            <v>0</v>
          </cell>
          <cell r="M227">
            <v>0</v>
          </cell>
          <cell r="N227">
            <v>0</v>
          </cell>
          <cell r="O227">
            <v>0</v>
          </cell>
        </row>
        <row r="228">
          <cell r="B228" t="str">
            <v>Cuchillo  (Compra)</v>
          </cell>
          <cell r="C228" t="str">
            <v>- Elaborados en acero inoxidable
- lisos
- Longitud total mínima de 20 cm</v>
          </cell>
          <cell r="D228" t="str">
            <v>Unidad</v>
          </cell>
          <cell r="E228">
            <v>0</v>
          </cell>
          <cell r="F228">
            <v>0</v>
          </cell>
          <cell r="G228">
            <v>0</v>
          </cell>
          <cell r="H228">
            <v>0</v>
          </cell>
          <cell r="I228">
            <v>0</v>
          </cell>
          <cell r="J228">
            <v>0</v>
          </cell>
          <cell r="K228">
            <v>0</v>
          </cell>
          <cell r="L228">
            <v>0</v>
          </cell>
          <cell r="M228">
            <v>0</v>
          </cell>
          <cell r="N228">
            <v>0</v>
          </cell>
          <cell r="O228">
            <v>0</v>
          </cell>
        </row>
        <row r="229">
          <cell r="B229" t="str">
            <v>Cuchara pequeña  (Compra)</v>
          </cell>
          <cell r="C229" t="str">
            <v>- Elaborados en acero inoxidable
- lisos
- Longitud total mínima de 12 cm</v>
          </cell>
          <cell r="D229" t="str">
            <v>Unidad</v>
          </cell>
          <cell r="E229">
            <v>0</v>
          </cell>
          <cell r="F229">
            <v>0</v>
          </cell>
          <cell r="G229">
            <v>0</v>
          </cell>
          <cell r="H229">
            <v>0</v>
          </cell>
          <cell r="I229">
            <v>0</v>
          </cell>
          <cell r="J229">
            <v>0</v>
          </cell>
          <cell r="K229">
            <v>0</v>
          </cell>
          <cell r="L229">
            <v>0</v>
          </cell>
          <cell r="M229">
            <v>0</v>
          </cell>
          <cell r="N229">
            <v>0</v>
          </cell>
          <cell r="O229">
            <v>0</v>
          </cell>
        </row>
        <row r="230">
          <cell r="B230" t="str">
            <v>Platos  1 (Arrendamiento)</v>
          </cell>
          <cell r="C230" t="str">
            <v>- Elaborados en porcelana blanca
- Llanos
- Color blanco sin diseño
- Diámetro mínimo de 26 cm
- Apto para uso en horno microondas</v>
          </cell>
          <cell r="D230" t="str">
            <v>Unidad</v>
          </cell>
          <cell r="E230">
            <v>0</v>
          </cell>
          <cell r="F230">
            <v>0</v>
          </cell>
          <cell r="G230">
            <v>0</v>
          </cell>
          <cell r="H230">
            <v>0</v>
          </cell>
          <cell r="I230">
            <v>0</v>
          </cell>
          <cell r="J230">
            <v>0</v>
          </cell>
          <cell r="K230">
            <v>0</v>
          </cell>
          <cell r="L230">
            <v>0</v>
          </cell>
          <cell r="M230">
            <v>0</v>
          </cell>
          <cell r="N230">
            <v>0</v>
          </cell>
          <cell r="O230">
            <v>0</v>
          </cell>
        </row>
        <row r="231">
          <cell r="B231" t="str">
            <v>Platos  1 (Compra)</v>
          </cell>
          <cell r="C231" t="str">
            <v>- Elaborados en porcelana blanca
- Llanos
- Color blanco sin diseño
- Diámetro mínimo de 26 cm
- Apto para uso en horno microondas</v>
          </cell>
          <cell r="D231" t="str">
            <v>Unidad</v>
          </cell>
          <cell r="E231">
            <v>0</v>
          </cell>
          <cell r="F231">
            <v>0</v>
          </cell>
          <cell r="G231">
            <v>0</v>
          </cell>
          <cell r="H231">
            <v>0</v>
          </cell>
          <cell r="I231">
            <v>0</v>
          </cell>
          <cell r="J231">
            <v>0</v>
          </cell>
          <cell r="K231">
            <v>0</v>
          </cell>
          <cell r="L231">
            <v>0</v>
          </cell>
          <cell r="M231">
            <v>0</v>
          </cell>
          <cell r="N231">
            <v>0</v>
          </cell>
          <cell r="O231">
            <v>0</v>
          </cell>
        </row>
        <row r="232">
          <cell r="B232" t="str">
            <v>Platos  2 (Arrendamiento)</v>
          </cell>
          <cell r="C232" t="str">
            <v>- Elaborados en porcelana blanca
- Llanos
- Color blanco sin diseño
- Diámetro mínimo de 22 cm
- Apto para uso en horno microondas</v>
          </cell>
          <cell r="D232" t="str">
            <v>Unidad</v>
          </cell>
          <cell r="E232">
            <v>0</v>
          </cell>
          <cell r="F232">
            <v>0</v>
          </cell>
          <cell r="G232">
            <v>0</v>
          </cell>
          <cell r="H232">
            <v>0</v>
          </cell>
          <cell r="I232">
            <v>0</v>
          </cell>
          <cell r="J232">
            <v>0</v>
          </cell>
          <cell r="K232">
            <v>0</v>
          </cell>
          <cell r="L232">
            <v>0</v>
          </cell>
          <cell r="M232">
            <v>0</v>
          </cell>
          <cell r="N232">
            <v>0</v>
          </cell>
          <cell r="O232">
            <v>0</v>
          </cell>
        </row>
        <row r="233">
          <cell r="B233" t="str">
            <v>Platos  2 (Compra)</v>
          </cell>
          <cell r="C233" t="str">
            <v>- Elaborados en porcelana blanca
- Llanos
- Color blanco sin diseño
- Diámetro mínimo de 22 cm
- Apto para uso en horno microondas</v>
          </cell>
          <cell r="D233" t="str">
            <v>Unidad</v>
          </cell>
          <cell r="E233">
            <v>0</v>
          </cell>
          <cell r="F233">
            <v>0</v>
          </cell>
          <cell r="G233">
            <v>0</v>
          </cell>
          <cell r="H233">
            <v>0</v>
          </cell>
          <cell r="I233">
            <v>0</v>
          </cell>
          <cell r="J233">
            <v>0</v>
          </cell>
          <cell r="K233">
            <v>0</v>
          </cell>
          <cell r="L233">
            <v>0</v>
          </cell>
          <cell r="M233">
            <v>0</v>
          </cell>
          <cell r="N233">
            <v>0</v>
          </cell>
          <cell r="O233">
            <v>0</v>
          </cell>
        </row>
        <row r="234">
          <cell r="B234" t="str">
            <v>Platos  3 (Arrendamiento)</v>
          </cell>
          <cell r="C234" t="str">
            <v>- Elaborados en porcelana blanca
- Llanos
- Color blanco sin diseño
- Diámetro mínimo de 16 cm
- Apto para uso en horno microondas</v>
          </cell>
          <cell r="D234" t="str">
            <v>Unidad</v>
          </cell>
          <cell r="E234">
            <v>0</v>
          </cell>
          <cell r="F234">
            <v>0</v>
          </cell>
          <cell r="G234">
            <v>0</v>
          </cell>
          <cell r="H234">
            <v>0</v>
          </cell>
          <cell r="I234">
            <v>0</v>
          </cell>
          <cell r="J234">
            <v>0</v>
          </cell>
          <cell r="K234">
            <v>0</v>
          </cell>
          <cell r="L234">
            <v>0</v>
          </cell>
          <cell r="M234">
            <v>0</v>
          </cell>
          <cell r="N234">
            <v>0</v>
          </cell>
          <cell r="O234">
            <v>0</v>
          </cell>
        </row>
        <row r="235">
          <cell r="B235" t="str">
            <v>Platos  3 (Compra)</v>
          </cell>
          <cell r="C235" t="str">
            <v>- Elaborados en porcelana blanca
- Llanos
- Color blanco sin diseño
- Diámetro mínimo de 16 cm
- Apto para uso en horno microondas</v>
          </cell>
          <cell r="D235" t="str">
            <v>Unidad</v>
          </cell>
          <cell r="E235">
            <v>0</v>
          </cell>
          <cell r="F235">
            <v>0</v>
          </cell>
          <cell r="G235">
            <v>0</v>
          </cell>
          <cell r="H235">
            <v>0</v>
          </cell>
          <cell r="I235">
            <v>0</v>
          </cell>
          <cell r="J235">
            <v>0</v>
          </cell>
          <cell r="K235">
            <v>0</v>
          </cell>
          <cell r="L235">
            <v>0</v>
          </cell>
          <cell r="M235">
            <v>0</v>
          </cell>
          <cell r="N235">
            <v>0</v>
          </cell>
          <cell r="O235">
            <v>0</v>
          </cell>
        </row>
        <row r="236">
          <cell r="B236" t="str">
            <v>Platos  4 (Arrendamiento)</v>
          </cell>
          <cell r="C236" t="str">
            <v>- Elaborados en porcelana blanca
- Hondo
- Color blanco sin diseño
- Diámetro mínimo de 17 cm
- Apto para uso en horno microondas</v>
          </cell>
          <cell r="D236" t="str">
            <v>Unidad</v>
          </cell>
          <cell r="E236">
            <v>0</v>
          </cell>
          <cell r="F236">
            <v>0</v>
          </cell>
          <cell r="G236">
            <v>0</v>
          </cell>
          <cell r="H236">
            <v>0</v>
          </cell>
          <cell r="I236">
            <v>0</v>
          </cell>
          <cell r="J236">
            <v>0</v>
          </cell>
          <cell r="K236">
            <v>0</v>
          </cell>
          <cell r="L236">
            <v>0</v>
          </cell>
          <cell r="M236">
            <v>0</v>
          </cell>
          <cell r="N236">
            <v>0</v>
          </cell>
          <cell r="O236">
            <v>0</v>
          </cell>
        </row>
        <row r="237">
          <cell r="B237" t="str">
            <v>Platos  4 (Compra)</v>
          </cell>
          <cell r="C237" t="str">
            <v>- Elaborados en porcelana blanca
- Hondo
- Color blanco sin diseño
- Diámetro mínimo de 17 cm
- Apto para uso en horno microondas</v>
          </cell>
          <cell r="D237" t="str">
            <v>Unidad</v>
          </cell>
          <cell r="E237">
            <v>0</v>
          </cell>
          <cell r="F237">
            <v>0</v>
          </cell>
          <cell r="G237">
            <v>0</v>
          </cell>
          <cell r="H237">
            <v>0</v>
          </cell>
          <cell r="I237">
            <v>0</v>
          </cell>
          <cell r="J237">
            <v>0</v>
          </cell>
          <cell r="K237">
            <v>0</v>
          </cell>
          <cell r="L237">
            <v>0</v>
          </cell>
          <cell r="M237">
            <v>0</v>
          </cell>
          <cell r="N237">
            <v>0</v>
          </cell>
          <cell r="O237">
            <v>0</v>
          </cell>
        </row>
        <row r="238">
          <cell r="B238" t="str">
            <v>Platos  5 (Arrendamiento)</v>
          </cell>
          <cell r="C238" t="str">
            <v>- Elaborados en porcelana blanca
- Hondo
- Color blanco  sin diseño
- Diámetro mínimo de 22 cm
- Apto para uso en horno microondas</v>
          </cell>
          <cell r="D238" t="str">
            <v>Unidad</v>
          </cell>
          <cell r="E238">
            <v>0</v>
          </cell>
          <cell r="F238">
            <v>0</v>
          </cell>
          <cell r="G238">
            <v>0</v>
          </cell>
          <cell r="H238">
            <v>0</v>
          </cell>
          <cell r="I238">
            <v>0</v>
          </cell>
          <cell r="J238">
            <v>0</v>
          </cell>
          <cell r="K238">
            <v>0</v>
          </cell>
          <cell r="L238">
            <v>0</v>
          </cell>
          <cell r="M238">
            <v>0</v>
          </cell>
          <cell r="N238">
            <v>0</v>
          </cell>
          <cell r="O238">
            <v>0</v>
          </cell>
        </row>
        <row r="239">
          <cell r="B239" t="str">
            <v>Platos  5 (Compra)</v>
          </cell>
          <cell r="C239" t="str">
            <v>- Elaborados en porcelana blanca
- Hondo
- Color blanco  sin diseño
- Diámetro mínimo de 22 cm
- Apto para uso en horno microondas</v>
          </cell>
          <cell r="D239" t="str">
            <v>Unidad</v>
          </cell>
          <cell r="E239">
            <v>0</v>
          </cell>
          <cell r="F239">
            <v>0</v>
          </cell>
          <cell r="G239">
            <v>0</v>
          </cell>
          <cell r="H239">
            <v>0</v>
          </cell>
          <cell r="I239">
            <v>0</v>
          </cell>
          <cell r="J239">
            <v>0</v>
          </cell>
          <cell r="K239">
            <v>0</v>
          </cell>
          <cell r="L239">
            <v>0</v>
          </cell>
          <cell r="M239">
            <v>0</v>
          </cell>
          <cell r="N239">
            <v>0</v>
          </cell>
          <cell r="O239">
            <v>0</v>
          </cell>
        </row>
        <row r="240">
          <cell r="B240" t="str">
            <v>Pocillos  (Arrendamiento)</v>
          </cell>
          <cell r="C240" t="str">
            <v>- Elaborado en porcelana blanca para café
- Sin diseño
- De mínimo 150 cc
- No se debe rayar con el uso de cubiertos
- Debe ser apta para uso en microondas</v>
          </cell>
          <cell r="D240" t="str">
            <v>Unidad</v>
          </cell>
          <cell r="E240">
            <v>0</v>
          </cell>
          <cell r="F240">
            <v>0</v>
          </cell>
          <cell r="G240">
            <v>0</v>
          </cell>
          <cell r="H240">
            <v>0</v>
          </cell>
          <cell r="I240">
            <v>0</v>
          </cell>
          <cell r="J240">
            <v>0</v>
          </cell>
          <cell r="K240">
            <v>0</v>
          </cell>
          <cell r="L240">
            <v>0</v>
          </cell>
          <cell r="M240">
            <v>0</v>
          </cell>
          <cell r="N240">
            <v>0</v>
          </cell>
          <cell r="O240">
            <v>0</v>
          </cell>
        </row>
        <row r="241">
          <cell r="B241" t="str">
            <v>Pocillos  (Compra)</v>
          </cell>
          <cell r="C241" t="str">
            <v>- Elaborado en porcelana blanca para café
- Sin diseño
- De mínimo 150 cc
- No se debe rayar con el uso de cubiertos
- Debe ser apta para uso en microondas</v>
          </cell>
          <cell r="D241" t="str">
            <v>Unidad</v>
          </cell>
          <cell r="E241">
            <v>0</v>
          </cell>
          <cell r="F241">
            <v>0</v>
          </cell>
          <cell r="G241">
            <v>0</v>
          </cell>
          <cell r="H241">
            <v>0</v>
          </cell>
          <cell r="I241">
            <v>0</v>
          </cell>
          <cell r="J241">
            <v>0</v>
          </cell>
          <cell r="K241">
            <v>0</v>
          </cell>
          <cell r="L241">
            <v>0</v>
          </cell>
          <cell r="M241">
            <v>0</v>
          </cell>
          <cell r="N241">
            <v>0</v>
          </cell>
          <cell r="O241">
            <v>0</v>
          </cell>
        </row>
        <row r="242">
          <cell r="B242" t="str">
            <v>Juego de cubiertos  (Compra)</v>
          </cell>
          <cell r="C242" t="str">
            <v>- Elaborados en acero inoxidable
- Incluye cuchillo (longitud mínima de 20 cm), tenedor (longitud mínima de 17 cm), cuchara (longitud mínima de 17 cm), cuchara pequeña para postre (longitud mínima de 12 cm) y tenedor pequeño (longitud mínima de 12 cm).</v>
          </cell>
          <cell r="D242" t="str">
            <v>Juego de 6 puestos</v>
          </cell>
          <cell r="E242">
            <v>0</v>
          </cell>
          <cell r="F242">
            <v>0</v>
          </cell>
          <cell r="G242">
            <v>0</v>
          </cell>
          <cell r="H242">
            <v>0</v>
          </cell>
          <cell r="I242">
            <v>0</v>
          </cell>
          <cell r="J242">
            <v>0</v>
          </cell>
          <cell r="K242">
            <v>0</v>
          </cell>
          <cell r="L242">
            <v>0</v>
          </cell>
          <cell r="M242">
            <v>0</v>
          </cell>
          <cell r="N242">
            <v>0</v>
          </cell>
          <cell r="O242">
            <v>0</v>
          </cell>
        </row>
        <row r="243">
          <cell r="B243" t="str">
            <v>Terno para café (Arrendamiento)</v>
          </cell>
          <cell r="C243" t="str">
            <v>-Pocillo y plato de porcelana blanca para café.
- Sin diseño
- Plato de mínimo 12 cm de diámetro y pocillo de mínimo 150 cc
- No se debe rayar con el uso de los cubiertos y
debe ser apta para uso en horno microondas.</v>
          </cell>
          <cell r="D243" t="str">
            <v>Juego</v>
          </cell>
          <cell r="E243">
            <v>0</v>
          </cell>
          <cell r="F243">
            <v>0</v>
          </cell>
          <cell r="G243">
            <v>0</v>
          </cell>
          <cell r="H243">
            <v>0</v>
          </cell>
          <cell r="I243">
            <v>0</v>
          </cell>
          <cell r="J243">
            <v>0</v>
          </cell>
          <cell r="K243">
            <v>0</v>
          </cell>
          <cell r="L243">
            <v>0</v>
          </cell>
          <cell r="M243">
            <v>0</v>
          </cell>
          <cell r="N243">
            <v>0</v>
          </cell>
          <cell r="O243">
            <v>0</v>
          </cell>
        </row>
        <row r="244">
          <cell r="B244" t="str">
            <v>Terno para café (Compra)</v>
          </cell>
          <cell r="C244" t="str">
            <v>-Pocillo y plato de porcelana blanca para café.
- Sin diseño
- Plato de mínimo 12 cm de diámetro y pocillo de mínimo 150 cc
- No se debe rayar con el uso de los cubiertos y
debe ser apta para uso en horno microondas.</v>
          </cell>
          <cell r="D244" t="str">
            <v>Juego</v>
          </cell>
          <cell r="E244">
            <v>0</v>
          </cell>
          <cell r="F244">
            <v>0</v>
          </cell>
          <cell r="G244">
            <v>0</v>
          </cell>
          <cell r="H244">
            <v>0</v>
          </cell>
          <cell r="I244">
            <v>0</v>
          </cell>
          <cell r="J244">
            <v>0</v>
          </cell>
          <cell r="K244">
            <v>0</v>
          </cell>
          <cell r="L244">
            <v>0</v>
          </cell>
          <cell r="M244">
            <v>0</v>
          </cell>
          <cell r="N244">
            <v>0</v>
          </cell>
          <cell r="O244">
            <v>0</v>
          </cell>
        </row>
        <row r="245">
          <cell r="B245" t="str">
            <v>Vajilla  1 (Arrendamiento)</v>
          </cell>
          <cell r="C245" t="str">
            <v>- Elaborada en porcelana
- Sin diseño
- Compuesta de 8 puestos y cuatro piezas por puesto:
- Plato para cena (diámetro mínimo de 26 cm)
- Plato hondo (diámetro mínimo de 20 cm)
- Plato auxiliar (diámetro mínimo de 16 cm)
- Taza (capacidad mínima es de 280 cc)
- Apta para uso en horno microondas.</v>
          </cell>
          <cell r="D245" t="str">
            <v>Juego</v>
          </cell>
          <cell r="E245">
            <v>0</v>
          </cell>
          <cell r="F245">
            <v>0</v>
          </cell>
          <cell r="G245">
            <v>0</v>
          </cell>
          <cell r="H245">
            <v>0</v>
          </cell>
          <cell r="I245">
            <v>0</v>
          </cell>
          <cell r="J245">
            <v>0</v>
          </cell>
          <cell r="K245">
            <v>0</v>
          </cell>
          <cell r="L245">
            <v>0</v>
          </cell>
          <cell r="M245">
            <v>0</v>
          </cell>
          <cell r="N245">
            <v>0</v>
          </cell>
          <cell r="O245">
            <v>0</v>
          </cell>
        </row>
        <row r="246">
          <cell r="B246" t="str">
            <v>Vajilla  1 (Compra)</v>
          </cell>
          <cell r="C246" t="str">
            <v>- Elaborada en porcelana
- Sin diseño
- Compuesta de 8 puestos y cuatro piezas por puesto:
- Plato para cena (diámetro mínimo de 26 cm)
- Plato hondo (diámetro mínimo de 20 cm)
- Plato auxiliar (diámetro mínimo de 16 cm)
- Taza (capacidad mínima es de 280 cc)
- Apta para uso en horno microondas.</v>
          </cell>
          <cell r="D246" t="str">
            <v>Juego</v>
          </cell>
          <cell r="E246">
            <v>0</v>
          </cell>
          <cell r="F246">
            <v>0</v>
          </cell>
          <cell r="G246">
            <v>0</v>
          </cell>
          <cell r="H246">
            <v>0</v>
          </cell>
          <cell r="I246">
            <v>0</v>
          </cell>
          <cell r="J246">
            <v>0</v>
          </cell>
          <cell r="K246">
            <v>0</v>
          </cell>
          <cell r="L246">
            <v>0</v>
          </cell>
          <cell r="M246">
            <v>0</v>
          </cell>
          <cell r="N246">
            <v>0</v>
          </cell>
          <cell r="O246">
            <v>0</v>
          </cell>
        </row>
        <row r="247">
          <cell r="B247" t="str">
            <v>Vajilla  2 (Arrendamiento)</v>
          </cell>
          <cell r="C247" t="str">
            <v>- Elaborada en porcelana
- Sin diseño
- Compuesta de 4 puestos y cuatro piezas por puesto:
- Plato para cena (diámetro mínimo de 26 cm)
- Plato hondo (diámetro mínimo de 20 cm)
- Plato auxiliar (diámetro mínimo de 16 cm)
- Taza (capacidad mínima es de 280 cc)
- Apta para uso en horno microondas.</v>
          </cell>
          <cell r="D247" t="str">
            <v>Juego</v>
          </cell>
          <cell r="E247">
            <v>0</v>
          </cell>
          <cell r="F247">
            <v>0</v>
          </cell>
          <cell r="G247">
            <v>0</v>
          </cell>
          <cell r="H247">
            <v>0</v>
          </cell>
          <cell r="I247">
            <v>0</v>
          </cell>
          <cell r="J247">
            <v>0</v>
          </cell>
          <cell r="K247">
            <v>0</v>
          </cell>
          <cell r="L247">
            <v>0</v>
          </cell>
          <cell r="M247">
            <v>0</v>
          </cell>
          <cell r="N247">
            <v>0</v>
          </cell>
          <cell r="O247">
            <v>0</v>
          </cell>
        </row>
        <row r="248">
          <cell r="B248" t="str">
            <v>Vajilla  2 (Compra)</v>
          </cell>
          <cell r="C248" t="str">
            <v>- Elaborada en porcelana
- Sin diseño
- Compuesta de 4 puestos y cuatro piezas por puesto:
- Plato para cena (diámetro mínimo de 26 cm)
- Plato hondo (diámetro mínimo de 20 cm)
- Plato auxiliar (diámetro mínimo de 16 cm)
- Taza (capacidad mínima es de 280 cc)
- Apta para uso en horno microondas.</v>
          </cell>
          <cell r="D248" t="str">
            <v>Juego</v>
          </cell>
          <cell r="E248">
            <v>0</v>
          </cell>
          <cell r="F248">
            <v>0</v>
          </cell>
          <cell r="G248">
            <v>0</v>
          </cell>
          <cell r="H248">
            <v>0</v>
          </cell>
          <cell r="I248">
            <v>0</v>
          </cell>
          <cell r="J248">
            <v>0</v>
          </cell>
          <cell r="K248">
            <v>0</v>
          </cell>
          <cell r="L248">
            <v>0</v>
          </cell>
          <cell r="M248">
            <v>0</v>
          </cell>
          <cell r="N248">
            <v>0</v>
          </cell>
          <cell r="O248">
            <v>0</v>
          </cell>
        </row>
        <row r="249">
          <cell r="B249" t="str">
            <v>Cuchillo de cocina  (Compra)</v>
          </cell>
          <cell r="C249" t="str">
            <v>- Hoja elaborada en acero inoxidable de mínimo 20 cm de largo y 2 cm de ancho.
- Mango liso elaborado en polipropileno negro</v>
          </cell>
          <cell r="D249" t="str">
            <v>Unidad</v>
          </cell>
          <cell r="E249">
            <v>0</v>
          </cell>
          <cell r="F249">
            <v>0</v>
          </cell>
          <cell r="G249">
            <v>0</v>
          </cell>
          <cell r="H249">
            <v>0</v>
          </cell>
          <cell r="I249">
            <v>0</v>
          </cell>
          <cell r="J249">
            <v>0</v>
          </cell>
          <cell r="K249">
            <v>0</v>
          </cell>
          <cell r="L249">
            <v>0</v>
          </cell>
          <cell r="M249">
            <v>0</v>
          </cell>
          <cell r="N249">
            <v>0</v>
          </cell>
          <cell r="O249">
            <v>0</v>
          </cell>
        </row>
        <row r="250">
          <cell r="B250" t="str">
            <v>Tijeras de cocina  (Compra)</v>
          </cell>
          <cell r="C250" t="str">
            <v>- Hojas elaborada en acero inoxidable de mínimo 20 cm de largo
- Mango de plástico liso</v>
          </cell>
          <cell r="D250" t="str">
            <v>Unidad</v>
          </cell>
          <cell r="E250">
            <v>0</v>
          </cell>
          <cell r="F250">
            <v>0</v>
          </cell>
          <cell r="G250">
            <v>0</v>
          </cell>
          <cell r="H250">
            <v>0</v>
          </cell>
          <cell r="I250">
            <v>0</v>
          </cell>
          <cell r="J250">
            <v>0</v>
          </cell>
          <cell r="K250">
            <v>0</v>
          </cell>
          <cell r="L250">
            <v>0</v>
          </cell>
          <cell r="M250">
            <v>0</v>
          </cell>
          <cell r="N250">
            <v>0</v>
          </cell>
          <cell r="O250">
            <v>0</v>
          </cell>
        </row>
        <row r="251">
          <cell r="B251" t="str">
            <v>Jarra  (Arrendamiento)</v>
          </cell>
          <cell r="C251" t="str">
            <v>- Elaborada en vidrio
- Sin diseño
- Capacidad mínima de 1,5 litros</v>
          </cell>
          <cell r="D251" t="str">
            <v>Unidad</v>
          </cell>
          <cell r="E251">
            <v>0</v>
          </cell>
          <cell r="F251">
            <v>0</v>
          </cell>
          <cell r="G251">
            <v>0</v>
          </cell>
          <cell r="H251">
            <v>0</v>
          </cell>
          <cell r="I251">
            <v>0</v>
          </cell>
          <cell r="J251">
            <v>0</v>
          </cell>
          <cell r="K251">
            <v>0</v>
          </cell>
          <cell r="L251">
            <v>0</v>
          </cell>
          <cell r="M251">
            <v>0</v>
          </cell>
          <cell r="N251">
            <v>0</v>
          </cell>
          <cell r="O251">
            <v>0</v>
          </cell>
        </row>
        <row r="252">
          <cell r="B252" t="str">
            <v>Jarra  (Compra)</v>
          </cell>
          <cell r="C252" t="str">
            <v>- Elaborada en vidrio
- Sin diseño
- Capacidad mínima de 1,5 litros</v>
          </cell>
          <cell r="D252" t="str">
            <v>Unidad</v>
          </cell>
          <cell r="E252">
            <v>0</v>
          </cell>
          <cell r="F252">
            <v>0</v>
          </cell>
          <cell r="G252">
            <v>0</v>
          </cell>
          <cell r="H252">
            <v>0</v>
          </cell>
          <cell r="I252">
            <v>0</v>
          </cell>
          <cell r="J252">
            <v>0</v>
          </cell>
          <cell r="K252">
            <v>0</v>
          </cell>
          <cell r="L252">
            <v>0</v>
          </cell>
          <cell r="M252">
            <v>0</v>
          </cell>
          <cell r="N252">
            <v>0</v>
          </cell>
          <cell r="O252">
            <v>0</v>
          </cell>
        </row>
        <row r="253">
          <cell r="B253" t="str">
            <v>Combustible  (Compra)</v>
          </cell>
          <cell r="C253" t="str">
            <v xml:space="preserve"> - Gasolina 
- Para cortadora de césped, sopladora de hojas y guadañas</v>
          </cell>
          <cell r="D253" t="str">
            <v>Galón</v>
          </cell>
          <cell r="E253">
            <v>24</v>
          </cell>
          <cell r="F253">
            <v>21566</v>
          </cell>
          <cell r="G253">
            <v>15254</v>
          </cell>
          <cell r="H253">
            <v>0</v>
          </cell>
          <cell r="I253">
            <v>0.29268292682926833</v>
          </cell>
          <cell r="J253">
            <v>15254</v>
          </cell>
          <cell r="K253">
            <v>366096</v>
          </cell>
          <cell r="L253">
            <v>1099.866</v>
          </cell>
          <cell r="M253">
            <v>22665.866000000002</v>
          </cell>
          <cell r="N253">
            <v>6633.9120000000012</v>
          </cell>
          <cell r="O253">
            <v>16031.954000000002</v>
          </cell>
        </row>
        <row r="254">
          <cell r="B254" t="str">
            <v>Organizador  porta escobas  (Compra)</v>
          </cell>
          <cell r="C254" t="str">
            <v>- Con capacidad para organizar mínimo 4 escobas de manera simultánea</v>
          </cell>
          <cell r="D254" t="str">
            <v>Unidad</v>
          </cell>
          <cell r="E254">
            <v>0</v>
          </cell>
          <cell r="F254">
            <v>0</v>
          </cell>
          <cell r="G254">
            <v>0</v>
          </cell>
          <cell r="H254">
            <v>0</v>
          </cell>
          <cell r="I254">
            <v>0</v>
          </cell>
          <cell r="J254">
            <v>0</v>
          </cell>
          <cell r="K254">
            <v>0</v>
          </cell>
          <cell r="L254">
            <v>0</v>
          </cell>
          <cell r="M254">
            <v>0</v>
          </cell>
          <cell r="N254">
            <v>0</v>
          </cell>
          <cell r="O254">
            <v>0</v>
          </cell>
        </row>
        <row r="255">
          <cell r="B255" t="str">
            <v>Espátula  (Compra)</v>
          </cell>
          <cell r="C255" t="str">
            <v>- Metálica con mango de plástico
- Con hoja de mínimo 2 pulgadas de largo</v>
          </cell>
          <cell r="D255" t="str">
            <v>Unidad</v>
          </cell>
          <cell r="E255">
            <v>0</v>
          </cell>
          <cell r="F255">
            <v>0</v>
          </cell>
          <cell r="G255">
            <v>0</v>
          </cell>
          <cell r="H255">
            <v>0</v>
          </cell>
          <cell r="I255">
            <v>0</v>
          </cell>
          <cell r="J255">
            <v>0</v>
          </cell>
          <cell r="K255">
            <v>0</v>
          </cell>
          <cell r="L255">
            <v>0</v>
          </cell>
          <cell r="M255">
            <v>0</v>
          </cell>
          <cell r="N255">
            <v>0</v>
          </cell>
          <cell r="O255">
            <v>0</v>
          </cell>
        </row>
        <row r="256">
          <cell r="B256" t="str">
            <v>Haraganes 1  (Compra)</v>
          </cell>
          <cell r="C256" t="str">
            <v>- Para limpiar vidrios
- Con banda de goma con longitud mínima de 25 cm.
- Mango con longitud mínima de 60 cm</v>
          </cell>
          <cell r="D256" t="str">
            <v>Unidad</v>
          </cell>
          <cell r="E256">
            <v>0</v>
          </cell>
          <cell r="F256">
            <v>0</v>
          </cell>
          <cell r="G256">
            <v>0</v>
          </cell>
          <cell r="H256">
            <v>0</v>
          </cell>
          <cell r="I256">
            <v>0</v>
          </cell>
          <cell r="J256">
            <v>0</v>
          </cell>
          <cell r="K256">
            <v>0</v>
          </cell>
          <cell r="L256">
            <v>0</v>
          </cell>
          <cell r="M256">
            <v>0</v>
          </cell>
          <cell r="N256">
            <v>0</v>
          </cell>
          <cell r="O256">
            <v>0</v>
          </cell>
        </row>
        <row r="257">
          <cell r="B257" t="str">
            <v>Haraganes 2  (Compra)</v>
          </cell>
          <cell r="C257" t="str">
            <v>- Para limpiar vidrios
- Con banda de goma con longitud mínima de 50 cm.
- Mango metálico extensible con longitud mínima
de 60 cm y máxima de 150 cm</v>
          </cell>
          <cell r="D257" t="str">
            <v>Unidad</v>
          </cell>
          <cell r="E257">
            <v>14</v>
          </cell>
          <cell r="F257">
            <v>44184</v>
          </cell>
          <cell r="G257">
            <v>27878</v>
          </cell>
          <cell r="H257">
            <v>0</v>
          </cell>
          <cell r="I257">
            <v>0.36904761904761907</v>
          </cell>
          <cell r="J257">
            <v>27878</v>
          </cell>
          <cell r="K257">
            <v>390292</v>
          </cell>
          <cell r="L257">
            <v>2253.384</v>
          </cell>
          <cell r="M257">
            <v>46437.383999999998</v>
          </cell>
          <cell r="N257">
            <v>17137.606</v>
          </cell>
          <cell r="O257">
            <v>29299.777999999998</v>
          </cell>
        </row>
        <row r="258">
          <cell r="B258" t="str">
            <v>Haraganes 3  (Compra)</v>
          </cell>
          <cell r="C258" t="str">
            <v>- Para escurrir pisos
- Con banda de goma con longitud mínima de 35 cm
- Mango con longitud mínima de 120 cm</v>
          </cell>
          <cell r="D258" t="str">
            <v>Unidad</v>
          </cell>
          <cell r="E258">
            <v>0</v>
          </cell>
          <cell r="F258">
            <v>0</v>
          </cell>
          <cell r="G258">
            <v>0</v>
          </cell>
          <cell r="H258">
            <v>0</v>
          </cell>
          <cell r="I258">
            <v>0</v>
          </cell>
          <cell r="J258">
            <v>0</v>
          </cell>
          <cell r="K258">
            <v>0</v>
          </cell>
          <cell r="L258">
            <v>0</v>
          </cell>
          <cell r="M258">
            <v>0</v>
          </cell>
          <cell r="N258">
            <v>0</v>
          </cell>
          <cell r="O258">
            <v>0</v>
          </cell>
        </row>
        <row r="259">
          <cell r="B259" t="str">
            <v>Haraganes 4  (Compra)</v>
          </cell>
          <cell r="C259" t="str">
            <v>- Para escurrir pisos
-Con banda de goma con longitud mínima de 50 cm.
- Mango metálico extensible con longitud mínima
de 60 cm y máxima de 150 cm</v>
          </cell>
          <cell r="D259" t="str">
            <v>Unidad</v>
          </cell>
          <cell r="E259">
            <v>11</v>
          </cell>
          <cell r="F259">
            <v>56598</v>
          </cell>
          <cell r="G259">
            <v>17884</v>
          </cell>
          <cell r="H259">
            <v>0</v>
          </cell>
          <cell r="I259">
            <v>0.68401710307784724</v>
          </cell>
          <cell r="J259">
            <v>17884</v>
          </cell>
          <cell r="K259">
            <v>196724</v>
          </cell>
          <cell r="L259">
            <v>2886.4979999999996</v>
          </cell>
          <cell r="M259">
            <v>59484.498</v>
          </cell>
          <cell r="N259">
            <v>40688.413999999997</v>
          </cell>
          <cell r="O259">
            <v>18796.084000000003</v>
          </cell>
        </row>
        <row r="260">
          <cell r="B260" t="str">
            <v>Haraganes 5 (Compra)</v>
          </cell>
          <cell r="C260" t="str">
            <v>- Para escurrir pisos
-Con banda de goma con longitud mínima de 80 cm.
- Mango metálico extensible con longitud mínima
de 60 cm y máxima de 150 cm</v>
          </cell>
          <cell r="D260" t="str">
            <v>Unidad</v>
          </cell>
          <cell r="E260">
            <v>0</v>
          </cell>
          <cell r="F260">
            <v>0</v>
          </cell>
          <cell r="G260">
            <v>0</v>
          </cell>
          <cell r="H260">
            <v>0</v>
          </cell>
          <cell r="I260">
            <v>0</v>
          </cell>
          <cell r="J260">
            <v>0</v>
          </cell>
          <cell r="K260">
            <v>0</v>
          </cell>
          <cell r="L260">
            <v>0</v>
          </cell>
          <cell r="M260">
            <v>0</v>
          </cell>
          <cell r="N260">
            <v>0</v>
          </cell>
          <cell r="O260">
            <v>0</v>
          </cell>
        </row>
        <row r="261">
          <cell r="B261" t="str">
            <v>Balde (Arrendamiento)</v>
          </cell>
          <cell r="C261" t="str">
            <v xml:space="preserve">- Capacidad mínima de 10 litros
- Con manija móvil
- Con "pico" antiderrames
- Disponibles en diferentes colores
- Elaborado en material reciclable
- Marcado de acuerdo con la norma ISO 11469 y ISO 1043. </v>
          </cell>
          <cell r="D261" t="str">
            <v>Unidad</v>
          </cell>
          <cell r="E261">
            <v>46</v>
          </cell>
          <cell r="F261">
            <v>2420</v>
          </cell>
          <cell r="G261">
            <v>671</v>
          </cell>
          <cell r="H261">
            <v>0</v>
          </cell>
          <cell r="I261">
            <v>0.72272727272727266</v>
          </cell>
          <cell r="J261">
            <v>671</v>
          </cell>
          <cell r="K261">
            <v>30866</v>
          </cell>
          <cell r="L261">
            <v>123.41999999999999</v>
          </cell>
          <cell r="M261">
            <v>2543.42</v>
          </cell>
          <cell r="N261">
            <v>1838.1989999999998</v>
          </cell>
          <cell r="O261">
            <v>705.22100000000023</v>
          </cell>
        </row>
        <row r="262">
          <cell r="B262" t="str">
            <v>Balde (Compra)</v>
          </cell>
          <cell r="C262" t="str">
            <v xml:space="preserve">- Capacidad mínima de 10 litros
- Con manija móvil
- Con "pico" antiderrames
- Disponibles en diferentes colores
- Elaborado en material reciclable
- Marcado de acuerdo con la norma ISO 11469 y ISO 1043. </v>
          </cell>
          <cell r="D262" t="str">
            <v>Unidad</v>
          </cell>
          <cell r="E262">
            <v>10</v>
          </cell>
          <cell r="F262">
            <v>8995</v>
          </cell>
          <cell r="G262">
            <v>3252</v>
          </cell>
          <cell r="H262">
            <v>0</v>
          </cell>
          <cell r="I262">
            <v>0.63846581434130067</v>
          </cell>
          <cell r="J262">
            <v>3252</v>
          </cell>
          <cell r="K262">
            <v>32520</v>
          </cell>
          <cell r="L262">
            <v>458.74499999999995</v>
          </cell>
          <cell r="M262">
            <v>9453.7450000000008</v>
          </cell>
          <cell r="N262">
            <v>6035.893</v>
          </cell>
          <cell r="O262">
            <v>3417.8520000000008</v>
          </cell>
        </row>
        <row r="263">
          <cell r="B263" t="str">
            <v>Plato Biodegradable 1 (Compra)</v>
          </cell>
          <cell r="C263" t="str">
            <v>- Plato pando, circular, sin divisiones 
- Biodegradable  
-Tamaño: 15 cm
- Sin ala
- Elaborado con la fibra de caña de azúcar o almidón de maíz
- No debe contener PVC o Poliestireno expandido u otros plásticos de un solo uso tanto en el envase como en el embalaje.</v>
          </cell>
          <cell r="D263" t="str">
            <v>Unidad</v>
          </cell>
          <cell r="E263">
            <v>0</v>
          </cell>
          <cell r="F263">
            <v>0</v>
          </cell>
          <cell r="G263">
            <v>0</v>
          </cell>
          <cell r="H263">
            <v>0</v>
          </cell>
          <cell r="I263">
            <v>0</v>
          </cell>
          <cell r="J263">
            <v>0</v>
          </cell>
          <cell r="K263">
            <v>0</v>
          </cell>
          <cell r="L263">
            <v>0</v>
          </cell>
          <cell r="M263">
            <v>0</v>
          </cell>
          <cell r="N263">
            <v>0</v>
          </cell>
          <cell r="O263">
            <v>0</v>
          </cell>
        </row>
        <row r="264">
          <cell r="B264" t="str">
            <v>Plato Biodegradable 2 (Compra)</v>
          </cell>
          <cell r="C264" t="str">
            <v>- Plato pando, circular, sin divisiones 
- Biodegradable  
-Tamaño: 18 cm
- Sin ala
- Elaborado con la fibra de caña de azúcar o almidón de maíz
- No debe contener PVC o Poliestireno expandido u otros plásticos de un solo uso tanto en el envase como en el embalaje.</v>
          </cell>
          <cell r="D264" t="str">
            <v>Unidad</v>
          </cell>
          <cell r="E264">
            <v>0</v>
          </cell>
          <cell r="F264">
            <v>0</v>
          </cell>
          <cell r="G264">
            <v>0</v>
          </cell>
          <cell r="H264">
            <v>0</v>
          </cell>
          <cell r="I264">
            <v>0</v>
          </cell>
          <cell r="J264">
            <v>0</v>
          </cell>
          <cell r="K264">
            <v>0</v>
          </cell>
          <cell r="L264">
            <v>0</v>
          </cell>
          <cell r="M264">
            <v>0</v>
          </cell>
          <cell r="N264">
            <v>0</v>
          </cell>
          <cell r="O264">
            <v>0</v>
          </cell>
        </row>
        <row r="265">
          <cell r="B265" t="str">
            <v>Pocillos 1 (Arrendamiento)</v>
          </cell>
          <cell r="C265" t="str">
            <v>- Elaborado en porcelana blanca para café
- De mínimo 170 cc
- No se debe rayar con el uso de cubiertos
- Debe ser apta para uso en microondas</v>
          </cell>
          <cell r="D265" t="str">
            <v>Unidad</v>
          </cell>
          <cell r="E265">
            <v>0</v>
          </cell>
          <cell r="F265">
            <v>0</v>
          </cell>
          <cell r="G265">
            <v>0</v>
          </cell>
          <cell r="H265">
            <v>0</v>
          </cell>
          <cell r="I265">
            <v>0</v>
          </cell>
          <cell r="J265">
            <v>0</v>
          </cell>
          <cell r="K265">
            <v>0</v>
          </cell>
          <cell r="L265">
            <v>0</v>
          </cell>
          <cell r="M265">
            <v>0</v>
          </cell>
          <cell r="N265">
            <v>0</v>
          </cell>
          <cell r="O265">
            <v>0</v>
          </cell>
        </row>
        <row r="266">
          <cell r="B266" t="str">
            <v>Pocillos 1 (Compra)</v>
          </cell>
          <cell r="C266" t="str">
            <v>- Elaborado en porcelana blanca para café
- De mínimo 170 cc
- No se debe rayar con el uso de cubiertos
- Debe ser apta para uso en microondas</v>
          </cell>
          <cell r="D266" t="str">
            <v>Unidad</v>
          </cell>
          <cell r="E266">
            <v>0</v>
          </cell>
          <cell r="F266">
            <v>0</v>
          </cell>
          <cell r="G266">
            <v>0</v>
          </cell>
          <cell r="H266">
            <v>0</v>
          </cell>
          <cell r="I266">
            <v>0</v>
          </cell>
          <cell r="J266">
            <v>0</v>
          </cell>
          <cell r="K266">
            <v>0</v>
          </cell>
          <cell r="L266">
            <v>0</v>
          </cell>
          <cell r="M266">
            <v>0</v>
          </cell>
          <cell r="N266">
            <v>0</v>
          </cell>
          <cell r="O266">
            <v>0</v>
          </cell>
        </row>
        <row r="267">
          <cell r="B267" t="str">
            <v>Terno para café  (Arrendamiento)</v>
          </cell>
          <cell r="C267" t="str">
            <v>-Pocillo y plato de porcelana blanca para café.
- Plato de mínimo 13 cm de diámetro y pocillo de mínimo 170 cc
- No se debe rayar con el uso de los cubiertos y
debe ser apta para uso en horno microondas.</v>
          </cell>
          <cell r="D267" t="str">
            <v>Juego</v>
          </cell>
          <cell r="E267">
            <v>1</v>
          </cell>
          <cell r="F267">
            <v>2998</v>
          </cell>
          <cell r="G267">
            <v>756</v>
          </cell>
          <cell r="H267">
            <v>0</v>
          </cell>
          <cell r="I267">
            <v>0.74783188792528354</v>
          </cell>
          <cell r="J267">
            <v>756</v>
          </cell>
          <cell r="K267">
            <v>756</v>
          </cell>
          <cell r="L267">
            <v>152.898</v>
          </cell>
          <cell r="M267">
            <v>3150.8980000000001</v>
          </cell>
          <cell r="N267">
            <v>2356.3420000000001</v>
          </cell>
          <cell r="O267">
            <v>794.55600000000004</v>
          </cell>
        </row>
        <row r="268">
          <cell r="B268" t="str">
            <v>Terno para café  (Compra)</v>
          </cell>
          <cell r="C268" t="str">
            <v>-Pocillo y plato de porcelana blanca para café.
- Plato de mínimo 13 cm de diámetro y pocillo de mínimo 170 cc
- No se debe rayar con el uso de los cubiertos y
debe ser apta para uso en horno microondas.</v>
          </cell>
          <cell r="D268" t="str">
            <v>Juego</v>
          </cell>
          <cell r="E268">
            <v>0</v>
          </cell>
          <cell r="F268">
            <v>0</v>
          </cell>
          <cell r="G268">
            <v>0</v>
          </cell>
          <cell r="H268">
            <v>0</v>
          </cell>
          <cell r="I268">
            <v>0</v>
          </cell>
          <cell r="J268">
            <v>0</v>
          </cell>
          <cell r="K268">
            <v>0</v>
          </cell>
          <cell r="L268">
            <v>0</v>
          </cell>
          <cell r="M268">
            <v>0</v>
          </cell>
          <cell r="N268">
            <v>0</v>
          </cell>
          <cell r="O268">
            <v>0</v>
          </cell>
        </row>
        <row r="269">
          <cell r="B269" t="str">
            <v>Cafetera 1 (Arrendamiento)</v>
          </cell>
          <cell r="C269" t="str">
            <v xml:space="preserve"> - Capacidad mínima de 12 tazas
 - 120 voltios
 - Potencia mínima de 900 w
 - Filtro permanente
 - Material plástico
 - Jarra de vidrio</v>
          </cell>
          <cell r="D269" t="str">
            <v>Unidad</v>
          </cell>
          <cell r="E269">
            <v>0</v>
          </cell>
          <cell r="F269">
            <v>0</v>
          </cell>
          <cell r="G269">
            <v>0</v>
          </cell>
          <cell r="H269">
            <v>0</v>
          </cell>
          <cell r="I269">
            <v>0</v>
          </cell>
          <cell r="J269">
            <v>0</v>
          </cell>
          <cell r="K269">
            <v>0</v>
          </cell>
          <cell r="L269">
            <v>0</v>
          </cell>
          <cell r="M269">
            <v>0</v>
          </cell>
          <cell r="N269">
            <v>0</v>
          </cell>
          <cell r="O269">
            <v>0</v>
          </cell>
        </row>
        <row r="270">
          <cell r="B270" t="str">
            <v>Cafetera 1 (Compra)</v>
          </cell>
          <cell r="C270" t="str">
            <v xml:space="preserve"> - Capacidad mínima de 12 tazas
 - 120 voltios
 - Potencia mínima de 900 w
 - Filtro permanente
 - Material plástico
 - Jarra de vidrio</v>
          </cell>
          <cell r="D270" t="str">
            <v>Unidad</v>
          </cell>
          <cell r="E270">
            <v>0</v>
          </cell>
          <cell r="F270">
            <v>0</v>
          </cell>
          <cell r="G270">
            <v>0</v>
          </cell>
          <cell r="H270">
            <v>0</v>
          </cell>
          <cell r="I270">
            <v>0</v>
          </cell>
          <cell r="J270">
            <v>0</v>
          </cell>
          <cell r="K270">
            <v>0</v>
          </cell>
          <cell r="L270">
            <v>0</v>
          </cell>
          <cell r="M270">
            <v>0</v>
          </cell>
          <cell r="N270">
            <v>0</v>
          </cell>
          <cell r="O270">
            <v>0</v>
          </cell>
        </row>
        <row r="271">
          <cell r="B271" t="str">
            <v>Vajilla  3 (Arrendamiento)</v>
          </cell>
          <cell r="C271" t="str">
            <v>- Elaborada en porcelana
- Compuesta de 8 puestos y cuatro piezas por puesto:
- Plato para cena (diámetro mínimo de 26 cm)
- Plato hondo (diámetro mínimo de 20 cm)
- Plato auxiliar (diámetro mínimo de 17 cm)
- Taza (capacidad mínima es de 280 cc)
- Apta para uso en horno microondas</v>
          </cell>
          <cell r="D271" t="str">
            <v>Juego</v>
          </cell>
          <cell r="E271">
            <v>0</v>
          </cell>
          <cell r="F271">
            <v>0</v>
          </cell>
          <cell r="G271">
            <v>0</v>
          </cell>
          <cell r="H271">
            <v>0</v>
          </cell>
          <cell r="I271">
            <v>0</v>
          </cell>
          <cell r="J271">
            <v>0</v>
          </cell>
          <cell r="K271">
            <v>0</v>
          </cell>
          <cell r="L271">
            <v>0</v>
          </cell>
          <cell r="M271">
            <v>0</v>
          </cell>
          <cell r="N271">
            <v>0</v>
          </cell>
          <cell r="O271">
            <v>0</v>
          </cell>
        </row>
        <row r="272">
          <cell r="B272" t="str">
            <v>Vajilla  3 (Compra)</v>
          </cell>
          <cell r="C272" t="str">
            <v>- Elaborada en porcelana
- Compuesta de 8 puestos y cuatro piezas por puesto:
- Plato para cena (diámetro mínimo de 26 cm)
- Plato hondo (diámetro mínimo de 20 cm)
- Plato auxiliar (diámetro mínimo de 17 cm)
- Taza (capacidad mínima es de 280 cc)
- Apta para uso en horno microondas</v>
          </cell>
          <cell r="D272" t="str">
            <v>Juego</v>
          </cell>
          <cell r="E272">
            <v>0</v>
          </cell>
          <cell r="F272">
            <v>0</v>
          </cell>
          <cell r="G272">
            <v>0</v>
          </cell>
          <cell r="H272">
            <v>0</v>
          </cell>
          <cell r="I272">
            <v>0</v>
          </cell>
          <cell r="J272">
            <v>0</v>
          </cell>
          <cell r="K272">
            <v>0</v>
          </cell>
          <cell r="L272">
            <v>0</v>
          </cell>
          <cell r="M272">
            <v>0</v>
          </cell>
          <cell r="N272">
            <v>0</v>
          </cell>
          <cell r="O272">
            <v>0</v>
          </cell>
        </row>
        <row r="273">
          <cell r="B273" t="str">
            <v>Vajilla  4 (Arrendamiento)</v>
          </cell>
          <cell r="C273" t="str">
            <v>- Elaborada en porcelana
- Compuesta de 4 puestos y cuatro piezas por puesto:
- Plato para cena (diámetro mínimo de 26 cm)
- Plato hondo (diámetro mínimo de 20 cm)
- Plato auxiliar (diámetro mínimo de 17 cm)
- Taza (capacidad mínima es de 280 cc)
- Apta para uso en horno microondas</v>
          </cell>
          <cell r="D273" t="str">
            <v>Juego</v>
          </cell>
          <cell r="E273">
            <v>0</v>
          </cell>
          <cell r="F273">
            <v>0</v>
          </cell>
          <cell r="G273">
            <v>0</v>
          </cell>
          <cell r="H273">
            <v>0</v>
          </cell>
          <cell r="I273">
            <v>0</v>
          </cell>
          <cell r="J273">
            <v>0</v>
          </cell>
          <cell r="K273">
            <v>0</v>
          </cell>
          <cell r="L273">
            <v>0</v>
          </cell>
          <cell r="M273">
            <v>0</v>
          </cell>
          <cell r="N273">
            <v>0</v>
          </cell>
          <cell r="O273">
            <v>0</v>
          </cell>
        </row>
        <row r="274">
          <cell r="B274" t="str">
            <v>Vajilla  4 (Compra)</v>
          </cell>
          <cell r="C274" t="str">
            <v>- Elaborada en porcelana
- Compuesta de 4 puestos y cuatro piezas por puesto:
- Plato para cena (diámetro mínimo de 26 cm)
- Plato hondo (diámetro mínimo de 20 cm)
- Plato auxiliar (diámetro mínimo de 17 cm)
- Taza (capacidad mínima es de 280 cc)
- Apta para uso en horno microondas</v>
          </cell>
          <cell r="D274" t="str">
            <v>Juego</v>
          </cell>
          <cell r="E274">
            <v>0</v>
          </cell>
          <cell r="F274">
            <v>0</v>
          </cell>
          <cell r="G274">
            <v>0</v>
          </cell>
          <cell r="H274">
            <v>0</v>
          </cell>
          <cell r="I274">
            <v>0</v>
          </cell>
          <cell r="J274">
            <v>0</v>
          </cell>
          <cell r="K274">
            <v>0</v>
          </cell>
          <cell r="L274">
            <v>0</v>
          </cell>
          <cell r="M274">
            <v>0</v>
          </cell>
          <cell r="N274">
            <v>0</v>
          </cell>
          <cell r="O274">
            <v>0</v>
          </cell>
        </row>
        <row r="275">
          <cell r="B275" t="str">
            <v>Portavasos (Arrendamiento)</v>
          </cell>
          <cell r="C275" t="str">
            <v>- Elaborado en acero inoxidable
- (Redondo) Diámetro mínimo de 11 o (Cuadrado) mínimo 11 cm de largo y de ancho</v>
          </cell>
          <cell r="D275" t="str">
            <v>Unidad</v>
          </cell>
          <cell r="E275">
            <v>0</v>
          </cell>
          <cell r="F275">
            <v>0</v>
          </cell>
          <cell r="G275">
            <v>0</v>
          </cell>
          <cell r="H275">
            <v>0</v>
          </cell>
          <cell r="I275">
            <v>0</v>
          </cell>
          <cell r="J275">
            <v>0</v>
          </cell>
          <cell r="K275">
            <v>0</v>
          </cell>
          <cell r="L275">
            <v>0</v>
          </cell>
          <cell r="M275">
            <v>0</v>
          </cell>
          <cell r="N275">
            <v>0</v>
          </cell>
          <cell r="O275">
            <v>0</v>
          </cell>
        </row>
        <row r="276">
          <cell r="B276" t="str">
            <v>Portavasos (Compra)</v>
          </cell>
          <cell r="C276" t="str">
            <v>- Elaborado en acero inoxidable
- (Redondo) Diámetro mínimo de 11 o (Cuadrado) mínimo 11 cm de largo y de ancho</v>
          </cell>
          <cell r="D276" t="str">
            <v>Unidad</v>
          </cell>
          <cell r="E276">
            <v>0</v>
          </cell>
          <cell r="F276">
            <v>0</v>
          </cell>
          <cell r="G276">
            <v>0</v>
          </cell>
          <cell r="H276">
            <v>0</v>
          </cell>
          <cell r="I276">
            <v>0</v>
          </cell>
          <cell r="J276">
            <v>0</v>
          </cell>
          <cell r="K276">
            <v>0</v>
          </cell>
          <cell r="L276">
            <v>0</v>
          </cell>
          <cell r="M276">
            <v>0</v>
          </cell>
          <cell r="N276">
            <v>0</v>
          </cell>
          <cell r="O276">
            <v>0</v>
          </cell>
        </row>
        <row r="277">
          <cell r="B277" t="str">
            <v>Bandeja 1 (Arrendamiento)</v>
          </cell>
          <cell r="C277" t="str">
            <v>- Elaborada en acero inoxidable
- Sin diseño
- Dimensiones mínimas de 37 cm de largo por 27 cm de ancho</v>
          </cell>
          <cell r="D277" t="str">
            <v>Unidad</v>
          </cell>
          <cell r="E277">
            <v>3</v>
          </cell>
          <cell r="F277">
            <v>7680</v>
          </cell>
          <cell r="G277">
            <v>1743</v>
          </cell>
          <cell r="H277">
            <v>0</v>
          </cell>
          <cell r="I277">
            <v>0.77304687500000002</v>
          </cell>
          <cell r="J277">
            <v>1743</v>
          </cell>
          <cell r="K277">
            <v>5229</v>
          </cell>
          <cell r="L277">
            <v>391.67999999999995</v>
          </cell>
          <cell r="M277">
            <v>8071.68</v>
          </cell>
          <cell r="N277">
            <v>6239.7870000000003</v>
          </cell>
          <cell r="O277">
            <v>1831.893</v>
          </cell>
        </row>
        <row r="278">
          <cell r="B278" t="str">
            <v>Bandeja 1 (Compra)</v>
          </cell>
          <cell r="C278" t="str">
            <v>- Elaborada en acero inoxidable
- Sin diseño
- Dimensiones mínimas de 37 cm de largo por 27 cm de ancho</v>
          </cell>
          <cell r="D278" t="str">
            <v>Unidad</v>
          </cell>
          <cell r="E278">
            <v>0</v>
          </cell>
          <cell r="F278">
            <v>0</v>
          </cell>
          <cell r="G278">
            <v>0</v>
          </cell>
          <cell r="H278">
            <v>0</v>
          </cell>
          <cell r="I278">
            <v>0</v>
          </cell>
          <cell r="J278">
            <v>0</v>
          </cell>
          <cell r="K278">
            <v>0</v>
          </cell>
          <cell r="L278">
            <v>0</v>
          </cell>
          <cell r="M278">
            <v>0</v>
          </cell>
          <cell r="N278">
            <v>0</v>
          </cell>
          <cell r="O278">
            <v>0</v>
          </cell>
        </row>
        <row r="279">
          <cell r="B279" t="str">
            <v>Bandeja 2 (Arrendamiento)</v>
          </cell>
          <cell r="C279" t="str">
            <v>- Elaborada en acero inoxidable
- Sin diseño
- Dimensiones mínimas de 50 cm de largo por 33 cm de ancho</v>
          </cell>
          <cell r="D279" t="str">
            <v>Unidad</v>
          </cell>
          <cell r="E279">
            <v>53</v>
          </cell>
          <cell r="F279">
            <v>8100</v>
          </cell>
          <cell r="G279">
            <v>1743</v>
          </cell>
          <cell r="H279">
            <v>0</v>
          </cell>
          <cell r="I279">
            <v>0.78481481481481485</v>
          </cell>
          <cell r="J279">
            <v>1743</v>
          </cell>
          <cell r="K279">
            <v>92379</v>
          </cell>
          <cell r="L279">
            <v>413.09999999999997</v>
          </cell>
          <cell r="M279">
            <v>8513.1</v>
          </cell>
          <cell r="N279">
            <v>6681.2070000000003</v>
          </cell>
          <cell r="O279">
            <v>1831.893</v>
          </cell>
        </row>
        <row r="280">
          <cell r="B280" t="str">
            <v>Bandeja 2 (Compra)</v>
          </cell>
          <cell r="C280" t="str">
            <v>- Elaborada en acero inoxidable
- Sin diseño
- Dimensiones mínimas de 50 cm de largo por 33 cm de ancho</v>
          </cell>
          <cell r="D280" t="str">
            <v>Unidad</v>
          </cell>
          <cell r="E280">
            <v>0</v>
          </cell>
          <cell r="F280">
            <v>0</v>
          </cell>
          <cell r="G280">
            <v>0</v>
          </cell>
          <cell r="H280">
            <v>0</v>
          </cell>
          <cell r="I280">
            <v>0</v>
          </cell>
          <cell r="J280">
            <v>0</v>
          </cell>
          <cell r="K280">
            <v>0</v>
          </cell>
          <cell r="L280">
            <v>0</v>
          </cell>
          <cell r="M280">
            <v>0</v>
          </cell>
          <cell r="N280">
            <v>0</v>
          </cell>
          <cell r="O280">
            <v>0</v>
          </cell>
        </row>
        <row r="281">
          <cell r="B281" t="str">
            <v>Bandeja 3 (Arrendamiento)</v>
          </cell>
          <cell r="C281" t="str">
            <v>- Elaborada en plástico
- Superficie antideslizante
- Diseño sencillo
- Dimensiones mínimas de 37cm de largo por 27 cm de ancho
- Color blanco o beige</v>
          </cell>
          <cell r="D281" t="str">
            <v>Unidad</v>
          </cell>
          <cell r="E281">
            <v>0</v>
          </cell>
          <cell r="F281">
            <v>0</v>
          </cell>
          <cell r="G281">
            <v>0</v>
          </cell>
          <cell r="H281">
            <v>0</v>
          </cell>
          <cell r="I281">
            <v>0</v>
          </cell>
          <cell r="J281">
            <v>0</v>
          </cell>
          <cell r="K281">
            <v>0</v>
          </cell>
          <cell r="L281">
            <v>0</v>
          </cell>
          <cell r="M281">
            <v>0</v>
          </cell>
          <cell r="N281">
            <v>0</v>
          </cell>
          <cell r="O281">
            <v>0</v>
          </cell>
        </row>
        <row r="282">
          <cell r="B282" t="str">
            <v>Bandeja 3 (Compra)</v>
          </cell>
          <cell r="C282" t="str">
            <v>- Elaborada en plástico
- Superficie antideslizante
- Diseño sencillo
- Dimensiones mínimas de 37cm de largo por 27 cm de ancho
- Color blanco o beige</v>
          </cell>
          <cell r="D282" t="str">
            <v>Unidad</v>
          </cell>
          <cell r="E282">
            <v>0</v>
          </cell>
          <cell r="F282">
            <v>0</v>
          </cell>
          <cell r="G282">
            <v>0</v>
          </cell>
          <cell r="H282">
            <v>0</v>
          </cell>
          <cell r="I282">
            <v>0</v>
          </cell>
          <cell r="J282">
            <v>0</v>
          </cell>
          <cell r="K282">
            <v>0</v>
          </cell>
          <cell r="L282">
            <v>0</v>
          </cell>
          <cell r="M282">
            <v>0</v>
          </cell>
          <cell r="N282">
            <v>0</v>
          </cell>
          <cell r="O282">
            <v>0</v>
          </cell>
        </row>
        <row r="283">
          <cell r="B283" t="str">
            <v>Bandeja 4 (Arrendamiento)</v>
          </cell>
          <cell r="C283" t="str">
            <v>- Elaborada en plástico
- Superficie antideslizante
- Diseño sencillo
- Dimensiones mínimas de 45 cm de largo por 35 cm de ancho
- Color blanco o beige</v>
          </cell>
          <cell r="D283" t="str">
            <v>Unidad</v>
          </cell>
          <cell r="E283">
            <v>0</v>
          </cell>
          <cell r="F283">
            <v>0</v>
          </cell>
          <cell r="G283">
            <v>0</v>
          </cell>
          <cell r="H283">
            <v>0</v>
          </cell>
          <cell r="I283">
            <v>0</v>
          </cell>
          <cell r="J283">
            <v>0</v>
          </cell>
          <cell r="K283">
            <v>0</v>
          </cell>
          <cell r="L283">
            <v>0</v>
          </cell>
          <cell r="M283">
            <v>0</v>
          </cell>
          <cell r="N283">
            <v>0</v>
          </cell>
          <cell r="O283">
            <v>0</v>
          </cell>
        </row>
        <row r="284">
          <cell r="B284" t="str">
            <v>Bandeja 4 (Compra)</v>
          </cell>
          <cell r="C284" t="str">
            <v>- Elaborada en plástico
- Superficie antideslizante
- Diseño sencillo
- Dimensiones mínimas de 45 cm de largo por 35 cm de ancho
- Color blanco o beige</v>
          </cell>
          <cell r="D284" t="str">
            <v>Unidad</v>
          </cell>
          <cell r="E284">
            <v>0</v>
          </cell>
          <cell r="F284">
            <v>0</v>
          </cell>
          <cell r="G284">
            <v>0</v>
          </cell>
          <cell r="H284">
            <v>0</v>
          </cell>
          <cell r="I284">
            <v>0</v>
          </cell>
          <cell r="J284">
            <v>0</v>
          </cell>
          <cell r="K284">
            <v>0</v>
          </cell>
          <cell r="L284">
            <v>0</v>
          </cell>
          <cell r="M284">
            <v>0</v>
          </cell>
          <cell r="N284">
            <v>0</v>
          </cell>
          <cell r="O284">
            <v>0</v>
          </cell>
        </row>
        <row r="285">
          <cell r="B285" t="str">
            <v>Olleta (Arrendamiento)</v>
          </cell>
          <cell r="C285" t="str">
            <v>- Elaborada en aluminio
- Capacidad mínima de 2 litros</v>
          </cell>
          <cell r="D285" t="str">
            <v>Unidad</v>
          </cell>
          <cell r="E285">
            <v>2</v>
          </cell>
          <cell r="F285">
            <v>4839</v>
          </cell>
          <cell r="G285">
            <v>878</v>
          </cell>
          <cell r="H285">
            <v>1</v>
          </cell>
          <cell r="I285">
            <v>1</v>
          </cell>
          <cell r="J285">
            <v>0</v>
          </cell>
          <cell r="K285">
            <v>0</v>
          </cell>
          <cell r="L285">
            <v>246.78899999999999</v>
          </cell>
          <cell r="M285">
            <v>5085.7889999999998</v>
          </cell>
          <cell r="N285">
            <v>5085.7889999999998</v>
          </cell>
          <cell r="O285">
            <v>0</v>
          </cell>
        </row>
        <row r="286">
          <cell r="B286" t="str">
            <v>Olleta (Compra)</v>
          </cell>
          <cell r="C286" t="str">
            <v>- Elaborada en aluminio
- Capacidad mínima de 2 litros</v>
          </cell>
          <cell r="D286" t="str">
            <v>Unidad</v>
          </cell>
          <cell r="E286">
            <v>0</v>
          </cell>
          <cell r="F286">
            <v>0</v>
          </cell>
          <cell r="G286">
            <v>0</v>
          </cell>
          <cell r="H286">
            <v>0</v>
          </cell>
          <cell r="I286">
            <v>0</v>
          </cell>
          <cell r="J286">
            <v>0</v>
          </cell>
          <cell r="K286">
            <v>0</v>
          </cell>
          <cell r="L286">
            <v>0</v>
          </cell>
          <cell r="M286">
            <v>0</v>
          </cell>
          <cell r="N286">
            <v>0</v>
          </cell>
          <cell r="O286">
            <v>0</v>
          </cell>
        </row>
        <row r="287">
          <cell r="B287" t="str">
            <v>Olla 1 (Arrendamiento)</v>
          </cell>
          <cell r="C287" t="str">
            <v>- Elaborada en aluminio
- Con tapa en aluminio
- Capacidad mínima de 3 litros</v>
          </cell>
          <cell r="D287" t="str">
            <v>Unidad</v>
          </cell>
          <cell r="E287">
            <v>0</v>
          </cell>
          <cell r="F287">
            <v>0</v>
          </cell>
          <cell r="G287">
            <v>0</v>
          </cell>
          <cell r="H287">
            <v>0</v>
          </cell>
          <cell r="I287">
            <v>0</v>
          </cell>
          <cell r="J287">
            <v>0</v>
          </cell>
          <cell r="K287">
            <v>0</v>
          </cell>
          <cell r="L287">
            <v>0</v>
          </cell>
          <cell r="M287">
            <v>0</v>
          </cell>
          <cell r="N287">
            <v>0</v>
          </cell>
          <cell r="O287">
            <v>0</v>
          </cell>
        </row>
        <row r="288">
          <cell r="B288" t="str">
            <v>Olla 1 (Compra)</v>
          </cell>
          <cell r="C288" t="str">
            <v>- Elaborada en aluminio
- Con tapa en aluminio
- Capacidad mínima de 3 litros</v>
          </cell>
          <cell r="D288" t="str">
            <v>Unidad</v>
          </cell>
          <cell r="E288">
            <v>0</v>
          </cell>
          <cell r="F288">
            <v>0</v>
          </cell>
          <cell r="G288">
            <v>0</v>
          </cell>
          <cell r="H288">
            <v>0</v>
          </cell>
          <cell r="I288">
            <v>0</v>
          </cell>
          <cell r="J288">
            <v>0</v>
          </cell>
          <cell r="K288">
            <v>0</v>
          </cell>
          <cell r="L288">
            <v>0</v>
          </cell>
          <cell r="M288">
            <v>0</v>
          </cell>
          <cell r="N288">
            <v>0</v>
          </cell>
          <cell r="O288">
            <v>0</v>
          </cell>
        </row>
        <row r="289">
          <cell r="B289" t="str">
            <v>Olla 2 (Arrendamiento)</v>
          </cell>
          <cell r="C289" t="str">
            <v>- Elaborada en aluminio
- Con tapa en aluminio
- Capacidad mínima de 5 litros</v>
          </cell>
          <cell r="D289" t="str">
            <v>Unidad</v>
          </cell>
          <cell r="E289">
            <v>0</v>
          </cell>
          <cell r="F289">
            <v>0</v>
          </cell>
          <cell r="G289">
            <v>0</v>
          </cell>
          <cell r="H289">
            <v>0</v>
          </cell>
          <cell r="I289">
            <v>0</v>
          </cell>
          <cell r="J289">
            <v>0</v>
          </cell>
          <cell r="K289">
            <v>0</v>
          </cell>
          <cell r="L289">
            <v>0</v>
          </cell>
          <cell r="M289">
            <v>0</v>
          </cell>
          <cell r="N289">
            <v>0</v>
          </cell>
          <cell r="O289">
            <v>0</v>
          </cell>
        </row>
        <row r="290">
          <cell r="B290" t="str">
            <v>Olla 2 (Compra)</v>
          </cell>
          <cell r="C290" t="str">
            <v>- Elaborada en aluminio
- Con tapa en aluminio
- Capacidad mínima de 5 litros</v>
          </cell>
          <cell r="D290" t="str">
            <v>Unidad</v>
          </cell>
          <cell r="E290">
            <v>0</v>
          </cell>
          <cell r="F290">
            <v>0</v>
          </cell>
          <cell r="G290">
            <v>0</v>
          </cell>
          <cell r="H290">
            <v>0</v>
          </cell>
          <cell r="I290">
            <v>0</v>
          </cell>
          <cell r="J290">
            <v>0</v>
          </cell>
          <cell r="K290">
            <v>0</v>
          </cell>
          <cell r="L290">
            <v>0</v>
          </cell>
          <cell r="M290">
            <v>0</v>
          </cell>
          <cell r="N290">
            <v>0</v>
          </cell>
          <cell r="O290">
            <v>0</v>
          </cell>
        </row>
        <row r="291">
          <cell r="B291" t="str">
            <v>Escurridor para platos (Arrendamiento)</v>
          </cell>
          <cell r="C291" t="str">
            <v>- Elaborado en plástico
- Con rejilla, portacubiertos y bandeja plástica de goteo
- Dimensiones mínimas de 40 cm de largo y 30 cm de ancho</v>
          </cell>
          <cell r="D291" t="str">
            <v>Unidad</v>
          </cell>
          <cell r="E291">
            <v>0</v>
          </cell>
          <cell r="F291">
            <v>0</v>
          </cell>
          <cell r="G291">
            <v>0</v>
          </cell>
          <cell r="H291">
            <v>0</v>
          </cell>
          <cell r="I291">
            <v>0</v>
          </cell>
          <cell r="J291">
            <v>0</v>
          </cell>
          <cell r="K291">
            <v>0</v>
          </cell>
          <cell r="L291">
            <v>0</v>
          </cell>
          <cell r="M291">
            <v>0</v>
          </cell>
          <cell r="N291">
            <v>0</v>
          </cell>
          <cell r="O291">
            <v>0</v>
          </cell>
        </row>
        <row r="292">
          <cell r="B292" t="str">
            <v>Escurridor para platos (Compra)</v>
          </cell>
          <cell r="C292" t="str">
            <v>- Elaborado en plástico
- Con rejilla, portacubiertos y bandeja plástica de goteo
- Dimensiones mínimas de 40 cm de largo y 30 cm de ancho</v>
          </cell>
          <cell r="D292" t="str">
            <v>Unidad</v>
          </cell>
          <cell r="E292">
            <v>0</v>
          </cell>
          <cell r="F292">
            <v>0</v>
          </cell>
          <cell r="G292">
            <v>0</v>
          </cell>
          <cell r="H292">
            <v>0</v>
          </cell>
          <cell r="I292">
            <v>0</v>
          </cell>
          <cell r="J292">
            <v>0</v>
          </cell>
          <cell r="K292">
            <v>0</v>
          </cell>
          <cell r="L292">
            <v>0</v>
          </cell>
          <cell r="M292">
            <v>0</v>
          </cell>
          <cell r="N292">
            <v>0</v>
          </cell>
          <cell r="O292">
            <v>0</v>
          </cell>
        </row>
        <row r="293">
          <cell r="B293" t="str">
            <v>Soporte para Botellón de agua (Compra)</v>
          </cell>
          <cell r="C293" t="str">
            <v xml:space="preserve"> - Metálico
- Plegable</v>
          </cell>
          <cell r="D293" t="str">
            <v>Unidad</v>
          </cell>
          <cell r="E293">
            <v>3</v>
          </cell>
          <cell r="F293">
            <v>69327</v>
          </cell>
          <cell r="G293">
            <v>19462</v>
          </cell>
          <cell r="H293">
            <v>0</v>
          </cell>
          <cell r="I293">
            <v>0.71927243353960213</v>
          </cell>
          <cell r="J293">
            <v>19462</v>
          </cell>
          <cell r="K293">
            <v>58386</v>
          </cell>
          <cell r="L293">
            <v>3535.6769999999997</v>
          </cell>
          <cell r="M293">
            <v>72862.676999999996</v>
          </cell>
          <cell r="N293">
            <v>52408.114999999991</v>
          </cell>
          <cell r="O293">
            <v>20454.562000000005</v>
          </cell>
        </row>
        <row r="294">
          <cell r="B294" t="str">
            <v>Carro exprimidor de trapero 1 (Arrendamiento)</v>
          </cell>
          <cell r="C294" t="str">
            <v xml:space="preserve"> - Elaborado en plástico
 - Capacidad mínima de 12 litros
 - Con cuatro ruedas y manija de escurridor</v>
          </cell>
          <cell r="D294" t="str">
            <v>Unidad</v>
          </cell>
          <cell r="E294">
            <v>0</v>
          </cell>
          <cell r="F294">
            <v>0</v>
          </cell>
          <cell r="G294">
            <v>0</v>
          </cell>
          <cell r="H294">
            <v>0</v>
          </cell>
          <cell r="I294">
            <v>0</v>
          </cell>
          <cell r="J294">
            <v>0</v>
          </cell>
          <cell r="K294">
            <v>0</v>
          </cell>
          <cell r="L294">
            <v>0</v>
          </cell>
          <cell r="M294">
            <v>0</v>
          </cell>
          <cell r="N294">
            <v>0</v>
          </cell>
          <cell r="O294">
            <v>0</v>
          </cell>
        </row>
        <row r="295">
          <cell r="B295" t="str">
            <v>Carro exprimidor de trapero 1 (Compra)</v>
          </cell>
          <cell r="C295" t="str">
            <v xml:space="preserve"> - Elaborado en plástico
 - Capacidad mínima de 12 litros
 - Con cuatro ruedas y manija de escurridor</v>
          </cell>
          <cell r="D295" t="str">
            <v>Unidad</v>
          </cell>
          <cell r="E295">
            <v>0</v>
          </cell>
          <cell r="F295">
            <v>0</v>
          </cell>
          <cell r="G295">
            <v>0</v>
          </cell>
          <cell r="H295">
            <v>0</v>
          </cell>
          <cell r="I295">
            <v>0</v>
          </cell>
          <cell r="J295">
            <v>0</v>
          </cell>
          <cell r="K295">
            <v>0</v>
          </cell>
          <cell r="L295">
            <v>0</v>
          </cell>
          <cell r="M295">
            <v>0</v>
          </cell>
          <cell r="N295">
            <v>0</v>
          </cell>
          <cell r="O295">
            <v>0</v>
          </cell>
        </row>
        <row r="296">
          <cell r="B296" t="str">
            <v>Carro exprimidor de trapero 2 (Arrendamiento)</v>
          </cell>
          <cell r="C296" t="str">
            <v xml:space="preserve"> - Elaborado en plástico
 - Capacidad mínima de 24 litros
 - Con cuatro ruedas y manija de escurridor</v>
          </cell>
          <cell r="D296" t="str">
            <v>Unidad</v>
          </cell>
          <cell r="E296">
            <v>2</v>
          </cell>
          <cell r="F296">
            <v>51232</v>
          </cell>
          <cell r="G296">
            <v>11989</v>
          </cell>
          <cell r="H296">
            <v>0</v>
          </cell>
          <cell r="I296">
            <v>0.76598610243597753</v>
          </cell>
          <cell r="J296">
            <v>11989</v>
          </cell>
          <cell r="K296">
            <v>23978</v>
          </cell>
          <cell r="L296">
            <v>2612.8319999999999</v>
          </cell>
          <cell r="M296">
            <v>53844.832000000002</v>
          </cell>
          <cell r="N296">
            <v>41244.393000000004</v>
          </cell>
          <cell r="O296">
            <v>12600.438999999998</v>
          </cell>
        </row>
        <row r="297">
          <cell r="B297" t="str">
            <v>Carro exprimidor de trapero 2 (Compra)</v>
          </cell>
          <cell r="C297" t="str">
            <v xml:space="preserve"> - Elaborado en plástico
 - Capacidad mínima de 24 litros
 - Con cuatro ruedas y manija de escurridor</v>
          </cell>
          <cell r="D297" t="str">
            <v>Unidad</v>
          </cell>
          <cell r="E297">
            <v>0</v>
          </cell>
          <cell r="F297">
            <v>0</v>
          </cell>
          <cell r="G297">
            <v>0</v>
          </cell>
          <cell r="H297">
            <v>0</v>
          </cell>
          <cell r="I297">
            <v>0</v>
          </cell>
          <cell r="J297">
            <v>0</v>
          </cell>
          <cell r="K297">
            <v>0</v>
          </cell>
          <cell r="L297">
            <v>0</v>
          </cell>
          <cell r="M297">
            <v>0</v>
          </cell>
          <cell r="N297">
            <v>0</v>
          </cell>
          <cell r="O297">
            <v>0</v>
          </cell>
        </row>
        <row r="298">
          <cell r="B298" t="str">
            <v>Carro exprimidor de trapero 3 (Arrendamiento)</v>
          </cell>
          <cell r="C298" t="str">
            <v>- Elaborado en plástico
- Capacidad mínima de 35 litros
- Con cuatro ruedas y manija de escurridor</v>
          </cell>
          <cell r="D298" t="str">
            <v>Unidad</v>
          </cell>
          <cell r="E298">
            <v>0</v>
          </cell>
          <cell r="F298">
            <v>0</v>
          </cell>
          <cell r="G298">
            <v>0</v>
          </cell>
          <cell r="H298">
            <v>0</v>
          </cell>
          <cell r="I298">
            <v>0</v>
          </cell>
          <cell r="J298">
            <v>0</v>
          </cell>
          <cell r="K298">
            <v>0</v>
          </cell>
          <cell r="L298">
            <v>0</v>
          </cell>
          <cell r="M298">
            <v>0</v>
          </cell>
          <cell r="N298">
            <v>0</v>
          </cell>
          <cell r="O298">
            <v>0</v>
          </cell>
        </row>
        <row r="299">
          <cell r="B299" t="str">
            <v>Carro exprimidor de trapero 3 (Compra)</v>
          </cell>
          <cell r="C299" t="str">
            <v>- Elaborado en plástico
- Capacidad mínima de 35 litros
- Con cuatro ruedas y manija de escurridor</v>
          </cell>
          <cell r="D299" t="str">
            <v>Unidad</v>
          </cell>
          <cell r="E299">
            <v>0</v>
          </cell>
          <cell r="F299">
            <v>0</v>
          </cell>
          <cell r="G299">
            <v>0</v>
          </cell>
          <cell r="H299">
            <v>0</v>
          </cell>
          <cell r="I299">
            <v>0</v>
          </cell>
          <cell r="J299">
            <v>0</v>
          </cell>
          <cell r="K299">
            <v>0</v>
          </cell>
          <cell r="L299">
            <v>0</v>
          </cell>
          <cell r="M299">
            <v>0</v>
          </cell>
          <cell r="N299">
            <v>0</v>
          </cell>
          <cell r="O299">
            <v>0</v>
          </cell>
        </row>
        <row r="300">
          <cell r="B300" t="str">
            <v>Carros para limpieza (Arrendamiento)</v>
          </cell>
          <cell r="C300" t="str">
            <v>- Tamaño mínimo de 70 cm de largo por 50 cm de ancho por 95 cm de alto
- Mínimo dos bandejas de servicio
- Con mínimo una bolsa de limpieza
- Con plataforma para balde escurridor
- Con cuatro ruedas antirayones
- Ruedas delanteras con ángulo de giro de 360 grados</v>
          </cell>
          <cell r="D300" t="str">
            <v>Unidad</v>
          </cell>
          <cell r="E300">
            <v>0</v>
          </cell>
          <cell r="F300">
            <v>0</v>
          </cell>
          <cell r="G300">
            <v>0</v>
          </cell>
          <cell r="H300">
            <v>0</v>
          </cell>
          <cell r="I300">
            <v>0</v>
          </cell>
          <cell r="J300">
            <v>0</v>
          </cell>
          <cell r="K300">
            <v>0</v>
          </cell>
          <cell r="L300">
            <v>0</v>
          </cell>
          <cell r="M300">
            <v>0</v>
          </cell>
          <cell r="N300">
            <v>0</v>
          </cell>
          <cell r="O300">
            <v>0</v>
          </cell>
        </row>
        <row r="301">
          <cell r="B301" t="str">
            <v>Carros para limpieza (Compra)</v>
          </cell>
          <cell r="C301" t="str">
            <v>- Tamaño mínimo de 70 cm de largo por 50 cm de ancho por 95 cm de alto
- Mínimo dos bandejas de servicio
- Con mínimo una bolsa de limpieza
- Con plataforma para balde escurridor
- Con cuatro ruedas antirayones
- Ruedas delanteras con ángulo de giro de 360 grados</v>
          </cell>
          <cell r="D301" t="str">
            <v>Unidad</v>
          </cell>
          <cell r="E301">
            <v>0</v>
          </cell>
          <cell r="F301">
            <v>0</v>
          </cell>
          <cell r="G301">
            <v>0</v>
          </cell>
          <cell r="H301">
            <v>0</v>
          </cell>
          <cell r="I301">
            <v>0</v>
          </cell>
          <cell r="J301">
            <v>0</v>
          </cell>
          <cell r="K301">
            <v>0</v>
          </cell>
          <cell r="L301">
            <v>0</v>
          </cell>
          <cell r="M301">
            <v>0</v>
          </cell>
          <cell r="N301">
            <v>0</v>
          </cell>
          <cell r="O301">
            <v>0</v>
          </cell>
        </row>
        <row r="302">
          <cell r="B302" t="str">
            <v>Carro de bebidas (Arrendamiento)</v>
          </cell>
          <cell r="C302" t="str">
            <v>- Elaborado en plástico
- Mínimo dos estantes para distribución de bebidas
- Tamaño mínimo de 80 cm de largo por 47 cm de ancho por 90 cm de alto</v>
          </cell>
          <cell r="D302" t="str">
            <v>Unidad</v>
          </cell>
          <cell r="E302">
            <v>41</v>
          </cell>
          <cell r="F302">
            <v>87526</v>
          </cell>
          <cell r="G302">
            <v>38256</v>
          </cell>
          <cell r="H302">
            <v>0</v>
          </cell>
          <cell r="I302">
            <v>0.56291844709000749</v>
          </cell>
          <cell r="J302">
            <v>38256</v>
          </cell>
          <cell r="K302">
            <v>1568496</v>
          </cell>
          <cell r="L302">
            <v>4463.826</v>
          </cell>
          <cell r="M302">
            <v>91989.826000000001</v>
          </cell>
          <cell r="N302">
            <v>51782.77</v>
          </cell>
          <cell r="O302">
            <v>40207.056000000004</v>
          </cell>
        </row>
        <row r="303">
          <cell r="B303" t="str">
            <v>Carro de bebidas (Compra)</v>
          </cell>
          <cell r="C303" t="str">
            <v>- Elaborado en plástico
- Mínimo dos estantes para distribución de bebidas
- Tamaño mínimo de 80 cm de largo por 47 cm de ancho por 90 cm de alto</v>
          </cell>
          <cell r="D303" t="str">
            <v>Unidad</v>
          </cell>
          <cell r="E303">
            <v>0</v>
          </cell>
          <cell r="F303">
            <v>0</v>
          </cell>
          <cell r="G303">
            <v>0</v>
          </cell>
          <cell r="H303">
            <v>0</v>
          </cell>
          <cell r="I303">
            <v>0</v>
          </cell>
          <cell r="J303">
            <v>0</v>
          </cell>
          <cell r="K303">
            <v>0</v>
          </cell>
          <cell r="L303">
            <v>0</v>
          </cell>
          <cell r="M303">
            <v>0</v>
          </cell>
          <cell r="N303">
            <v>0</v>
          </cell>
          <cell r="O303">
            <v>0</v>
          </cell>
        </row>
        <row r="304">
          <cell r="B304" t="str">
            <v>Escalera 1 (Arrendamiento)</v>
          </cell>
          <cell r="C304" t="str">
            <v xml:space="preserve"> - Cuerpo plástico
- Altura mínima de mínimo dos pasos.</v>
          </cell>
          <cell r="D304" t="str">
            <v>Unidad</v>
          </cell>
          <cell r="E304">
            <v>0</v>
          </cell>
          <cell r="F304">
            <v>0</v>
          </cell>
          <cell r="G304">
            <v>0</v>
          </cell>
          <cell r="H304">
            <v>0</v>
          </cell>
          <cell r="I304">
            <v>0</v>
          </cell>
          <cell r="J304">
            <v>0</v>
          </cell>
          <cell r="K304">
            <v>0</v>
          </cell>
          <cell r="L304">
            <v>0</v>
          </cell>
          <cell r="M304">
            <v>0</v>
          </cell>
          <cell r="N304">
            <v>0</v>
          </cell>
          <cell r="O304">
            <v>0</v>
          </cell>
        </row>
        <row r="305">
          <cell r="B305" t="str">
            <v>Escalera 1 (Compra)</v>
          </cell>
          <cell r="C305" t="str">
            <v xml:space="preserve"> - Cuerpo plástico
- Altura mínima de mínimo dos pasos.</v>
          </cell>
          <cell r="D305" t="str">
            <v>Unidad</v>
          </cell>
          <cell r="E305">
            <v>0</v>
          </cell>
          <cell r="F305">
            <v>0</v>
          </cell>
          <cell r="G305">
            <v>0</v>
          </cell>
          <cell r="H305">
            <v>0</v>
          </cell>
          <cell r="I305">
            <v>0</v>
          </cell>
          <cell r="J305">
            <v>0</v>
          </cell>
          <cell r="K305">
            <v>0</v>
          </cell>
          <cell r="L305">
            <v>0</v>
          </cell>
          <cell r="M305">
            <v>0</v>
          </cell>
          <cell r="N305">
            <v>0</v>
          </cell>
          <cell r="O305">
            <v>0</v>
          </cell>
        </row>
        <row r="306">
          <cell r="B306" t="str">
            <v>Escalera 2 (Arrendamiento)</v>
          </cell>
          <cell r="C306" t="str">
            <v xml:space="preserve"> - Cuerpo Metálico
- Altura mínima de  mínimo dos pasos.</v>
          </cell>
          <cell r="D306" t="str">
            <v>Unidad</v>
          </cell>
          <cell r="E306">
            <v>5</v>
          </cell>
          <cell r="F306">
            <v>22934</v>
          </cell>
          <cell r="G306">
            <v>9990</v>
          </cell>
          <cell r="H306">
            <v>0</v>
          </cell>
          <cell r="I306">
            <v>0.56440219761053456</v>
          </cell>
          <cell r="J306">
            <v>9990</v>
          </cell>
          <cell r="K306">
            <v>49950</v>
          </cell>
          <cell r="L306">
            <v>1169.634</v>
          </cell>
          <cell r="M306">
            <v>24103.633999999998</v>
          </cell>
          <cell r="N306">
            <v>13604.143999999998</v>
          </cell>
          <cell r="O306">
            <v>10499.49</v>
          </cell>
        </row>
        <row r="307">
          <cell r="B307" t="str">
            <v>Escalera 2 (Compra)</v>
          </cell>
          <cell r="C307" t="str">
            <v xml:space="preserve"> - Cuerpo Metálico
- Altura mínima de  mínimo dos pasos.</v>
          </cell>
          <cell r="D307" t="str">
            <v>Unidad</v>
          </cell>
          <cell r="E307">
            <v>0</v>
          </cell>
          <cell r="F307">
            <v>0</v>
          </cell>
          <cell r="G307">
            <v>0</v>
          </cell>
          <cell r="H307">
            <v>0</v>
          </cell>
          <cell r="I307">
            <v>0</v>
          </cell>
          <cell r="J307">
            <v>0</v>
          </cell>
          <cell r="K307">
            <v>0</v>
          </cell>
          <cell r="L307">
            <v>0</v>
          </cell>
          <cell r="M307">
            <v>0</v>
          </cell>
          <cell r="N307">
            <v>0</v>
          </cell>
          <cell r="O307">
            <v>0</v>
          </cell>
        </row>
        <row r="308">
          <cell r="B308" t="str">
            <v>Escalera 3 (Arrendamiento)</v>
          </cell>
          <cell r="C308" t="str">
            <v xml:space="preserve"> - Cuerpo Metálico
- Altura mínima de mínimo cuatro pasos.</v>
          </cell>
          <cell r="D308" t="str">
            <v>Unidad</v>
          </cell>
          <cell r="E308">
            <v>0</v>
          </cell>
          <cell r="F308">
            <v>0</v>
          </cell>
          <cell r="G308">
            <v>0</v>
          </cell>
          <cell r="H308">
            <v>0</v>
          </cell>
          <cell r="I308">
            <v>0</v>
          </cell>
          <cell r="J308">
            <v>0</v>
          </cell>
          <cell r="K308">
            <v>0</v>
          </cell>
          <cell r="L308">
            <v>0</v>
          </cell>
          <cell r="M308">
            <v>0</v>
          </cell>
          <cell r="N308">
            <v>0</v>
          </cell>
          <cell r="O308">
            <v>0</v>
          </cell>
        </row>
        <row r="309">
          <cell r="B309" t="str">
            <v>Escalera 3 (Compra)</v>
          </cell>
          <cell r="C309" t="str">
            <v xml:space="preserve"> - Cuerpo Metálico
- Altura mínima de mínimo cuatro pasos.</v>
          </cell>
          <cell r="D309" t="str">
            <v>Unidad</v>
          </cell>
          <cell r="E309">
            <v>0</v>
          </cell>
          <cell r="F309">
            <v>0</v>
          </cell>
          <cell r="G309">
            <v>0</v>
          </cell>
          <cell r="H309">
            <v>0</v>
          </cell>
          <cell r="I309">
            <v>0</v>
          </cell>
          <cell r="J309">
            <v>0</v>
          </cell>
          <cell r="K309">
            <v>0</v>
          </cell>
          <cell r="L309">
            <v>0</v>
          </cell>
          <cell r="M309">
            <v>0</v>
          </cell>
          <cell r="N309">
            <v>0</v>
          </cell>
          <cell r="O309">
            <v>0</v>
          </cell>
        </row>
        <row r="310">
          <cell r="B310" t="str">
            <v>Escalera 4 (Arrendamiento)</v>
          </cell>
          <cell r="C310" t="str">
            <v xml:space="preserve"> - Cuerpo Metálico
- Altura mínima de mínimo seis pasos. </v>
          </cell>
          <cell r="D310" t="str">
            <v>Unidad</v>
          </cell>
          <cell r="E310">
            <v>0</v>
          </cell>
          <cell r="F310">
            <v>0</v>
          </cell>
          <cell r="G310">
            <v>0</v>
          </cell>
          <cell r="H310">
            <v>0</v>
          </cell>
          <cell r="I310">
            <v>0</v>
          </cell>
          <cell r="J310">
            <v>0</v>
          </cell>
          <cell r="K310">
            <v>0</v>
          </cell>
          <cell r="L310">
            <v>0</v>
          </cell>
          <cell r="M310">
            <v>0</v>
          </cell>
          <cell r="N310">
            <v>0</v>
          </cell>
          <cell r="O310">
            <v>0</v>
          </cell>
        </row>
        <row r="311">
          <cell r="B311" t="str">
            <v>Escalera 4 (Compra)</v>
          </cell>
          <cell r="C311" t="str">
            <v xml:space="preserve"> - Cuerpo Metálico
- Altura mínima de mínimo seis pasos. </v>
          </cell>
          <cell r="D311" t="str">
            <v>Unidad</v>
          </cell>
          <cell r="E311">
            <v>0</v>
          </cell>
          <cell r="F311">
            <v>0</v>
          </cell>
          <cell r="G311">
            <v>0</v>
          </cell>
          <cell r="H311">
            <v>0</v>
          </cell>
          <cell r="I311">
            <v>0</v>
          </cell>
          <cell r="J311">
            <v>0</v>
          </cell>
          <cell r="K311">
            <v>0</v>
          </cell>
          <cell r="L311">
            <v>0</v>
          </cell>
          <cell r="M311">
            <v>0</v>
          </cell>
          <cell r="N311">
            <v>0</v>
          </cell>
          <cell r="O311">
            <v>0</v>
          </cell>
        </row>
        <row r="312">
          <cell r="B312" t="str">
            <v>Escalera de tipo industrial (Arrendamiento)</v>
          </cell>
          <cell r="C312" t="str">
            <v>Cuerpo en aluminio, tipo tijera
- Altura mínima de 5 escalones
- Con capacidad de resistencia a una carga concentrada en cualquier punto del escalón de 127 kg
- Con tapones de caucho antideslizantes</v>
          </cell>
          <cell r="D312" t="str">
            <v>Unidad</v>
          </cell>
          <cell r="E312">
            <v>19</v>
          </cell>
          <cell r="F312">
            <v>47340</v>
          </cell>
          <cell r="G312">
            <v>13676</v>
          </cell>
          <cell r="H312">
            <v>0</v>
          </cell>
          <cell r="I312">
            <v>0.71111111111111114</v>
          </cell>
          <cell r="J312">
            <v>13676</v>
          </cell>
          <cell r="K312">
            <v>259844</v>
          </cell>
          <cell r="L312">
            <v>2414.3399999999997</v>
          </cell>
          <cell r="M312">
            <v>49754.34</v>
          </cell>
          <cell r="N312">
            <v>35380.864000000001</v>
          </cell>
          <cell r="O312">
            <v>14373.475999999995</v>
          </cell>
        </row>
        <row r="313">
          <cell r="B313" t="str">
            <v>Escalera de tipo industrial (Compra)</v>
          </cell>
          <cell r="C313" t="str">
            <v>Cuerpo en aluminio, tipo tijera
- Altura mínima de 5 escalones
- Con capacidad de resistencia a una carga concentrada en cualquier punto del escalón de 127 kg
- Con tapones de caucho antideslizantes</v>
          </cell>
          <cell r="D313" t="str">
            <v>Unidad</v>
          </cell>
          <cell r="E313">
            <v>0</v>
          </cell>
          <cell r="F313">
            <v>0</v>
          </cell>
          <cell r="G313">
            <v>0</v>
          </cell>
          <cell r="H313">
            <v>0</v>
          </cell>
          <cell r="I313">
            <v>0</v>
          </cell>
          <cell r="J313">
            <v>0</v>
          </cell>
          <cell r="K313">
            <v>0</v>
          </cell>
          <cell r="L313">
            <v>0</v>
          </cell>
          <cell r="M313">
            <v>0</v>
          </cell>
          <cell r="N313">
            <v>0</v>
          </cell>
          <cell r="O313">
            <v>0</v>
          </cell>
        </row>
        <row r="314">
          <cell r="B314" t="str">
            <v>Mangueras 1 (Arrendamiento)</v>
          </cell>
          <cell r="C314" t="str">
            <v xml:space="preserve"> - Longitud mínima de 20 metros
 - Elaborada en PVC
 - Con terminales roscadas en ambos extremos
 - Incluye accesorios: acoples y pistola </v>
          </cell>
          <cell r="D314" t="str">
            <v>Unidad</v>
          </cell>
          <cell r="E314">
            <v>0</v>
          </cell>
          <cell r="F314">
            <v>0</v>
          </cell>
          <cell r="G314">
            <v>0</v>
          </cell>
          <cell r="H314">
            <v>0</v>
          </cell>
          <cell r="I314">
            <v>0</v>
          </cell>
          <cell r="J314">
            <v>0</v>
          </cell>
          <cell r="K314">
            <v>0</v>
          </cell>
          <cell r="L314">
            <v>0</v>
          </cell>
          <cell r="M314">
            <v>0</v>
          </cell>
          <cell r="N314">
            <v>0</v>
          </cell>
          <cell r="O314">
            <v>0</v>
          </cell>
        </row>
        <row r="315">
          <cell r="B315" t="str">
            <v>Mangueras 1 (Compra)</v>
          </cell>
          <cell r="C315" t="str">
            <v xml:space="preserve"> - Longitud mínima de 20 metros
 - Elaborada en PVC
 - Con terminales roscadas en ambos extremos
 - Incluye accesorios: acoples y pistola </v>
          </cell>
          <cell r="D315" t="str">
            <v>Unidad</v>
          </cell>
          <cell r="E315">
            <v>0</v>
          </cell>
          <cell r="F315">
            <v>0</v>
          </cell>
          <cell r="G315">
            <v>0</v>
          </cell>
          <cell r="H315">
            <v>0</v>
          </cell>
          <cell r="I315">
            <v>0</v>
          </cell>
          <cell r="J315">
            <v>0</v>
          </cell>
          <cell r="K315">
            <v>0</v>
          </cell>
          <cell r="L315">
            <v>0</v>
          </cell>
          <cell r="M315">
            <v>0</v>
          </cell>
          <cell r="N315">
            <v>0</v>
          </cell>
          <cell r="O315">
            <v>0</v>
          </cell>
        </row>
        <row r="316">
          <cell r="B316" t="str">
            <v>Mangueras 2 (Arrendamiento)</v>
          </cell>
          <cell r="C316" t="str">
            <v>- Longitud mínima de 30 metros
- Elaborada en PVC
- Con terminales roscadas en ambos extremos
- Incluye accesorios: acoples y pistola</v>
          </cell>
          <cell r="D316" t="str">
            <v>Unidad</v>
          </cell>
          <cell r="E316">
            <v>0</v>
          </cell>
          <cell r="F316">
            <v>0</v>
          </cell>
          <cell r="G316">
            <v>0</v>
          </cell>
          <cell r="H316">
            <v>0</v>
          </cell>
          <cell r="I316">
            <v>0</v>
          </cell>
          <cell r="J316">
            <v>0</v>
          </cell>
          <cell r="K316">
            <v>0</v>
          </cell>
          <cell r="L316">
            <v>0</v>
          </cell>
          <cell r="M316">
            <v>0</v>
          </cell>
          <cell r="N316">
            <v>0</v>
          </cell>
          <cell r="O316">
            <v>0</v>
          </cell>
        </row>
        <row r="317">
          <cell r="B317" t="str">
            <v>Mangueras 2 (Compra)</v>
          </cell>
          <cell r="C317" t="str">
            <v>- Longitud mínima de 30 metros
- Elaborada en PVC
- Con terminales roscadas en ambos extremos
- Incluye accesorios: acoples y pistola</v>
          </cell>
          <cell r="D317" t="str">
            <v>Unidad</v>
          </cell>
          <cell r="E317">
            <v>0</v>
          </cell>
          <cell r="F317">
            <v>0</v>
          </cell>
          <cell r="G317">
            <v>0</v>
          </cell>
          <cell r="H317">
            <v>0</v>
          </cell>
          <cell r="I317">
            <v>0</v>
          </cell>
          <cell r="J317">
            <v>0</v>
          </cell>
          <cell r="K317">
            <v>0</v>
          </cell>
          <cell r="L317">
            <v>0</v>
          </cell>
          <cell r="M317">
            <v>0</v>
          </cell>
          <cell r="N317">
            <v>0</v>
          </cell>
          <cell r="O317">
            <v>0</v>
          </cell>
        </row>
        <row r="318">
          <cell r="B318" t="str">
            <v>Mangueras 3 (Arrendamiento)</v>
          </cell>
          <cell r="C318" t="str">
            <v>- Longitud mínima de 50 metros
- Elaborada en PVC
- Con terminales roscadas en ambos extremos
- Incluye accesorios: acoples y pistola</v>
          </cell>
          <cell r="D318" t="str">
            <v>Unidad</v>
          </cell>
          <cell r="E318">
            <v>29</v>
          </cell>
          <cell r="F318">
            <v>26931</v>
          </cell>
          <cell r="G318">
            <v>6254</v>
          </cell>
          <cell r="H318">
            <v>0</v>
          </cell>
          <cell r="I318">
            <v>0.76777691136608373</v>
          </cell>
          <cell r="J318">
            <v>6254</v>
          </cell>
          <cell r="K318">
            <v>181366</v>
          </cell>
          <cell r="L318">
            <v>1373.481</v>
          </cell>
          <cell r="M318">
            <v>28304.481</v>
          </cell>
          <cell r="N318">
            <v>21731.527000000002</v>
          </cell>
          <cell r="O318">
            <v>6572.9539999999979</v>
          </cell>
        </row>
        <row r="319">
          <cell r="B319" t="str">
            <v>Mangueras 3 (Compra)</v>
          </cell>
          <cell r="C319" t="str">
            <v>- Longitud mínima de 50 metros
- Elaborada en PVC
- Con terminales roscadas en ambos extremos
- Incluye accesorios: acoples y pistola</v>
          </cell>
          <cell r="D319" t="str">
            <v>Unidad</v>
          </cell>
          <cell r="E319">
            <v>0</v>
          </cell>
          <cell r="F319">
            <v>0</v>
          </cell>
          <cell r="G319">
            <v>0</v>
          </cell>
          <cell r="H319">
            <v>0</v>
          </cell>
          <cell r="I319">
            <v>0</v>
          </cell>
          <cell r="J319">
            <v>0</v>
          </cell>
          <cell r="K319">
            <v>0</v>
          </cell>
          <cell r="L319">
            <v>0</v>
          </cell>
          <cell r="M319">
            <v>0</v>
          </cell>
          <cell r="N319">
            <v>0</v>
          </cell>
          <cell r="O319">
            <v>0</v>
          </cell>
        </row>
        <row r="320">
          <cell r="B320" t="str">
            <v>Contenedor de basura 1 (Compra)</v>
          </cell>
          <cell r="C320" t="str">
            <v>- Elaborado en plástico
- Tapa con pedal
- Capacidad mínima de 10 litros
- Color negro
- Impresión de la frase "Residuos no aprovechable" en la cara delantera del contenedor</v>
          </cell>
          <cell r="D320" t="str">
            <v>Unidad</v>
          </cell>
          <cell r="E320">
            <v>0</v>
          </cell>
          <cell r="F320">
            <v>0</v>
          </cell>
          <cell r="G320">
            <v>0</v>
          </cell>
          <cell r="H320">
            <v>0</v>
          </cell>
          <cell r="I320">
            <v>0</v>
          </cell>
          <cell r="J320">
            <v>0</v>
          </cell>
          <cell r="K320">
            <v>0</v>
          </cell>
          <cell r="L320">
            <v>0</v>
          </cell>
          <cell r="M320">
            <v>0</v>
          </cell>
          <cell r="N320">
            <v>0</v>
          </cell>
          <cell r="O320">
            <v>0</v>
          </cell>
        </row>
        <row r="321">
          <cell r="B321" t="str">
            <v>Contenedor de basura 2 (Compra)</v>
          </cell>
          <cell r="C321" t="str">
            <v>- Elaborado en plástico
- Tapa con pedal
- Capacidad mínima de 10 litros
- Color blanco
- Impresión de la frase "Residuos aprovechables" en la cara delantera del contenedor</v>
          </cell>
          <cell r="D321" t="str">
            <v>Unidad</v>
          </cell>
          <cell r="E321">
            <v>0</v>
          </cell>
          <cell r="F321">
            <v>0</v>
          </cell>
          <cell r="G321">
            <v>0</v>
          </cell>
          <cell r="H321">
            <v>0</v>
          </cell>
          <cell r="I321">
            <v>0</v>
          </cell>
          <cell r="J321">
            <v>0</v>
          </cell>
          <cell r="K321">
            <v>0</v>
          </cell>
          <cell r="L321">
            <v>0</v>
          </cell>
          <cell r="M321">
            <v>0</v>
          </cell>
          <cell r="N321">
            <v>0</v>
          </cell>
          <cell r="O321">
            <v>0</v>
          </cell>
        </row>
        <row r="322">
          <cell r="B322" t="str">
            <v>Contenedor de basura 3 (Compra)</v>
          </cell>
          <cell r="C322" t="str">
            <v>- Elaborado en plástico
- Tapa con pedal
- Capacidad mínima de 10 litros
- Color verde
- Impresión de la frase "Residuos orgánicos aprovechables" en la cara delantera del contenedor</v>
          </cell>
          <cell r="D322" t="str">
            <v>Unidad</v>
          </cell>
          <cell r="E322">
            <v>0</v>
          </cell>
          <cell r="F322">
            <v>0</v>
          </cell>
          <cell r="G322">
            <v>0</v>
          </cell>
          <cell r="H322">
            <v>0</v>
          </cell>
          <cell r="I322">
            <v>0</v>
          </cell>
          <cell r="J322">
            <v>0</v>
          </cell>
          <cell r="K322">
            <v>0</v>
          </cell>
          <cell r="L322">
            <v>0</v>
          </cell>
          <cell r="M322">
            <v>0</v>
          </cell>
          <cell r="N322">
            <v>0</v>
          </cell>
          <cell r="O322">
            <v>0</v>
          </cell>
        </row>
        <row r="323">
          <cell r="B323" t="str">
            <v>Contenedor de basura 4 (Compra)</v>
          </cell>
          <cell r="C323" t="str">
            <v>- Elaborado en plástico
- Tapa con pedal
- Capacidad mínima de 10 litros
- Color rojo
- Impresión de las palabras "Riesgo biológico" o "Residuos peligrosos" en la cara delantera del contenedor</v>
          </cell>
          <cell r="D323" t="str">
            <v>Unidad</v>
          </cell>
          <cell r="E323">
            <v>0</v>
          </cell>
          <cell r="F323">
            <v>0</v>
          </cell>
          <cell r="G323">
            <v>0</v>
          </cell>
          <cell r="H323">
            <v>0</v>
          </cell>
          <cell r="I323">
            <v>0</v>
          </cell>
          <cell r="J323">
            <v>0</v>
          </cell>
          <cell r="K323">
            <v>0</v>
          </cell>
          <cell r="L323">
            <v>0</v>
          </cell>
          <cell r="M323">
            <v>0</v>
          </cell>
          <cell r="N323">
            <v>0</v>
          </cell>
          <cell r="O323">
            <v>0</v>
          </cell>
        </row>
        <row r="324">
          <cell r="B324" t="str">
            <v>Contenedor de basura 5 (Compra)</v>
          </cell>
          <cell r="C324" t="str">
            <v>- Elaborado en plástico
- Tapa con pedal
- Capacidad mínima de 20 litros
- Color negro
- Impresión de la frase "Residuos no aprovechable" en la cara delantera del contenedor</v>
          </cell>
          <cell r="D324" t="str">
            <v>Unidad</v>
          </cell>
          <cell r="E324">
            <v>0</v>
          </cell>
          <cell r="F324">
            <v>0</v>
          </cell>
          <cell r="G324">
            <v>0</v>
          </cell>
          <cell r="H324">
            <v>0</v>
          </cell>
          <cell r="I324">
            <v>0</v>
          </cell>
          <cell r="J324">
            <v>0</v>
          </cell>
          <cell r="K324">
            <v>0</v>
          </cell>
          <cell r="L324">
            <v>0</v>
          </cell>
          <cell r="M324">
            <v>0</v>
          </cell>
          <cell r="N324">
            <v>0</v>
          </cell>
          <cell r="O324">
            <v>0</v>
          </cell>
        </row>
        <row r="325">
          <cell r="B325" t="str">
            <v>Contenedor de basura 6 (Compra)</v>
          </cell>
          <cell r="C325" t="str">
            <v>- Elaborado en plástico
- Tapa con pedal
- Capacidad mínima de 20 litros
- Color blanco
- Impresión de la frase "Residuos aprovechables" en la cara delantera del contenedor</v>
          </cell>
          <cell r="D325" t="str">
            <v>Unidad</v>
          </cell>
          <cell r="E325">
            <v>0</v>
          </cell>
          <cell r="F325">
            <v>0</v>
          </cell>
          <cell r="G325">
            <v>0</v>
          </cell>
          <cell r="H325">
            <v>0</v>
          </cell>
          <cell r="I325">
            <v>0</v>
          </cell>
          <cell r="J325">
            <v>0</v>
          </cell>
          <cell r="K325">
            <v>0</v>
          </cell>
          <cell r="L325">
            <v>0</v>
          </cell>
          <cell r="M325">
            <v>0</v>
          </cell>
          <cell r="N325">
            <v>0</v>
          </cell>
          <cell r="O325">
            <v>0</v>
          </cell>
        </row>
        <row r="326">
          <cell r="B326" t="str">
            <v>Contenedor de basura 7 (Compra)</v>
          </cell>
          <cell r="C326" t="str">
            <v>- Elaborado en plástico
- Tapa con pedal
- Capacidad mínima de 20 litros
- Color verde
- Impresión de la frase "Residuos orgánicos aprovechables" en la cara delantera del contenedor</v>
          </cell>
          <cell r="D326" t="str">
            <v>Unidad</v>
          </cell>
          <cell r="E326">
            <v>0</v>
          </cell>
          <cell r="F326">
            <v>0</v>
          </cell>
          <cell r="G326">
            <v>0</v>
          </cell>
          <cell r="H326">
            <v>0</v>
          </cell>
          <cell r="I326">
            <v>0</v>
          </cell>
          <cell r="J326">
            <v>0</v>
          </cell>
          <cell r="K326">
            <v>0</v>
          </cell>
          <cell r="L326">
            <v>0</v>
          </cell>
          <cell r="M326">
            <v>0</v>
          </cell>
          <cell r="N326">
            <v>0</v>
          </cell>
          <cell r="O326">
            <v>0</v>
          </cell>
        </row>
        <row r="327">
          <cell r="B327" t="str">
            <v>Contenedor de basura 8 (Compra)</v>
          </cell>
          <cell r="C327" t="str">
            <v>- Elaborado en plástico
- Tapa con pedal
- Capacidad mínima de 20 litros
- Color rojo
- Impresión de las palabras "Riesgo biológico" o "Residuos peligrosos" en la cara delantera del
contenedor</v>
          </cell>
          <cell r="D327" t="str">
            <v>Unidad</v>
          </cell>
          <cell r="E327">
            <v>0</v>
          </cell>
          <cell r="F327">
            <v>0</v>
          </cell>
          <cell r="G327">
            <v>0</v>
          </cell>
          <cell r="H327">
            <v>0</v>
          </cell>
          <cell r="I327">
            <v>0</v>
          </cell>
          <cell r="J327">
            <v>0</v>
          </cell>
          <cell r="K327">
            <v>0</v>
          </cell>
          <cell r="L327">
            <v>0</v>
          </cell>
          <cell r="M327">
            <v>0</v>
          </cell>
          <cell r="N327">
            <v>0</v>
          </cell>
          <cell r="O327">
            <v>0</v>
          </cell>
        </row>
        <row r="328">
          <cell r="B328" t="str">
            <v>Contenedor de basura 9 (Compra)</v>
          </cell>
          <cell r="C328" t="str">
            <v>- Elaborado en plástico
- Con tapa en vaivén
- Capacidad mínima de 50 litros
- Color negro
- Impresión de la frase "Residuos no aprovechable" en la cara delantera del contenedor</v>
          </cell>
          <cell r="D328" t="str">
            <v>Unidad</v>
          </cell>
          <cell r="E328">
            <v>0</v>
          </cell>
          <cell r="F328">
            <v>0</v>
          </cell>
          <cell r="G328">
            <v>0</v>
          </cell>
          <cell r="H328">
            <v>0</v>
          </cell>
          <cell r="I328">
            <v>0</v>
          </cell>
          <cell r="J328">
            <v>0</v>
          </cell>
          <cell r="K328">
            <v>0</v>
          </cell>
          <cell r="L328">
            <v>0</v>
          </cell>
          <cell r="M328">
            <v>0</v>
          </cell>
          <cell r="N328">
            <v>0</v>
          </cell>
          <cell r="O328">
            <v>0</v>
          </cell>
        </row>
        <row r="329">
          <cell r="B329" t="str">
            <v>Contenedor de basura 10 (Compra)</v>
          </cell>
          <cell r="C329" t="str">
            <v>- Elaborado en plástico
- Con tapa en vaivén
- Capacidad mínima de 50 litros
- Color blanco
- Impresión de la frase "Residuos aprovechables" en la cara delantera del contenedor</v>
          </cell>
          <cell r="D329" t="str">
            <v>Unidad</v>
          </cell>
          <cell r="E329">
            <v>0</v>
          </cell>
          <cell r="F329">
            <v>0</v>
          </cell>
          <cell r="G329">
            <v>0</v>
          </cell>
          <cell r="H329">
            <v>0</v>
          </cell>
          <cell r="I329">
            <v>0</v>
          </cell>
          <cell r="J329">
            <v>0</v>
          </cell>
          <cell r="K329">
            <v>0</v>
          </cell>
          <cell r="L329">
            <v>0</v>
          </cell>
          <cell r="M329">
            <v>0</v>
          </cell>
          <cell r="N329">
            <v>0</v>
          </cell>
          <cell r="O329">
            <v>0</v>
          </cell>
        </row>
        <row r="330">
          <cell r="B330" t="str">
            <v>Contenedor de basura 11 (Compra)</v>
          </cell>
          <cell r="C330" t="str">
            <v>- Elaborado en plástico
- Con tapa en vaivén
- Capacidad mínima de 50 litros
- Color verde
- Impresión de la frase  "Residuos orgánicos aprovechables" en la cara delantera del contenedor</v>
          </cell>
          <cell r="D330" t="str">
            <v>Unidad</v>
          </cell>
          <cell r="E330">
            <v>0</v>
          </cell>
          <cell r="F330">
            <v>0</v>
          </cell>
          <cell r="G330">
            <v>0</v>
          </cell>
          <cell r="H330">
            <v>0</v>
          </cell>
          <cell r="I330">
            <v>0</v>
          </cell>
          <cell r="J330">
            <v>0</v>
          </cell>
          <cell r="K330">
            <v>0</v>
          </cell>
          <cell r="L330">
            <v>0</v>
          </cell>
          <cell r="M330">
            <v>0</v>
          </cell>
          <cell r="N330">
            <v>0</v>
          </cell>
          <cell r="O330">
            <v>0</v>
          </cell>
        </row>
        <row r="331">
          <cell r="B331" t="str">
            <v>Contenedor de basura 12 (Compra)</v>
          </cell>
          <cell r="C331" t="str">
            <v>- Elaborado en plástico
- Con tapa en vaivén
- Capacidad mínima de 50 litros
- Color rojo
- Impresión de las palabras "Riesgo biológico" o "Residuos peligrosos" en la cara delantera del contenedor</v>
          </cell>
          <cell r="D331" t="str">
            <v>Unidad</v>
          </cell>
          <cell r="E331">
            <v>0</v>
          </cell>
          <cell r="F331">
            <v>0</v>
          </cell>
          <cell r="G331">
            <v>0</v>
          </cell>
          <cell r="H331">
            <v>0</v>
          </cell>
          <cell r="I331">
            <v>0</v>
          </cell>
          <cell r="J331">
            <v>0</v>
          </cell>
          <cell r="K331">
            <v>0</v>
          </cell>
          <cell r="L331">
            <v>0</v>
          </cell>
          <cell r="M331">
            <v>0</v>
          </cell>
          <cell r="N331">
            <v>0</v>
          </cell>
          <cell r="O331">
            <v>0</v>
          </cell>
        </row>
        <row r="332">
          <cell r="B332" t="str">
            <v>Contenedor de basura 13 (Compra)</v>
          </cell>
          <cell r="C332" t="str">
            <v>- Elaborado en plástico
- Con tapa en vaivén
- Capacidad mínima de 120 litros
- Color negro
- Impresión de la frase "Residuos no aprovechable" en la cara delantera del contenedor</v>
          </cell>
          <cell r="D332" t="str">
            <v>Unidad</v>
          </cell>
          <cell r="E332">
            <v>0</v>
          </cell>
          <cell r="F332">
            <v>0</v>
          </cell>
          <cell r="G332">
            <v>0</v>
          </cell>
          <cell r="H332">
            <v>0</v>
          </cell>
          <cell r="I332">
            <v>0</v>
          </cell>
          <cell r="J332">
            <v>0</v>
          </cell>
          <cell r="K332">
            <v>0</v>
          </cell>
          <cell r="L332">
            <v>0</v>
          </cell>
          <cell r="M332">
            <v>0</v>
          </cell>
          <cell r="N332">
            <v>0</v>
          </cell>
          <cell r="O332">
            <v>0</v>
          </cell>
        </row>
        <row r="333">
          <cell r="B333" t="str">
            <v>Contenedor de basura 14 (Compra)</v>
          </cell>
          <cell r="C333" t="str">
            <v>- Elaborado en plástico
- Con tapa en vaivén
- Capacidad mínima de 120 litros
- Color blanco
- Impresión de la frase "Residuos aprovechables" en la cara delantera del contenedor</v>
          </cell>
          <cell r="D333" t="str">
            <v>Unidad</v>
          </cell>
          <cell r="E333">
            <v>0</v>
          </cell>
          <cell r="F333">
            <v>0</v>
          </cell>
          <cell r="G333">
            <v>0</v>
          </cell>
          <cell r="H333">
            <v>0</v>
          </cell>
          <cell r="I333">
            <v>0</v>
          </cell>
          <cell r="J333">
            <v>0</v>
          </cell>
          <cell r="K333">
            <v>0</v>
          </cell>
          <cell r="L333">
            <v>0</v>
          </cell>
          <cell r="M333">
            <v>0</v>
          </cell>
          <cell r="N333">
            <v>0</v>
          </cell>
          <cell r="O333">
            <v>0</v>
          </cell>
        </row>
        <row r="334">
          <cell r="B334" t="str">
            <v>Contenedor de basura 15 (Compra)</v>
          </cell>
          <cell r="C334" t="str">
            <v>- Elaborado en plástico
- Con tapa en vaivén
- Capacidad mínima de 120 litros
- Color verde
- Impresión de la frase  "Residuos orgánicos aprovechables" en la cara delantera del contenedor</v>
          </cell>
          <cell r="D334" t="str">
            <v>Unidad</v>
          </cell>
          <cell r="E334">
            <v>0</v>
          </cell>
          <cell r="F334">
            <v>0</v>
          </cell>
          <cell r="G334">
            <v>0</v>
          </cell>
          <cell r="H334">
            <v>0</v>
          </cell>
          <cell r="I334">
            <v>0</v>
          </cell>
          <cell r="J334">
            <v>0</v>
          </cell>
          <cell r="K334">
            <v>0</v>
          </cell>
          <cell r="L334">
            <v>0</v>
          </cell>
          <cell r="M334">
            <v>0</v>
          </cell>
          <cell r="N334">
            <v>0</v>
          </cell>
          <cell r="O334">
            <v>0</v>
          </cell>
        </row>
        <row r="335">
          <cell r="B335" t="str">
            <v>Contenedor de basura 16 (Compra)</v>
          </cell>
          <cell r="C335" t="str">
            <v>- Elaborado en plástico
- Con tapa en vaivén
- Capacidad mínima de 120 litros
- Color rojo
- Impresión de las palabras "Riesgo biológico" o
"Residuos peligrosos" en la cara delantera del contenedor</v>
          </cell>
          <cell r="D335" t="str">
            <v>Unidad</v>
          </cell>
          <cell r="E335">
            <v>0</v>
          </cell>
          <cell r="F335">
            <v>0</v>
          </cell>
          <cell r="G335">
            <v>0</v>
          </cell>
          <cell r="H335">
            <v>0</v>
          </cell>
          <cell r="I335">
            <v>0</v>
          </cell>
          <cell r="J335">
            <v>0</v>
          </cell>
          <cell r="K335">
            <v>0</v>
          </cell>
          <cell r="L335">
            <v>0</v>
          </cell>
          <cell r="M335">
            <v>0</v>
          </cell>
          <cell r="N335">
            <v>0</v>
          </cell>
          <cell r="O335">
            <v>0</v>
          </cell>
        </row>
        <row r="336">
          <cell r="B336" t="str">
            <v>Contenedor de basura 17 (Compra)</v>
          </cell>
          <cell r="C336" t="str">
            <v>- Elaborado en plástico
- Con tapa
- Capacidad mínima de 180 litros
- Color negro
- Con ruedas traseras macizas y manijas</v>
          </cell>
          <cell r="D336" t="str">
            <v>Unidad</v>
          </cell>
          <cell r="E336">
            <v>0</v>
          </cell>
          <cell r="F336">
            <v>0</v>
          </cell>
          <cell r="G336">
            <v>0</v>
          </cell>
          <cell r="H336">
            <v>0</v>
          </cell>
          <cell r="I336">
            <v>0</v>
          </cell>
          <cell r="J336">
            <v>0</v>
          </cell>
          <cell r="K336">
            <v>0</v>
          </cell>
          <cell r="L336">
            <v>0</v>
          </cell>
          <cell r="M336">
            <v>0</v>
          </cell>
          <cell r="N336">
            <v>0</v>
          </cell>
          <cell r="O336">
            <v>0</v>
          </cell>
        </row>
        <row r="337">
          <cell r="B337" t="str">
            <v>Contenedor de basura 18 (Compra)</v>
          </cell>
          <cell r="C337" t="str">
            <v>- Elaborado en plástico
- Con tapa
- Capacidad mínima de 180 litros
- Color verde
- Con ruedas traseras macizas y manijas</v>
          </cell>
          <cell r="D337" t="str">
            <v>Unidad</v>
          </cell>
          <cell r="E337">
            <v>0</v>
          </cell>
          <cell r="F337">
            <v>0</v>
          </cell>
          <cell r="G337">
            <v>0</v>
          </cell>
          <cell r="H337">
            <v>0</v>
          </cell>
          <cell r="I337">
            <v>0</v>
          </cell>
          <cell r="J337">
            <v>0</v>
          </cell>
          <cell r="K337">
            <v>0</v>
          </cell>
          <cell r="L337">
            <v>0</v>
          </cell>
          <cell r="M337">
            <v>0</v>
          </cell>
          <cell r="N337">
            <v>0</v>
          </cell>
          <cell r="O337">
            <v>0</v>
          </cell>
        </row>
        <row r="338">
          <cell r="B338" t="str">
            <v>Contenedor de basura 19 (Compra)</v>
          </cell>
          <cell r="C338" t="str">
            <v>- Elaborado en plástico
- Con tapa
- Capacidad mínima de 180 litros
- Color blanco
- Con ruedas traseras macizas y manijas</v>
          </cell>
          <cell r="D338" t="str">
            <v>Unidad</v>
          </cell>
          <cell r="E338">
            <v>0</v>
          </cell>
          <cell r="F338">
            <v>0</v>
          </cell>
          <cell r="G338">
            <v>0</v>
          </cell>
          <cell r="H338">
            <v>0</v>
          </cell>
          <cell r="I338">
            <v>0</v>
          </cell>
          <cell r="J338">
            <v>0</v>
          </cell>
          <cell r="K338">
            <v>0</v>
          </cell>
          <cell r="L338">
            <v>0</v>
          </cell>
          <cell r="M338">
            <v>0</v>
          </cell>
          <cell r="N338">
            <v>0</v>
          </cell>
          <cell r="O338">
            <v>0</v>
          </cell>
        </row>
        <row r="339">
          <cell r="B339" t="str">
            <v>Contenedor de basura 20 (Compra)</v>
          </cell>
          <cell r="C339" t="str">
            <v>- Elaborado en plástico
- Con tapa
- Capacidad mínima de 240 litros
- Color negro
- Con ruedas traseras macizas y manijas</v>
          </cell>
          <cell r="D339" t="str">
            <v>Unidad</v>
          </cell>
          <cell r="E339">
            <v>0</v>
          </cell>
          <cell r="F339">
            <v>0</v>
          </cell>
          <cell r="G339">
            <v>0</v>
          </cell>
          <cell r="H339">
            <v>0</v>
          </cell>
          <cell r="I339">
            <v>0</v>
          </cell>
          <cell r="J339">
            <v>0</v>
          </cell>
          <cell r="K339">
            <v>0</v>
          </cell>
          <cell r="L339">
            <v>0</v>
          </cell>
          <cell r="M339">
            <v>0</v>
          </cell>
          <cell r="N339">
            <v>0</v>
          </cell>
          <cell r="O339">
            <v>0</v>
          </cell>
        </row>
        <row r="340">
          <cell r="B340" t="str">
            <v>Contenedor de basura 21 (Compra)</v>
          </cell>
          <cell r="C340" t="str">
            <v>- Elaborado en plástico
- Con tapa
- Capacidad mínima de 240 litros
- Color verde
- Con ruedas traseras macizas y manijas</v>
          </cell>
          <cell r="D340" t="str">
            <v>Unidad</v>
          </cell>
          <cell r="E340">
            <v>0</v>
          </cell>
          <cell r="F340">
            <v>0</v>
          </cell>
          <cell r="G340">
            <v>0</v>
          </cell>
          <cell r="H340">
            <v>0</v>
          </cell>
          <cell r="I340">
            <v>0</v>
          </cell>
          <cell r="J340">
            <v>0</v>
          </cell>
          <cell r="K340">
            <v>0</v>
          </cell>
          <cell r="L340">
            <v>0</v>
          </cell>
          <cell r="M340">
            <v>0</v>
          </cell>
          <cell r="N340">
            <v>0</v>
          </cell>
          <cell r="O340">
            <v>0</v>
          </cell>
        </row>
        <row r="341">
          <cell r="B341" t="str">
            <v>Contenedor de basura 22 (Compra)</v>
          </cell>
          <cell r="C341" t="str">
            <v>- Elaborado en plástico
- Con tapa
- Capacidad mínima de 240 litros
- Color blanco
- Con ruedas traseras macizas y manijas</v>
          </cell>
          <cell r="D341" t="str">
            <v>Unidad</v>
          </cell>
          <cell r="E341">
            <v>0</v>
          </cell>
          <cell r="F341">
            <v>0</v>
          </cell>
          <cell r="G341">
            <v>0</v>
          </cell>
          <cell r="H341">
            <v>0</v>
          </cell>
          <cell r="I341">
            <v>0</v>
          </cell>
          <cell r="J341">
            <v>0</v>
          </cell>
          <cell r="K341">
            <v>0</v>
          </cell>
          <cell r="L341">
            <v>0</v>
          </cell>
          <cell r="M341">
            <v>0</v>
          </cell>
          <cell r="N341">
            <v>0</v>
          </cell>
          <cell r="O341">
            <v>0</v>
          </cell>
        </row>
        <row r="342">
          <cell r="B342" t="str">
            <v>Contenedor de basura 23 (Compra)</v>
          </cell>
          <cell r="C342" t="str">
            <v>- Elaborado en plástico
- Con tapa
- Capacidad mínima de 340 litros
- Color negro
- Con ruedas traseras macizas y manijas</v>
          </cell>
          <cell r="D342" t="str">
            <v>Unidad</v>
          </cell>
          <cell r="E342">
            <v>0</v>
          </cell>
          <cell r="F342">
            <v>0</v>
          </cell>
          <cell r="G342">
            <v>0</v>
          </cell>
          <cell r="H342">
            <v>0</v>
          </cell>
          <cell r="I342">
            <v>0</v>
          </cell>
          <cell r="J342">
            <v>0</v>
          </cell>
          <cell r="K342">
            <v>0</v>
          </cell>
          <cell r="L342">
            <v>0</v>
          </cell>
          <cell r="M342">
            <v>0</v>
          </cell>
          <cell r="N342">
            <v>0</v>
          </cell>
          <cell r="O342">
            <v>0</v>
          </cell>
        </row>
        <row r="343">
          <cell r="B343" t="str">
            <v>Contenedor de basura 24 (Compra)</v>
          </cell>
          <cell r="C343" t="str">
            <v>- Elaborado en plástico
- Con tapa
- Capacidad mínima de 340 litros
- Color verde
- Con ruedas traseras macizas y manijas</v>
          </cell>
          <cell r="D343" t="str">
            <v>Unidad</v>
          </cell>
          <cell r="E343">
            <v>0</v>
          </cell>
          <cell r="F343">
            <v>0</v>
          </cell>
          <cell r="G343">
            <v>0</v>
          </cell>
          <cell r="H343">
            <v>0</v>
          </cell>
          <cell r="I343">
            <v>0</v>
          </cell>
          <cell r="J343">
            <v>0</v>
          </cell>
          <cell r="K343">
            <v>0</v>
          </cell>
          <cell r="L343">
            <v>0</v>
          </cell>
          <cell r="M343">
            <v>0</v>
          </cell>
          <cell r="N343">
            <v>0</v>
          </cell>
          <cell r="O343">
            <v>0</v>
          </cell>
        </row>
        <row r="344">
          <cell r="B344" t="str">
            <v>Contenedor de basura 25 (Compra)</v>
          </cell>
          <cell r="C344" t="str">
            <v>- Elaborado en plástico
- Con tapa
- Capacidad mínima de 340 litros
- Color blanco
- Con ruedas traseras macizas y manijas</v>
          </cell>
          <cell r="D344" t="str">
            <v>Unidad</v>
          </cell>
          <cell r="E344">
            <v>0</v>
          </cell>
          <cell r="F344">
            <v>0</v>
          </cell>
          <cell r="G344">
            <v>0</v>
          </cell>
          <cell r="H344">
            <v>0</v>
          </cell>
          <cell r="I344">
            <v>0</v>
          </cell>
          <cell r="J344">
            <v>0</v>
          </cell>
          <cell r="K344">
            <v>0</v>
          </cell>
          <cell r="L344">
            <v>0</v>
          </cell>
          <cell r="M344">
            <v>0</v>
          </cell>
          <cell r="N344">
            <v>0</v>
          </cell>
          <cell r="O344">
            <v>0</v>
          </cell>
        </row>
        <row r="345">
          <cell r="B345" t="str">
            <v>Contenedor de basura 26 (Compra)</v>
          </cell>
          <cell r="C345" t="str">
            <v>- Elaborado en plástico
- Con tapa
- Capacidad mínima de 760 litros
- Color negro
- Con ruedas traseras macizas y manijas</v>
          </cell>
          <cell r="D345" t="str">
            <v>Unidad</v>
          </cell>
          <cell r="E345">
            <v>0</v>
          </cell>
          <cell r="F345">
            <v>0</v>
          </cell>
          <cell r="G345">
            <v>0</v>
          </cell>
          <cell r="H345">
            <v>0</v>
          </cell>
          <cell r="I345">
            <v>0</v>
          </cell>
          <cell r="J345">
            <v>0</v>
          </cell>
          <cell r="K345">
            <v>0</v>
          </cell>
          <cell r="L345">
            <v>0</v>
          </cell>
          <cell r="M345">
            <v>0</v>
          </cell>
          <cell r="N345">
            <v>0</v>
          </cell>
          <cell r="O345">
            <v>0</v>
          </cell>
        </row>
        <row r="346">
          <cell r="B346" t="str">
            <v>Contenedor de basura 27 (Compra)</v>
          </cell>
          <cell r="C346" t="str">
            <v>- Elaborado en plástico
- Con tapa
- Capacidad mínima de 760 litros
- Color verde
- Con ruedas traseras macizas y manijas</v>
          </cell>
          <cell r="D346" t="str">
            <v>Unidad</v>
          </cell>
          <cell r="E346">
            <v>0</v>
          </cell>
          <cell r="F346">
            <v>0</v>
          </cell>
          <cell r="G346">
            <v>0</v>
          </cell>
          <cell r="H346">
            <v>0</v>
          </cell>
          <cell r="I346">
            <v>0</v>
          </cell>
          <cell r="J346">
            <v>0</v>
          </cell>
          <cell r="K346">
            <v>0</v>
          </cell>
          <cell r="L346">
            <v>0</v>
          </cell>
          <cell r="M346">
            <v>0</v>
          </cell>
          <cell r="N346">
            <v>0</v>
          </cell>
          <cell r="O346">
            <v>0</v>
          </cell>
        </row>
        <row r="347">
          <cell r="B347" t="str">
            <v>Contenedor de basura 28 (Compra)</v>
          </cell>
          <cell r="C347" t="str">
            <v>- Elaborado en plástico
- Con tapa
- Capacidad mínima de 760 litros
- Color blanco
- Con ruedas traseras macizas y manijas</v>
          </cell>
          <cell r="D347" t="str">
            <v>Unidad</v>
          </cell>
          <cell r="E347">
            <v>0</v>
          </cell>
          <cell r="F347">
            <v>0</v>
          </cell>
          <cell r="G347">
            <v>0</v>
          </cell>
          <cell r="H347">
            <v>0</v>
          </cell>
          <cell r="I347">
            <v>0</v>
          </cell>
          <cell r="J347">
            <v>0</v>
          </cell>
          <cell r="K347">
            <v>0</v>
          </cell>
          <cell r="L347">
            <v>0</v>
          </cell>
          <cell r="M347">
            <v>0</v>
          </cell>
          <cell r="N347">
            <v>0</v>
          </cell>
          <cell r="O347">
            <v>0</v>
          </cell>
        </row>
        <row r="348">
          <cell r="B348" t="str">
            <v>Contenedor de basura 29 (Compra)</v>
          </cell>
          <cell r="C348" t="str">
            <v>- Elaborado en plástico
- Con tapa
- Capacidad mínima de 1.000 litros
- Color blanco
- Con ruedas traseras macizas y manijas</v>
          </cell>
          <cell r="D348" t="str">
            <v>Unidad</v>
          </cell>
          <cell r="E348">
            <v>0</v>
          </cell>
          <cell r="F348">
            <v>0</v>
          </cell>
          <cell r="G348">
            <v>0</v>
          </cell>
          <cell r="H348">
            <v>0</v>
          </cell>
          <cell r="I348">
            <v>0</v>
          </cell>
          <cell r="J348">
            <v>0</v>
          </cell>
          <cell r="K348">
            <v>0</v>
          </cell>
          <cell r="L348">
            <v>0</v>
          </cell>
          <cell r="M348">
            <v>0</v>
          </cell>
          <cell r="N348">
            <v>0</v>
          </cell>
          <cell r="O348">
            <v>0</v>
          </cell>
        </row>
        <row r="349">
          <cell r="B349" t="str">
            <v>Contenedor de basura 30 (Compra)</v>
          </cell>
          <cell r="C349" t="str">
            <v>- Elaborado en plástico
- Con tapa
- Capacidad mínima de 1.000 litros
- Color verde
- Con ruedas traseras macizas y manijas</v>
          </cell>
          <cell r="D349" t="str">
            <v>Unidad</v>
          </cell>
          <cell r="E349">
            <v>0</v>
          </cell>
          <cell r="F349">
            <v>0</v>
          </cell>
          <cell r="G349">
            <v>0</v>
          </cell>
          <cell r="H349">
            <v>0</v>
          </cell>
          <cell r="I349">
            <v>0</v>
          </cell>
          <cell r="J349">
            <v>0</v>
          </cell>
          <cell r="K349">
            <v>0</v>
          </cell>
          <cell r="L349">
            <v>0</v>
          </cell>
          <cell r="M349">
            <v>0</v>
          </cell>
          <cell r="N349">
            <v>0</v>
          </cell>
          <cell r="O349">
            <v>0</v>
          </cell>
        </row>
        <row r="350">
          <cell r="B350" t="str">
            <v>Punto Ecológico 1 (Compra)</v>
          </cell>
          <cell r="C350" t="str">
            <v>- Base metálica
- Mínimo tres contenedores así:
- Contenedor color verde con palabras "residuos orgánicos aprovechables: restos de comida, desechos agrícolas" en la cara frontal
- Contenedor color blanco con palabras "residuos aprovechables como plástico, vidrio, metales, multicapa, papel y cartón" en la cara frontal
- Contenedor color negro con las palabaras "residuos no aprovechables: papel higiénico, servilletas, papeles y cartones contaminados con comida, papeles metalizados" en la cara frontal
- Capacidad mínima de 20 litros para cada contenedor
- Contenedores elaborados en plástico
- Debe cumplir con lo estipualdo en el artíuculo 4° de la Resolución 2184 del 26 de diciembre de 2019</v>
          </cell>
          <cell r="D350" t="str">
            <v>Unidad</v>
          </cell>
          <cell r="E350">
            <v>0</v>
          </cell>
          <cell r="F350">
            <v>0</v>
          </cell>
          <cell r="G350">
            <v>0</v>
          </cell>
          <cell r="H350">
            <v>0</v>
          </cell>
          <cell r="I350">
            <v>0</v>
          </cell>
          <cell r="J350">
            <v>0</v>
          </cell>
          <cell r="K350">
            <v>0</v>
          </cell>
          <cell r="L350">
            <v>0</v>
          </cell>
          <cell r="M350">
            <v>0</v>
          </cell>
          <cell r="N350">
            <v>0</v>
          </cell>
          <cell r="O350">
            <v>0</v>
          </cell>
        </row>
        <row r="351">
          <cell r="B351" t="str">
            <v>Punto Ecológico 2 (Compra)</v>
          </cell>
          <cell r="C351" t="str">
            <v>- Base metálica
- Mínimo tres contenedores así:
- Contenedor color verde con palabras "residuos orgánicos aprovechables: restos de comida, desechos agrícolas" en la cara frontal
- Contenedor color blanco con palabras "residuos aprovechables como plástico, vidrio, metales, multicapa, papel y cartón" en la cara frontal
- Contenedor color negro con las palabaras "residuos no aprovechables: papel higiénico, servilletas, papeles y cartones contaminados con comida, papeles metalizados" en la cara frontal
- Capacidad mínima de 35 litros para cada contenedor
- Contenedores elaborados en plástico
- Debe cumplir con lo estipualdo en el artíuclo 4° de la Resolución 2184 del 26 de diciembre de 2019</v>
          </cell>
          <cell r="D351" t="str">
            <v>Unidad</v>
          </cell>
          <cell r="E351">
            <v>0</v>
          </cell>
          <cell r="F351">
            <v>0</v>
          </cell>
          <cell r="G351">
            <v>0</v>
          </cell>
          <cell r="H351">
            <v>0</v>
          </cell>
          <cell r="I351">
            <v>0</v>
          </cell>
          <cell r="J351">
            <v>0</v>
          </cell>
          <cell r="K351">
            <v>0</v>
          </cell>
          <cell r="L351">
            <v>0</v>
          </cell>
          <cell r="M351">
            <v>0</v>
          </cell>
          <cell r="N351">
            <v>0</v>
          </cell>
          <cell r="O351">
            <v>0</v>
          </cell>
        </row>
        <row r="352">
          <cell r="B352" t="str">
            <v>Punto Ecológico 3 (Compra)</v>
          </cell>
          <cell r="C352" t="str">
            <v>- Base metálica con techo en material metálico
- Mínimo tres contenedores así:
- Contenedor color verde con palabras "residuos orgánicos aprovechables: restos de comida, desechos agrícolas" en la cara frontal
- Contenedor color blanco con palabras "residuos aprovechables como plástico, vidrio, metales, multicapa, papel y cartón" en la cara frontal
- Contenedor color negro con las palabaras "residuos no aprovechables: papel higiénico, servilletas, papeles y cartones contaminados con comida, papeles metalizados" en la cara frontal
- Capacidad mínima de 35 litros para cada contenedor
- Contenedores elaborados en plástico
- Debe cumplir con lo estipualdo en el artíuclo 4° de la Resolución 2184 del 26 de diciembre de 2019</v>
          </cell>
          <cell r="D352" t="str">
            <v>Unidad</v>
          </cell>
          <cell r="E352">
            <v>0</v>
          </cell>
          <cell r="F352">
            <v>0</v>
          </cell>
          <cell r="G352">
            <v>0</v>
          </cell>
          <cell r="H352">
            <v>0</v>
          </cell>
          <cell r="I352">
            <v>0</v>
          </cell>
          <cell r="J352">
            <v>0</v>
          </cell>
          <cell r="K352">
            <v>0</v>
          </cell>
          <cell r="L352">
            <v>0</v>
          </cell>
          <cell r="M352">
            <v>0</v>
          </cell>
          <cell r="N352">
            <v>0</v>
          </cell>
          <cell r="O352">
            <v>0</v>
          </cell>
        </row>
        <row r="353">
          <cell r="B353" t="str">
            <v>Punto Ecológico 4 (Compra)</v>
          </cell>
          <cell r="C353" t="str">
            <v>- Base metálica
- Mínimo tres contenedores así:
- Contenedor color verde con palabras "residuos orgánicos aprovechables: restos de comida, desechos agrícolas" en la cara frontal
- Contenedor color blanco con palabras "residuos aprovechables como plástico, vidrio, metales, multicapa, papel y cartón" en la cara frontal
- Contenedor color negro con las palabaras "residuos no aprovechables: papel higiénico, servilletas, papeles y cartones contaminados con comida, papeles metalizados" en la cara frontal
- Capacidad mínima de 50 litros para cada contenedor
- Contenedores elaborados en plástico
- Debe cumplir con lo estipualdo en el artíuclo 4° de la Resolución 2184 del 26 de diciembre de 2019</v>
          </cell>
          <cell r="D353" t="str">
            <v>Unidad</v>
          </cell>
          <cell r="E353">
            <v>0</v>
          </cell>
          <cell r="F353">
            <v>0</v>
          </cell>
          <cell r="G353">
            <v>0</v>
          </cell>
          <cell r="H353">
            <v>0</v>
          </cell>
          <cell r="I353">
            <v>0</v>
          </cell>
          <cell r="J353">
            <v>0</v>
          </cell>
          <cell r="K353">
            <v>0</v>
          </cell>
          <cell r="L353">
            <v>0</v>
          </cell>
          <cell r="M353">
            <v>0</v>
          </cell>
          <cell r="N353">
            <v>0</v>
          </cell>
          <cell r="O353">
            <v>0</v>
          </cell>
        </row>
        <row r="354">
          <cell r="B354" t="str">
            <v>Punto Ecológico 5 (Compra)</v>
          </cell>
          <cell r="C354" t="str">
            <v>- Base metálica con techo en material metálico
- Mínimo tres contenedores así:
- Contenedor color verde con palabras "residuos orgánicos aprovechables: restos de comida, desechos agrícolas" en la cara frontal
- Contenedor color blanco con palabras "residuos aprovechables como plástico, vidrio, metales, multicapa, papel y cartón" en la cara frontal
- Contenedor color negro con las palabaras "residuos no aprovechables: papel higiénico, servilletas, papeles y cartones contaminados con comida, papeles metalizados" en la cara frontal
- Capacidad mínima de 50 litros para cada contenedor
- Contenedores elaborados en plástico
- Debe cumplir con lo estipualdo en el artíuclo 4° de la Resolución 2184 del 26 de diciembre de 2019</v>
          </cell>
          <cell r="D354" t="str">
            <v>Unidad</v>
          </cell>
          <cell r="E354">
            <v>0</v>
          </cell>
          <cell r="F354">
            <v>0</v>
          </cell>
          <cell r="G354">
            <v>0</v>
          </cell>
          <cell r="H354">
            <v>0</v>
          </cell>
          <cell r="I354">
            <v>0</v>
          </cell>
          <cell r="J354">
            <v>0</v>
          </cell>
          <cell r="K354">
            <v>0</v>
          </cell>
          <cell r="L354">
            <v>0</v>
          </cell>
          <cell r="M354">
            <v>0</v>
          </cell>
          <cell r="N354">
            <v>0</v>
          </cell>
          <cell r="O354">
            <v>0</v>
          </cell>
        </row>
        <row r="355">
          <cell r="B355" t="str">
            <v>Punto Ecológico 6 (Compra)</v>
          </cell>
          <cell r="C355" t="str">
            <v>- Base metálica
- Mínimo tres contenedores así:
- Contenedor color verde con palabras "residuos orgánicos aprovechables: restos de comida, desechos agrícolas" en la cara frontal
- Contenedor color blanco con palabras "residuos aprovechables como plástico, vidrio, metales, multicapa, papel y cartón" en la cara frontal
- Contenedor color negro con las palabaras "residuos no aprovechables: papel higiénico, servilletas, papeles y cartones contaminados con comida, papeles metalizados" en la cara frontal
- Capacidad mínima de 100 litros para cada contenedor
- Contenedores elaborados en plástico
- Debe cumplir con lo estipualdo en el artíuclo 4° de la Resolución 2184 del 26 de diciembre de 2019</v>
          </cell>
          <cell r="D355" t="str">
            <v>Unidad</v>
          </cell>
          <cell r="E355">
            <v>0</v>
          </cell>
          <cell r="F355">
            <v>0</v>
          </cell>
          <cell r="G355">
            <v>0</v>
          </cell>
          <cell r="H355">
            <v>0</v>
          </cell>
          <cell r="I355">
            <v>0</v>
          </cell>
          <cell r="J355">
            <v>0</v>
          </cell>
          <cell r="K355">
            <v>0</v>
          </cell>
          <cell r="L355">
            <v>0</v>
          </cell>
          <cell r="M355">
            <v>0</v>
          </cell>
          <cell r="N355">
            <v>0</v>
          </cell>
          <cell r="O355">
            <v>0</v>
          </cell>
        </row>
        <row r="356">
          <cell r="B356" t="str">
            <v>Papelera 1 (Compra)</v>
          </cell>
          <cell r="C356" t="str">
            <v>- Cuerpo metálico enmallado sin tapa
- Con capacidad mínima de 10 litros
- Diseño para oficina</v>
          </cell>
          <cell r="D356" t="str">
            <v>Unidad</v>
          </cell>
          <cell r="E356">
            <v>0</v>
          </cell>
          <cell r="F356">
            <v>0</v>
          </cell>
          <cell r="G356">
            <v>0</v>
          </cell>
          <cell r="H356">
            <v>0</v>
          </cell>
          <cell r="I356">
            <v>0</v>
          </cell>
          <cell r="J356">
            <v>0</v>
          </cell>
          <cell r="K356">
            <v>0</v>
          </cell>
          <cell r="L356">
            <v>0</v>
          </cell>
          <cell r="M356">
            <v>0</v>
          </cell>
          <cell r="N356">
            <v>0</v>
          </cell>
          <cell r="O356">
            <v>0</v>
          </cell>
        </row>
        <row r="357">
          <cell r="B357" t="str">
            <v>Papelera 2 (Compra)</v>
          </cell>
          <cell r="C357" t="str">
            <v>- Cuerpo plástico
- Con mecanismo de pedal para abrir y cerrar tapa
- Con capacidad mínima de 10 litros
- Diseño para baño</v>
          </cell>
          <cell r="D357" t="str">
            <v>Unidad</v>
          </cell>
          <cell r="E357">
            <v>0</v>
          </cell>
          <cell r="F357">
            <v>0</v>
          </cell>
          <cell r="G357">
            <v>0</v>
          </cell>
          <cell r="H357">
            <v>0</v>
          </cell>
          <cell r="I357">
            <v>0</v>
          </cell>
          <cell r="J357">
            <v>0</v>
          </cell>
          <cell r="K357">
            <v>0</v>
          </cell>
          <cell r="L357">
            <v>0</v>
          </cell>
          <cell r="M357">
            <v>0</v>
          </cell>
          <cell r="N357">
            <v>0</v>
          </cell>
          <cell r="O357">
            <v>0</v>
          </cell>
        </row>
        <row r="358">
          <cell r="B358" t="str">
            <v>Papelera 3 (Compra)</v>
          </cell>
          <cell r="C358" t="str">
            <v>- Cuerpo plástico sin tapa
- Con capacidad mínima de 10 litros
- Diseño para baño</v>
          </cell>
          <cell r="D358" t="str">
            <v>Unidad</v>
          </cell>
          <cell r="E358">
            <v>0</v>
          </cell>
          <cell r="F358">
            <v>0</v>
          </cell>
          <cell r="G358">
            <v>0</v>
          </cell>
          <cell r="H358">
            <v>0</v>
          </cell>
          <cell r="I358">
            <v>0</v>
          </cell>
          <cell r="J358">
            <v>0</v>
          </cell>
          <cell r="K358">
            <v>0</v>
          </cell>
          <cell r="L358">
            <v>0</v>
          </cell>
          <cell r="M358">
            <v>0</v>
          </cell>
          <cell r="N358">
            <v>0</v>
          </cell>
          <cell r="O358">
            <v>0</v>
          </cell>
        </row>
        <row r="359">
          <cell r="B359" t="str">
            <v>Papelera 4 (Compra)</v>
          </cell>
          <cell r="C359" t="str">
            <v>- Papelera de oficina de plástico reciclado
- Color negro
- Con capacidad de 4,5 litros
- Diámetro: 22 cm aproxi. Largo: 24 cm. 
No debe contener PVC o Poliestireno expandido u otros plásticos de un solo uso tanto en el envase como en el embalaje.</v>
          </cell>
          <cell r="D359" t="str">
            <v>Unidad</v>
          </cell>
          <cell r="E359">
            <v>0</v>
          </cell>
          <cell r="F359">
            <v>0</v>
          </cell>
          <cell r="G359">
            <v>0</v>
          </cell>
          <cell r="H359">
            <v>0</v>
          </cell>
          <cell r="I359">
            <v>0</v>
          </cell>
          <cell r="J359">
            <v>0</v>
          </cell>
          <cell r="K359">
            <v>0</v>
          </cell>
          <cell r="L359">
            <v>0</v>
          </cell>
          <cell r="M359">
            <v>0</v>
          </cell>
          <cell r="N359">
            <v>0</v>
          </cell>
          <cell r="O359">
            <v>0</v>
          </cell>
        </row>
        <row r="360">
          <cell r="B360" t="str">
            <v>Papelera residuos peligrosos 1 (Compra)</v>
          </cell>
          <cell r="C360" t="str">
            <v>- Cuerpo plástico
- Con mecanismo de pedal para abrir y cerrar tapa
- Con capacidad mínima de 10 litros
- Diseño para baño
- Color rojo
- Con las palabras "Riesgo biológico" en la cara frontal</v>
          </cell>
          <cell r="D360" t="str">
            <v>Unidad</v>
          </cell>
          <cell r="E360">
            <v>0</v>
          </cell>
          <cell r="F360">
            <v>0</v>
          </cell>
          <cell r="G360">
            <v>0</v>
          </cell>
          <cell r="H360">
            <v>0</v>
          </cell>
          <cell r="I360">
            <v>0</v>
          </cell>
          <cell r="J360">
            <v>0</v>
          </cell>
          <cell r="K360">
            <v>0</v>
          </cell>
          <cell r="L360">
            <v>0</v>
          </cell>
          <cell r="M360">
            <v>0</v>
          </cell>
          <cell r="N360">
            <v>0</v>
          </cell>
          <cell r="O360">
            <v>0</v>
          </cell>
        </row>
        <row r="361">
          <cell r="B361" t="str">
            <v>Papelera residuos peligrosos 2 (Compra)</v>
          </cell>
          <cell r="C361" t="str">
            <v>- Cuerpo plástico
- Con mecanismo de pedal para abrir y cerrar tapa
- Con capacidad mínima de 20 litros
- Diseño para baño
- Color rojo
- Con las palabras "Riesgo biológico" en la cara frontal</v>
          </cell>
          <cell r="D361" t="str">
            <v>Unidad</v>
          </cell>
          <cell r="E361">
            <v>0</v>
          </cell>
          <cell r="F361">
            <v>0</v>
          </cell>
          <cell r="G361">
            <v>0</v>
          </cell>
          <cell r="H361">
            <v>0</v>
          </cell>
          <cell r="I361">
            <v>0</v>
          </cell>
          <cell r="J361">
            <v>0</v>
          </cell>
          <cell r="K361">
            <v>0</v>
          </cell>
          <cell r="L361">
            <v>0</v>
          </cell>
          <cell r="M361">
            <v>0</v>
          </cell>
          <cell r="N361">
            <v>0</v>
          </cell>
          <cell r="O361">
            <v>0</v>
          </cell>
        </row>
        <row r="362">
          <cell r="B362" t="str">
            <v>Señales peatonales de prevención y atención 1 (Compra)</v>
          </cell>
          <cell r="C362" t="str">
            <v>- Elaborado en plástico
- Tipo tijera, plegable
- Tamaño mínimo de 25 cm de ancho por 60 cm de alto por 22 cm de largo.
- Impresión en las dos caras con las palabras "Cerrado" o "Área cerrada" o "No pasar".
- Color amarillo</v>
          </cell>
          <cell r="D362" t="str">
            <v>Unidad</v>
          </cell>
          <cell r="E362">
            <v>0</v>
          </cell>
          <cell r="F362">
            <v>0</v>
          </cell>
          <cell r="G362">
            <v>0</v>
          </cell>
          <cell r="H362">
            <v>0</v>
          </cell>
          <cell r="I362">
            <v>0</v>
          </cell>
          <cell r="J362">
            <v>0</v>
          </cell>
          <cell r="K362">
            <v>0</v>
          </cell>
          <cell r="L362">
            <v>0</v>
          </cell>
          <cell r="M362">
            <v>0</v>
          </cell>
          <cell r="N362">
            <v>0</v>
          </cell>
          <cell r="O362">
            <v>0</v>
          </cell>
        </row>
        <row r="363">
          <cell r="B363" t="str">
            <v>Señales peatonales de prevención y atención 1 (Arrendamiento)</v>
          </cell>
          <cell r="C363" t="str">
            <v>- Elaborado en plástico
- Tipo tijera, plegable
- Tamaño mínimo de 25 cm de ancho por 60 cm de alto por 22 cm de largo.
- Impresión en las dos caras con las palabras "Cerrado" o "Área cerrada" o "No pasar".
- Color amarillo</v>
          </cell>
          <cell r="D363" t="str">
            <v>Unidad</v>
          </cell>
          <cell r="E363">
            <v>0</v>
          </cell>
          <cell r="F363">
            <v>0</v>
          </cell>
          <cell r="G363">
            <v>0</v>
          </cell>
          <cell r="H363">
            <v>0</v>
          </cell>
          <cell r="I363">
            <v>0</v>
          </cell>
          <cell r="J363">
            <v>0</v>
          </cell>
          <cell r="K363">
            <v>0</v>
          </cell>
          <cell r="L363">
            <v>0</v>
          </cell>
          <cell r="M363">
            <v>0</v>
          </cell>
          <cell r="N363">
            <v>0</v>
          </cell>
          <cell r="O363">
            <v>0</v>
          </cell>
        </row>
        <row r="364">
          <cell r="B364" t="str">
            <v>Señales peatonales de prevención y atención 2 (Compra)</v>
          </cell>
          <cell r="C364" t="str">
            <v>- Elaborado en plástico
- Tipo tijera, plegable
- Tamaño mínimo de 25 cm de ancho por 60 cm de alto por 22 cm de largo.
- Impresión en las dos caras con las palabras "Cuidado".
- Color amarillo
- Acordes con la reglamentación establecida por la NTC 1461</v>
          </cell>
          <cell r="D364" t="str">
            <v>Unidad</v>
          </cell>
          <cell r="E364">
            <v>0</v>
          </cell>
          <cell r="F364">
            <v>0</v>
          </cell>
          <cell r="G364">
            <v>0</v>
          </cell>
          <cell r="H364">
            <v>0</v>
          </cell>
          <cell r="I364">
            <v>0</v>
          </cell>
          <cell r="J364">
            <v>0</v>
          </cell>
          <cell r="K364">
            <v>0</v>
          </cell>
          <cell r="L364">
            <v>0</v>
          </cell>
          <cell r="M364">
            <v>0</v>
          </cell>
          <cell r="N364">
            <v>0</v>
          </cell>
          <cell r="O364">
            <v>0</v>
          </cell>
        </row>
        <row r="365">
          <cell r="B365" t="str">
            <v>Señales peatonales de prevención y atención 2 (Arrendamiento)</v>
          </cell>
          <cell r="C365" t="str">
            <v>- Elaborado en plástico
- Tipo tijera, plegable
- Tamaño mínimo de 25 cm de ancho por 60 cm de alto por 22 cm de largo.
- Impresión en las dos caras con las palabras "Cuidado".
- Color amarillo
- Acordes con la reglamentación establecida por la NTC 1461</v>
          </cell>
          <cell r="D365" t="str">
            <v>Unidad</v>
          </cell>
          <cell r="E365">
            <v>0</v>
          </cell>
          <cell r="F365">
            <v>0</v>
          </cell>
          <cell r="G365">
            <v>0</v>
          </cell>
          <cell r="H365">
            <v>0</v>
          </cell>
          <cell r="I365">
            <v>0</v>
          </cell>
          <cell r="J365">
            <v>0</v>
          </cell>
          <cell r="K365">
            <v>0</v>
          </cell>
          <cell r="L365">
            <v>0</v>
          </cell>
          <cell r="M365">
            <v>0</v>
          </cell>
          <cell r="N365">
            <v>0</v>
          </cell>
          <cell r="O365">
            <v>0</v>
          </cell>
        </row>
        <row r="366">
          <cell r="B366" t="str">
            <v>Señales peatonales de prevención y atención 3 (Compra)</v>
          </cell>
          <cell r="C366" t="str">
            <v>- Elaborado en plástico
- Tipo tijera, plegable
- Tamaño mínimo de 25 cm de ancho por 60 cm de alto por 22 cm de largo.
- Impresión en las dos caras con las palabras "Piso húmedo o "Piso mojado"".
- Color amarillo
- Acordes con la reglamentación establecida por la NTC 1461</v>
          </cell>
          <cell r="D366" t="str">
            <v>Unidad</v>
          </cell>
          <cell r="E366">
            <v>0</v>
          </cell>
          <cell r="F366">
            <v>0</v>
          </cell>
          <cell r="G366">
            <v>0</v>
          </cell>
          <cell r="H366">
            <v>0</v>
          </cell>
          <cell r="I366">
            <v>0</v>
          </cell>
          <cell r="J366">
            <v>0</v>
          </cell>
          <cell r="K366">
            <v>0</v>
          </cell>
          <cell r="L366">
            <v>0</v>
          </cell>
          <cell r="M366">
            <v>0</v>
          </cell>
          <cell r="N366">
            <v>0</v>
          </cell>
          <cell r="O366">
            <v>0</v>
          </cell>
        </row>
        <row r="367">
          <cell r="B367" t="str">
            <v>Señales peatonales de prevención y atención 3 (Arrendamiento)</v>
          </cell>
          <cell r="C367" t="str">
            <v>- Elaborado en plástico
- Tipo tijera, plegable
- Tamaño mínimo de 25 cm de ancho por 60 cm de alto por 22 cm de largo.
- Impresión en las dos caras con las palabras "Piso húmedo o "Piso mojado"".
- Color amarillo
- Acordes con la reglamentación establecida por la NTC 1461</v>
          </cell>
          <cell r="D367" t="str">
            <v>Unidad</v>
          </cell>
          <cell r="E367">
            <v>84</v>
          </cell>
          <cell r="F367">
            <v>9468</v>
          </cell>
          <cell r="G367">
            <v>2398</v>
          </cell>
          <cell r="H367">
            <v>0</v>
          </cell>
          <cell r="I367">
            <v>0.74672581326573728</v>
          </cell>
          <cell r="J367">
            <v>2398</v>
          </cell>
          <cell r="K367">
            <v>201432</v>
          </cell>
          <cell r="L367">
            <v>482.86799999999999</v>
          </cell>
          <cell r="M367">
            <v>9950.8680000000004</v>
          </cell>
          <cell r="N367">
            <v>7430.5700000000006</v>
          </cell>
          <cell r="O367">
            <v>2520.2979999999998</v>
          </cell>
        </row>
        <row r="368">
          <cell r="B368" t="str">
            <v>Dispensador para papel higiénico 1 (Compra)</v>
          </cell>
          <cell r="C368" t="str">
            <v>- Elaborado en plástico ABS blanco
- Para rollo de 250 metros y 400 metros
- Con visor para ver el estado del rollo
- Con cerradura y llave
- Incluye los elementos necesarios para realizar la instalación en pared
-Incluye el costo de instalación.</v>
          </cell>
          <cell r="D368" t="str">
            <v>Unidad</v>
          </cell>
          <cell r="E368">
            <v>0</v>
          </cell>
          <cell r="F368">
            <v>0</v>
          </cell>
          <cell r="G368">
            <v>0</v>
          </cell>
          <cell r="H368">
            <v>0</v>
          </cell>
          <cell r="I368">
            <v>0</v>
          </cell>
          <cell r="J368">
            <v>0</v>
          </cell>
          <cell r="K368">
            <v>0</v>
          </cell>
          <cell r="L368">
            <v>0</v>
          </cell>
          <cell r="M368">
            <v>0</v>
          </cell>
          <cell r="N368">
            <v>0</v>
          </cell>
          <cell r="O368">
            <v>0</v>
          </cell>
        </row>
        <row r="369">
          <cell r="B369" t="str">
            <v>Dispensador para papel higiénico 2 (Compra)</v>
          </cell>
          <cell r="C369" t="str">
            <v>- Elaborado en acero inoxidable
- Para rollo de 250 metros y 400 metros
- Con visor para ver el estado del rollo
- Con cerradura y llave
- Incluye los elementos necesarios para realizar la instalación en pared
-Incluye el costo de instalación.</v>
          </cell>
          <cell r="D369" t="str">
            <v>Unidad</v>
          </cell>
          <cell r="E369">
            <v>0</v>
          </cell>
          <cell r="F369">
            <v>0</v>
          </cell>
          <cell r="G369">
            <v>0</v>
          </cell>
          <cell r="H369">
            <v>0</v>
          </cell>
          <cell r="I369">
            <v>0</v>
          </cell>
          <cell r="J369">
            <v>0</v>
          </cell>
          <cell r="K369">
            <v>0</v>
          </cell>
          <cell r="L369">
            <v>0</v>
          </cell>
          <cell r="M369">
            <v>0</v>
          </cell>
          <cell r="N369">
            <v>0</v>
          </cell>
          <cell r="O369">
            <v>0</v>
          </cell>
        </row>
        <row r="370">
          <cell r="B370" t="str">
            <v>Dispensador de toallas de manos 1 (Compra)</v>
          </cell>
          <cell r="C370" t="str">
            <v>- Elaborado en plástico ABS
- Para toallas de papel en rollo de 150 metros y 250 metros
- Con mecanismo accionador de palanca, perilla giratoria o para halar con la mano.
- Con cuchilla serrada para cortar la toalla de manos
- Con cerradura y llave
- Incluye los elementos necesarios para realizar la instalación en pared
 - Incluye el costo de instalación</v>
          </cell>
          <cell r="D370" t="str">
            <v>Unidad</v>
          </cell>
          <cell r="E370">
            <v>0</v>
          </cell>
          <cell r="F370">
            <v>0</v>
          </cell>
          <cell r="G370">
            <v>0</v>
          </cell>
          <cell r="H370">
            <v>0</v>
          </cell>
          <cell r="I370">
            <v>0</v>
          </cell>
          <cell r="J370">
            <v>0</v>
          </cell>
          <cell r="K370">
            <v>0</v>
          </cell>
          <cell r="L370">
            <v>0</v>
          </cell>
          <cell r="M370">
            <v>0</v>
          </cell>
          <cell r="N370">
            <v>0</v>
          </cell>
          <cell r="O370">
            <v>0</v>
          </cell>
        </row>
        <row r="371">
          <cell r="B371" t="str">
            <v>Dispensador de toallas de manos 2 (Compra)</v>
          </cell>
          <cell r="C371" t="str">
            <v>- Elaborado en plástico ABS
- Para toallas de papel interdobladas con capacidad mínima de 300 toallas
- Con mecanismo para halar con la mano.
- Con cerradura y llave
- Incluye los elementos necesarios para realizar la instalación en pared
-Incluye el costo de instalación</v>
          </cell>
          <cell r="D371" t="str">
            <v>Unidad</v>
          </cell>
          <cell r="E371">
            <v>0</v>
          </cell>
          <cell r="F371">
            <v>0</v>
          </cell>
          <cell r="G371">
            <v>0</v>
          </cell>
          <cell r="H371">
            <v>0</v>
          </cell>
          <cell r="I371">
            <v>0</v>
          </cell>
          <cell r="J371">
            <v>0</v>
          </cell>
          <cell r="K371">
            <v>0</v>
          </cell>
          <cell r="L371">
            <v>0</v>
          </cell>
          <cell r="M371">
            <v>0</v>
          </cell>
          <cell r="N371">
            <v>0</v>
          </cell>
          <cell r="O371">
            <v>0</v>
          </cell>
        </row>
        <row r="372">
          <cell r="B372" t="str">
            <v>Dispensador de toallas de manos 3 (Compra)</v>
          </cell>
          <cell r="C372" t="str">
            <v>- Elaborado en acero inoxidable
- Para toallas de papel interdobladas con capacidad mínima de 300 toallas
- Con mecanismo para halar con la mano.
- Con cerradura y llave
- Incluye los elementos necesarios para realizar la instalación en pared
-Incluye el costo de instalación</v>
          </cell>
          <cell r="D372" t="str">
            <v>Unidad</v>
          </cell>
          <cell r="E372">
            <v>0</v>
          </cell>
          <cell r="F372">
            <v>0</v>
          </cell>
          <cell r="G372">
            <v>0</v>
          </cell>
          <cell r="H372">
            <v>0</v>
          </cell>
          <cell r="I372">
            <v>0</v>
          </cell>
          <cell r="J372">
            <v>0</v>
          </cell>
          <cell r="K372">
            <v>0</v>
          </cell>
          <cell r="L372">
            <v>0</v>
          </cell>
          <cell r="M372">
            <v>0</v>
          </cell>
          <cell r="N372">
            <v>0</v>
          </cell>
          <cell r="O372">
            <v>0</v>
          </cell>
        </row>
        <row r="373">
          <cell r="B373" t="str">
            <v>Dispensador de jabón líquido 1 (Compra)</v>
          </cell>
          <cell r="C373" t="str">
            <v>- Elaborado en plástico ABS blanco
- Con válvula manual anticorrosiva.
- Uso habilitado para cualquier jabón líquido con capacidad mínima de 500 cc
- Incluye los elementos necesarios para realizar la instalación en pared
-Incluye el costo de instalación</v>
          </cell>
          <cell r="D373" t="str">
            <v>Unidad</v>
          </cell>
          <cell r="E373">
            <v>0</v>
          </cell>
          <cell r="F373">
            <v>0</v>
          </cell>
          <cell r="G373">
            <v>0</v>
          </cell>
          <cell r="H373">
            <v>0</v>
          </cell>
          <cell r="I373">
            <v>0</v>
          </cell>
          <cell r="J373">
            <v>0</v>
          </cell>
          <cell r="K373">
            <v>0</v>
          </cell>
          <cell r="L373">
            <v>0</v>
          </cell>
          <cell r="M373">
            <v>0</v>
          </cell>
          <cell r="N373">
            <v>0</v>
          </cell>
          <cell r="O373">
            <v>0</v>
          </cell>
        </row>
        <row r="374">
          <cell r="B374" t="str">
            <v>Dispensador de jabón líquido 2 (Compra)</v>
          </cell>
          <cell r="C374" t="str">
            <v>- Elaborado en plástico ABS blanco
- Con sensor para suministro de jabón
- Uso habilitado para cualquier jabón líquido con capacidad mínima de 500 ml
- Incluye los elementos necesarios para realizar la instalación en pared
 -Incluye el costo de instalación'</v>
          </cell>
          <cell r="D374" t="str">
            <v>Unidad</v>
          </cell>
          <cell r="E374">
            <v>0</v>
          </cell>
          <cell r="F374">
            <v>0</v>
          </cell>
          <cell r="G374">
            <v>0</v>
          </cell>
          <cell r="H374">
            <v>0</v>
          </cell>
          <cell r="I374">
            <v>0</v>
          </cell>
          <cell r="J374">
            <v>0</v>
          </cell>
          <cell r="K374">
            <v>0</v>
          </cell>
          <cell r="L374">
            <v>0</v>
          </cell>
          <cell r="M374">
            <v>0</v>
          </cell>
          <cell r="N374">
            <v>0</v>
          </cell>
          <cell r="O374">
            <v>0</v>
          </cell>
        </row>
        <row r="375">
          <cell r="B375" t="str">
            <v>Dispensador de jabón líquido 3 (Compra)</v>
          </cell>
          <cell r="C375" t="str">
            <v>- Elaborado en acero inoxidable
- Con válvula manual anticorrosiva.
- Uso habilitado para cualquier jabón líquido con capacidad mínima de 800 ml
- Con cerradura y llave
- Incluye los elementos necesarios para realizar la instalación en pared
 -Incluye el el costo de instalación'</v>
          </cell>
          <cell r="D375" t="str">
            <v>Unidad</v>
          </cell>
          <cell r="E375">
            <v>0</v>
          </cell>
          <cell r="F375">
            <v>0</v>
          </cell>
          <cell r="G375">
            <v>0</v>
          </cell>
          <cell r="H375">
            <v>0</v>
          </cell>
          <cell r="I375">
            <v>0</v>
          </cell>
          <cell r="J375">
            <v>0</v>
          </cell>
          <cell r="K375">
            <v>0</v>
          </cell>
          <cell r="L375">
            <v>0</v>
          </cell>
          <cell r="M375">
            <v>0</v>
          </cell>
          <cell r="N375">
            <v>0</v>
          </cell>
          <cell r="O375">
            <v>0</v>
          </cell>
        </row>
        <row r="376">
          <cell r="B376" t="str">
            <v>Dispensador de jabón líquido 4 (Compra)</v>
          </cell>
          <cell r="C376" t="str">
            <v>- Elaborado en acero inoxidable
- Con sensor para suministro de jabón
- Uso habilitado para cualquier jabón líquido con capacidad mínima de 800 ml
- Con cerradura y llave
- Incluye los elementos necesarios para realizar la instalación en pared
 -Incluye el costo de instalación'</v>
          </cell>
          <cell r="D376" t="str">
            <v>Unidad</v>
          </cell>
          <cell r="E376">
            <v>0</v>
          </cell>
          <cell r="F376">
            <v>0</v>
          </cell>
          <cell r="G376">
            <v>0</v>
          </cell>
          <cell r="H376">
            <v>0</v>
          </cell>
          <cell r="I376">
            <v>0</v>
          </cell>
          <cell r="J376">
            <v>0</v>
          </cell>
          <cell r="K376">
            <v>0</v>
          </cell>
          <cell r="L376">
            <v>0</v>
          </cell>
          <cell r="M376">
            <v>0</v>
          </cell>
          <cell r="N376">
            <v>0</v>
          </cell>
          <cell r="O376">
            <v>0</v>
          </cell>
        </row>
        <row r="377">
          <cell r="B377" t="str">
            <v>Dispensador para ambientador (Arrendamiento)</v>
          </cell>
          <cell r="C377" t="str">
            <v xml:space="preserve"> - Elaborado en plástico ABS blanco
 - Con dispersión programable de líquido ambientador
 - Capacidad mínima de 250 ml
- Incluye los elementos necesarios para realizar la instalación en pared
-Incluye el costo de instalación</v>
          </cell>
          <cell r="D377" t="str">
            <v>Unidad</v>
          </cell>
          <cell r="E377">
            <v>0</v>
          </cell>
          <cell r="F377">
            <v>0</v>
          </cell>
          <cell r="G377">
            <v>0</v>
          </cell>
          <cell r="H377">
            <v>0</v>
          </cell>
          <cell r="I377">
            <v>0</v>
          </cell>
          <cell r="J377">
            <v>0</v>
          </cell>
          <cell r="K377">
            <v>0</v>
          </cell>
          <cell r="L377">
            <v>0</v>
          </cell>
          <cell r="M377">
            <v>0</v>
          </cell>
          <cell r="N377">
            <v>0</v>
          </cell>
          <cell r="O377">
            <v>0</v>
          </cell>
        </row>
        <row r="378">
          <cell r="B378" t="str">
            <v>Dispensador para ambientador (Compra)</v>
          </cell>
          <cell r="C378" t="str">
            <v xml:space="preserve"> - Elaborado en plástico ABS blanco
 - Con dispersión programable de líquido ambientador
 - Capacidad mínima de 250 ml
- Incluye los elementos necesarios para realizar la instalación en pared
-Incluye el costo de instalación</v>
          </cell>
          <cell r="D378" t="str">
            <v>Unidad</v>
          </cell>
          <cell r="E378">
            <v>0</v>
          </cell>
          <cell r="F378">
            <v>0</v>
          </cell>
          <cell r="G378">
            <v>0</v>
          </cell>
          <cell r="H378">
            <v>0</v>
          </cell>
          <cell r="I378">
            <v>0</v>
          </cell>
          <cell r="J378">
            <v>0</v>
          </cell>
          <cell r="K378">
            <v>0</v>
          </cell>
          <cell r="L378">
            <v>0</v>
          </cell>
          <cell r="M378">
            <v>0</v>
          </cell>
          <cell r="N378">
            <v>0</v>
          </cell>
          <cell r="O378">
            <v>0</v>
          </cell>
        </row>
        <row r="379">
          <cell r="B379" t="str">
            <v>Recarga: Dispensador para ambientador (Compra)</v>
          </cell>
          <cell r="C379" t="str">
            <v>Recarga mensual del dispensador para ambientador</v>
          </cell>
          <cell r="D379" t="str">
            <v>Mensual</v>
          </cell>
          <cell r="E379">
            <v>0</v>
          </cell>
          <cell r="F379">
            <v>0</v>
          </cell>
          <cell r="G379">
            <v>0</v>
          </cell>
          <cell r="H379">
            <v>0</v>
          </cell>
          <cell r="I379">
            <v>0</v>
          </cell>
          <cell r="J379">
            <v>0</v>
          </cell>
          <cell r="K379">
            <v>0</v>
          </cell>
          <cell r="L379">
            <v>0</v>
          </cell>
          <cell r="M379">
            <v>0</v>
          </cell>
          <cell r="N379">
            <v>0</v>
          </cell>
          <cell r="O379">
            <v>0</v>
          </cell>
        </row>
        <row r="380">
          <cell r="B380" t="str">
            <v>Dispensador goteo por gravedad y recarga (Arrendamiento)</v>
          </cell>
          <cell r="C380" t="str">
            <v>- Elaborado en PVC blanco
- Goteo programable para desodorizar sanitarios y orinales
- Incluye manguera plástica de goteo
- Incluye los elementos necesarios para realizar la instalación en pared</v>
          </cell>
          <cell r="D380" t="str">
            <v>Unidad</v>
          </cell>
          <cell r="E380">
            <v>0</v>
          </cell>
          <cell r="F380">
            <v>0</v>
          </cell>
          <cell r="G380">
            <v>0</v>
          </cell>
          <cell r="H380">
            <v>0</v>
          </cell>
          <cell r="I380">
            <v>0</v>
          </cell>
          <cell r="J380">
            <v>0</v>
          </cell>
          <cell r="K380">
            <v>0</v>
          </cell>
          <cell r="L380">
            <v>0</v>
          </cell>
          <cell r="M380">
            <v>0</v>
          </cell>
          <cell r="N380">
            <v>0</v>
          </cell>
          <cell r="O380">
            <v>0</v>
          </cell>
        </row>
        <row r="381">
          <cell r="B381" t="str">
            <v>Dispensador goteo por gravedad (Compra)</v>
          </cell>
          <cell r="C381" t="str">
            <v>- Elaborado en PVC blanco
- Goteo programable para desodorizar sanitarios y orinales
- Incluye manguera plástica de goteo
- Incluye los elementos necesarios para realizar la instalación en pared</v>
          </cell>
          <cell r="D381" t="str">
            <v>Unidad</v>
          </cell>
          <cell r="E381">
            <v>0</v>
          </cell>
          <cell r="F381">
            <v>0</v>
          </cell>
          <cell r="G381">
            <v>0</v>
          </cell>
          <cell r="H381">
            <v>0</v>
          </cell>
          <cell r="I381">
            <v>0</v>
          </cell>
          <cell r="J381">
            <v>0</v>
          </cell>
          <cell r="K381">
            <v>0</v>
          </cell>
          <cell r="L381">
            <v>0</v>
          </cell>
          <cell r="M381">
            <v>0</v>
          </cell>
          <cell r="N381">
            <v>0</v>
          </cell>
          <cell r="O381">
            <v>0</v>
          </cell>
        </row>
        <row r="382">
          <cell r="B382" t="str">
            <v>Recarga: Dispensador goteo por gravedad (Compra)</v>
          </cell>
          <cell r="C382" t="str">
            <v>Recarga mensual del dispensador goteo para gravedad con líquido con agentes tensoactivos.</v>
          </cell>
          <cell r="D382" t="str">
            <v>Mensual</v>
          </cell>
          <cell r="E382">
            <v>82</v>
          </cell>
          <cell r="F382">
            <v>40502</v>
          </cell>
          <cell r="G382">
            <v>15254</v>
          </cell>
          <cell r="H382">
            <v>0</v>
          </cell>
          <cell r="I382">
            <v>0.62337662337662336</v>
          </cell>
          <cell r="J382">
            <v>15254</v>
          </cell>
          <cell r="K382">
            <v>1250828</v>
          </cell>
          <cell r="L382">
            <v>2065.6019999999999</v>
          </cell>
          <cell r="M382">
            <v>42567.601999999999</v>
          </cell>
          <cell r="N382">
            <v>26535.647999999997</v>
          </cell>
          <cell r="O382">
            <v>16031.954000000002</v>
          </cell>
        </row>
        <row r="383">
          <cell r="B383" t="str">
            <v>Dispensador de agua (Arrendamiento)</v>
          </cell>
          <cell r="C383" t="str">
            <v xml:space="preserve">- Dispensador de agua fría y caliente
- Sistema de filtración multinivel
- Uso de gas refrigerante seguro para la capa de ozono
</v>
          </cell>
          <cell r="D383" t="str">
            <v>Unidad</v>
          </cell>
          <cell r="E383">
            <v>0</v>
          </cell>
          <cell r="F383">
            <v>0</v>
          </cell>
          <cell r="G383">
            <v>0</v>
          </cell>
          <cell r="H383">
            <v>0</v>
          </cell>
          <cell r="I383">
            <v>0</v>
          </cell>
          <cell r="J383">
            <v>0</v>
          </cell>
          <cell r="K383">
            <v>0</v>
          </cell>
          <cell r="L383">
            <v>0</v>
          </cell>
          <cell r="M383">
            <v>0</v>
          </cell>
          <cell r="N383">
            <v>0</v>
          </cell>
          <cell r="O383">
            <v>0</v>
          </cell>
        </row>
        <row r="384">
          <cell r="B384" t="str">
            <v>Dispensador de agua (Compra)</v>
          </cell>
          <cell r="C384" t="str">
            <v xml:space="preserve">- Dispensador de agua fría y caliente
- Sistema de filtración multinivel
- Uso de gas refrigerante seguro para la capa de ozono
</v>
          </cell>
          <cell r="D384" t="str">
            <v>Unidad</v>
          </cell>
          <cell r="E384">
            <v>0</v>
          </cell>
          <cell r="F384">
            <v>0</v>
          </cell>
          <cell r="G384">
            <v>0</v>
          </cell>
          <cell r="H384">
            <v>0</v>
          </cell>
          <cell r="I384">
            <v>0</v>
          </cell>
          <cell r="J384">
            <v>0</v>
          </cell>
          <cell r="K384">
            <v>0</v>
          </cell>
          <cell r="L384">
            <v>0</v>
          </cell>
          <cell r="M384">
            <v>0</v>
          </cell>
          <cell r="N384">
            <v>0</v>
          </cell>
          <cell r="O384">
            <v>0</v>
          </cell>
        </row>
        <row r="385">
          <cell r="B385" t="str">
            <v>Dispensador de agua con botellón (Arrendamiento)</v>
          </cell>
          <cell r="C385" t="str">
            <v xml:space="preserve">- Dispensador de agua fría y caliente
- Uso de gas refrigerante seguro para la capa de ozono
</v>
          </cell>
          <cell r="D385" t="str">
            <v>Unidad</v>
          </cell>
          <cell r="E385">
            <v>0</v>
          </cell>
          <cell r="F385">
            <v>0</v>
          </cell>
          <cell r="G385">
            <v>0</v>
          </cell>
          <cell r="H385">
            <v>0</v>
          </cell>
          <cell r="I385">
            <v>0</v>
          </cell>
          <cell r="J385">
            <v>0</v>
          </cell>
          <cell r="K385">
            <v>0</v>
          </cell>
          <cell r="L385">
            <v>0</v>
          </cell>
          <cell r="M385">
            <v>0</v>
          </cell>
          <cell r="N385">
            <v>0</v>
          </cell>
          <cell r="O385">
            <v>0</v>
          </cell>
        </row>
        <row r="386">
          <cell r="B386" t="str">
            <v>Dispensador de agua con botellón (Compra)</v>
          </cell>
          <cell r="C386" t="str">
            <v xml:space="preserve">- Dispensador de agua fría y caliente
- Uso de gas refrigerante seguro para la capa de ozono
</v>
          </cell>
          <cell r="D386" t="str">
            <v>Unidad</v>
          </cell>
          <cell r="E386">
            <v>0</v>
          </cell>
          <cell r="F386">
            <v>0</v>
          </cell>
          <cell r="G386">
            <v>0</v>
          </cell>
          <cell r="H386">
            <v>0</v>
          </cell>
          <cell r="I386">
            <v>0</v>
          </cell>
          <cell r="J386">
            <v>0</v>
          </cell>
          <cell r="K386">
            <v>0</v>
          </cell>
          <cell r="L386">
            <v>0</v>
          </cell>
          <cell r="M386">
            <v>0</v>
          </cell>
          <cell r="N386">
            <v>0</v>
          </cell>
          <cell r="O386">
            <v>0</v>
          </cell>
        </row>
        <row r="387">
          <cell r="B387" t="str">
            <v>Greca para tintos 1 (Arrendamiento)</v>
          </cell>
          <cell r="C387" t="str">
            <v>- Eléctrica de 110 v
- Cuerpo elaborada en lámina de acero inoxidable de calibre 24 como mínimo
- Resistencias elaboradas en cobre
- Terminales elaboradas en cobre remplazables con soldadura
- Mínimo dos servicios
- Con su respectivo filtro y aro
 - Con capacidad para 30 tintos</v>
          </cell>
          <cell r="D387" t="str">
            <v>Unidad</v>
          </cell>
          <cell r="E387">
            <v>0</v>
          </cell>
          <cell r="F387">
            <v>0</v>
          </cell>
          <cell r="G387">
            <v>0</v>
          </cell>
          <cell r="H387">
            <v>0</v>
          </cell>
          <cell r="I387">
            <v>0</v>
          </cell>
          <cell r="J387">
            <v>0</v>
          </cell>
          <cell r="K387">
            <v>0</v>
          </cell>
          <cell r="L387">
            <v>0</v>
          </cell>
          <cell r="M387">
            <v>0</v>
          </cell>
          <cell r="N387">
            <v>0</v>
          </cell>
          <cell r="O387">
            <v>0</v>
          </cell>
        </row>
        <row r="388">
          <cell r="B388" t="str">
            <v>Greca para tintos 2 (Arrendamiento)</v>
          </cell>
          <cell r="C388" t="str">
            <v>- Eléctrica de 110 v
- Cuerpo elaborada en lámina de acero inoxidable de calibre 24 como mínimo, grado alimento
- Resistencias elaboradas en cobre
- Terminales elaboradas en cobre remplazables sin soldadura
- Mínimo 2 servicios
 -Con su respectivo filtro y aro
- Con capacidad para 60 tintos</v>
          </cell>
          <cell r="D388" t="str">
            <v>Unidad</v>
          </cell>
          <cell r="E388">
            <v>0</v>
          </cell>
          <cell r="F388">
            <v>0</v>
          </cell>
          <cell r="G388">
            <v>0</v>
          </cell>
          <cell r="H388">
            <v>0</v>
          </cell>
          <cell r="I388">
            <v>0</v>
          </cell>
          <cell r="J388">
            <v>0</v>
          </cell>
          <cell r="K388">
            <v>0</v>
          </cell>
          <cell r="L388">
            <v>0</v>
          </cell>
          <cell r="M388">
            <v>0</v>
          </cell>
          <cell r="N388">
            <v>0</v>
          </cell>
          <cell r="O388">
            <v>0</v>
          </cell>
        </row>
        <row r="389">
          <cell r="B389" t="str">
            <v>Greca para tintos 3 (Arrendamiento)</v>
          </cell>
          <cell r="C389" t="str">
            <v>- Eléctrica de 110 v
- Cuerpo elaborada en lámina de acero inoxidable de calibre 24 como mínimo, grado alimento
- Resistencias elaboradas en cobre
- Terminales elaboradas en cobre remplazables sin soldadura
- Mínimo dos servicios
 -Con su respectivo filtro y aro
 - Con capacidad para 120 tintos</v>
          </cell>
          <cell r="D389" t="str">
            <v>Unidad</v>
          </cell>
          <cell r="E389">
            <v>61</v>
          </cell>
          <cell r="F389">
            <v>70063</v>
          </cell>
          <cell r="G389">
            <v>34243</v>
          </cell>
          <cell r="H389">
            <v>0</v>
          </cell>
          <cell r="I389">
            <v>0.51125415697301002</v>
          </cell>
          <cell r="J389">
            <v>34243</v>
          </cell>
          <cell r="K389">
            <v>2088823</v>
          </cell>
          <cell r="L389">
            <v>3573.2129999999997</v>
          </cell>
          <cell r="M389">
            <v>73636.213000000003</v>
          </cell>
          <cell r="N389">
            <v>37646.82</v>
          </cell>
          <cell r="O389">
            <v>35989.393000000004</v>
          </cell>
        </row>
        <row r="390">
          <cell r="B390" t="str">
            <v>Máquina de filtrado para café (Compra)</v>
          </cell>
          <cell r="C390" t="str">
            <v>- Cafetera de método filtrado de café por goteo con conexión directamente a la red de agua o con opción de usarse completamente portátil sin requerir conexión directa a la red de agua
- Grifo para dispensar agua caliente
- Capacidad para termos de 1.9 a 3L, capacidad de 14 litros hora
- Incluye termo con capacidad de mantener la bebida caliente, conservando la calidad de la taza de café durante mínimo 3 horas
- Revestimiento de acero inoxidable con bomba tipo dispensador 
- Capacidad de 2,5 0 3,0 litros.</v>
          </cell>
          <cell r="D390" t="str">
            <v>Unidad</v>
          </cell>
          <cell r="E390">
            <v>0</v>
          </cell>
          <cell r="F390">
            <v>0</v>
          </cell>
          <cell r="G390">
            <v>0</v>
          </cell>
          <cell r="H390">
            <v>0</v>
          </cell>
          <cell r="I390">
            <v>0</v>
          </cell>
          <cell r="J390">
            <v>0</v>
          </cell>
          <cell r="K390">
            <v>0</v>
          </cell>
          <cell r="L390">
            <v>0</v>
          </cell>
          <cell r="M390">
            <v>0</v>
          </cell>
          <cell r="N390">
            <v>0</v>
          </cell>
          <cell r="O390">
            <v>0</v>
          </cell>
        </row>
        <row r="391">
          <cell r="B391" t="str">
            <v>Horno microondas (Arrendamiento)</v>
          </cell>
          <cell r="C391" t="str">
            <v>- Potencia mínima de 900 w
- Tamaño mínimo de 30 cm de ancho por 25 cm de alto por 35 cm de profundidad.
- Con bandera giratoria de cristal templado
- Con programas automáticos</v>
          </cell>
          <cell r="D391" t="str">
            <v>Unidad</v>
          </cell>
          <cell r="E391">
            <v>0</v>
          </cell>
          <cell r="F391">
            <v>0</v>
          </cell>
          <cell r="G391">
            <v>0</v>
          </cell>
          <cell r="H391">
            <v>0</v>
          </cell>
          <cell r="I391">
            <v>0</v>
          </cell>
          <cell r="J391">
            <v>0</v>
          </cell>
          <cell r="K391">
            <v>0</v>
          </cell>
          <cell r="L391">
            <v>0</v>
          </cell>
          <cell r="M391">
            <v>0</v>
          </cell>
          <cell r="N391">
            <v>0</v>
          </cell>
          <cell r="O391">
            <v>0</v>
          </cell>
        </row>
        <row r="392">
          <cell r="B392" t="str">
            <v>Horno microondas de tipo industrial (Arrendamiento)</v>
          </cell>
          <cell r="C392" t="str">
            <v>- Potencia mínima de 1000 w
- Tamaño mínimo de 30 cm de ancho por 30 cm de alto por 40 cm de profundidad.
- Descongelamiento automático
- Con programas automáticos</v>
          </cell>
          <cell r="D392" t="str">
            <v>Unidad</v>
          </cell>
          <cell r="E392">
            <v>75</v>
          </cell>
          <cell r="F392">
            <v>141494</v>
          </cell>
          <cell r="G392">
            <v>44647</v>
          </cell>
          <cell r="H392">
            <v>0</v>
          </cell>
          <cell r="I392">
            <v>0.68446011845025234</v>
          </cell>
          <cell r="J392">
            <v>44647</v>
          </cell>
          <cell r="K392">
            <v>3348525</v>
          </cell>
          <cell r="L392">
            <v>7216.1939999999995</v>
          </cell>
          <cell r="M392">
            <v>148710.19399999999</v>
          </cell>
          <cell r="N392">
            <v>101786.197</v>
          </cell>
          <cell r="O392">
            <v>46923.996999999988</v>
          </cell>
        </row>
        <row r="393">
          <cell r="B393" t="str">
            <v>Estufa 1 (Arrendamiento)</v>
          </cell>
          <cell r="C393" t="str">
            <v>- De dos puestos
- Lámina esmaltada
- Eléctrica
- Con perilla para graduar mínimo 3 niveles de calor</v>
          </cell>
          <cell r="D393" t="str">
            <v>Unidad</v>
          </cell>
          <cell r="E393">
            <v>20</v>
          </cell>
          <cell r="F393">
            <v>25669</v>
          </cell>
          <cell r="G393">
            <v>7048</v>
          </cell>
          <cell r="H393">
            <v>1</v>
          </cell>
          <cell r="I393">
            <v>1</v>
          </cell>
          <cell r="J393">
            <v>0</v>
          </cell>
          <cell r="K393">
            <v>0</v>
          </cell>
          <cell r="L393">
            <v>1309.1189999999999</v>
          </cell>
          <cell r="M393">
            <v>26978.118999999999</v>
          </cell>
          <cell r="N393">
            <v>26978.118999999999</v>
          </cell>
          <cell r="O393">
            <v>0</v>
          </cell>
        </row>
        <row r="394">
          <cell r="B394" t="str">
            <v>Estufa 1 (Compra)</v>
          </cell>
          <cell r="C394" t="str">
            <v>- De dos puestos
- Lámina esmaltada
- Eléctrica
- Con perilla para graduar mínimo 3 niveles de calor</v>
          </cell>
          <cell r="D394" t="str">
            <v>Unidad</v>
          </cell>
          <cell r="E394">
            <v>0</v>
          </cell>
          <cell r="F394">
            <v>0</v>
          </cell>
          <cell r="G394">
            <v>0</v>
          </cell>
          <cell r="H394">
            <v>0</v>
          </cell>
          <cell r="I394">
            <v>0</v>
          </cell>
          <cell r="J394">
            <v>0</v>
          </cell>
          <cell r="K394">
            <v>0</v>
          </cell>
          <cell r="L394">
            <v>0</v>
          </cell>
          <cell r="M394">
            <v>0</v>
          </cell>
          <cell r="N394">
            <v>0</v>
          </cell>
          <cell r="O394">
            <v>0</v>
          </cell>
        </row>
        <row r="395">
          <cell r="B395" t="str">
            <v>Estufa 2 (Arrendamiento)</v>
          </cell>
          <cell r="C395" t="str">
            <v>- De dos puestos
- Lámina esmaltada- A gas
- Con perilla y quemador para graduar la llama
- Con parrilla</v>
          </cell>
          <cell r="D395" t="str">
            <v>Unidad</v>
          </cell>
          <cell r="E395">
            <v>0</v>
          </cell>
          <cell r="F395">
            <v>0</v>
          </cell>
          <cell r="G395">
            <v>0</v>
          </cell>
          <cell r="H395">
            <v>0</v>
          </cell>
          <cell r="I395">
            <v>0</v>
          </cell>
          <cell r="J395">
            <v>0</v>
          </cell>
          <cell r="K395">
            <v>0</v>
          </cell>
          <cell r="L395">
            <v>0</v>
          </cell>
          <cell r="M395">
            <v>0</v>
          </cell>
          <cell r="N395">
            <v>0</v>
          </cell>
          <cell r="O395">
            <v>0</v>
          </cell>
        </row>
        <row r="396">
          <cell r="B396" t="str">
            <v>Estufa 2 (Compra)</v>
          </cell>
          <cell r="C396" t="str">
            <v>- De dos puestos
- Lámina esmaltada
- A gas
- Con perilla y quemador para graduar la llama
- Con parrilla</v>
          </cell>
          <cell r="D396" t="str">
            <v>Unidad</v>
          </cell>
          <cell r="E396">
            <v>0</v>
          </cell>
          <cell r="F396">
            <v>0</v>
          </cell>
          <cell r="G396">
            <v>0</v>
          </cell>
          <cell r="H396">
            <v>0</v>
          </cell>
          <cell r="I396">
            <v>0</v>
          </cell>
          <cell r="J396">
            <v>0</v>
          </cell>
          <cell r="K396">
            <v>0</v>
          </cell>
          <cell r="L396">
            <v>0</v>
          </cell>
          <cell r="M396">
            <v>0</v>
          </cell>
          <cell r="N396">
            <v>0</v>
          </cell>
          <cell r="O396">
            <v>0</v>
          </cell>
        </row>
        <row r="397">
          <cell r="B397" t="str">
            <v>Extensión eléctrica 1 (Compra)</v>
          </cell>
          <cell r="C397" t="str">
            <v>- De mínimo 25 metros de longitud 
- Tipo industrial
- Recubierta en plástico PVC
- Con clavijas
- Calibre 12</v>
          </cell>
          <cell r="D397" t="str">
            <v>Unidad</v>
          </cell>
          <cell r="E397">
            <v>0</v>
          </cell>
          <cell r="F397">
            <v>0</v>
          </cell>
          <cell r="G397">
            <v>0</v>
          </cell>
          <cell r="H397">
            <v>0</v>
          </cell>
          <cell r="I397">
            <v>0</v>
          </cell>
          <cell r="J397">
            <v>0</v>
          </cell>
          <cell r="K397">
            <v>0</v>
          </cell>
          <cell r="L397">
            <v>0</v>
          </cell>
          <cell r="M397">
            <v>0</v>
          </cell>
          <cell r="N397">
            <v>0</v>
          </cell>
          <cell r="O397">
            <v>0</v>
          </cell>
        </row>
        <row r="398">
          <cell r="B398" t="str">
            <v>Extensión eléctrica 1 (Arrendamiento)</v>
          </cell>
          <cell r="C398" t="str">
            <v>- De mínimo 25 metros de longitud 
- Tipo industrial
- Recubierta en plástico PVC
- Con clavijas
- Calibre 12</v>
          </cell>
          <cell r="D398" t="str">
            <v>Unidad</v>
          </cell>
          <cell r="E398">
            <v>0</v>
          </cell>
          <cell r="F398">
            <v>0</v>
          </cell>
          <cell r="G398">
            <v>0</v>
          </cell>
          <cell r="H398">
            <v>0</v>
          </cell>
          <cell r="I398">
            <v>0</v>
          </cell>
          <cell r="J398">
            <v>0</v>
          </cell>
          <cell r="K398">
            <v>0</v>
          </cell>
          <cell r="L398">
            <v>0</v>
          </cell>
          <cell r="M398">
            <v>0</v>
          </cell>
          <cell r="N398">
            <v>0</v>
          </cell>
          <cell r="O398">
            <v>0</v>
          </cell>
        </row>
        <row r="399">
          <cell r="B399" t="str">
            <v>Extensión eléctrica 2 (Compra)</v>
          </cell>
          <cell r="C399" t="str">
            <v>- De mínimo 30 metros de longitud
- Recubierta en plástico PVC
- Con clavijas
- Tipo industrial
- Calibre 12</v>
          </cell>
          <cell r="D399" t="str">
            <v>Unidad</v>
          </cell>
          <cell r="E399">
            <v>0</v>
          </cell>
          <cell r="F399">
            <v>0</v>
          </cell>
          <cell r="G399">
            <v>0</v>
          </cell>
          <cell r="H399">
            <v>0</v>
          </cell>
          <cell r="I399">
            <v>0</v>
          </cell>
          <cell r="J399">
            <v>0</v>
          </cell>
          <cell r="K399">
            <v>0</v>
          </cell>
          <cell r="L399">
            <v>0</v>
          </cell>
          <cell r="M399">
            <v>0</v>
          </cell>
          <cell r="N399">
            <v>0</v>
          </cell>
          <cell r="O399">
            <v>0</v>
          </cell>
        </row>
        <row r="400">
          <cell r="B400" t="str">
            <v>Extensión eléctrica 2 (Arrendamiento)</v>
          </cell>
          <cell r="C400" t="str">
            <v>- De mínimo 30 metros de longitud
- Recubierta en plástico PVC
- Con clavijas
- Tipo industrial
- Calibre 12</v>
          </cell>
          <cell r="D400" t="str">
            <v>Unidad</v>
          </cell>
          <cell r="E400">
            <v>23</v>
          </cell>
          <cell r="F400">
            <v>62068</v>
          </cell>
          <cell r="G400">
            <v>5293</v>
          </cell>
          <cell r="H400">
            <v>0</v>
          </cell>
          <cell r="I400">
            <v>0.91472256235096994</v>
          </cell>
          <cell r="J400">
            <v>5293</v>
          </cell>
          <cell r="K400">
            <v>121739</v>
          </cell>
          <cell r="L400">
            <v>3165.4679999999998</v>
          </cell>
          <cell r="M400">
            <v>65233.468000000001</v>
          </cell>
          <cell r="N400">
            <v>59670.525000000001</v>
          </cell>
          <cell r="O400">
            <v>5562.9429999999993</v>
          </cell>
        </row>
        <row r="401">
          <cell r="B401" t="str">
            <v>Aspiradora 1 (Arrendamiento)</v>
          </cell>
          <cell r="C401" t="str">
            <v>- De uso industrial para aspirado en seco y húmedo
- Motor con potencia 1200 w y 1400 w
- Capacidad entre 15 y 20 litros
- Cable de potencia con longitud mínima de 5m
- Accesorios mínimos: manguera puntera, 2 tubos para extensión, cepillos para tapizados</v>
          </cell>
          <cell r="D401" t="str">
            <v>Unidad</v>
          </cell>
          <cell r="E401">
            <v>0</v>
          </cell>
          <cell r="F401">
            <v>0</v>
          </cell>
          <cell r="G401">
            <v>0</v>
          </cell>
          <cell r="H401">
            <v>0</v>
          </cell>
          <cell r="I401">
            <v>0</v>
          </cell>
          <cell r="J401">
            <v>0</v>
          </cell>
          <cell r="K401">
            <v>0</v>
          </cell>
          <cell r="L401">
            <v>0</v>
          </cell>
          <cell r="M401">
            <v>0</v>
          </cell>
          <cell r="N401">
            <v>0</v>
          </cell>
          <cell r="O401">
            <v>0</v>
          </cell>
        </row>
        <row r="402">
          <cell r="B402" t="str">
            <v>Aspiradora 2 (Arrendamiento)</v>
          </cell>
          <cell r="C402" t="str">
            <v>- De uso industrial para aspirado en seco y húmedo
- Motor con potencia entre 1200 w y 1400 w
- Capacidad entre 45 y 55 litros
- Cable de potencia con longitud mínima de 5m
- Accesorios mínimos: manguera puntera, 2 tubos para extensión, cepillos para tapizados</v>
          </cell>
          <cell r="D402" t="str">
            <v>Unidad</v>
          </cell>
          <cell r="E402">
            <v>19</v>
          </cell>
          <cell r="F402">
            <v>141494</v>
          </cell>
          <cell r="G402">
            <v>41484</v>
          </cell>
          <cell r="H402">
            <v>0</v>
          </cell>
          <cell r="I402">
            <v>0.70681442322642662</v>
          </cell>
          <cell r="J402">
            <v>41484</v>
          </cell>
          <cell r="K402">
            <v>788196</v>
          </cell>
          <cell r="L402">
            <v>7216.1939999999995</v>
          </cell>
          <cell r="M402">
            <v>148710.19399999999</v>
          </cell>
          <cell r="N402">
            <v>105110.51</v>
          </cell>
          <cell r="O402">
            <v>43599.683999999994</v>
          </cell>
        </row>
        <row r="403">
          <cell r="B403" t="str">
            <v>Lavabrilladora de pisos 1 (Arrendamiento)</v>
          </cell>
          <cell r="C403" t="str">
            <v>- De uso industrial
- Motores con potencia mínima de 1,5 hp y velocidad mínima de 175 rpm.
- Con manijas dobles
- Con interruptor de apagado de seguridad
- Diámetro mínimo de 16"
- Cable de potencia con longitud mínima de 8m
- Accesorios mínimos portapad, cepillo suave y duro</v>
          </cell>
          <cell r="D403" t="str">
            <v xml:space="preserve">Unidad </v>
          </cell>
          <cell r="E403">
            <v>20</v>
          </cell>
          <cell r="F403">
            <v>162008</v>
          </cell>
          <cell r="G403">
            <v>78900</v>
          </cell>
          <cell r="H403">
            <v>0</v>
          </cell>
          <cell r="I403">
            <v>0.51298701298701299</v>
          </cell>
          <cell r="J403">
            <v>78900</v>
          </cell>
          <cell r="K403">
            <v>1578000</v>
          </cell>
          <cell r="L403">
            <v>8262.4079999999994</v>
          </cell>
          <cell r="M403">
            <v>170270.408</v>
          </cell>
          <cell r="N403">
            <v>87346.508000000002</v>
          </cell>
          <cell r="O403">
            <v>82923.899999999994</v>
          </cell>
        </row>
        <row r="404">
          <cell r="B404" t="str">
            <v>Lavabrilladora de pisos 2 (Arrendamiento)</v>
          </cell>
          <cell r="C404" t="str">
            <v>- De uso industrial
- Motores con potencia mínima de 1,5 hp y velocidad mínima de 175 rpm.
- Con manijas dobles
- Con interruptor de apagado de seguridad
- Diámetro mínimo de 20"
- Cable de potencia con longitud mínima de 8m
- Accesorios mínimos portapad, cepillo suave y duro</v>
          </cell>
          <cell r="D404" t="str">
            <v>Unidad</v>
          </cell>
          <cell r="E404">
            <v>0</v>
          </cell>
          <cell r="F404">
            <v>0</v>
          </cell>
          <cell r="G404">
            <v>0</v>
          </cell>
          <cell r="H404">
            <v>0</v>
          </cell>
          <cell r="I404">
            <v>0</v>
          </cell>
          <cell r="J404">
            <v>0</v>
          </cell>
          <cell r="K404">
            <v>0</v>
          </cell>
          <cell r="L404">
            <v>0</v>
          </cell>
          <cell r="M404">
            <v>0</v>
          </cell>
          <cell r="N404">
            <v>0</v>
          </cell>
          <cell r="O404">
            <v>0</v>
          </cell>
        </row>
        <row r="405">
          <cell r="B405" t="str">
            <v>Brilladora de alta revolución (Arrendamiento)</v>
          </cell>
          <cell r="C405" t="str">
            <v>- De uso industrial
- Motores con potencia mínima de 1,5 hp y velocidad mínima de 1500 rpm.
- Con manijas dobles
- Con interruptor de apagado de seguridad
- Diámetro mínimo de 20"
- Cable de potencia con longitud mínima de 8m
- Accesorios mínimos - portapad</v>
          </cell>
          <cell r="D405" t="str">
            <v>Unidad</v>
          </cell>
          <cell r="E405">
            <v>3</v>
          </cell>
          <cell r="F405">
            <v>177788</v>
          </cell>
          <cell r="G405">
            <v>98152</v>
          </cell>
          <cell r="H405">
            <v>0</v>
          </cell>
          <cell r="I405">
            <v>0.44792674421220779</v>
          </cell>
          <cell r="J405">
            <v>98152</v>
          </cell>
          <cell r="K405">
            <v>294456</v>
          </cell>
          <cell r="L405">
            <v>9067.1880000000001</v>
          </cell>
          <cell r="M405">
            <v>186855.18799999999</v>
          </cell>
          <cell r="N405">
            <v>83697.436000000002</v>
          </cell>
          <cell r="O405">
            <v>103157.75199999999</v>
          </cell>
        </row>
        <row r="406">
          <cell r="B406" t="str">
            <v>Lavadora de alfombras y tapetes 1 (Arrendamiento)</v>
          </cell>
          <cell r="C406" t="str">
            <v xml:space="preserve"> - Motor con potencia de mínimo 1100 w y velocidad mínima de 175 revoluciones por minuto.
- Capacidad mínima de 5 litros
- Cable de potencia con longitud mínima de 8m
- Para lavar en seco o a vapor
- Diámetro mínimo de 16"</v>
          </cell>
          <cell r="D406" t="str">
            <v>Unidad</v>
          </cell>
          <cell r="E406">
            <v>0</v>
          </cell>
          <cell r="F406">
            <v>0</v>
          </cell>
          <cell r="G406">
            <v>0</v>
          </cell>
          <cell r="H406">
            <v>0</v>
          </cell>
          <cell r="I406">
            <v>0</v>
          </cell>
          <cell r="J406">
            <v>0</v>
          </cell>
          <cell r="K406">
            <v>0</v>
          </cell>
          <cell r="L406">
            <v>0</v>
          </cell>
          <cell r="M406">
            <v>0</v>
          </cell>
          <cell r="N406">
            <v>0</v>
          </cell>
          <cell r="O406">
            <v>0</v>
          </cell>
        </row>
        <row r="407">
          <cell r="B407" t="str">
            <v>Lavadora de alfombras y tapetes 2 (Arrendamiento)</v>
          </cell>
          <cell r="C407" t="str">
            <v xml:space="preserve"> - Motor con potencia de mínimo 1100 w y velocidad mínima de 175 revoluciones por minuto.
- Capacidad mínima de 5 litros
- Cable de potencia con longitud mínima de 8m
- Para lavar en seco o a vapor
- Diámetro mínimo de 20"</v>
          </cell>
          <cell r="D407" t="str">
            <v>Unidad</v>
          </cell>
          <cell r="E407">
            <v>0</v>
          </cell>
          <cell r="F407">
            <v>0</v>
          </cell>
          <cell r="G407">
            <v>0</v>
          </cell>
          <cell r="H407">
            <v>0</v>
          </cell>
          <cell r="I407">
            <v>0</v>
          </cell>
          <cell r="J407">
            <v>0</v>
          </cell>
          <cell r="K407">
            <v>0</v>
          </cell>
          <cell r="L407">
            <v>0</v>
          </cell>
          <cell r="M407">
            <v>0</v>
          </cell>
          <cell r="N407">
            <v>0</v>
          </cell>
          <cell r="O407">
            <v>0</v>
          </cell>
        </row>
        <row r="408">
          <cell r="B408" t="str">
            <v>Hidrolavadora Industrial (Arrendamiento)</v>
          </cell>
          <cell r="C408" t="str">
            <v xml:space="preserve"> - Motor eléctrico y potencia de mínimo 1.5 Kw - 1.450 RPM y entre 2.5 HP y 3.5 HP.
 - Presión de salida de agua entre 900 psi y 1900 psi.
 - Con ruedas</v>
          </cell>
          <cell r="D408" t="str">
            <v>Unidad</v>
          </cell>
          <cell r="E408">
            <v>13</v>
          </cell>
          <cell r="F408">
            <v>155170</v>
          </cell>
          <cell r="G408">
            <v>52600</v>
          </cell>
          <cell r="H408">
            <v>0</v>
          </cell>
          <cell r="I408">
            <v>0.66101694915254239</v>
          </cell>
          <cell r="J408">
            <v>52600</v>
          </cell>
          <cell r="K408">
            <v>683800</v>
          </cell>
          <cell r="L408">
            <v>7913.6699999999992</v>
          </cell>
          <cell r="M408">
            <v>163083.67000000001</v>
          </cell>
          <cell r="N408">
            <v>107801.07</v>
          </cell>
          <cell r="O408">
            <v>55282.600000000006</v>
          </cell>
        </row>
        <row r="409">
          <cell r="B409" t="str">
            <v>Sopladora de hojas (Arrendamiento)</v>
          </cell>
          <cell r="C409" t="str">
            <v xml:space="preserve"> - Potenciado por motor a gasolina o eléctrico inalámbrico
 - Caudal mínimo de 380 cfm / 645m3/h
 - Autonomía mínima de 30 minutos
 - Intensidad máxima de sonido de 100dB
 - Incluye combustible para su funcionamiento (Máximo 3 galones)</v>
          </cell>
          <cell r="D409" t="str">
            <v>Unidad</v>
          </cell>
          <cell r="E409">
            <v>1</v>
          </cell>
          <cell r="F409">
            <v>128344</v>
          </cell>
          <cell r="G409">
            <v>25292</v>
          </cell>
          <cell r="H409">
            <v>0</v>
          </cell>
          <cell r="I409">
            <v>0.80293585987658167</v>
          </cell>
          <cell r="J409">
            <v>25292</v>
          </cell>
          <cell r="K409">
            <v>25292</v>
          </cell>
          <cell r="L409">
            <v>6545.5439999999999</v>
          </cell>
          <cell r="M409">
            <v>134889.54399999999</v>
          </cell>
          <cell r="N409">
            <v>108307.65199999999</v>
          </cell>
          <cell r="O409">
            <v>26581.892000000007</v>
          </cell>
        </row>
        <row r="410">
          <cell r="B410" t="str">
            <v>Sonda para inodoro (Arrendamiento)</v>
          </cell>
          <cell r="C410" t="str">
            <v>-Sonda de mínimo 3''
-Cubierta de vinilo para proteger la porcelana.
- Cable de 1/2" (12,7 mm) con núcleo interno recubierto por compresión, resistente al retorcimiento.
-Mangos grandes y de diseño ergonómico.
-Funcional en inodoros ahorradores de agua
-Peso entre 1,9 kg y 2,5 kg</v>
          </cell>
          <cell r="D410" t="str">
            <v>Unidad</v>
          </cell>
          <cell r="E410">
            <v>0</v>
          </cell>
          <cell r="F410">
            <v>0</v>
          </cell>
          <cell r="G410">
            <v>0</v>
          </cell>
          <cell r="H410">
            <v>0</v>
          </cell>
          <cell r="I410">
            <v>0</v>
          </cell>
          <cell r="J410">
            <v>0</v>
          </cell>
          <cell r="K410">
            <v>0</v>
          </cell>
          <cell r="L410">
            <v>0</v>
          </cell>
          <cell r="M410">
            <v>0</v>
          </cell>
          <cell r="N410">
            <v>0</v>
          </cell>
          <cell r="O410">
            <v>0</v>
          </cell>
        </row>
        <row r="411">
          <cell r="B411" t="str">
            <v>Sonda para inodoro (Compra)</v>
          </cell>
          <cell r="C411" t="str">
            <v>-Sonda de mínimo 3''
-Cubierta de vinilo para proteger la porcelana.
- Cable de 1/2" (12,7 mm) con núcleo interno recubierto por compresión, resistente al retorcimiento.
-Mangos grandes y de diseño ergonómico.
-Funcional en inodoros ahorradores de agua
-Peso entre 1,9 kg y 2,5 kg</v>
          </cell>
          <cell r="D411" t="str">
            <v>Unidad</v>
          </cell>
          <cell r="E411">
            <v>0</v>
          </cell>
          <cell r="F411">
            <v>0</v>
          </cell>
          <cell r="G411">
            <v>0</v>
          </cell>
          <cell r="H411">
            <v>0</v>
          </cell>
          <cell r="I411">
            <v>0</v>
          </cell>
          <cell r="J411">
            <v>0</v>
          </cell>
          <cell r="K411">
            <v>0</v>
          </cell>
          <cell r="L411">
            <v>0</v>
          </cell>
          <cell r="M411">
            <v>0</v>
          </cell>
          <cell r="N411">
            <v>0</v>
          </cell>
          <cell r="O411">
            <v>0</v>
          </cell>
        </row>
        <row r="412">
          <cell r="B412" t="str">
            <v>Girador Manual (Arrendamiento)</v>
          </cell>
          <cell r="C412" t="str">
            <v>-Para destapar desagües entre 1/2" a 1 1/2".
-Collar antideslizante que agarra y suelta el cable
-Cable de núcleo hueco de mpinimo 5/16" × 25 pies (7,6 m) con barrena de cabeza de bulbo.
-Tambor rotativo de plástico moldeado
-Diseño de tambor abierto que permite el acceso al cable</v>
          </cell>
          <cell r="D412" t="str">
            <v>Unidad</v>
          </cell>
          <cell r="E412">
            <v>0</v>
          </cell>
          <cell r="F412">
            <v>0</v>
          </cell>
          <cell r="G412">
            <v>0</v>
          </cell>
          <cell r="H412">
            <v>0</v>
          </cell>
          <cell r="I412">
            <v>0</v>
          </cell>
          <cell r="J412">
            <v>0</v>
          </cell>
          <cell r="K412">
            <v>0</v>
          </cell>
          <cell r="L412">
            <v>0</v>
          </cell>
          <cell r="M412">
            <v>0</v>
          </cell>
          <cell r="N412">
            <v>0</v>
          </cell>
          <cell r="O412">
            <v>0</v>
          </cell>
        </row>
        <row r="413">
          <cell r="B413" t="str">
            <v>Girador Manual (Compra)</v>
          </cell>
          <cell r="C413" t="str">
            <v>-Para destapar desagües entre 1/2" a 1 1/2".
-Collar antideslizante que agarra y suelta el cable
-Cable de núcleo hueco de mpinimo 5/16" × 25 pies (7,6 m) con barrena de cabeza de bulbo.
-Tambor rotativo de plástico moldeado
-Diseño de tambor abierto que permite el acceso al cable</v>
          </cell>
          <cell r="D413" t="str">
            <v>Unidad</v>
          </cell>
          <cell r="E413">
            <v>0</v>
          </cell>
          <cell r="F413">
            <v>0</v>
          </cell>
          <cell r="G413">
            <v>0</v>
          </cell>
          <cell r="H413">
            <v>0</v>
          </cell>
          <cell r="I413">
            <v>0</v>
          </cell>
          <cell r="J413">
            <v>0</v>
          </cell>
          <cell r="K413">
            <v>0</v>
          </cell>
          <cell r="L413">
            <v>0</v>
          </cell>
          <cell r="M413">
            <v>0</v>
          </cell>
          <cell r="N413">
            <v>0</v>
          </cell>
          <cell r="O413">
            <v>0</v>
          </cell>
        </row>
        <row r="414">
          <cell r="B414" t="str">
            <v>Sonda para fregaderos (Arrendamiento)</v>
          </cell>
          <cell r="C414" t="str">
            <v>Sonda Eléctrica para desagües de 3/4” (20 mm) a 2-1/2” (64 mm)
-El equipo propulsor de velocidad variable gira el cable a 0-600 RPM.
-Capacidad del tambor: 50 pies (15 m) de 5⁄16" (8 mm) o 35 pies (11 m) de 3⁄8" (10 mm).
-El núcleo interior revestido de vinilo impide que se oxide por contacto con el resorte.</v>
          </cell>
          <cell r="D414" t="str">
            <v>Unidad</v>
          </cell>
          <cell r="E414">
            <v>0</v>
          </cell>
          <cell r="F414">
            <v>0</v>
          </cell>
          <cell r="G414">
            <v>0</v>
          </cell>
          <cell r="H414">
            <v>0</v>
          </cell>
          <cell r="I414">
            <v>0</v>
          </cell>
          <cell r="J414">
            <v>0</v>
          </cell>
          <cell r="K414">
            <v>0</v>
          </cell>
          <cell r="L414">
            <v>0</v>
          </cell>
          <cell r="M414">
            <v>0</v>
          </cell>
          <cell r="N414">
            <v>0</v>
          </cell>
          <cell r="O414">
            <v>0</v>
          </cell>
        </row>
        <row r="415">
          <cell r="B415" t="str">
            <v>Sonda para fregaderos (Compra)</v>
          </cell>
          <cell r="C415" t="str">
            <v>Sonda Eléctrica para desagües de 3/4” (20 mm) a 2-1/2” (64 mm)
-El equipo propulsor de velocidad variable gira el cable a 0-600 RPM.
-Capacidad del tambor: 50 pies (15 m) de 5⁄16" (8 mm) o 35 pies (11 m) de 3⁄8" (10 mm).
-El núcleo interior revestido de vinilo impide que se oxide por contacto con el resorte.</v>
          </cell>
          <cell r="D415" t="str">
            <v>Unidad</v>
          </cell>
          <cell r="E415">
            <v>0</v>
          </cell>
          <cell r="F415">
            <v>0</v>
          </cell>
          <cell r="G415">
            <v>0</v>
          </cell>
          <cell r="H415">
            <v>0</v>
          </cell>
          <cell r="I415">
            <v>0</v>
          </cell>
          <cell r="J415">
            <v>0</v>
          </cell>
          <cell r="K415">
            <v>0</v>
          </cell>
          <cell r="L415">
            <v>0</v>
          </cell>
          <cell r="M415">
            <v>0</v>
          </cell>
          <cell r="N415">
            <v>0</v>
          </cell>
          <cell r="O415">
            <v>0</v>
          </cell>
        </row>
        <row r="416">
          <cell r="B416" t="str">
            <v>Cortadora de cesped  (Arrendamiento)</v>
          </cell>
          <cell r="C416" t="str">
            <v>-Cuenta con una cuchilla de 32 a 38 cm.
-Chasis de acero con recolector o salida lateral.
-Ruedas de 135 mm
-Con  potencia entre 5 hp a 25 hp
-Ancho de corte de 18 a 183 cm.
-Peso entre 10 kg y 13,5 kg
-Tiene manilla de seguridad
-Incluye combustible para su funcionamiento (Máximo 3 galones)</v>
          </cell>
          <cell r="D416" t="str">
            <v>Unidad</v>
          </cell>
          <cell r="E416">
            <v>1</v>
          </cell>
          <cell r="F416">
            <v>195672</v>
          </cell>
          <cell r="G416">
            <v>45871</v>
          </cell>
          <cell r="H416">
            <v>0</v>
          </cell>
          <cell r="I416">
            <v>0.76557197759515927</v>
          </cell>
          <cell r="J416">
            <v>45871</v>
          </cell>
          <cell r="K416">
            <v>45871</v>
          </cell>
          <cell r="L416">
            <v>9979.271999999999</v>
          </cell>
          <cell r="M416">
            <v>205651.272</v>
          </cell>
          <cell r="N416">
            <v>157440.851</v>
          </cell>
          <cell r="O416">
            <v>48210.421000000002</v>
          </cell>
        </row>
        <row r="417">
          <cell r="B417" t="str">
            <v>Cortadora de cesped  (Compra)</v>
          </cell>
          <cell r="C417" t="str">
            <v>-Cuenta con una cuchilla de 32 a 38 cm.
-Chasis de acero con recolector o salida lateral.
-Ruedas de 135 mm
-Con  potencia entre 5 hp a 25 hp
-Ancho de corte de 18 a 183 cm.
-Peso entre 10 kg y 13,5 kg
-Tiene manilla de seguridad</v>
          </cell>
          <cell r="D417" t="str">
            <v>Unidad</v>
          </cell>
          <cell r="E417">
            <v>0</v>
          </cell>
          <cell r="F417">
            <v>0</v>
          </cell>
          <cell r="G417">
            <v>0</v>
          </cell>
          <cell r="H417">
            <v>0</v>
          </cell>
          <cell r="I417">
            <v>0</v>
          </cell>
          <cell r="J417">
            <v>0</v>
          </cell>
          <cell r="K417">
            <v>0</v>
          </cell>
          <cell r="L417">
            <v>0</v>
          </cell>
          <cell r="M417">
            <v>0</v>
          </cell>
          <cell r="N417">
            <v>0</v>
          </cell>
          <cell r="O417">
            <v>0</v>
          </cell>
        </row>
        <row r="418">
          <cell r="B418" t="str">
            <v>Guadañas (Arrendamiento)</v>
          </cell>
          <cell r="C418" t="str">
            <v xml:space="preserve"> -Guadaña de Eje Rígido
 - Viene cilindrada con apróximadamente 30 a 51,6 cm3.
-Peso promedio entre 6,5 Kg y 7,7 Kg.
-Cuchilla de 80 puntas
-Capacidad del tanque de combustible entre 0,65 Lt y 1 Lt.
-Cuenta con un sistema de arranque manual.
-Cuenta con un sistema de ignición electrónico
 - Incluye el combustible para su funcioamiento (Máximo 3 galones)</v>
          </cell>
          <cell r="D418" t="str">
            <v>Unidad</v>
          </cell>
          <cell r="E418">
            <v>1</v>
          </cell>
          <cell r="F418">
            <v>181996</v>
          </cell>
          <cell r="G418">
            <v>64698</v>
          </cell>
          <cell r="H418">
            <v>0</v>
          </cell>
          <cell r="I418">
            <v>0.6445086705202312</v>
          </cell>
          <cell r="J418">
            <v>64698</v>
          </cell>
          <cell r="K418">
            <v>64698</v>
          </cell>
          <cell r="L418">
            <v>9281.7960000000003</v>
          </cell>
          <cell r="M418">
            <v>191277.796</v>
          </cell>
          <cell r="N418">
            <v>123280.198</v>
          </cell>
          <cell r="O418">
            <v>67997.597999999998</v>
          </cell>
        </row>
      </sheetData>
      <sheetData sheetId="15"/>
      <sheetData sheetId="16"/>
      <sheetData sheetId="17"/>
      <sheetData sheetId="1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sheetName val="PLANILLA GENERAL"/>
      <sheetName val="RENUNCIAS"/>
      <sheetName val="TERMINACION CONTRATO"/>
      <sheetName val="AUSENCIAS"/>
      <sheetName val="INCAPACIDADES"/>
      <sheetName val="CALAMIDAD DOMESTICA"/>
      <sheetName val="LICENCIAS DE LUTO"/>
      <sheetName val="SUPERNUMERARIOS"/>
      <sheetName val="PLANILLA GENERAL 16 -21"/>
      <sheetName val="Hoja3"/>
      <sheetName val="BORRADOR"/>
      <sheetName val="ORDEN"/>
      <sheetName val="Hoja18"/>
      <sheetName val="PLANILLA GENERAL (2)"/>
      <sheetName val="CRUCEEE"/>
      <sheetName val="SEDES"/>
      <sheetName val="PLANILLA YEMI "/>
      <sheetName val="PLANILLA EDNA "/>
      <sheetName val="PLANILLA ALEJANDRO"/>
      <sheetName val="PLANILLA  RODRIGO"/>
      <sheetName val="ABREVIATIRAS"/>
      <sheetName val="FECHAS"/>
    </sheetNames>
    <sheetDataSet>
      <sheetData sheetId="0">
        <row r="3">
          <cell r="B3">
            <v>52751251</v>
          </cell>
          <cell r="C3" t="str">
            <v xml:space="preserve">BERNAL MUNOZ DEISY JOHANNA </v>
          </cell>
          <cell r="D3" t="str">
            <v>OPERARIO DE ASEO Y CAFETERIA</v>
          </cell>
          <cell r="E3" t="str">
            <v>23/09/2025</v>
          </cell>
          <cell r="F3" t="str">
            <v/>
          </cell>
          <cell r="G3">
            <v>1925996</v>
          </cell>
          <cell r="H3">
            <v>0</v>
          </cell>
          <cell r="I3">
            <v>0</v>
          </cell>
          <cell r="J3">
            <v>0</v>
          </cell>
          <cell r="K3">
            <v>0</v>
          </cell>
          <cell r="L3">
            <v>0</v>
          </cell>
          <cell r="M3" t="str">
            <v>3008721363</v>
          </cell>
          <cell r="N3" t="str">
            <v/>
          </cell>
          <cell r="O3" t="str">
            <v>3008721363</v>
          </cell>
        </row>
        <row r="4">
          <cell r="B4">
            <v>51907172</v>
          </cell>
          <cell r="C4" t="str">
            <v xml:space="preserve">CASAS CASAS DORIS HELENA </v>
          </cell>
          <cell r="D4" t="str">
            <v>OPERARIA DE ASEO Y CAFETERIA</v>
          </cell>
          <cell r="E4" t="str">
            <v>18/10/2025</v>
          </cell>
          <cell r="F4" t="str">
            <v/>
          </cell>
          <cell r="G4">
            <v>1750905</v>
          </cell>
          <cell r="H4">
            <v>0</v>
          </cell>
          <cell r="I4">
            <v>0</v>
          </cell>
          <cell r="J4">
            <v>0</v>
          </cell>
          <cell r="K4">
            <v>0</v>
          </cell>
          <cell r="L4">
            <v>0</v>
          </cell>
          <cell r="M4" t="str">
            <v>3202101872</v>
          </cell>
          <cell r="N4" t="str">
            <v/>
          </cell>
          <cell r="O4" t="str">
            <v>3202101872</v>
          </cell>
        </row>
        <row r="5">
          <cell r="B5">
            <v>1026279093</v>
          </cell>
          <cell r="C5" t="str">
            <v xml:space="preserve">RODRIGUEZ MATEUS NASLY JULIETH </v>
          </cell>
          <cell r="D5" t="str">
            <v>OPERARIA DE ASEO Y CAFETERIA</v>
          </cell>
          <cell r="E5" t="str">
            <v>18/10/2025</v>
          </cell>
          <cell r="F5" t="str">
            <v/>
          </cell>
          <cell r="G5">
            <v>1750905</v>
          </cell>
          <cell r="H5">
            <v>0</v>
          </cell>
          <cell r="I5">
            <v>0</v>
          </cell>
          <cell r="J5">
            <v>0</v>
          </cell>
          <cell r="K5">
            <v>0</v>
          </cell>
          <cell r="L5">
            <v>0</v>
          </cell>
          <cell r="M5" t="str">
            <v>3228841284</v>
          </cell>
          <cell r="N5" t="str">
            <v>322885004</v>
          </cell>
          <cell r="O5" t="str">
            <v>3228841284</v>
          </cell>
        </row>
        <row r="6">
          <cell r="B6">
            <v>1028860401</v>
          </cell>
          <cell r="C6" t="str">
            <v xml:space="preserve">VEGA MANFULA YEYSON YOTSUA </v>
          </cell>
          <cell r="D6" t="str">
            <v>JARDINERO</v>
          </cell>
          <cell r="E6" t="str">
            <v>18/10/2025</v>
          </cell>
          <cell r="F6" t="str">
            <v/>
          </cell>
          <cell r="G6">
            <v>1872060</v>
          </cell>
          <cell r="H6">
            <v>0</v>
          </cell>
          <cell r="I6">
            <v>0</v>
          </cell>
          <cell r="J6">
            <v>0</v>
          </cell>
          <cell r="K6">
            <v>0</v>
          </cell>
          <cell r="L6">
            <v>0</v>
          </cell>
          <cell r="M6" t="str">
            <v/>
          </cell>
          <cell r="N6" t="str">
            <v>3219731123</v>
          </cell>
          <cell r="O6" t="str">
            <v>3115389988</v>
          </cell>
        </row>
        <row r="7">
          <cell r="B7">
            <v>1022936063</v>
          </cell>
          <cell r="C7" t="str">
            <v xml:space="preserve">FAGUA ROMERO JUAN ALEJANDRO </v>
          </cell>
          <cell r="D7" t="str">
            <v>SUPERVISOR</v>
          </cell>
          <cell r="E7" t="str">
            <v>18/10/2025</v>
          </cell>
          <cell r="F7" t="str">
            <v/>
          </cell>
          <cell r="G7">
            <v>1886820</v>
          </cell>
          <cell r="H7">
            <v>182040</v>
          </cell>
          <cell r="I7">
            <v>0</v>
          </cell>
          <cell r="J7">
            <v>0</v>
          </cell>
          <cell r="K7">
            <v>127920</v>
          </cell>
          <cell r="L7">
            <v>0</v>
          </cell>
          <cell r="M7" t="str">
            <v>3057277346</v>
          </cell>
          <cell r="N7" t="str">
            <v>3125353449</v>
          </cell>
          <cell r="O7" t="str">
            <v>3057277346</v>
          </cell>
        </row>
        <row r="8">
          <cell r="B8">
            <v>1013612458</v>
          </cell>
          <cell r="C8" t="str">
            <v xml:space="preserve">TORRES GOMEZ SANDI YUSVELI </v>
          </cell>
          <cell r="D8" t="str">
            <v>OPERARIA DE ASEO Y CAFETERIA</v>
          </cell>
          <cell r="E8" t="str">
            <v>18/10/2025</v>
          </cell>
          <cell r="F8" t="str">
            <v/>
          </cell>
          <cell r="G8">
            <v>1750905</v>
          </cell>
          <cell r="H8">
            <v>0</v>
          </cell>
          <cell r="I8">
            <v>0</v>
          </cell>
          <cell r="J8">
            <v>0</v>
          </cell>
          <cell r="K8">
            <v>0</v>
          </cell>
          <cell r="L8">
            <v>0</v>
          </cell>
          <cell r="M8" t="str">
            <v/>
          </cell>
          <cell r="N8" t="str">
            <v>3022858385</v>
          </cell>
          <cell r="O8" t="str">
            <v>3209567199</v>
          </cell>
        </row>
        <row r="9">
          <cell r="B9">
            <v>1073599974</v>
          </cell>
          <cell r="C9" t="str">
            <v xml:space="preserve">GARZON LUGO EDWARD MIGUEL </v>
          </cell>
          <cell r="D9" t="str">
            <v>OPERARIO DE MANTENIMIENTO</v>
          </cell>
          <cell r="E9" t="str">
            <v>18/10/2025</v>
          </cell>
          <cell r="F9" t="str">
            <v/>
          </cell>
          <cell r="G9">
            <v>1872060</v>
          </cell>
          <cell r="H9">
            <v>0</v>
          </cell>
          <cell r="I9">
            <v>0</v>
          </cell>
          <cell r="J9">
            <v>0</v>
          </cell>
          <cell r="K9">
            <v>0</v>
          </cell>
          <cell r="L9">
            <v>0</v>
          </cell>
          <cell r="M9" t="str">
            <v>3219008529</v>
          </cell>
          <cell r="N9" t="str">
            <v>3123781490</v>
          </cell>
          <cell r="O9" t="str">
            <v>3219008529</v>
          </cell>
        </row>
        <row r="10">
          <cell r="B10">
            <v>52381579</v>
          </cell>
          <cell r="C10" t="str">
            <v xml:space="preserve">ALTURO FLORIAN JACQUELINE  </v>
          </cell>
          <cell r="D10" t="str">
            <v>OPERARIA DE ASEO Y CAFETERIA</v>
          </cell>
          <cell r="E10" t="str">
            <v>18/10/2025</v>
          </cell>
          <cell r="F10" t="str">
            <v/>
          </cell>
          <cell r="G10">
            <v>1750905</v>
          </cell>
          <cell r="H10">
            <v>0</v>
          </cell>
          <cell r="I10">
            <v>0</v>
          </cell>
          <cell r="J10">
            <v>0</v>
          </cell>
          <cell r="K10">
            <v>0</v>
          </cell>
          <cell r="L10">
            <v>0</v>
          </cell>
          <cell r="M10" t="str">
            <v>3114788014</v>
          </cell>
          <cell r="N10" t="str">
            <v>3002365780</v>
          </cell>
          <cell r="O10" t="str">
            <v>3114788014</v>
          </cell>
        </row>
        <row r="11">
          <cell r="B11">
            <v>52927563</v>
          </cell>
          <cell r="C11" t="str">
            <v xml:space="preserve">BAENA JIMENEZ GINA ISABEL </v>
          </cell>
          <cell r="D11" t="str">
            <v>OPERARIA DE ASEO Y CAFETERIA</v>
          </cell>
          <cell r="E11" t="str">
            <v>18/10/2025</v>
          </cell>
          <cell r="F11" t="str">
            <v/>
          </cell>
          <cell r="G11">
            <v>1750905</v>
          </cell>
          <cell r="H11">
            <v>0</v>
          </cell>
          <cell r="I11">
            <v>0</v>
          </cell>
          <cell r="J11">
            <v>0</v>
          </cell>
          <cell r="K11">
            <v>0</v>
          </cell>
          <cell r="L11">
            <v>0</v>
          </cell>
          <cell r="M11" t="str">
            <v>3223120404</v>
          </cell>
          <cell r="N11" t="str">
            <v>315734226</v>
          </cell>
          <cell r="O11" t="str">
            <v>3223120404</v>
          </cell>
        </row>
        <row r="12">
          <cell r="B12">
            <v>79453613</v>
          </cell>
          <cell r="C12" t="str">
            <v xml:space="preserve">MEDINA ANGEL GILBERTO  </v>
          </cell>
          <cell r="D12" t="str">
            <v>OPERARIO DE MANTENIMIENTO</v>
          </cell>
          <cell r="E12" t="str">
            <v>18/10/2025</v>
          </cell>
          <cell r="F12" t="str">
            <v/>
          </cell>
          <cell r="G12">
            <v>1872060</v>
          </cell>
          <cell r="H12">
            <v>0</v>
          </cell>
          <cell r="I12">
            <v>0</v>
          </cell>
          <cell r="J12">
            <v>0</v>
          </cell>
          <cell r="K12">
            <v>0</v>
          </cell>
          <cell r="L12">
            <v>0</v>
          </cell>
          <cell r="M12" t="str">
            <v>3123921438</v>
          </cell>
          <cell r="N12" t="str">
            <v/>
          </cell>
          <cell r="O12" t="str">
            <v>3123921438</v>
          </cell>
        </row>
        <row r="13">
          <cell r="B13">
            <v>52550381</v>
          </cell>
          <cell r="C13" t="str">
            <v xml:space="preserve">GUZMAN RODRIGUEZ AINED LORENA </v>
          </cell>
          <cell r="D13" t="str">
            <v>OPERARIA DE ASEO Y CAFETERIA</v>
          </cell>
          <cell r="E13" t="str">
            <v>18/10/2025</v>
          </cell>
          <cell r="F13" t="str">
            <v/>
          </cell>
          <cell r="G13">
            <v>1750905</v>
          </cell>
          <cell r="H13">
            <v>0</v>
          </cell>
          <cell r="I13">
            <v>0</v>
          </cell>
          <cell r="J13">
            <v>0</v>
          </cell>
          <cell r="K13">
            <v>0</v>
          </cell>
          <cell r="L13">
            <v>0</v>
          </cell>
          <cell r="M13" t="str">
            <v>3143404528</v>
          </cell>
          <cell r="N13" t="str">
            <v>3229420050</v>
          </cell>
          <cell r="O13" t="str">
            <v>3143404528</v>
          </cell>
        </row>
        <row r="14">
          <cell r="B14">
            <v>1065626457</v>
          </cell>
          <cell r="C14" t="str">
            <v xml:space="preserve">ROMERO SERRANO JAIME LUIS </v>
          </cell>
          <cell r="D14" t="str">
            <v>OPERARIO DE MANTENIMIENTO</v>
          </cell>
          <cell r="E14" t="str">
            <v>18/10/2025</v>
          </cell>
          <cell r="F14" t="str">
            <v/>
          </cell>
          <cell r="G14">
            <v>1872060</v>
          </cell>
          <cell r="H14">
            <v>0</v>
          </cell>
          <cell r="I14">
            <v>0</v>
          </cell>
          <cell r="J14">
            <v>0</v>
          </cell>
          <cell r="K14">
            <v>0</v>
          </cell>
          <cell r="L14">
            <v>0</v>
          </cell>
          <cell r="M14" t="str">
            <v>3206857725</v>
          </cell>
          <cell r="N14" t="str">
            <v/>
          </cell>
          <cell r="O14" t="str">
            <v>3206857725</v>
          </cell>
        </row>
        <row r="15">
          <cell r="B15">
            <v>52038499</v>
          </cell>
          <cell r="C15" t="str">
            <v xml:space="preserve">GUERRERO RINCON ROSA MARIA </v>
          </cell>
          <cell r="D15" t="str">
            <v>OPERARIA DE ASEO Y CAFETERIA</v>
          </cell>
          <cell r="E15" t="str">
            <v>18/10/2025</v>
          </cell>
          <cell r="F15" t="str">
            <v/>
          </cell>
          <cell r="G15">
            <v>1750905</v>
          </cell>
          <cell r="H15">
            <v>0</v>
          </cell>
          <cell r="I15">
            <v>0</v>
          </cell>
          <cell r="J15">
            <v>0</v>
          </cell>
          <cell r="K15">
            <v>0</v>
          </cell>
          <cell r="L15">
            <v>0</v>
          </cell>
          <cell r="M15" t="str">
            <v>3004534624</v>
          </cell>
          <cell r="N15" t="str">
            <v>3002420072</v>
          </cell>
          <cell r="O15" t="str">
            <v>3004534624</v>
          </cell>
        </row>
        <row r="16">
          <cell r="B16">
            <v>1235250628</v>
          </cell>
          <cell r="C16" t="str">
            <v xml:space="preserve">JIMENEZ RIGOBERTO ANTONIO  </v>
          </cell>
          <cell r="D16" t="str">
            <v>OPERARIO DE MANTENIMIENTO</v>
          </cell>
          <cell r="E16" t="str">
            <v>18/10/2025</v>
          </cell>
          <cell r="F16" t="str">
            <v/>
          </cell>
          <cell r="G16">
            <v>1872060</v>
          </cell>
          <cell r="H16">
            <v>0</v>
          </cell>
          <cell r="I16">
            <v>0</v>
          </cell>
          <cell r="J16">
            <v>0</v>
          </cell>
          <cell r="K16">
            <v>0</v>
          </cell>
          <cell r="L16">
            <v>0</v>
          </cell>
          <cell r="M16" t="str">
            <v>3150448123</v>
          </cell>
          <cell r="N16" t="str">
            <v>3226807509</v>
          </cell>
          <cell r="O16" t="str">
            <v>3150448123</v>
          </cell>
        </row>
        <row r="17">
          <cell r="B17">
            <v>1090491496</v>
          </cell>
          <cell r="C17" t="str">
            <v xml:space="preserve">RINCON MALDONADO LUCENIT ISABEL </v>
          </cell>
          <cell r="D17" t="str">
            <v>OPERARIA DE ASEO Y CAFETERIA</v>
          </cell>
          <cell r="E17" t="str">
            <v>18/10/2025</v>
          </cell>
          <cell r="F17" t="str">
            <v/>
          </cell>
          <cell r="G17">
            <v>1750905</v>
          </cell>
          <cell r="H17">
            <v>0</v>
          </cell>
          <cell r="I17">
            <v>0</v>
          </cell>
          <cell r="J17">
            <v>0</v>
          </cell>
          <cell r="K17">
            <v>0</v>
          </cell>
          <cell r="L17">
            <v>0</v>
          </cell>
          <cell r="M17" t="str">
            <v>6045798086</v>
          </cell>
          <cell r="N17" t="str">
            <v>3213978591</v>
          </cell>
          <cell r="O17" t="str">
            <v>3118629826</v>
          </cell>
        </row>
        <row r="18">
          <cell r="B18">
            <v>1023881249</v>
          </cell>
          <cell r="C18" t="str">
            <v xml:space="preserve">POVEDA GONZALEZ MIGUEL ANGEL </v>
          </cell>
          <cell r="D18" t="str">
            <v>OPERARIO DE MANTENIMIENTO</v>
          </cell>
          <cell r="E18" t="str">
            <v>18/10/2025</v>
          </cell>
          <cell r="F18" t="str">
            <v/>
          </cell>
          <cell r="G18">
            <v>1872060</v>
          </cell>
          <cell r="H18">
            <v>0</v>
          </cell>
          <cell r="I18">
            <v>0</v>
          </cell>
          <cell r="J18">
            <v>0</v>
          </cell>
          <cell r="K18">
            <v>0</v>
          </cell>
          <cell r="L18">
            <v>0</v>
          </cell>
          <cell r="M18" t="str">
            <v>3219768700</v>
          </cell>
          <cell r="N18" t="str">
            <v>3219768700</v>
          </cell>
          <cell r="O18" t="str">
            <v>3219768700</v>
          </cell>
        </row>
        <row r="19">
          <cell r="B19">
            <v>1007186042</v>
          </cell>
          <cell r="C19" t="str">
            <v xml:space="preserve">ALARCON HERNANDEZ YENNY MARCELA </v>
          </cell>
          <cell r="D19" t="str">
            <v>OPERARIA DE ASEO Y CAFETERIA</v>
          </cell>
          <cell r="E19" t="str">
            <v>18/10/2025</v>
          </cell>
          <cell r="F19" t="str">
            <v/>
          </cell>
          <cell r="G19">
            <v>1750905</v>
          </cell>
          <cell r="H19">
            <v>0</v>
          </cell>
          <cell r="I19">
            <v>0</v>
          </cell>
          <cell r="J19">
            <v>0</v>
          </cell>
          <cell r="K19">
            <v>0</v>
          </cell>
          <cell r="L19">
            <v>0</v>
          </cell>
          <cell r="M19" t="str">
            <v>3222575884</v>
          </cell>
          <cell r="N19" t="str">
            <v>3148388648</v>
          </cell>
          <cell r="O19" t="str">
            <v>3222575884</v>
          </cell>
        </row>
        <row r="20">
          <cell r="B20">
            <v>52164356</v>
          </cell>
          <cell r="C20" t="str">
            <v xml:space="preserve">CATUCHE PIAMBA LUZ MARINA </v>
          </cell>
          <cell r="D20" t="str">
            <v>OPERARIA DE ASEO Y CAFETERIA</v>
          </cell>
          <cell r="E20" t="str">
            <v>18/10/2025</v>
          </cell>
          <cell r="F20" t="str">
            <v/>
          </cell>
          <cell r="G20">
            <v>1750905</v>
          </cell>
          <cell r="H20">
            <v>0</v>
          </cell>
          <cell r="I20">
            <v>0</v>
          </cell>
          <cell r="J20">
            <v>0</v>
          </cell>
          <cell r="K20">
            <v>0</v>
          </cell>
          <cell r="L20">
            <v>0</v>
          </cell>
          <cell r="M20" t="str">
            <v>3202450652</v>
          </cell>
          <cell r="N20" t="str">
            <v>3213100862</v>
          </cell>
          <cell r="O20" t="str">
            <v>3202450652</v>
          </cell>
        </row>
        <row r="21">
          <cell r="B21">
            <v>28057943</v>
          </cell>
          <cell r="C21" t="str">
            <v xml:space="preserve">CUADROS VALDERRAMA FRANCEID  </v>
          </cell>
          <cell r="D21" t="str">
            <v>OPERARIA DE ASEO Y CAFETERIA</v>
          </cell>
          <cell r="E21" t="str">
            <v>18/10/2025</v>
          </cell>
          <cell r="F21" t="str">
            <v/>
          </cell>
          <cell r="G21">
            <v>1750905</v>
          </cell>
          <cell r="H21">
            <v>0</v>
          </cell>
          <cell r="I21">
            <v>0</v>
          </cell>
          <cell r="J21">
            <v>0</v>
          </cell>
          <cell r="K21">
            <v>0</v>
          </cell>
          <cell r="L21">
            <v>0</v>
          </cell>
          <cell r="M21" t="str">
            <v>3016896216</v>
          </cell>
          <cell r="N21" t="str">
            <v>3108509959</v>
          </cell>
          <cell r="O21" t="str">
            <v>3016896216</v>
          </cell>
        </row>
        <row r="22">
          <cell r="B22">
            <v>39659470</v>
          </cell>
          <cell r="C22" t="str">
            <v xml:space="preserve">GUAYARA MOSCOSO MARIS MELDA </v>
          </cell>
          <cell r="D22" t="str">
            <v>OPERARIA DE ASEO Y CAFETERIA</v>
          </cell>
          <cell r="E22" t="str">
            <v>18/10/2025</v>
          </cell>
          <cell r="F22" t="str">
            <v/>
          </cell>
          <cell r="G22">
            <v>1750905</v>
          </cell>
          <cell r="H22">
            <v>0</v>
          </cell>
          <cell r="I22">
            <v>0</v>
          </cell>
          <cell r="J22">
            <v>0</v>
          </cell>
          <cell r="K22">
            <v>0</v>
          </cell>
          <cell r="L22">
            <v>0</v>
          </cell>
          <cell r="M22" t="str">
            <v>3208232057</v>
          </cell>
          <cell r="N22" t="str">
            <v>3228495468</v>
          </cell>
          <cell r="O22" t="str">
            <v>3208232057</v>
          </cell>
        </row>
        <row r="23">
          <cell r="B23">
            <v>1001171553</v>
          </cell>
          <cell r="C23" t="str">
            <v xml:space="preserve">GONZALEZ GUTIERREZ MICHAEL STIVEN </v>
          </cell>
          <cell r="D23" t="str">
            <v>OPERARIO DE MANTENIMIENTO</v>
          </cell>
          <cell r="E23" t="str">
            <v>18/10/2025</v>
          </cell>
          <cell r="F23" t="str">
            <v/>
          </cell>
          <cell r="G23">
            <v>1872060</v>
          </cell>
          <cell r="H23">
            <v>0</v>
          </cell>
          <cell r="I23">
            <v>0</v>
          </cell>
          <cell r="J23">
            <v>0</v>
          </cell>
          <cell r="K23">
            <v>0</v>
          </cell>
          <cell r="L23">
            <v>0</v>
          </cell>
          <cell r="M23" t="str">
            <v>3204873500</v>
          </cell>
          <cell r="N23" t="str">
            <v>3213753306</v>
          </cell>
          <cell r="O23" t="str">
            <v>3204873500</v>
          </cell>
        </row>
        <row r="24">
          <cell r="B24">
            <v>52028199</v>
          </cell>
          <cell r="C24" t="str">
            <v xml:space="preserve">LADINO ARDILA DAMARIS  </v>
          </cell>
          <cell r="D24" t="str">
            <v>OPERARIA DE ASEO Y CAFETERIA</v>
          </cell>
          <cell r="E24" t="str">
            <v>18/10/2025</v>
          </cell>
          <cell r="F24" t="str">
            <v/>
          </cell>
          <cell r="G24">
            <v>1750905</v>
          </cell>
          <cell r="H24">
            <v>0</v>
          </cell>
          <cell r="I24">
            <v>0</v>
          </cell>
          <cell r="J24">
            <v>0</v>
          </cell>
          <cell r="K24">
            <v>0</v>
          </cell>
          <cell r="L24">
            <v>0</v>
          </cell>
          <cell r="M24" t="str">
            <v>6016968950</v>
          </cell>
          <cell r="N24" t="str">
            <v>3022827360</v>
          </cell>
          <cell r="O24" t="str">
            <v>3102549778</v>
          </cell>
        </row>
        <row r="25">
          <cell r="B25">
            <v>1033681788</v>
          </cell>
          <cell r="C25" t="str">
            <v xml:space="preserve">LOAIZA PERDOMO MARITZA FERNANDA </v>
          </cell>
          <cell r="D25" t="str">
            <v>OPERARIA DE ASEO Y CAFETERIA</v>
          </cell>
          <cell r="E25" t="str">
            <v>18/10/2025</v>
          </cell>
          <cell r="F25" t="str">
            <v/>
          </cell>
          <cell r="G25">
            <v>1750905</v>
          </cell>
          <cell r="H25">
            <v>0</v>
          </cell>
          <cell r="I25">
            <v>0</v>
          </cell>
          <cell r="J25">
            <v>0</v>
          </cell>
          <cell r="K25">
            <v>0</v>
          </cell>
          <cell r="L25">
            <v>0</v>
          </cell>
          <cell r="M25" t="str">
            <v>3228994379</v>
          </cell>
          <cell r="N25" t="str">
            <v/>
          </cell>
          <cell r="O25" t="str">
            <v>3228994379</v>
          </cell>
        </row>
        <row r="26">
          <cell r="B26">
            <v>1063148543</v>
          </cell>
          <cell r="C26" t="str">
            <v xml:space="preserve">LOPEZ DORIA PEDRO ANTONIO </v>
          </cell>
          <cell r="D26" t="str">
            <v>OPERARIO DE MANTENIMIENTO</v>
          </cell>
          <cell r="E26" t="str">
            <v>18/10/2025</v>
          </cell>
          <cell r="F26" t="str">
            <v/>
          </cell>
          <cell r="G26">
            <v>1872060</v>
          </cell>
          <cell r="H26">
            <v>0</v>
          </cell>
          <cell r="I26">
            <v>0</v>
          </cell>
          <cell r="J26">
            <v>0</v>
          </cell>
          <cell r="K26">
            <v>0</v>
          </cell>
          <cell r="L26">
            <v>0</v>
          </cell>
          <cell r="M26" t="str">
            <v/>
          </cell>
          <cell r="N26" t="str">
            <v>3218576707</v>
          </cell>
          <cell r="O26" t="str">
            <v>3154054819</v>
          </cell>
        </row>
        <row r="27">
          <cell r="B27">
            <v>52317516</v>
          </cell>
          <cell r="C27" t="str">
            <v xml:space="preserve">MARTINEZ CICHACA JOSEFINA  </v>
          </cell>
          <cell r="D27" t="str">
            <v>OPERARIA DE ASEO Y CAFETERIA</v>
          </cell>
          <cell r="E27" t="str">
            <v>18/10/2025</v>
          </cell>
          <cell r="F27" t="str">
            <v/>
          </cell>
          <cell r="G27">
            <v>1750905</v>
          </cell>
          <cell r="H27">
            <v>0</v>
          </cell>
          <cell r="I27">
            <v>0</v>
          </cell>
          <cell r="J27">
            <v>0</v>
          </cell>
          <cell r="K27">
            <v>0</v>
          </cell>
          <cell r="L27">
            <v>0</v>
          </cell>
          <cell r="M27" t="str">
            <v/>
          </cell>
          <cell r="N27" t="str">
            <v>3103162111</v>
          </cell>
          <cell r="O27" t="str">
            <v>3112226086</v>
          </cell>
        </row>
        <row r="28">
          <cell r="B28">
            <v>51893138</v>
          </cell>
          <cell r="C28" t="str">
            <v xml:space="preserve">PARRA RINCON GLORIA  </v>
          </cell>
          <cell r="D28" t="str">
            <v>OPERARIA DE ASEO Y CAFETERIA</v>
          </cell>
          <cell r="E28" t="str">
            <v>18/10/2025</v>
          </cell>
          <cell r="F28" t="str">
            <v/>
          </cell>
          <cell r="G28">
            <v>1750905</v>
          </cell>
          <cell r="H28">
            <v>0</v>
          </cell>
          <cell r="I28">
            <v>0</v>
          </cell>
          <cell r="J28">
            <v>0</v>
          </cell>
          <cell r="K28">
            <v>0</v>
          </cell>
          <cell r="L28">
            <v>0</v>
          </cell>
          <cell r="M28" t="str">
            <v>6013575708</v>
          </cell>
          <cell r="N28" t="str">
            <v>3144565111</v>
          </cell>
          <cell r="O28" t="str">
            <v>3208107667</v>
          </cell>
        </row>
        <row r="29">
          <cell r="B29">
            <v>1012327473</v>
          </cell>
          <cell r="C29" t="str">
            <v xml:space="preserve">SALGUERO VASCO ALISON DAYANA </v>
          </cell>
          <cell r="D29" t="str">
            <v>OPERARIA DE ASEO Y CAFETERIA</v>
          </cell>
          <cell r="E29" t="str">
            <v>18/10/2025</v>
          </cell>
          <cell r="F29" t="str">
            <v/>
          </cell>
          <cell r="G29">
            <v>1750905</v>
          </cell>
          <cell r="H29">
            <v>0</v>
          </cell>
          <cell r="I29">
            <v>0</v>
          </cell>
          <cell r="J29">
            <v>0</v>
          </cell>
          <cell r="K29">
            <v>0</v>
          </cell>
          <cell r="L29">
            <v>0</v>
          </cell>
          <cell r="M29" t="str">
            <v/>
          </cell>
          <cell r="N29" t="str">
            <v>3112258497</v>
          </cell>
          <cell r="O29" t="str">
            <v>3102870395</v>
          </cell>
        </row>
        <row r="30">
          <cell r="B30">
            <v>52973679</v>
          </cell>
          <cell r="C30" t="str">
            <v xml:space="preserve">SOTO BARRIOS ANA MERCEDES </v>
          </cell>
          <cell r="D30" t="str">
            <v>OPERARIA DE ASEO Y CAFETERIA</v>
          </cell>
          <cell r="E30" t="str">
            <v>18/10/2025</v>
          </cell>
          <cell r="F30" t="str">
            <v/>
          </cell>
          <cell r="G30">
            <v>1750905</v>
          </cell>
          <cell r="H30">
            <v>0</v>
          </cell>
          <cell r="I30">
            <v>0</v>
          </cell>
          <cell r="J30">
            <v>0</v>
          </cell>
          <cell r="K30">
            <v>0</v>
          </cell>
          <cell r="L30">
            <v>0</v>
          </cell>
          <cell r="M30" t="str">
            <v>3144022071</v>
          </cell>
          <cell r="N30" t="str">
            <v>3113185349</v>
          </cell>
          <cell r="O30" t="str">
            <v>3144022071</v>
          </cell>
        </row>
        <row r="31">
          <cell r="B31">
            <v>30350065</v>
          </cell>
          <cell r="C31" t="str">
            <v xml:space="preserve">TRIANA MANCILLA ANA EGRID </v>
          </cell>
          <cell r="D31" t="str">
            <v>OPERARIA DE ASEO Y CAFETERIA</v>
          </cell>
          <cell r="E31" t="str">
            <v>18/10/2025</v>
          </cell>
          <cell r="F31" t="str">
            <v/>
          </cell>
          <cell r="G31">
            <v>1750905</v>
          </cell>
          <cell r="H31">
            <v>0</v>
          </cell>
          <cell r="I31">
            <v>0</v>
          </cell>
          <cell r="J31">
            <v>0</v>
          </cell>
          <cell r="K31">
            <v>0</v>
          </cell>
          <cell r="L31">
            <v>0</v>
          </cell>
          <cell r="M31" t="str">
            <v>3107991322</v>
          </cell>
          <cell r="N31" t="str">
            <v>3134660811</v>
          </cell>
          <cell r="O31" t="str">
            <v>3107991322</v>
          </cell>
        </row>
        <row r="32">
          <cell r="B32">
            <v>52704600</v>
          </cell>
          <cell r="C32" t="str">
            <v xml:space="preserve">TRIVINO SUAREZ LURY HEYDE </v>
          </cell>
          <cell r="D32" t="str">
            <v>OPERARIA DE ASEO Y CAFETERIA</v>
          </cell>
          <cell r="E32" t="str">
            <v>18/10/2025</v>
          </cell>
          <cell r="F32" t="str">
            <v/>
          </cell>
          <cell r="G32">
            <v>1750905</v>
          </cell>
          <cell r="H32">
            <v>0</v>
          </cell>
          <cell r="I32">
            <v>0</v>
          </cell>
          <cell r="J32">
            <v>0</v>
          </cell>
          <cell r="K32">
            <v>0</v>
          </cell>
          <cell r="L32">
            <v>0</v>
          </cell>
          <cell r="M32" t="str">
            <v>3112814259</v>
          </cell>
          <cell r="N32" t="str">
            <v>3204945971</v>
          </cell>
          <cell r="O32" t="str">
            <v>3112814259</v>
          </cell>
        </row>
        <row r="33">
          <cell r="B33">
            <v>1078689395</v>
          </cell>
          <cell r="C33" t="str">
            <v xml:space="preserve">ALBORNOZ MINA MARIA ELVIA </v>
          </cell>
          <cell r="D33" t="str">
            <v>OPERARIA DE ASEO Y CAFETERIA</v>
          </cell>
          <cell r="E33" t="str">
            <v>18/10/2025</v>
          </cell>
          <cell r="F33" t="str">
            <v/>
          </cell>
          <cell r="G33">
            <v>1750905</v>
          </cell>
          <cell r="H33">
            <v>0</v>
          </cell>
          <cell r="I33">
            <v>0</v>
          </cell>
          <cell r="J33">
            <v>0</v>
          </cell>
          <cell r="K33">
            <v>0</v>
          </cell>
          <cell r="L33">
            <v>0</v>
          </cell>
          <cell r="M33" t="str">
            <v/>
          </cell>
          <cell r="N33" t="str">
            <v>3104148781</v>
          </cell>
          <cell r="O33" t="str">
            <v>3232930382</v>
          </cell>
        </row>
        <row r="34">
          <cell r="B34">
            <v>80369946</v>
          </cell>
          <cell r="C34" t="str">
            <v xml:space="preserve">MEDINA CASTRO PEDRO ANTONIO </v>
          </cell>
          <cell r="D34" t="str">
            <v>OPERARIO DE MANTENIMIENTO</v>
          </cell>
          <cell r="E34" t="str">
            <v>18/10/2025</v>
          </cell>
          <cell r="F34" t="str">
            <v/>
          </cell>
          <cell r="G34">
            <v>1872060</v>
          </cell>
          <cell r="H34">
            <v>0</v>
          </cell>
          <cell r="I34">
            <v>0</v>
          </cell>
          <cell r="J34">
            <v>0</v>
          </cell>
          <cell r="K34">
            <v>0</v>
          </cell>
          <cell r="L34">
            <v>0</v>
          </cell>
          <cell r="M34" t="str">
            <v>3114917055</v>
          </cell>
          <cell r="N34" t="str">
            <v>3102479687</v>
          </cell>
          <cell r="O34" t="str">
            <v>3114917055</v>
          </cell>
        </row>
        <row r="35">
          <cell r="B35">
            <v>79385309</v>
          </cell>
          <cell r="C35" t="str">
            <v xml:space="preserve">TOVAR CONTRERAS HECTOR RICARDO </v>
          </cell>
          <cell r="D35" t="str">
            <v>OPERARIO DE MANTENIMIENTO</v>
          </cell>
          <cell r="E35" t="str">
            <v>18/10/2025</v>
          </cell>
          <cell r="F35" t="str">
            <v/>
          </cell>
          <cell r="G35">
            <v>1872060</v>
          </cell>
          <cell r="H35">
            <v>0</v>
          </cell>
          <cell r="I35">
            <v>0</v>
          </cell>
          <cell r="J35">
            <v>0</v>
          </cell>
          <cell r="K35">
            <v>0</v>
          </cell>
          <cell r="L35">
            <v>0</v>
          </cell>
          <cell r="M35" t="str">
            <v>3185879016</v>
          </cell>
          <cell r="N35" t="str">
            <v/>
          </cell>
          <cell r="O35" t="str">
            <v>3185879016</v>
          </cell>
        </row>
        <row r="36">
          <cell r="B36">
            <v>79771060</v>
          </cell>
          <cell r="C36" t="str">
            <v xml:space="preserve">CITA MARTINEZ ORLANDO  </v>
          </cell>
          <cell r="D36" t="str">
            <v>JARDINERO</v>
          </cell>
          <cell r="E36" t="str">
            <v>18/10/2025</v>
          </cell>
          <cell r="F36" t="str">
            <v/>
          </cell>
          <cell r="G36">
            <v>1826550</v>
          </cell>
          <cell r="H36">
            <v>0</v>
          </cell>
          <cell r="I36">
            <v>0</v>
          </cell>
          <cell r="J36">
            <v>0</v>
          </cell>
          <cell r="K36">
            <v>0</v>
          </cell>
          <cell r="L36">
            <v>0</v>
          </cell>
          <cell r="M36" t="str">
            <v>3214213047</v>
          </cell>
          <cell r="N36" t="str">
            <v>3208755878</v>
          </cell>
          <cell r="O36" t="str">
            <v>3214213047</v>
          </cell>
        </row>
        <row r="37">
          <cell r="B37">
            <v>52064334</v>
          </cell>
          <cell r="C37" t="str">
            <v xml:space="preserve">BELTRAN BELTRAN OLGA PATRICIA </v>
          </cell>
          <cell r="D37" t="str">
            <v>OPERARIA DE ASEO Y CAFETERIA</v>
          </cell>
          <cell r="E37" t="str">
            <v>18/10/2025</v>
          </cell>
          <cell r="F37" t="str">
            <v/>
          </cell>
          <cell r="G37">
            <v>1750905</v>
          </cell>
          <cell r="H37">
            <v>0</v>
          </cell>
          <cell r="I37">
            <v>0</v>
          </cell>
          <cell r="J37">
            <v>0</v>
          </cell>
          <cell r="K37">
            <v>0</v>
          </cell>
          <cell r="L37">
            <v>0</v>
          </cell>
          <cell r="M37" t="str">
            <v>6012337947</v>
          </cell>
          <cell r="N37" t="str">
            <v/>
          </cell>
          <cell r="O37" t="str">
            <v>3162337947</v>
          </cell>
        </row>
        <row r="38">
          <cell r="B38">
            <v>1033786605</v>
          </cell>
          <cell r="C38" t="str">
            <v xml:space="preserve">QUIJANO RODRIGUEZ CARLOS ENRIQUE </v>
          </cell>
          <cell r="D38" t="str">
            <v>OPERARIO DE MANTENIMIENTO</v>
          </cell>
          <cell r="E38" t="str">
            <v>18/10/2025</v>
          </cell>
          <cell r="F38" t="str">
            <v/>
          </cell>
          <cell r="G38">
            <v>1872060</v>
          </cell>
          <cell r="H38">
            <v>0</v>
          </cell>
          <cell r="I38">
            <v>0</v>
          </cell>
          <cell r="J38">
            <v>0</v>
          </cell>
          <cell r="K38">
            <v>0</v>
          </cell>
          <cell r="L38">
            <v>0</v>
          </cell>
          <cell r="M38" t="str">
            <v>3166894441</v>
          </cell>
          <cell r="N38" t="str">
            <v>3132135912</v>
          </cell>
          <cell r="O38" t="str">
            <v>3166894441</v>
          </cell>
        </row>
        <row r="39">
          <cell r="B39">
            <v>52776187</v>
          </cell>
          <cell r="C39" t="str">
            <v xml:space="preserve">TIQUE  MARIA NURY </v>
          </cell>
          <cell r="D39" t="str">
            <v>OPERARIA DE ASEO Y CAFETERIA</v>
          </cell>
          <cell r="E39" t="str">
            <v>18/10/2025</v>
          </cell>
          <cell r="F39" t="str">
            <v/>
          </cell>
          <cell r="G39">
            <v>1750905</v>
          </cell>
          <cell r="H39">
            <v>0</v>
          </cell>
          <cell r="I39">
            <v>0</v>
          </cell>
          <cell r="J39">
            <v>0</v>
          </cell>
          <cell r="K39">
            <v>0</v>
          </cell>
          <cell r="L39">
            <v>0</v>
          </cell>
          <cell r="M39" t="str">
            <v>3228078172</v>
          </cell>
          <cell r="N39" t="str">
            <v>3202185869</v>
          </cell>
          <cell r="O39" t="str">
            <v>3228078172</v>
          </cell>
        </row>
        <row r="40">
          <cell r="B40">
            <v>1003242958</v>
          </cell>
          <cell r="C40" t="str">
            <v xml:space="preserve">DAZA VARELA LINDA MARY </v>
          </cell>
          <cell r="D40" t="str">
            <v>OPERARIA DE ASEO Y CAFETERIA</v>
          </cell>
          <cell r="E40" t="str">
            <v>18/10/2025</v>
          </cell>
          <cell r="F40" t="str">
            <v/>
          </cell>
          <cell r="G40">
            <v>1750905</v>
          </cell>
          <cell r="H40">
            <v>0</v>
          </cell>
          <cell r="I40">
            <v>0</v>
          </cell>
          <cell r="J40">
            <v>0</v>
          </cell>
          <cell r="K40">
            <v>0</v>
          </cell>
          <cell r="L40">
            <v>0</v>
          </cell>
          <cell r="M40" t="str">
            <v>3115141324</v>
          </cell>
          <cell r="N40" t="str">
            <v/>
          </cell>
          <cell r="O40" t="str">
            <v>3115141324</v>
          </cell>
        </row>
        <row r="41">
          <cell r="B41">
            <v>1193109715</v>
          </cell>
          <cell r="C41" t="str">
            <v xml:space="preserve">RAMOS TORRES ARMANDO LUIS </v>
          </cell>
          <cell r="D41" t="str">
            <v>OPERARIO DE MANTENIMIENTO</v>
          </cell>
          <cell r="E41" t="str">
            <v>18/10/2025</v>
          </cell>
          <cell r="F41" t="str">
            <v/>
          </cell>
          <cell r="G41">
            <v>1872060</v>
          </cell>
          <cell r="H41">
            <v>0</v>
          </cell>
          <cell r="I41">
            <v>0</v>
          </cell>
          <cell r="J41">
            <v>0</v>
          </cell>
          <cell r="K41">
            <v>0</v>
          </cell>
          <cell r="L41">
            <v>0</v>
          </cell>
          <cell r="M41" t="str">
            <v>3224789225</v>
          </cell>
          <cell r="N41" t="str">
            <v>3208562900</v>
          </cell>
          <cell r="O41" t="str">
            <v>3224789225</v>
          </cell>
        </row>
        <row r="42">
          <cell r="B42">
            <v>1023016053</v>
          </cell>
          <cell r="C42" t="str">
            <v xml:space="preserve">CRISTANCHO ZUNIGA SANDRA JINETH </v>
          </cell>
          <cell r="D42" t="str">
            <v>OPERARIA DE ASEO Y CAFETERIA</v>
          </cell>
          <cell r="E42" t="str">
            <v>18/10/2025</v>
          </cell>
          <cell r="F42" t="str">
            <v/>
          </cell>
          <cell r="G42">
            <v>1750905</v>
          </cell>
          <cell r="H42">
            <v>0</v>
          </cell>
          <cell r="I42">
            <v>0</v>
          </cell>
          <cell r="J42">
            <v>0</v>
          </cell>
          <cell r="K42">
            <v>0</v>
          </cell>
          <cell r="L42">
            <v>0</v>
          </cell>
          <cell r="M42" t="str">
            <v>3115212734</v>
          </cell>
          <cell r="N42" t="str">
            <v/>
          </cell>
          <cell r="O42" t="str">
            <v>3115212734</v>
          </cell>
        </row>
        <row r="43">
          <cell r="B43">
            <v>53048357</v>
          </cell>
          <cell r="C43" t="str">
            <v xml:space="preserve">LOPEZ SANCHEZ MARIA DEL PILAR </v>
          </cell>
          <cell r="D43" t="str">
            <v>OPERARIA DE ASEO Y CAFETERIA</v>
          </cell>
          <cell r="E43" t="str">
            <v>18/10/2025</v>
          </cell>
          <cell r="F43" t="str">
            <v/>
          </cell>
          <cell r="G43">
            <v>1750905</v>
          </cell>
          <cell r="H43">
            <v>0</v>
          </cell>
          <cell r="I43">
            <v>0</v>
          </cell>
          <cell r="J43">
            <v>0</v>
          </cell>
          <cell r="K43">
            <v>0</v>
          </cell>
          <cell r="L43">
            <v>0</v>
          </cell>
          <cell r="M43" t="str">
            <v>6013212444</v>
          </cell>
          <cell r="N43" t="str">
            <v>3203970328</v>
          </cell>
          <cell r="O43" t="str">
            <v>3212444338</v>
          </cell>
        </row>
        <row r="44">
          <cell r="B44">
            <v>79667853</v>
          </cell>
          <cell r="C44" t="str">
            <v xml:space="preserve">RUBIO HERRERA WILLIAM ALEJANDRO </v>
          </cell>
          <cell r="D44" t="str">
            <v>OPERARIO DE MANTENIMIENTO</v>
          </cell>
          <cell r="E44" t="str">
            <v>18/10/2025</v>
          </cell>
          <cell r="F44" t="str">
            <v/>
          </cell>
          <cell r="G44">
            <v>1872060</v>
          </cell>
          <cell r="H44">
            <v>0</v>
          </cell>
          <cell r="I44">
            <v>0</v>
          </cell>
          <cell r="J44">
            <v>0</v>
          </cell>
          <cell r="K44">
            <v>0</v>
          </cell>
          <cell r="L44">
            <v>0</v>
          </cell>
          <cell r="M44" t="str">
            <v>3222853281</v>
          </cell>
          <cell r="N44" t="str">
            <v>3227406884</v>
          </cell>
          <cell r="O44" t="str">
            <v>3222853281</v>
          </cell>
        </row>
        <row r="45">
          <cell r="B45">
            <v>79960184</v>
          </cell>
          <cell r="C45" t="str">
            <v xml:space="preserve">VILLANUEVA VALENCIA JOSE DANIEL </v>
          </cell>
          <cell r="D45" t="str">
            <v>JARDINERO</v>
          </cell>
          <cell r="E45" t="str">
            <v>18/10/2025</v>
          </cell>
          <cell r="F45" t="str">
            <v/>
          </cell>
          <cell r="G45">
            <v>1826550</v>
          </cell>
          <cell r="H45">
            <v>0</v>
          </cell>
          <cell r="I45">
            <v>0</v>
          </cell>
          <cell r="J45">
            <v>0</v>
          </cell>
          <cell r="K45">
            <v>0</v>
          </cell>
          <cell r="L45">
            <v>0</v>
          </cell>
          <cell r="M45" t="str">
            <v>6017662213</v>
          </cell>
          <cell r="N45" t="str">
            <v>3208133488</v>
          </cell>
          <cell r="O45" t="str">
            <v>3123017813</v>
          </cell>
        </row>
        <row r="46">
          <cell r="B46">
            <v>52038209</v>
          </cell>
          <cell r="C46" t="str">
            <v xml:space="preserve">PUENTES CORREDOR DORA  </v>
          </cell>
          <cell r="D46" t="str">
            <v>OPERARIA DE ASEO Y CAFETERIA</v>
          </cell>
          <cell r="E46" t="str">
            <v>18/10/2025</v>
          </cell>
          <cell r="F46" t="str">
            <v/>
          </cell>
          <cell r="G46">
            <v>1750905</v>
          </cell>
          <cell r="H46">
            <v>0</v>
          </cell>
          <cell r="I46">
            <v>0</v>
          </cell>
          <cell r="J46">
            <v>0</v>
          </cell>
          <cell r="K46">
            <v>0</v>
          </cell>
          <cell r="L46">
            <v>0</v>
          </cell>
          <cell r="M46" t="str">
            <v>3125879804</v>
          </cell>
          <cell r="N46" t="str">
            <v>3227304987</v>
          </cell>
          <cell r="O46" t="str">
            <v>3125879804</v>
          </cell>
        </row>
        <row r="47">
          <cell r="B47">
            <v>51970521</v>
          </cell>
          <cell r="C47" t="str">
            <v xml:space="preserve">HERNANDEZ LUNA MARIBEL  </v>
          </cell>
          <cell r="D47" t="str">
            <v>OPERARIA DE ASEO Y CAFETERIA</v>
          </cell>
          <cell r="E47" t="str">
            <v>18/10/2025</v>
          </cell>
          <cell r="F47" t="str">
            <v/>
          </cell>
          <cell r="G47">
            <v>1750905</v>
          </cell>
          <cell r="H47">
            <v>0</v>
          </cell>
          <cell r="I47">
            <v>0</v>
          </cell>
          <cell r="J47">
            <v>0</v>
          </cell>
          <cell r="K47">
            <v>0</v>
          </cell>
          <cell r="L47">
            <v>0</v>
          </cell>
          <cell r="M47" t="str">
            <v/>
          </cell>
          <cell r="N47" t="str">
            <v>3112541558</v>
          </cell>
          <cell r="O47" t="str">
            <v>3134219368</v>
          </cell>
        </row>
        <row r="48">
          <cell r="B48">
            <v>14191476</v>
          </cell>
          <cell r="C48" t="str">
            <v xml:space="preserve">LONDONO VILLEGAS EDILSON  </v>
          </cell>
          <cell r="D48" t="str">
            <v>JARDINERO</v>
          </cell>
          <cell r="E48" t="str">
            <v>18/10/2025</v>
          </cell>
          <cell r="F48" t="str">
            <v/>
          </cell>
          <cell r="G48">
            <v>1826550</v>
          </cell>
          <cell r="H48">
            <v>0</v>
          </cell>
          <cell r="I48">
            <v>0</v>
          </cell>
          <cell r="J48">
            <v>0</v>
          </cell>
          <cell r="K48">
            <v>0</v>
          </cell>
          <cell r="L48">
            <v>0</v>
          </cell>
          <cell r="M48" t="str">
            <v>3144212888</v>
          </cell>
          <cell r="N48" t="str">
            <v>3227981343</v>
          </cell>
          <cell r="O48" t="str">
            <v>3144212888</v>
          </cell>
        </row>
        <row r="49">
          <cell r="B49">
            <v>52301809</v>
          </cell>
          <cell r="C49" t="str">
            <v xml:space="preserve">ROJAS RODRIGUEZ ADA LUCIA </v>
          </cell>
          <cell r="D49" t="str">
            <v>OPERARIA DE ASEO Y CAFETERIA</v>
          </cell>
          <cell r="E49" t="str">
            <v>18/10/2025</v>
          </cell>
          <cell r="F49" t="str">
            <v/>
          </cell>
          <cell r="G49">
            <v>1750905</v>
          </cell>
          <cell r="H49">
            <v>0</v>
          </cell>
          <cell r="I49">
            <v>0</v>
          </cell>
          <cell r="J49">
            <v>0</v>
          </cell>
          <cell r="K49">
            <v>0</v>
          </cell>
          <cell r="L49">
            <v>0</v>
          </cell>
          <cell r="M49" t="str">
            <v>6017775013</v>
          </cell>
          <cell r="N49" t="str">
            <v>3134796489</v>
          </cell>
          <cell r="O49" t="str">
            <v>3138798248</v>
          </cell>
        </row>
        <row r="50">
          <cell r="B50">
            <v>52164364</v>
          </cell>
          <cell r="C50" t="str">
            <v xml:space="preserve">AREVALO MEDINA MARIA GLADYS </v>
          </cell>
          <cell r="D50" t="str">
            <v>OPERARIA DE ASEO Y CAFETERIA</v>
          </cell>
          <cell r="E50" t="str">
            <v>18/10/2025</v>
          </cell>
          <cell r="F50" t="str">
            <v/>
          </cell>
          <cell r="G50">
            <v>1750905</v>
          </cell>
          <cell r="H50">
            <v>0</v>
          </cell>
          <cell r="I50">
            <v>0</v>
          </cell>
          <cell r="J50">
            <v>0</v>
          </cell>
          <cell r="K50">
            <v>0</v>
          </cell>
          <cell r="L50">
            <v>0</v>
          </cell>
          <cell r="M50" t="str">
            <v>6017343066</v>
          </cell>
          <cell r="N50" t="str">
            <v>3143886575</v>
          </cell>
          <cell r="O50" t="str">
            <v>3174516626</v>
          </cell>
        </row>
        <row r="51">
          <cell r="B51">
            <v>52442600</v>
          </cell>
          <cell r="C51" t="str">
            <v xml:space="preserve">TORO CAMARGO BLANCA AYDEE </v>
          </cell>
          <cell r="D51" t="str">
            <v>OPERARIA DE ASEO Y CAFETERIA</v>
          </cell>
          <cell r="E51" t="str">
            <v>18/10/2025</v>
          </cell>
          <cell r="F51" t="str">
            <v/>
          </cell>
          <cell r="G51">
            <v>1750905</v>
          </cell>
          <cell r="H51">
            <v>0</v>
          </cell>
          <cell r="I51">
            <v>0</v>
          </cell>
          <cell r="J51">
            <v>0</v>
          </cell>
          <cell r="K51">
            <v>0</v>
          </cell>
          <cell r="L51">
            <v>0</v>
          </cell>
          <cell r="M51" t="str">
            <v>6012066440</v>
          </cell>
          <cell r="N51" t="str">
            <v>3227547426</v>
          </cell>
          <cell r="O51" t="str">
            <v>3224117250</v>
          </cell>
        </row>
        <row r="52">
          <cell r="B52">
            <v>52295952</v>
          </cell>
          <cell r="C52" t="str">
            <v xml:space="preserve">MARTINEZ HERNANDEZ MARITZA  </v>
          </cell>
          <cell r="D52" t="str">
            <v>OPERARIA DE ASEO Y CAFETERIA</v>
          </cell>
          <cell r="E52" t="str">
            <v>18/10/2025</v>
          </cell>
          <cell r="F52" t="str">
            <v/>
          </cell>
          <cell r="G52">
            <v>1750905</v>
          </cell>
          <cell r="H52">
            <v>0</v>
          </cell>
          <cell r="I52">
            <v>0</v>
          </cell>
          <cell r="J52">
            <v>0</v>
          </cell>
          <cell r="K52">
            <v>0</v>
          </cell>
          <cell r="L52">
            <v>0</v>
          </cell>
          <cell r="M52" t="str">
            <v>3012369349</v>
          </cell>
          <cell r="N52" t="str">
            <v>3013138447</v>
          </cell>
          <cell r="O52" t="str">
            <v>3012369349</v>
          </cell>
        </row>
        <row r="53">
          <cell r="B53">
            <v>52239435</v>
          </cell>
          <cell r="C53" t="str">
            <v xml:space="preserve">RAMOS BUITRAGO DORIS JANNETH </v>
          </cell>
          <cell r="D53" t="str">
            <v>OPERARIA DE ASEO Y CAFETERIA</v>
          </cell>
          <cell r="E53" t="str">
            <v>18/10/2025</v>
          </cell>
          <cell r="F53" t="str">
            <v/>
          </cell>
          <cell r="G53">
            <v>1750905</v>
          </cell>
          <cell r="H53">
            <v>0</v>
          </cell>
          <cell r="I53">
            <v>0</v>
          </cell>
          <cell r="J53">
            <v>0</v>
          </cell>
          <cell r="K53">
            <v>0</v>
          </cell>
          <cell r="L53">
            <v>0</v>
          </cell>
          <cell r="M53" t="str">
            <v/>
          </cell>
          <cell r="N53" t="str">
            <v>3108564491</v>
          </cell>
          <cell r="O53" t="str">
            <v>3203253608</v>
          </cell>
        </row>
        <row r="54">
          <cell r="B54">
            <v>39655719</v>
          </cell>
          <cell r="C54" t="str">
            <v xml:space="preserve">REAL  ESPERANZA  </v>
          </cell>
          <cell r="D54" t="str">
            <v>OPERARIA DE ASEO Y CAFETERIA</v>
          </cell>
          <cell r="E54" t="str">
            <v>18/10/2025</v>
          </cell>
          <cell r="F54" t="str">
            <v/>
          </cell>
          <cell r="G54">
            <v>1750905</v>
          </cell>
          <cell r="H54">
            <v>0</v>
          </cell>
          <cell r="I54">
            <v>0</v>
          </cell>
          <cell r="J54">
            <v>0</v>
          </cell>
          <cell r="K54">
            <v>0</v>
          </cell>
          <cell r="L54">
            <v>0</v>
          </cell>
          <cell r="M54" t="str">
            <v/>
          </cell>
          <cell r="N54" t="str">
            <v>3219008043</v>
          </cell>
          <cell r="O54" t="str">
            <v>3107617116</v>
          </cell>
        </row>
        <row r="55">
          <cell r="B55">
            <v>1126122552</v>
          </cell>
          <cell r="C55" t="str">
            <v xml:space="preserve">VILLARREAL ROYER JULIO ABEL </v>
          </cell>
          <cell r="D55" t="str">
            <v>OPERARIO DE MANTENIMIENTO</v>
          </cell>
          <cell r="E55" t="str">
            <v>18/10/2025</v>
          </cell>
          <cell r="F55" t="str">
            <v/>
          </cell>
          <cell r="G55">
            <v>1872060</v>
          </cell>
          <cell r="H55">
            <v>0</v>
          </cell>
          <cell r="I55">
            <v>0</v>
          </cell>
          <cell r="J55">
            <v>0</v>
          </cell>
          <cell r="K55">
            <v>0</v>
          </cell>
          <cell r="L55">
            <v>0</v>
          </cell>
          <cell r="M55" t="str">
            <v>3145730019</v>
          </cell>
          <cell r="N55" t="str">
            <v>3115603353</v>
          </cell>
          <cell r="O55" t="str">
            <v>3145730019</v>
          </cell>
        </row>
        <row r="56">
          <cell r="B56">
            <v>52017874</v>
          </cell>
          <cell r="C56" t="str">
            <v xml:space="preserve">MATEUS PIRACOA MARTHA JANETH </v>
          </cell>
          <cell r="D56" t="str">
            <v>OPERARIA DE ASEO Y CAFETERIA</v>
          </cell>
          <cell r="E56" t="str">
            <v>18/10/2025</v>
          </cell>
          <cell r="F56" t="str">
            <v/>
          </cell>
          <cell r="G56">
            <v>1750905</v>
          </cell>
          <cell r="H56">
            <v>0</v>
          </cell>
          <cell r="I56">
            <v>0</v>
          </cell>
          <cell r="J56">
            <v>0</v>
          </cell>
          <cell r="K56">
            <v>0</v>
          </cell>
          <cell r="L56">
            <v>0</v>
          </cell>
          <cell r="M56" t="str">
            <v/>
          </cell>
          <cell r="N56" t="str">
            <v>3125224292</v>
          </cell>
          <cell r="O56" t="str">
            <v>3193602960</v>
          </cell>
        </row>
        <row r="57">
          <cell r="B57">
            <v>52832379</v>
          </cell>
          <cell r="C57" t="str">
            <v xml:space="preserve">LOZANO OCHOA GLADYS STELLA </v>
          </cell>
          <cell r="D57" t="str">
            <v>OPERARIA DE ASEO Y CAFETERIA</v>
          </cell>
          <cell r="E57" t="str">
            <v>18/10/2025</v>
          </cell>
          <cell r="F57" t="str">
            <v/>
          </cell>
          <cell r="G57">
            <v>1750905</v>
          </cell>
          <cell r="H57">
            <v>0</v>
          </cell>
          <cell r="I57">
            <v>0</v>
          </cell>
          <cell r="J57">
            <v>0</v>
          </cell>
          <cell r="K57">
            <v>0</v>
          </cell>
          <cell r="L57">
            <v>0</v>
          </cell>
          <cell r="M57" t="str">
            <v/>
          </cell>
          <cell r="N57" t="str">
            <v/>
          </cell>
          <cell r="O57" t="str">
            <v>3115077400</v>
          </cell>
        </row>
        <row r="58">
          <cell r="B58">
            <v>1032483405</v>
          </cell>
          <cell r="C58" t="str">
            <v xml:space="preserve">AYALA HERMOSA YURANY ALEJANDRA </v>
          </cell>
          <cell r="D58" t="str">
            <v>OPERARIA DE ASEO Y CAFETERIA</v>
          </cell>
          <cell r="E58" t="str">
            <v>18/10/2025</v>
          </cell>
          <cell r="F58" t="str">
            <v/>
          </cell>
          <cell r="G58">
            <v>1750905</v>
          </cell>
          <cell r="H58">
            <v>0</v>
          </cell>
          <cell r="I58">
            <v>0</v>
          </cell>
          <cell r="J58">
            <v>0</v>
          </cell>
          <cell r="K58">
            <v>0</v>
          </cell>
          <cell r="L58">
            <v>0</v>
          </cell>
          <cell r="M58" t="str">
            <v/>
          </cell>
          <cell r="N58" t="str">
            <v>3125083980</v>
          </cell>
          <cell r="O58" t="str">
            <v>3134753344</v>
          </cell>
        </row>
        <row r="59">
          <cell r="B59">
            <v>39802794</v>
          </cell>
          <cell r="C59" t="str">
            <v xml:space="preserve">ZAPATA CAMACHO NUBIA AMPARO </v>
          </cell>
          <cell r="D59" t="str">
            <v>OPERARIA DE ASEO Y CAFETERIA</v>
          </cell>
          <cell r="E59" t="str">
            <v>18/10/2025</v>
          </cell>
          <cell r="F59" t="str">
            <v/>
          </cell>
          <cell r="G59">
            <v>1750905</v>
          </cell>
          <cell r="H59">
            <v>0</v>
          </cell>
          <cell r="I59">
            <v>0</v>
          </cell>
          <cell r="J59">
            <v>0</v>
          </cell>
          <cell r="K59">
            <v>0</v>
          </cell>
          <cell r="L59">
            <v>0</v>
          </cell>
          <cell r="M59" t="str">
            <v>3202892554</v>
          </cell>
          <cell r="N59" t="str">
            <v>3147910485</v>
          </cell>
          <cell r="O59" t="str">
            <v>3202892554</v>
          </cell>
        </row>
        <row r="60">
          <cell r="B60">
            <v>52339253</v>
          </cell>
          <cell r="C60" t="str">
            <v xml:space="preserve">CANTE MELO NELLY FARID </v>
          </cell>
          <cell r="D60" t="str">
            <v>OPERARIA DE ASEO Y CAFETERIA</v>
          </cell>
          <cell r="E60" t="str">
            <v>18/10/2025</v>
          </cell>
          <cell r="F60" t="str">
            <v/>
          </cell>
          <cell r="G60">
            <v>1750905</v>
          </cell>
          <cell r="H60">
            <v>0</v>
          </cell>
          <cell r="I60">
            <v>0</v>
          </cell>
          <cell r="J60">
            <v>0</v>
          </cell>
          <cell r="K60">
            <v>0</v>
          </cell>
          <cell r="L60">
            <v>0</v>
          </cell>
          <cell r="M60" t="str">
            <v>3242549695</v>
          </cell>
          <cell r="N60" t="str">
            <v>3108844859</v>
          </cell>
          <cell r="O60" t="str">
            <v>3242549695</v>
          </cell>
        </row>
        <row r="61">
          <cell r="B61">
            <v>52635791</v>
          </cell>
          <cell r="C61" t="str">
            <v xml:space="preserve">LOZANO MANRIQUE JAYDI  </v>
          </cell>
          <cell r="D61" t="str">
            <v>OPERARIA DE ASEO Y CAFETERIA</v>
          </cell>
          <cell r="E61" t="str">
            <v>18/10/2025</v>
          </cell>
          <cell r="F61" t="str">
            <v/>
          </cell>
          <cell r="G61">
            <v>1750905</v>
          </cell>
          <cell r="H61">
            <v>0</v>
          </cell>
          <cell r="I61">
            <v>0</v>
          </cell>
          <cell r="J61">
            <v>0</v>
          </cell>
          <cell r="K61">
            <v>0</v>
          </cell>
          <cell r="L61">
            <v>0</v>
          </cell>
          <cell r="M61" t="str">
            <v>3118958109</v>
          </cell>
          <cell r="N61" t="str">
            <v/>
          </cell>
          <cell r="O61" t="str">
            <v>3118958109</v>
          </cell>
        </row>
        <row r="62">
          <cell r="B62">
            <v>1073707145</v>
          </cell>
          <cell r="C62" t="str">
            <v xml:space="preserve">ALVARADO RAMIREZ WHITNEY GIANNINA </v>
          </cell>
          <cell r="D62" t="str">
            <v>OPERARIA DE ASEO Y CAFETERIA</v>
          </cell>
          <cell r="E62" t="str">
            <v>18/10/2025</v>
          </cell>
          <cell r="F62" t="str">
            <v/>
          </cell>
          <cell r="G62">
            <v>1750905</v>
          </cell>
          <cell r="H62">
            <v>0</v>
          </cell>
          <cell r="I62">
            <v>0</v>
          </cell>
          <cell r="J62">
            <v>0</v>
          </cell>
          <cell r="K62">
            <v>0</v>
          </cell>
          <cell r="L62">
            <v>0</v>
          </cell>
          <cell r="M62" t="str">
            <v>3014499286</v>
          </cell>
          <cell r="N62" t="str">
            <v>3132405581</v>
          </cell>
          <cell r="O62" t="str">
            <v>3014499286</v>
          </cell>
        </row>
        <row r="63">
          <cell r="B63">
            <v>1118854040</v>
          </cell>
          <cell r="C63" t="str">
            <v xml:space="preserve">CHAMORRO OSPINO EMILI PAOLA </v>
          </cell>
          <cell r="D63" t="str">
            <v>OPERARIA DE ASEO Y CAFETERIA</v>
          </cell>
          <cell r="E63" t="str">
            <v>18/10/2025</v>
          </cell>
          <cell r="F63" t="str">
            <v/>
          </cell>
          <cell r="G63">
            <v>1750905</v>
          </cell>
          <cell r="H63">
            <v>0</v>
          </cell>
          <cell r="I63">
            <v>0</v>
          </cell>
          <cell r="J63">
            <v>0</v>
          </cell>
          <cell r="K63">
            <v>0</v>
          </cell>
          <cell r="L63">
            <v>0</v>
          </cell>
          <cell r="M63" t="str">
            <v>3013527159</v>
          </cell>
          <cell r="N63" t="str">
            <v>3045681316</v>
          </cell>
          <cell r="O63" t="str">
            <v>3013527159</v>
          </cell>
        </row>
        <row r="64">
          <cell r="B64">
            <v>80733180</v>
          </cell>
          <cell r="C64" t="str">
            <v xml:space="preserve">ROZO TORRES JONATHAN ALEJANDRO </v>
          </cell>
          <cell r="D64" t="str">
            <v>OPERARIO DE MANTENIMIENTO</v>
          </cell>
          <cell r="E64" t="str">
            <v>18/10/2025</v>
          </cell>
          <cell r="F64" t="str">
            <v/>
          </cell>
          <cell r="G64">
            <v>1872060</v>
          </cell>
          <cell r="H64">
            <v>0</v>
          </cell>
          <cell r="I64">
            <v>0</v>
          </cell>
          <cell r="J64">
            <v>0</v>
          </cell>
          <cell r="K64">
            <v>0</v>
          </cell>
          <cell r="L64">
            <v>0</v>
          </cell>
          <cell r="M64" t="str">
            <v>6010000000</v>
          </cell>
          <cell r="N64" t="str">
            <v>3042257346</v>
          </cell>
          <cell r="O64" t="str">
            <v>3027415192</v>
          </cell>
        </row>
        <row r="65">
          <cell r="B65">
            <v>30225706</v>
          </cell>
          <cell r="C65" t="str">
            <v xml:space="preserve">MUNOZ QUINTERO GLORIA ESPERANZA </v>
          </cell>
          <cell r="D65" t="str">
            <v>OPERARIA DE ASEO Y CAFETERIA</v>
          </cell>
          <cell r="E65" t="str">
            <v>18/10/2025</v>
          </cell>
          <cell r="F65" t="str">
            <v/>
          </cell>
          <cell r="G65">
            <v>1750905</v>
          </cell>
          <cell r="H65">
            <v>0</v>
          </cell>
          <cell r="I65">
            <v>0</v>
          </cell>
          <cell r="J65">
            <v>0</v>
          </cell>
          <cell r="K65">
            <v>0</v>
          </cell>
          <cell r="L65">
            <v>0</v>
          </cell>
          <cell r="M65" t="str">
            <v>3011868966</v>
          </cell>
          <cell r="N65" t="str">
            <v/>
          </cell>
          <cell r="O65" t="str">
            <v>3011868966</v>
          </cell>
        </row>
        <row r="66">
          <cell r="B66">
            <v>52742012</v>
          </cell>
          <cell r="C66" t="str">
            <v xml:space="preserve">RAMIREZ TORRES PAOLA ANDREA </v>
          </cell>
          <cell r="D66" t="str">
            <v>OPERARIA DE ASEO Y CAFETERIA</v>
          </cell>
          <cell r="E66" t="str">
            <v>18/10/2025</v>
          </cell>
          <cell r="F66" t="str">
            <v/>
          </cell>
          <cell r="G66">
            <v>1750905</v>
          </cell>
          <cell r="H66">
            <v>0</v>
          </cell>
          <cell r="I66">
            <v>0</v>
          </cell>
          <cell r="J66">
            <v>0</v>
          </cell>
          <cell r="K66">
            <v>0</v>
          </cell>
          <cell r="L66">
            <v>0</v>
          </cell>
          <cell r="M66" t="str">
            <v>3132204307</v>
          </cell>
          <cell r="N66" t="str">
            <v>3219856289</v>
          </cell>
          <cell r="O66" t="str">
            <v>3132204307</v>
          </cell>
        </row>
        <row r="67">
          <cell r="B67">
            <v>1002269813</v>
          </cell>
          <cell r="C67" t="str">
            <v xml:space="preserve">ALARCON URA MINI JOHANA </v>
          </cell>
          <cell r="D67" t="str">
            <v>OPERARIA DE ASEO Y CAFETERIA</v>
          </cell>
          <cell r="E67" t="str">
            <v>18/10/2025</v>
          </cell>
          <cell r="F67" t="str">
            <v/>
          </cell>
          <cell r="G67">
            <v>1750905</v>
          </cell>
          <cell r="H67">
            <v>0</v>
          </cell>
          <cell r="I67">
            <v>0</v>
          </cell>
          <cell r="J67">
            <v>0</v>
          </cell>
          <cell r="K67">
            <v>0</v>
          </cell>
          <cell r="L67">
            <v>0</v>
          </cell>
          <cell r="M67" t="str">
            <v>3194618677</v>
          </cell>
          <cell r="N67" t="str">
            <v>3045221083</v>
          </cell>
          <cell r="O67" t="str">
            <v>3194618677</v>
          </cell>
        </row>
        <row r="68">
          <cell r="B68">
            <v>1024500166</v>
          </cell>
          <cell r="C68" t="str">
            <v xml:space="preserve">BOTIA AVILA MARIA CONSUELO </v>
          </cell>
          <cell r="D68" t="str">
            <v>OPERARIA DE ASEO Y CAFETERIA</v>
          </cell>
          <cell r="E68" t="str">
            <v>18/10/2025</v>
          </cell>
          <cell r="F68" t="str">
            <v/>
          </cell>
          <cell r="G68">
            <v>1750905</v>
          </cell>
          <cell r="H68">
            <v>0</v>
          </cell>
          <cell r="I68">
            <v>0</v>
          </cell>
          <cell r="J68">
            <v>0</v>
          </cell>
          <cell r="K68">
            <v>0</v>
          </cell>
          <cell r="L68">
            <v>0</v>
          </cell>
          <cell r="M68" t="str">
            <v>3197541624</v>
          </cell>
          <cell r="N68" t="str">
            <v>3195333480</v>
          </cell>
          <cell r="O68" t="str">
            <v>3197541624</v>
          </cell>
        </row>
        <row r="69">
          <cell r="B69">
            <v>1026256911</v>
          </cell>
          <cell r="C69" t="str">
            <v xml:space="preserve">FUQUENE CANON SANDRA YAMILE </v>
          </cell>
          <cell r="D69" t="str">
            <v>OPERARIA DE ASEO Y CAFETERIA</v>
          </cell>
          <cell r="E69" t="str">
            <v>18/10/2025</v>
          </cell>
          <cell r="F69" t="str">
            <v/>
          </cell>
          <cell r="G69">
            <v>1750905</v>
          </cell>
          <cell r="H69">
            <v>0</v>
          </cell>
          <cell r="I69">
            <v>0</v>
          </cell>
          <cell r="J69">
            <v>0</v>
          </cell>
          <cell r="K69">
            <v>0</v>
          </cell>
          <cell r="L69">
            <v>0</v>
          </cell>
          <cell r="M69" t="str">
            <v>6017656119</v>
          </cell>
          <cell r="N69" t="str">
            <v>3108668336</v>
          </cell>
          <cell r="O69" t="str">
            <v>3222872318</v>
          </cell>
        </row>
        <row r="70">
          <cell r="B70">
            <v>1031120358</v>
          </cell>
          <cell r="C70" t="str">
            <v xml:space="preserve">ARDILA PULIDO JEIMMY CAROLINA </v>
          </cell>
          <cell r="D70" t="str">
            <v>OPERARIA DE ASEO Y CAFETERIA</v>
          </cell>
          <cell r="E70" t="str">
            <v>18/10/2025</v>
          </cell>
          <cell r="F70" t="str">
            <v/>
          </cell>
          <cell r="G70">
            <v>1750905</v>
          </cell>
          <cell r="H70">
            <v>0</v>
          </cell>
          <cell r="I70">
            <v>0</v>
          </cell>
          <cell r="J70">
            <v>0</v>
          </cell>
          <cell r="K70">
            <v>0</v>
          </cell>
          <cell r="L70">
            <v>0</v>
          </cell>
          <cell r="M70" t="str">
            <v>3123848118</v>
          </cell>
          <cell r="N70" t="str">
            <v/>
          </cell>
          <cell r="O70" t="str">
            <v>3123848118</v>
          </cell>
        </row>
        <row r="71">
          <cell r="B71">
            <v>1022985784</v>
          </cell>
          <cell r="C71" t="str">
            <v xml:space="preserve">PERALTA GUTIERREZ OSCAR HUMBERTO </v>
          </cell>
          <cell r="D71" t="str">
            <v>OPERARIO DE MANTENIMIENTO</v>
          </cell>
          <cell r="E71" t="str">
            <v>18/10/2025</v>
          </cell>
          <cell r="F71" t="str">
            <v/>
          </cell>
          <cell r="G71">
            <v>1872060</v>
          </cell>
          <cell r="H71">
            <v>0</v>
          </cell>
          <cell r="I71">
            <v>0</v>
          </cell>
          <cell r="J71">
            <v>0</v>
          </cell>
          <cell r="K71">
            <v>0</v>
          </cell>
          <cell r="L71">
            <v>0</v>
          </cell>
          <cell r="M71" t="str">
            <v>3196483500</v>
          </cell>
          <cell r="N71" t="str">
            <v/>
          </cell>
          <cell r="O71" t="str">
            <v>3196483500</v>
          </cell>
        </row>
        <row r="72">
          <cell r="B72">
            <v>1023882611</v>
          </cell>
          <cell r="C72" t="str">
            <v xml:space="preserve">RODRIGUEZ ZEA CINDY YAZMIN </v>
          </cell>
          <cell r="D72" t="str">
            <v>OPERARIA DE ASEO Y CAFETERIA</v>
          </cell>
          <cell r="E72" t="str">
            <v>18/10/2025</v>
          </cell>
          <cell r="F72" t="str">
            <v/>
          </cell>
          <cell r="G72">
            <v>1750905</v>
          </cell>
          <cell r="H72">
            <v>0</v>
          </cell>
          <cell r="I72">
            <v>0</v>
          </cell>
          <cell r="J72">
            <v>0</v>
          </cell>
          <cell r="K72">
            <v>0</v>
          </cell>
          <cell r="L72">
            <v>0</v>
          </cell>
          <cell r="M72" t="str">
            <v/>
          </cell>
          <cell r="N72" t="str">
            <v>3013268777</v>
          </cell>
          <cell r="O72" t="str">
            <v>3206838202</v>
          </cell>
        </row>
        <row r="73">
          <cell r="B73">
            <v>28915752</v>
          </cell>
          <cell r="C73" t="str">
            <v xml:space="preserve">CALDERON APONTE YANED  </v>
          </cell>
          <cell r="D73" t="str">
            <v>OPERARIA DE ASEO Y CAFETERIA</v>
          </cell>
          <cell r="E73" t="str">
            <v>18/10/2025</v>
          </cell>
          <cell r="F73" t="str">
            <v/>
          </cell>
          <cell r="G73">
            <v>1750905</v>
          </cell>
          <cell r="H73">
            <v>0</v>
          </cell>
          <cell r="I73">
            <v>0</v>
          </cell>
          <cell r="J73">
            <v>0</v>
          </cell>
          <cell r="K73">
            <v>0</v>
          </cell>
          <cell r="L73">
            <v>0</v>
          </cell>
          <cell r="M73" t="str">
            <v>3127020342</v>
          </cell>
          <cell r="N73" t="str">
            <v>3054653641</v>
          </cell>
          <cell r="O73" t="str">
            <v>3127020342</v>
          </cell>
        </row>
        <row r="74">
          <cell r="B74">
            <v>52886419</v>
          </cell>
          <cell r="C74" t="str">
            <v xml:space="preserve">MONTEJO  LINA MARIA </v>
          </cell>
          <cell r="D74" t="str">
            <v>OPERARIA DE ASEO Y CAFETERIA</v>
          </cell>
          <cell r="E74" t="str">
            <v>18/10/2025</v>
          </cell>
          <cell r="F74" t="str">
            <v/>
          </cell>
          <cell r="G74">
            <v>1750905</v>
          </cell>
          <cell r="H74">
            <v>0</v>
          </cell>
          <cell r="I74">
            <v>0</v>
          </cell>
          <cell r="J74">
            <v>0</v>
          </cell>
          <cell r="K74">
            <v>0</v>
          </cell>
          <cell r="L74">
            <v>0</v>
          </cell>
          <cell r="M74" t="str">
            <v>3216148373</v>
          </cell>
          <cell r="N74" t="str">
            <v>3212743508</v>
          </cell>
          <cell r="O74" t="str">
            <v>3216148373</v>
          </cell>
        </row>
        <row r="75">
          <cell r="B75">
            <v>1007105867</v>
          </cell>
          <cell r="C75" t="str">
            <v xml:space="preserve">GACHA SANCHEZ NATALIA SILBINA </v>
          </cell>
          <cell r="D75" t="str">
            <v>OPERARIA DE ASEO Y CAFETERIA</v>
          </cell>
          <cell r="E75" t="str">
            <v>18/10/2025</v>
          </cell>
          <cell r="F75" t="str">
            <v/>
          </cell>
          <cell r="G75">
            <v>1750905</v>
          </cell>
          <cell r="H75">
            <v>0</v>
          </cell>
          <cell r="I75">
            <v>0</v>
          </cell>
          <cell r="J75">
            <v>0</v>
          </cell>
          <cell r="K75">
            <v>0</v>
          </cell>
          <cell r="L75">
            <v>0</v>
          </cell>
          <cell r="M75" t="str">
            <v>3209552545</v>
          </cell>
          <cell r="N75" t="str">
            <v>3001156037</v>
          </cell>
          <cell r="O75" t="str">
            <v>3209552545</v>
          </cell>
        </row>
        <row r="76">
          <cell r="B76">
            <v>52161057</v>
          </cell>
          <cell r="C76" t="str">
            <v xml:space="preserve">PENA TORRES NILSA MILENA </v>
          </cell>
          <cell r="D76" t="str">
            <v>OPERARIA DE ASEO Y CAFETERIA</v>
          </cell>
          <cell r="E76" t="str">
            <v>18/10/2025</v>
          </cell>
          <cell r="F76" t="str">
            <v/>
          </cell>
          <cell r="G76">
            <v>1750905</v>
          </cell>
          <cell r="H76">
            <v>0</v>
          </cell>
          <cell r="I76">
            <v>0</v>
          </cell>
          <cell r="J76">
            <v>0</v>
          </cell>
          <cell r="K76">
            <v>0</v>
          </cell>
          <cell r="L76">
            <v>0</v>
          </cell>
          <cell r="M76" t="str">
            <v>3125783441</v>
          </cell>
          <cell r="N76" t="str">
            <v>3212723884</v>
          </cell>
          <cell r="O76" t="str">
            <v>31257833441</v>
          </cell>
        </row>
        <row r="77">
          <cell r="B77">
            <v>64577288</v>
          </cell>
          <cell r="C77" t="str">
            <v xml:space="preserve">DIAZ RIVERA LORENA PATRICIA </v>
          </cell>
          <cell r="D77" t="str">
            <v>OPERARIA DE ASEO Y CAFETERIA</v>
          </cell>
          <cell r="E77" t="str">
            <v>18/10/2025</v>
          </cell>
          <cell r="F77" t="str">
            <v/>
          </cell>
          <cell r="G77">
            <v>1750905</v>
          </cell>
          <cell r="H77">
            <v>0</v>
          </cell>
          <cell r="I77">
            <v>0</v>
          </cell>
          <cell r="J77">
            <v>0</v>
          </cell>
          <cell r="K77">
            <v>0</v>
          </cell>
          <cell r="L77">
            <v>0</v>
          </cell>
          <cell r="M77" t="str">
            <v>3205662589</v>
          </cell>
          <cell r="N77" t="str">
            <v/>
          </cell>
          <cell r="O77" t="str">
            <v>3205662589</v>
          </cell>
        </row>
        <row r="78">
          <cell r="B78">
            <v>1128053736</v>
          </cell>
          <cell r="C78" t="str">
            <v xml:space="preserve">PAJARO PANIZZA MARIANA DEJESUS </v>
          </cell>
          <cell r="D78" t="str">
            <v>OPERARIA DE ASEO Y CAFETERIA</v>
          </cell>
          <cell r="E78" t="str">
            <v>18/10/2025</v>
          </cell>
          <cell r="F78" t="str">
            <v/>
          </cell>
          <cell r="G78">
            <v>1750905</v>
          </cell>
          <cell r="H78">
            <v>0</v>
          </cell>
          <cell r="I78">
            <v>0</v>
          </cell>
          <cell r="J78">
            <v>0</v>
          </cell>
          <cell r="K78">
            <v>0</v>
          </cell>
          <cell r="L78">
            <v>0</v>
          </cell>
          <cell r="M78" t="str">
            <v>3223884422</v>
          </cell>
          <cell r="N78" t="str">
            <v/>
          </cell>
          <cell r="O78" t="str">
            <v>3223884422</v>
          </cell>
        </row>
        <row r="79">
          <cell r="B79">
            <v>1007186304</v>
          </cell>
          <cell r="C79" t="str">
            <v xml:space="preserve">PLAZAS GARCIA MARIA CRISTINA </v>
          </cell>
          <cell r="D79" t="str">
            <v>OPERARIA DE ASEO Y CAFETERIA</v>
          </cell>
          <cell r="E79" t="str">
            <v>18/10/2025</v>
          </cell>
          <cell r="F79" t="str">
            <v/>
          </cell>
          <cell r="G79">
            <v>1750905</v>
          </cell>
          <cell r="H79">
            <v>0</v>
          </cell>
          <cell r="I79">
            <v>0</v>
          </cell>
          <cell r="J79">
            <v>0</v>
          </cell>
          <cell r="K79">
            <v>0</v>
          </cell>
          <cell r="L79">
            <v>0</v>
          </cell>
          <cell r="M79" t="str">
            <v>3506428274</v>
          </cell>
          <cell r="N79" t="str">
            <v>3132192130</v>
          </cell>
          <cell r="O79" t="str">
            <v>3506428274</v>
          </cell>
        </row>
        <row r="80">
          <cell r="B80">
            <v>1002377643</v>
          </cell>
          <cell r="C80" t="str">
            <v xml:space="preserve">MARTINEZ ORTIZ VERONICA  </v>
          </cell>
          <cell r="D80" t="str">
            <v>OPERARIA DE ASEO Y CAFETERIA</v>
          </cell>
          <cell r="E80" t="str">
            <v>18/10/2025</v>
          </cell>
          <cell r="F80" t="str">
            <v/>
          </cell>
          <cell r="G80">
            <v>1750905</v>
          </cell>
          <cell r="H80">
            <v>0</v>
          </cell>
          <cell r="I80">
            <v>0</v>
          </cell>
          <cell r="J80">
            <v>0</v>
          </cell>
          <cell r="K80">
            <v>0</v>
          </cell>
          <cell r="L80">
            <v>0</v>
          </cell>
          <cell r="M80" t="str">
            <v>3043801757</v>
          </cell>
          <cell r="N80" t="str">
            <v>3188845129</v>
          </cell>
          <cell r="O80" t="str">
            <v>3043801757</v>
          </cell>
        </row>
        <row r="81">
          <cell r="B81">
            <v>1024583299</v>
          </cell>
          <cell r="C81" t="str">
            <v xml:space="preserve">SIERRA BOTERO JENNIFER  </v>
          </cell>
          <cell r="D81" t="str">
            <v>OPERARIO DE ASEO</v>
          </cell>
          <cell r="E81" t="str">
            <v>18/10/2025</v>
          </cell>
          <cell r="F81" t="str">
            <v/>
          </cell>
          <cell r="G81">
            <v>1750905</v>
          </cell>
          <cell r="H81">
            <v>0</v>
          </cell>
          <cell r="I81">
            <v>0</v>
          </cell>
          <cell r="J81">
            <v>0</v>
          </cell>
          <cell r="K81">
            <v>0</v>
          </cell>
          <cell r="L81">
            <v>0</v>
          </cell>
          <cell r="M81" t="str">
            <v/>
          </cell>
          <cell r="N81" t="str">
            <v>3204997455</v>
          </cell>
          <cell r="O81" t="str">
            <v>3204997455</v>
          </cell>
        </row>
        <row r="82">
          <cell r="B82">
            <v>1050838828</v>
          </cell>
          <cell r="C82" t="str">
            <v xml:space="preserve">GONZALEZ CHACON KARINA  </v>
          </cell>
          <cell r="D82" t="str">
            <v>OPERARIA DE ASEO Y CAFETERIA</v>
          </cell>
          <cell r="E82" t="str">
            <v>18/10/2025</v>
          </cell>
          <cell r="F82" t="str">
            <v/>
          </cell>
          <cell r="G82">
            <v>1750905</v>
          </cell>
          <cell r="H82">
            <v>0</v>
          </cell>
          <cell r="I82">
            <v>0</v>
          </cell>
          <cell r="J82">
            <v>0</v>
          </cell>
          <cell r="K82">
            <v>0</v>
          </cell>
          <cell r="L82">
            <v>0</v>
          </cell>
          <cell r="M82" t="str">
            <v>3137051086</v>
          </cell>
          <cell r="N82" t="str">
            <v>3148574411</v>
          </cell>
          <cell r="O82" t="str">
            <v>3137051086</v>
          </cell>
        </row>
        <row r="83">
          <cell r="B83">
            <v>79449859</v>
          </cell>
          <cell r="C83" t="str">
            <v xml:space="preserve">TORRES ANGEL JOSE MANUEL </v>
          </cell>
          <cell r="D83" t="str">
            <v>OPERARIO DE MANTENIMIENTO</v>
          </cell>
          <cell r="E83" t="str">
            <v>18/10/2025</v>
          </cell>
          <cell r="F83" t="str">
            <v/>
          </cell>
          <cell r="G83">
            <v>1872060</v>
          </cell>
          <cell r="H83">
            <v>0</v>
          </cell>
          <cell r="I83">
            <v>0</v>
          </cell>
          <cell r="J83">
            <v>0</v>
          </cell>
          <cell r="K83">
            <v>0</v>
          </cell>
          <cell r="L83">
            <v>0</v>
          </cell>
          <cell r="M83" t="str">
            <v>3143305278</v>
          </cell>
          <cell r="N83" t="str">
            <v>3114512177</v>
          </cell>
          <cell r="O83" t="str">
            <v>3143305278</v>
          </cell>
        </row>
        <row r="84">
          <cell r="B84">
            <v>1102816103</v>
          </cell>
          <cell r="C84" t="str">
            <v xml:space="preserve">LEDESMA PERALTA YULISA PAOLA </v>
          </cell>
          <cell r="D84" t="str">
            <v>OPERARIA DE ASEO Y CAFETERIA</v>
          </cell>
          <cell r="E84" t="str">
            <v>18/10/2025</v>
          </cell>
          <cell r="F84" t="str">
            <v/>
          </cell>
          <cell r="G84">
            <v>1750905</v>
          </cell>
          <cell r="H84">
            <v>0</v>
          </cell>
          <cell r="I84">
            <v>0</v>
          </cell>
          <cell r="J84">
            <v>0</v>
          </cell>
          <cell r="K84">
            <v>0</v>
          </cell>
          <cell r="L84">
            <v>0</v>
          </cell>
          <cell r="M84" t="str">
            <v>3146433570</v>
          </cell>
          <cell r="N84" t="str">
            <v/>
          </cell>
          <cell r="O84" t="str">
            <v>3146433570</v>
          </cell>
        </row>
        <row r="85">
          <cell r="B85">
            <v>5483580</v>
          </cell>
          <cell r="C85" t="str">
            <v xml:space="preserve">DELGADO GUEVARA NELLYS ALEJANDRA </v>
          </cell>
          <cell r="D85" t="str">
            <v>OPERARIA DE ASEO Y CAFETERIA</v>
          </cell>
          <cell r="E85" t="str">
            <v>18/10/2025</v>
          </cell>
          <cell r="F85" t="str">
            <v/>
          </cell>
          <cell r="G85">
            <v>1750905</v>
          </cell>
          <cell r="H85">
            <v>0</v>
          </cell>
          <cell r="I85">
            <v>0</v>
          </cell>
          <cell r="J85">
            <v>0</v>
          </cell>
          <cell r="K85">
            <v>0</v>
          </cell>
          <cell r="L85">
            <v>0</v>
          </cell>
          <cell r="M85" t="str">
            <v>6013243453</v>
          </cell>
          <cell r="N85" t="str">
            <v>3243453295</v>
          </cell>
          <cell r="O85" t="str">
            <v>3243453295</v>
          </cell>
        </row>
        <row r="86">
          <cell r="B86">
            <v>39019862</v>
          </cell>
          <cell r="C86" t="str">
            <v xml:space="preserve">FLORIAN ZAMBRANO NILDA ROSA </v>
          </cell>
          <cell r="D86" t="str">
            <v>OPERARIA DE ASEO Y CAFETERIA</v>
          </cell>
          <cell r="E86" t="str">
            <v>18/10/2025</v>
          </cell>
          <cell r="F86" t="str">
            <v/>
          </cell>
          <cell r="G86">
            <v>1750905</v>
          </cell>
          <cell r="H86">
            <v>0</v>
          </cell>
          <cell r="I86">
            <v>0</v>
          </cell>
          <cell r="J86">
            <v>0</v>
          </cell>
          <cell r="K86">
            <v>0</v>
          </cell>
          <cell r="L86">
            <v>0</v>
          </cell>
          <cell r="M86" t="str">
            <v>3122993319</v>
          </cell>
          <cell r="N86" t="str">
            <v/>
          </cell>
          <cell r="O86" t="str">
            <v>3122993319</v>
          </cell>
        </row>
        <row r="87">
          <cell r="B87">
            <v>52389391</v>
          </cell>
          <cell r="C87" t="str">
            <v xml:space="preserve">JARAMILLO TOBON SIRLEY ADRIANA </v>
          </cell>
          <cell r="D87" t="str">
            <v>OPERARIA DE ASEO Y CAFETERIA</v>
          </cell>
          <cell r="E87" t="str">
            <v>18/10/2025</v>
          </cell>
          <cell r="F87" t="str">
            <v/>
          </cell>
          <cell r="G87">
            <v>1750905</v>
          </cell>
          <cell r="H87">
            <v>0</v>
          </cell>
          <cell r="I87">
            <v>0</v>
          </cell>
          <cell r="J87">
            <v>0</v>
          </cell>
          <cell r="K87">
            <v>0</v>
          </cell>
          <cell r="L87">
            <v>0</v>
          </cell>
          <cell r="M87" t="str">
            <v>3125406945</v>
          </cell>
          <cell r="N87" t="str">
            <v>6014863420</v>
          </cell>
          <cell r="O87" t="str">
            <v>3125406945</v>
          </cell>
        </row>
        <row r="88">
          <cell r="B88">
            <v>52035420</v>
          </cell>
          <cell r="C88" t="str">
            <v xml:space="preserve">PUERTO ROA ANGELICA MERCEDES </v>
          </cell>
          <cell r="D88" t="str">
            <v>OPERARIA DE ASEO Y CAFETERIA</v>
          </cell>
          <cell r="E88" t="str">
            <v>18/10/2025</v>
          </cell>
          <cell r="F88" t="str">
            <v/>
          </cell>
          <cell r="G88">
            <v>1750905</v>
          </cell>
          <cell r="H88">
            <v>0</v>
          </cell>
          <cell r="I88">
            <v>0</v>
          </cell>
          <cell r="J88">
            <v>0</v>
          </cell>
          <cell r="K88">
            <v>0</v>
          </cell>
          <cell r="L88">
            <v>0</v>
          </cell>
          <cell r="M88" t="str">
            <v>6014250328</v>
          </cell>
          <cell r="N88" t="str">
            <v>3022161300</v>
          </cell>
          <cell r="O88" t="str">
            <v>3186439873</v>
          </cell>
        </row>
        <row r="89">
          <cell r="B89">
            <v>52919244</v>
          </cell>
          <cell r="C89" t="str">
            <v xml:space="preserve">DUARTE FORERO ANA JULIA </v>
          </cell>
          <cell r="D89" t="str">
            <v>OPERARIA DE ASEO Y CAFETERIA</v>
          </cell>
          <cell r="E89" t="str">
            <v>18/10/2025</v>
          </cell>
          <cell r="F89" t="str">
            <v/>
          </cell>
          <cell r="G89">
            <v>1750905</v>
          </cell>
          <cell r="H89">
            <v>0</v>
          </cell>
          <cell r="I89">
            <v>0</v>
          </cell>
          <cell r="J89">
            <v>0</v>
          </cell>
          <cell r="K89">
            <v>0</v>
          </cell>
          <cell r="L89">
            <v>0</v>
          </cell>
          <cell r="M89" t="str">
            <v>6016774322</v>
          </cell>
          <cell r="N89" t="str">
            <v>3013083540</v>
          </cell>
          <cell r="O89" t="str">
            <v>3193470687</v>
          </cell>
        </row>
        <row r="90">
          <cell r="B90">
            <v>52762197</v>
          </cell>
          <cell r="C90" t="str">
            <v xml:space="preserve">ZAMORA ZAMORA JOHANNA  </v>
          </cell>
          <cell r="D90" t="str">
            <v>SUPERVISORA</v>
          </cell>
          <cell r="E90" t="str">
            <v>18/10/2025</v>
          </cell>
          <cell r="F90" t="str">
            <v/>
          </cell>
          <cell r="G90">
            <v>1886820</v>
          </cell>
          <cell r="H90">
            <v>182040</v>
          </cell>
          <cell r="I90">
            <v>0</v>
          </cell>
          <cell r="J90">
            <v>0</v>
          </cell>
          <cell r="K90">
            <v>127920</v>
          </cell>
          <cell r="L90">
            <v>0</v>
          </cell>
          <cell r="M90" t="str">
            <v>3507896880</v>
          </cell>
          <cell r="N90" t="str">
            <v>3227114334</v>
          </cell>
          <cell r="O90" t="str">
            <v>3507896880</v>
          </cell>
        </row>
        <row r="91">
          <cell r="B91">
            <v>1043030599</v>
          </cell>
          <cell r="C91" t="str">
            <v xml:space="preserve">ZABALA BERDUGO EMILCE ISABEL </v>
          </cell>
          <cell r="D91" t="str">
            <v>OPERARIA DE ASEO Y CAFETERIA</v>
          </cell>
          <cell r="E91" t="str">
            <v>18/10/2025</v>
          </cell>
          <cell r="F91" t="str">
            <v/>
          </cell>
          <cell r="G91">
            <v>1750905</v>
          </cell>
          <cell r="H91">
            <v>0</v>
          </cell>
          <cell r="I91">
            <v>0</v>
          </cell>
          <cell r="J91">
            <v>0</v>
          </cell>
          <cell r="K91">
            <v>0</v>
          </cell>
          <cell r="L91">
            <v>0</v>
          </cell>
          <cell r="M91" t="str">
            <v>3118562202</v>
          </cell>
          <cell r="N91" t="str">
            <v>3118889281</v>
          </cell>
          <cell r="O91" t="str">
            <v>3118562202</v>
          </cell>
        </row>
        <row r="92">
          <cell r="B92">
            <v>52351391</v>
          </cell>
          <cell r="C92" t="str">
            <v xml:space="preserve">PEREZ  SANDRA MARCELA </v>
          </cell>
          <cell r="D92" t="str">
            <v>OPERARIA DE ASEO Y CAFETERIA</v>
          </cell>
          <cell r="E92" t="str">
            <v>18/10/2025</v>
          </cell>
          <cell r="F92" t="str">
            <v/>
          </cell>
          <cell r="G92">
            <v>1750905</v>
          </cell>
          <cell r="H92">
            <v>0</v>
          </cell>
          <cell r="I92">
            <v>0</v>
          </cell>
          <cell r="J92">
            <v>0</v>
          </cell>
          <cell r="K92">
            <v>0</v>
          </cell>
          <cell r="L92">
            <v>0</v>
          </cell>
          <cell r="M92" t="str">
            <v>3046515188</v>
          </cell>
          <cell r="N92" t="str">
            <v>3176669358</v>
          </cell>
          <cell r="O92" t="str">
            <v>3046515188</v>
          </cell>
        </row>
        <row r="93">
          <cell r="B93">
            <v>1049454439</v>
          </cell>
          <cell r="C93" t="str">
            <v xml:space="preserve">POLO DIAZ QUINTY JUNIOR </v>
          </cell>
          <cell r="D93" t="str">
            <v>OPERARIO DE MANTENIMIENTO</v>
          </cell>
          <cell r="E93" t="str">
            <v>18/10/2025</v>
          </cell>
          <cell r="F93" t="str">
            <v/>
          </cell>
          <cell r="G93">
            <v>1872060</v>
          </cell>
          <cell r="H93">
            <v>0</v>
          </cell>
          <cell r="I93">
            <v>0</v>
          </cell>
          <cell r="J93">
            <v>0</v>
          </cell>
          <cell r="K93">
            <v>0</v>
          </cell>
          <cell r="L93">
            <v>0</v>
          </cell>
          <cell r="M93" t="str">
            <v>3008025152</v>
          </cell>
          <cell r="N93" t="str">
            <v>3008025152</v>
          </cell>
          <cell r="O93" t="str">
            <v>3008025152</v>
          </cell>
        </row>
        <row r="94">
          <cell r="B94">
            <v>22822421</v>
          </cell>
          <cell r="C94" t="str">
            <v xml:space="preserve">ROJAS TAFUR INDIALUZ  </v>
          </cell>
          <cell r="D94" t="str">
            <v>OPERARIA DE ASEO Y CAFETERIA</v>
          </cell>
          <cell r="E94" t="str">
            <v>18/10/2025</v>
          </cell>
          <cell r="F94" t="str">
            <v/>
          </cell>
          <cell r="G94">
            <v>1750905</v>
          </cell>
          <cell r="H94">
            <v>0</v>
          </cell>
          <cell r="I94">
            <v>0</v>
          </cell>
          <cell r="J94">
            <v>0</v>
          </cell>
          <cell r="K94">
            <v>0</v>
          </cell>
          <cell r="L94">
            <v>0</v>
          </cell>
          <cell r="M94" t="str">
            <v>3223269072</v>
          </cell>
          <cell r="N94" t="str">
            <v>3116830535</v>
          </cell>
          <cell r="O94" t="str">
            <v>3223269072</v>
          </cell>
        </row>
        <row r="95">
          <cell r="B95">
            <v>53153000</v>
          </cell>
          <cell r="C95" t="str">
            <v xml:space="preserve">ALVAREZ ALVAREZ YENI MARITZA </v>
          </cell>
          <cell r="D95" t="str">
            <v>OPERARIA DE ASEO Y CAFETERIA</v>
          </cell>
          <cell r="E95" t="str">
            <v>18/10/2025</v>
          </cell>
          <cell r="F95" t="str">
            <v/>
          </cell>
          <cell r="G95">
            <v>1750905</v>
          </cell>
          <cell r="H95">
            <v>0</v>
          </cell>
          <cell r="I95">
            <v>0</v>
          </cell>
          <cell r="J95">
            <v>0</v>
          </cell>
          <cell r="K95">
            <v>0</v>
          </cell>
          <cell r="L95">
            <v>0</v>
          </cell>
          <cell r="M95" t="str">
            <v>3124526294</v>
          </cell>
          <cell r="N95" t="str">
            <v>3219081861</v>
          </cell>
          <cell r="O95" t="str">
            <v>3124526294</v>
          </cell>
        </row>
        <row r="96">
          <cell r="B96">
            <v>52897266</v>
          </cell>
          <cell r="C96" t="str">
            <v xml:space="preserve">BERMUDEZ MARTINEZ JENNY KIMBERLY </v>
          </cell>
          <cell r="D96" t="str">
            <v>OPERARIA DE ASEO Y CAFETERIA</v>
          </cell>
          <cell r="E96" t="str">
            <v>18/10/2025</v>
          </cell>
          <cell r="F96" t="str">
            <v/>
          </cell>
          <cell r="G96">
            <v>1750905</v>
          </cell>
          <cell r="H96">
            <v>0</v>
          </cell>
          <cell r="I96">
            <v>0</v>
          </cell>
          <cell r="J96">
            <v>0</v>
          </cell>
          <cell r="K96">
            <v>0</v>
          </cell>
          <cell r="L96">
            <v>0</v>
          </cell>
          <cell r="M96" t="str">
            <v>3154173171</v>
          </cell>
          <cell r="N96" t="str">
            <v>3213796969</v>
          </cell>
          <cell r="O96" t="str">
            <v>3154173171</v>
          </cell>
        </row>
        <row r="97">
          <cell r="B97">
            <v>1019060189</v>
          </cell>
          <cell r="C97" t="str">
            <v xml:space="preserve">GUERRERO CHISABA ADRIANA ROCIO </v>
          </cell>
          <cell r="D97" t="str">
            <v>OPERARIA DE ASEO Y CAFETERIA</v>
          </cell>
          <cell r="E97" t="str">
            <v>18/10/2025</v>
          </cell>
          <cell r="F97" t="str">
            <v/>
          </cell>
          <cell r="G97">
            <v>1750905</v>
          </cell>
          <cell r="H97">
            <v>0</v>
          </cell>
          <cell r="I97">
            <v>0</v>
          </cell>
          <cell r="J97">
            <v>0</v>
          </cell>
          <cell r="K97">
            <v>0</v>
          </cell>
          <cell r="L97">
            <v>0</v>
          </cell>
          <cell r="M97" t="str">
            <v>3217036234</v>
          </cell>
          <cell r="N97" t="str">
            <v>3202683452</v>
          </cell>
          <cell r="O97" t="str">
            <v>3217036234</v>
          </cell>
        </row>
        <row r="98">
          <cell r="B98">
            <v>1020805845</v>
          </cell>
          <cell r="C98" t="str">
            <v xml:space="preserve">GOMEZ SANCHEZ ANDERSON ALEXANDER </v>
          </cell>
          <cell r="D98" t="str">
            <v>OPERARIO DE MANTENIMIENTO</v>
          </cell>
          <cell r="E98" t="str">
            <v>18/10/2025</v>
          </cell>
          <cell r="F98" t="str">
            <v/>
          </cell>
          <cell r="G98">
            <v>1872060</v>
          </cell>
          <cell r="H98">
            <v>0</v>
          </cell>
          <cell r="I98">
            <v>0</v>
          </cell>
          <cell r="J98">
            <v>0</v>
          </cell>
          <cell r="K98">
            <v>0</v>
          </cell>
          <cell r="L98">
            <v>0</v>
          </cell>
          <cell r="M98" t="str">
            <v>3228909822</v>
          </cell>
          <cell r="N98" t="str">
            <v>3024661074</v>
          </cell>
          <cell r="O98" t="str">
            <v>3228909822</v>
          </cell>
        </row>
        <row r="99">
          <cell r="B99">
            <v>1104224004</v>
          </cell>
          <cell r="C99" t="str">
            <v xml:space="preserve">SUAREZ GARCIA JUAN PABLO </v>
          </cell>
          <cell r="D99" t="str">
            <v>OPERARIO DE MANTENIMIENTO</v>
          </cell>
          <cell r="E99" t="str">
            <v>18/10/2025</v>
          </cell>
          <cell r="F99" t="str">
            <v/>
          </cell>
          <cell r="G99">
            <v>1872060</v>
          </cell>
          <cell r="H99">
            <v>0</v>
          </cell>
          <cell r="I99">
            <v>0</v>
          </cell>
          <cell r="J99">
            <v>0</v>
          </cell>
          <cell r="K99">
            <v>0</v>
          </cell>
          <cell r="L99">
            <v>0</v>
          </cell>
          <cell r="M99" t="str">
            <v>3208179264</v>
          </cell>
          <cell r="N99" t="str">
            <v>3154327534</v>
          </cell>
          <cell r="O99" t="str">
            <v>3208179264</v>
          </cell>
        </row>
        <row r="100">
          <cell r="B100">
            <v>51909861</v>
          </cell>
          <cell r="C100" t="str">
            <v xml:space="preserve">AREVALO  LUZ MIRELLA </v>
          </cell>
          <cell r="D100" t="str">
            <v>OPERARIA DE ASEO Y CAFETERIA</v>
          </cell>
          <cell r="E100" t="str">
            <v>18/10/2025</v>
          </cell>
          <cell r="F100" t="str">
            <v/>
          </cell>
          <cell r="G100">
            <v>1750905</v>
          </cell>
          <cell r="H100">
            <v>0</v>
          </cell>
          <cell r="I100">
            <v>0</v>
          </cell>
          <cell r="J100">
            <v>0</v>
          </cell>
          <cell r="K100">
            <v>0</v>
          </cell>
          <cell r="L100">
            <v>0</v>
          </cell>
          <cell r="M100" t="str">
            <v>3107691661</v>
          </cell>
          <cell r="N100" t="str">
            <v>3004197854</v>
          </cell>
          <cell r="O100" t="str">
            <v>3134433828</v>
          </cell>
        </row>
        <row r="101">
          <cell r="B101">
            <v>1026595414</v>
          </cell>
          <cell r="C101" t="str">
            <v xml:space="preserve">SOTO PACHECO BRANDON  </v>
          </cell>
          <cell r="D101" t="str">
            <v>OPERARIO DE MANTENIMIENTO</v>
          </cell>
          <cell r="E101" t="str">
            <v>18/10/2025</v>
          </cell>
          <cell r="F101" t="str">
            <v/>
          </cell>
          <cell r="G101">
            <v>1872060</v>
          </cell>
          <cell r="H101">
            <v>0</v>
          </cell>
          <cell r="I101">
            <v>0</v>
          </cell>
          <cell r="J101">
            <v>0</v>
          </cell>
          <cell r="K101">
            <v>0</v>
          </cell>
          <cell r="L101">
            <v>0</v>
          </cell>
          <cell r="M101" t="str">
            <v>3009886043</v>
          </cell>
          <cell r="N101" t="str">
            <v/>
          </cell>
          <cell r="O101" t="str">
            <v>3009886043</v>
          </cell>
        </row>
        <row r="102">
          <cell r="B102">
            <v>39799657</v>
          </cell>
          <cell r="C102" t="str">
            <v xml:space="preserve">CARO VARGAS MARIA YOLANDA </v>
          </cell>
          <cell r="D102" t="str">
            <v>OPERARIA DE ASEO Y CAFETERIA</v>
          </cell>
          <cell r="E102" t="str">
            <v>18/10/2025</v>
          </cell>
          <cell r="F102" t="str">
            <v/>
          </cell>
          <cell r="G102">
            <v>1750905</v>
          </cell>
          <cell r="H102">
            <v>0</v>
          </cell>
          <cell r="I102">
            <v>0</v>
          </cell>
          <cell r="J102">
            <v>0</v>
          </cell>
          <cell r="K102">
            <v>0</v>
          </cell>
          <cell r="L102">
            <v>0</v>
          </cell>
          <cell r="M102" t="str">
            <v>3123908254</v>
          </cell>
          <cell r="N102" t="str">
            <v>3003948299</v>
          </cell>
          <cell r="O102" t="str">
            <v>3123908254</v>
          </cell>
        </row>
        <row r="103">
          <cell r="B103">
            <v>52348638</v>
          </cell>
          <cell r="C103" t="str">
            <v xml:space="preserve">CASTRO GUTIERREZ RUTH MARINELA </v>
          </cell>
          <cell r="D103" t="str">
            <v>OPERARIA DE ASEO Y CAFETERIA</v>
          </cell>
          <cell r="E103" t="str">
            <v>18/10/2025</v>
          </cell>
          <cell r="F103" t="str">
            <v/>
          </cell>
          <cell r="G103">
            <v>1750905</v>
          </cell>
          <cell r="H103">
            <v>0</v>
          </cell>
          <cell r="I103">
            <v>0</v>
          </cell>
          <cell r="J103">
            <v>0</v>
          </cell>
          <cell r="K103">
            <v>0</v>
          </cell>
          <cell r="L103">
            <v>0</v>
          </cell>
          <cell r="M103" t="str">
            <v>3214480481</v>
          </cell>
          <cell r="N103" t="str">
            <v>3012988726</v>
          </cell>
          <cell r="O103" t="str">
            <v>3214480481</v>
          </cell>
        </row>
        <row r="104">
          <cell r="B104">
            <v>5422081</v>
          </cell>
          <cell r="C104" t="str">
            <v xml:space="preserve">DELGADO ACANDO DALIERZON MIGUEL </v>
          </cell>
          <cell r="D104" t="str">
            <v>OPERARIO DE MANTENIMIENTO</v>
          </cell>
          <cell r="E104" t="str">
            <v>18/10/2025</v>
          </cell>
          <cell r="F104" t="str">
            <v/>
          </cell>
          <cell r="G104">
            <v>1872060</v>
          </cell>
          <cell r="H104">
            <v>0</v>
          </cell>
          <cell r="I104">
            <v>0</v>
          </cell>
          <cell r="J104">
            <v>0</v>
          </cell>
          <cell r="K104">
            <v>0</v>
          </cell>
          <cell r="L104">
            <v>0</v>
          </cell>
          <cell r="M104" t="str">
            <v/>
          </cell>
          <cell r="N104" t="str">
            <v>3015621078</v>
          </cell>
          <cell r="O104" t="str">
            <v>3011176244</v>
          </cell>
        </row>
        <row r="105">
          <cell r="B105">
            <v>52937317</v>
          </cell>
          <cell r="C105" t="str">
            <v xml:space="preserve">RODRIGUEZ REYES ELENA YOHANA </v>
          </cell>
          <cell r="D105" t="str">
            <v>OPERARIA DE ASEO Y CAFETERIA</v>
          </cell>
          <cell r="E105" t="str">
            <v>18/10/2025</v>
          </cell>
          <cell r="F105" t="str">
            <v/>
          </cell>
          <cell r="G105">
            <v>1750905</v>
          </cell>
          <cell r="H105">
            <v>0</v>
          </cell>
          <cell r="I105">
            <v>0</v>
          </cell>
          <cell r="J105">
            <v>0</v>
          </cell>
          <cell r="K105">
            <v>0</v>
          </cell>
          <cell r="L105">
            <v>0</v>
          </cell>
          <cell r="M105" t="str">
            <v>6017735190</v>
          </cell>
          <cell r="N105" t="str">
            <v>3012542934</v>
          </cell>
          <cell r="O105" t="str">
            <v>3134818719</v>
          </cell>
        </row>
        <row r="106">
          <cell r="B106">
            <v>1016049175</v>
          </cell>
          <cell r="C106" t="str">
            <v xml:space="preserve">TAO ULTENGO CESAR MAURICIO </v>
          </cell>
          <cell r="D106" t="str">
            <v>OPERARIO DE MANTENIMIENTO</v>
          </cell>
          <cell r="E106" t="str">
            <v>18/10/2025</v>
          </cell>
          <cell r="F106" t="str">
            <v/>
          </cell>
          <cell r="G106">
            <v>1872060</v>
          </cell>
          <cell r="H106">
            <v>0</v>
          </cell>
          <cell r="I106">
            <v>0</v>
          </cell>
          <cell r="J106">
            <v>0</v>
          </cell>
          <cell r="K106">
            <v>0</v>
          </cell>
          <cell r="L106">
            <v>0</v>
          </cell>
          <cell r="M106" t="str">
            <v>3138228706</v>
          </cell>
          <cell r="N106" t="str">
            <v>3142788911</v>
          </cell>
          <cell r="O106" t="str">
            <v>3138228706</v>
          </cell>
        </row>
        <row r="107">
          <cell r="B107">
            <v>1023940881</v>
          </cell>
          <cell r="C107" t="str">
            <v xml:space="preserve">VALENCIA PERILLA KAREN JOHANA </v>
          </cell>
          <cell r="D107" t="str">
            <v>OPERARIA DE ASEO Y CAFETERIA</v>
          </cell>
          <cell r="E107" t="str">
            <v>18/10/2025</v>
          </cell>
          <cell r="F107" t="str">
            <v/>
          </cell>
          <cell r="G107">
            <v>1750905</v>
          </cell>
          <cell r="H107">
            <v>0</v>
          </cell>
          <cell r="I107">
            <v>0</v>
          </cell>
          <cell r="J107">
            <v>0</v>
          </cell>
          <cell r="K107">
            <v>0</v>
          </cell>
          <cell r="L107">
            <v>0</v>
          </cell>
          <cell r="M107" t="str">
            <v/>
          </cell>
          <cell r="N107" t="str">
            <v>3122503978</v>
          </cell>
          <cell r="O107" t="str">
            <v>3219453295</v>
          </cell>
        </row>
        <row r="108">
          <cell r="B108">
            <v>1003310552</v>
          </cell>
          <cell r="C108" t="str">
            <v xml:space="preserve">HERNANDEZ POLO LINDA MARCELA </v>
          </cell>
          <cell r="D108" t="str">
            <v>OPERARIA DE ASEO Y CAFETERIA</v>
          </cell>
          <cell r="E108" t="str">
            <v>18/10/2025</v>
          </cell>
          <cell r="F108" t="str">
            <v/>
          </cell>
          <cell r="G108">
            <v>1750905</v>
          </cell>
          <cell r="H108">
            <v>0</v>
          </cell>
          <cell r="I108">
            <v>0</v>
          </cell>
          <cell r="J108">
            <v>0</v>
          </cell>
          <cell r="K108">
            <v>0</v>
          </cell>
          <cell r="L108">
            <v>0</v>
          </cell>
          <cell r="M108" t="str">
            <v>3143197463</v>
          </cell>
          <cell r="N108" t="str">
            <v>3205251528</v>
          </cell>
          <cell r="O108" t="str">
            <v>3143197463</v>
          </cell>
        </row>
        <row r="109">
          <cell r="B109">
            <v>52122597</v>
          </cell>
          <cell r="C109" t="str">
            <v xml:space="preserve">ARAQUE SILVA MIRYAM  </v>
          </cell>
          <cell r="D109" t="str">
            <v>OPERARIA DE ASEO Y CAFETERIA</v>
          </cell>
          <cell r="E109" t="str">
            <v>18/10/2025</v>
          </cell>
          <cell r="F109" t="str">
            <v/>
          </cell>
          <cell r="G109">
            <v>1750905</v>
          </cell>
          <cell r="H109">
            <v>0</v>
          </cell>
          <cell r="I109">
            <v>0</v>
          </cell>
          <cell r="J109">
            <v>0</v>
          </cell>
          <cell r="K109">
            <v>0</v>
          </cell>
          <cell r="L109">
            <v>0</v>
          </cell>
          <cell r="M109" t="str">
            <v>3115155557</v>
          </cell>
          <cell r="N109" t="str">
            <v>3105678753</v>
          </cell>
          <cell r="O109" t="str">
            <v>3115155557</v>
          </cell>
        </row>
        <row r="110">
          <cell r="B110">
            <v>28115434</v>
          </cell>
          <cell r="C110" t="str">
            <v xml:space="preserve">CAMACHO TORRES MARIA EDILIA </v>
          </cell>
          <cell r="D110" t="str">
            <v>OPERARIA DE ASEO Y CAFETERIA</v>
          </cell>
          <cell r="E110" t="str">
            <v>18/10/2025</v>
          </cell>
          <cell r="F110" t="str">
            <v/>
          </cell>
          <cell r="G110">
            <v>1750905</v>
          </cell>
          <cell r="H110">
            <v>0</v>
          </cell>
          <cell r="I110">
            <v>0</v>
          </cell>
          <cell r="J110">
            <v>0</v>
          </cell>
          <cell r="K110">
            <v>0</v>
          </cell>
          <cell r="L110">
            <v>0</v>
          </cell>
          <cell r="M110" t="str">
            <v>3142957281</v>
          </cell>
          <cell r="N110" t="str">
            <v>3105523712</v>
          </cell>
          <cell r="O110" t="str">
            <v>3142957281</v>
          </cell>
        </row>
        <row r="111">
          <cell r="B111">
            <v>52112939</v>
          </cell>
          <cell r="C111" t="str">
            <v xml:space="preserve">CHAPARRO MORA GLORIA ESPERANZA </v>
          </cell>
          <cell r="D111" t="str">
            <v>OPERARIA DE ASEO Y CAFETERIA</v>
          </cell>
          <cell r="E111" t="str">
            <v>18/10/2025</v>
          </cell>
          <cell r="F111" t="str">
            <v/>
          </cell>
          <cell r="G111">
            <v>1750905</v>
          </cell>
          <cell r="H111">
            <v>0</v>
          </cell>
          <cell r="I111">
            <v>0</v>
          </cell>
          <cell r="J111">
            <v>0</v>
          </cell>
          <cell r="K111">
            <v>0</v>
          </cell>
          <cell r="L111">
            <v>0</v>
          </cell>
          <cell r="M111" t="str">
            <v>3132452944</v>
          </cell>
          <cell r="N111" t="str">
            <v>3118743574</v>
          </cell>
          <cell r="O111" t="str">
            <v>3132452944</v>
          </cell>
        </row>
        <row r="112">
          <cell r="B112">
            <v>1023891887</v>
          </cell>
          <cell r="C112" t="str">
            <v xml:space="preserve">CRUZ DIAZ KAREN DAYANA </v>
          </cell>
          <cell r="D112" t="str">
            <v>OPERARIA DE ASEO Y CAFETERIA</v>
          </cell>
          <cell r="E112" t="str">
            <v>18/10/2025</v>
          </cell>
          <cell r="F112" t="str">
            <v/>
          </cell>
          <cell r="G112">
            <v>1750905</v>
          </cell>
          <cell r="H112">
            <v>0</v>
          </cell>
          <cell r="I112">
            <v>0</v>
          </cell>
          <cell r="J112">
            <v>0</v>
          </cell>
          <cell r="K112">
            <v>0</v>
          </cell>
          <cell r="L112">
            <v>0</v>
          </cell>
          <cell r="M112" t="str">
            <v>3146834455</v>
          </cell>
          <cell r="N112" t="str">
            <v>3104448390</v>
          </cell>
          <cell r="O112" t="str">
            <v>3146834455</v>
          </cell>
        </row>
        <row r="113">
          <cell r="B113">
            <v>1023950293</v>
          </cell>
          <cell r="C113" t="str">
            <v xml:space="preserve">MADRIGAL DIAZ LUIS ENRIQUE </v>
          </cell>
          <cell r="D113" t="str">
            <v>OPERARIO DE MANTENIMIENTO</v>
          </cell>
          <cell r="E113" t="str">
            <v>18/10/2025</v>
          </cell>
          <cell r="F113" t="str">
            <v/>
          </cell>
          <cell r="G113">
            <v>1872060</v>
          </cell>
          <cell r="H113">
            <v>0</v>
          </cell>
          <cell r="I113">
            <v>0</v>
          </cell>
          <cell r="J113">
            <v>0</v>
          </cell>
          <cell r="K113">
            <v>0</v>
          </cell>
          <cell r="L113">
            <v>0</v>
          </cell>
          <cell r="M113" t="str">
            <v>6010000000</v>
          </cell>
          <cell r="N113" t="str">
            <v>3135341783</v>
          </cell>
          <cell r="O113" t="str">
            <v>3248362025</v>
          </cell>
        </row>
        <row r="114">
          <cell r="B114">
            <v>52292687</v>
          </cell>
          <cell r="C114" t="str">
            <v xml:space="preserve">TIBAQUIRA MARIA ISABEL  </v>
          </cell>
          <cell r="D114" t="str">
            <v>OPERARIA DE ASEO Y CAFETERIA</v>
          </cell>
          <cell r="E114" t="str">
            <v>18/10/2025</v>
          </cell>
          <cell r="F114" t="str">
            <v/>
          </cell>
          <cell r="G114">
            <v>1750905</v>
          </cell>
          <cell r="H114">
            <v>0</v>
          </cell>
          <cell r="I114">
            <v>0</v>
          </cell>
          <cell r="J114">
            <v>0</v>
          </cell>
          <cell r="K114">
            <v>0</v>
          </cell>
          <cell r="L114">
            <v>0</v>
          </cell>
          <cell r="M114" t="str">
            <v>3143112254</v>
          </cell>
          <cell r="N114" t="str">
            <v>3132335090</v>
          </cell>
          <cell r="O114" t="str">
            <v>3143112254</v>
          </cell>
        </row>
        <row r="115">
          <cell r="B115">
            <v>55155416</v>
          </cell>
          <cell r="C115" t="str">
            <v xml:space="preserve">OROZCO MEDINA MARTHA ROCIO </v>
          </cell>
          <cell r="D115" t="str">
            <v>OPERARIA DE ASEO Y CAFETERIA</v>
          </cell>
          <cell r="E115" t="str">
            <v>18/10/2025</v>
          </cell>
          <cell r="F115" t="str">
            <v/>
          </cell>
          <cell r="G115">
            <v>1750905</v>
          </cell>
          <cell r="H115">
            <v>0</v>
          </cell>
          <cell r="I115">
            <v>0</v>
          </cell>
          <cell r="J115">
            <v>0</v>
          </cell>
          <cell r="K115">
            <v>0</v>
          </cell>
          <cell r="L115">
            <v>0</v>
          </cell>
          <cell r="M115" t="str">
            <v>3208313300</v>
          </cell>
          <cell r="N115" t="str">
            <v/>
          </cell>
          <cell r="O115" t="str">
            <v>3208313300</v>
          </cell>
        </row>
        <row r="116">
          <cell r="B116">
            <v>37650172</v>
          </cell>
          <cell r="C116" t="str">
            <v xml:space="preserve">CABANZO LUQUE NELLY  </v>
          </cell>
          <cell r="D116" t="str">
            <v>OPERARIA DE ASEO Y CAFETERIA</v>
          </cell>
          <cell r="E116" t="str">
            <v>18/10/2025</v>
          </cell>
          <cell r="F116" t="str">
            <v/>
          </cell>
          <cell r="G116">
            <v>1750905</v>
          </cell>
          <cell r="H116">
            <v>0</v>
          </cell>
          <cell r="I116">
            <v>0</v>
          </cell>
          <cell r="J116">
            <v>0</v>
          </cell>
          <cell r="K116">
            <v>0</v>
          </cell>
          <cell r="L116">
            <v>0</v>
          </cell>
          <cell r="M116" t="str">
            <v>3192897028</v>
          </cell>
          <cell r="N116" t="str">
            <v>3196964131</v>
          </cell>
          <cell r="O116" t="str">
            <v>3192897028</v>
          </cell>
        </row>
        <row r="117">
          <cell r="B117">
            <v>21119479</v>
          </cell>
          <cell r="C117" t="str">
            <v xml:space="preserve">PANCHE SERNA ADRIANA MARIA </v>
          </cell>
          <cell r="D117" t="str">
            <v>OPERARIA DE ASEO Y CAFETERIA</v>
          </cell>
          <cell r="E117" t="str">
            <v>18/10/2025</v>
          </cell>
          <cell r="F117" t="str">
            <v/>
          </cell>
          <cell r="G117">
            <v>1750905</v>
          </cell>
          <cell r="H117">
            <v>0</v>
          </cell>
          <cell r="I117">
            <v>0</v>
          </cell>
          <cell r="J117">
            <v>0</v>
          </cell>
          <cell r="K117">
            <v>0</v>
          </cell>
          <cell r="L117">
            <v>0</v>
          </cell>
          <cell r="M117" t="str">
            <v>3102373775</v>
          </cell>
          <cell r="N117" t="str">
            <v>3045931444</v>
          </cell>
          <cell r="O117" t="str">
            <v>3102373775</v>
          </cell>
        </row>
        <row r="118">
          <cell r="B118">
            <v>1031167749</v>
          </cell>
          <cell r="C118" t="str">
            <v xml:space="preserve">DIAZ HERNANDEZ ANGIE PAOLA </v>
          </cell>
          <cell r="D118" t="str">
            <v>OPERARIA DE ASEO Y CAFETERIA</v>
          </cell>
          <cell r="E118" t="str">
            <v>18/10/2025</v>
          </cell>
          <cell r="F118" t="str">
            <v/>
          </cell>
          <cell r="G118">
            <v>1750905</v>
          </cell>
          <cell r="H118">
            <v>0</v>
          </cell>
          <cell r="I118">
            <v>0</v>
          </cell>
          <cell r="J118">
            <v>0</v>
          </cell>
          <cell r="K118">
            <v>0</v>
          </cell>
          <cell r="L118">
            <v>0</v>
          </cell>
          <cell r="M118" t="str">
            <v>3125503477</v>
          </cell>
          <cell r="N118" t="str">
            <v>3125503406</v>
          </cell>
          <cell r="O118" t="str">
            <v>3125503477</v>
          </cell>
        </row>
        <row r="119">
          <cell r="B119">
            <v>1045227589</v>
          </cell>
          <cell r="C119" t="str">
            <v xml:space="preserve">JIMENEZ POLO ANA LUCIA </v>
          </cell>
          <cell r="D119" t="str">
            <v>OPERARIA DE ASEO Y CAFETERIA</v>
          </cell>
          <cell r="E119" t="str">
            <v>18/10/2025</v>
          </cell>
          <cell r="F119" t="str">
            <v/>
          </cell>
          <cell r="G119">
            <v>1750905</v>
          </cell>
          <cell r="H119">
            <v>0</v>
          </cell>
          <cell r="I119">
            <v>0</v>
          </cell>
          <cell r="J119">
            <v>0</v>
          </cell>
          <cell r="K119">
            <v>0</v>
          </cell>
          <cell r="L119">
            <v>0</v>
          </cell>
          <cell r="M119" t="str">
            <v>3245191705</v>
          </cell>
          <cell r="N119" t="str">
            <v/>
          </cell>
          <cell r="O119" t="str">
            <v>3245191705</v>
          </cell>
        </row>
        <row r="120">
          <cell r="B120">
            <v>1012441690</v>
          </cell>
          <cell r="C120" t="str">
            <v xml:space="preserve">RUIZ TRIVINO CAMILO ANDRES </v>
          </cell>
          <cell r="D120" t="str">
            <v>OPERARIO DE MANTENIMIENTO</v>
          </cell>
          <cell r="E120" t="str">
            <v>18/10/2025</v>
          </cell>
          <cell r="F120" t="str">
            <v/>
          </cell>
          <cell r="G120">
            <v>1872060</v>
          </cell>
          <cell r="H120">
            <v>0</v>
          </cell>
          <cell r="I120">
            <v>0</v>
          </cell>
          <cell r="J120">
            <v>0</v>
          </cell>
          <cell r="K120">
            <v>0</v>
          </cell>
          <cell r="L120">
            <v>0</v>
          </cell>
          <cell r="M120" t="str">
            <v/>
          </cell>
          <cell r="N120" t="str">
            <v>3214794188</v>
          </cell>
          <cell r="O120" t="str">
            <v>3025915374</v>
          </cell>
        </row>
        <row r="121">
          <cell r="B121">
            <v>1022344041</v>
          </cell>
          <cell r="C121" t="str">
            <v xml:space="preserve">BARBOSA HERRERA DIANA MILENA </v>
          </cell>
          <cell r="D121" t="str">
            <v>OPERARIA DE ASEO Y CAFETERIA</v>
          </cell>
          <cell r="E121" t="str">
            <v>18/10/2025</v>
          </cell>
          <cell r="F121" t="str">
            <v/>
          </cell>
          <cell r="G121">
            <v>1750905</v>
          </cell>
          <cell r="H121">
            <v>0</v>
          </cell>
          <cell r="I121">
            <v>0</v>
          </cell>
          <cell r="J121">
            <v>0</v>
          </cell>
          <cell r="K121">
            <v>0</v>
          </cell>
          <cell r="L121">
            <v>0</v>
          </cell>
          <cell r="M121" t="str">
            <v>3118706732</v>
          </cell>
          <cell r="N121" t="str">
            <v/>
          </cell>
          <cell r="O121" t="str">
            <v>3118706732</v>
          </cell>
        </row>
        <row r="122">
          <cell r="B122">
            <v>1023031155</v>
          </cell>
          <cell r="C122" t="str">
            <v xml:space="preserve">CAMARGO HERNANDEZ LUISA FERNANDA </v>
          </cell>
          <cell r="D122" t="str">
            <v>OPERARIA DE ASEO Y CAFETERIA</v>
          </cell>
          <cell r="E122" t="str">
            <v>18/10/2025</v>
          </cell>
          <cell r="F122" t="str">
            <v/>
          </cell>
          <cell r="G122">
            <v>1750905</v>
          </cell>
          <cell r="H122">
            <v>0</v>
          </cell>
          <cell r="I122">
            <v>0</v>
          </cell>
          <cell r="J122">
            <v>0</v>
          </cell>
          <cell r="K122">
            <v>0</v>
          </cell>
          <cell r="L122">
            <v>0</v>
          </cell>
          <cell r="M122" t="str">
            <v>3229227877</v>
          </cell>
          <cell r="N122" t="str">
            <v>3213773020</v>
          </cell>
          <cell r="O122" t="str">
            <v>3229227877</v>
          </cell>
        </row>
        <row r="123">
          <cell r="B123">
            <v>1010217314</v>
          </cell>
          <cell r="C123" t="str">
            <v xml:space="preserve">SUAREZ SANCHEZ JOSE PARMENIO </v>
          </cell>
          <cell r="D123" t="str">
            <v>OPERARIO DE MANTENIMIENTO</v>
          </cell>
          <cell r="E123" t="str">
            <v>18/10/2025</v>
          </cell>
          <cell r="F123" t="str">
            <v/>
          </cell>
          <cell r="G123">
            <v>1872060</v>
          </cell>
          <cell r="H123">
            <v>0</v>
          </cell>
          <cell r="I123">
            <v>0</v>
          </cell>
          <cell r="J123">
            <v>0</v>
          </cell>
          <cell r="K123">
            <v>0</v>
          </cell>
          <cell r="L123">
            <v>0</v>
          </cell>
          <cell r="M123" t="str">
            <v>3213585385</v>
          </cell>
          <cell r="N123" t="str">
            <v/>
          </cell>
          <cell r="O123" t="str">
            <v>3213585385</v>
          </cell>
        </row>
        <row r="124">
          <cell r="B124">
            <v>52951248</v>
          </cell>
          <cell r="C124" t="str">
            <v xml:space="preserve">MELO PARRA EDITH JOHANNA </v>
          </cell>
          <cell r="D124" t="str">
            <v>OPERARIA DE ASEO Y CAFETERIA</v>
          </cell>
          <cell r="E124" t="str">
            <v>18/10/2025</v>
          </cell>
          <cell r="F124" t="str">
            <v/>
          </cell>
          <cell r="G124">
            <v>1750905</v>
          </cell>
          <cell r="H124">
            <v>0</v>
          </cell>
          <cell r="I124">
            <v>0</v>
          </cell>
          <cell r="J124">
            <v>0</v>
          </cell>
          <cell r="K124">
            <v>0</v>
          </cell>
          <cell r="L124">
            <v>0</v>
          </cell>
          <cell r="M124" t="str">
            <v/>
          </cell>
          <cell r="N124" t="str">
            <v>3114635106</v>
          </cell>
          <cell r="O124" t="str">
            <v>3202280367</v>
          </cell>
        </row>
        <row r="125">
          <cell r="B125">
            <v>1010219099</v>
          </cell>
          <cell r="C125" t="str">
            <v xml:space="preserve">QUINTERO  YENNY KATHERINE </v>
          </cell>
          <cell r="D125" t="str">
            <v>OPERARIA DE ASEO Y CAFETERIA</v>
          </cell>
          <cell r="E125" t="str">
            <v>18/10/2025</v>
          </cell>
          <cell r="F125" t="str">
            <v/>
          </cell>
          <cell r="G125">
            <v>1750905</v>
          </cell>
          <cell r="H125">
            <v>0</v>
          </cell>
          <cell r="I125">
            <v>0</v>
          </cell>
          <cell r="J125">
            <v>0</v>
          </cell>
          <cell r="K125">
            <v>0</v>
          </cell>
          <cell r="L125">
            <v>0</v>
          </cell>
          <cell r="M125" t="str">
            <v/>
          </cell>
          <cell r="N125" t="str">
            <v>3125941441</v>
          </cell>
          <cell r="O125" t="str">
            <v>3138720037</v>
          </cell>
        </row>
        <row r="126">
          <cell r="B126">
            <v>1020727061</v>
          </cell>
          <cell r="C126" t="str">
            <v xml:space="preserve">GIRALDO LOPEZ LUZ ESTELLA </v>
          </cell>
          <cell r="D126" t="str">
            <v>OPERARIA DE ASEO Y CAFETERIA</v>
          </cell>
          <cell r="E126" t="str">
            <v>18/10/2025</v>
          </cell>
          <cell r="F126" t="str">
            <v/>
          </cell>
          <cell r="G126">
            <v>1750905</v>
          </cell>
          <cell r="H126">
            <v>0</v>
          </cell>
          <cell r="I126">
            <v>0</v>
          </cell>
          <cell r="J126">
            <v>0</v>
          </cell>
          <cell r="K126">
            <v>0</v>
          </cell>
          <cell r="L126">
            <v>0</v>
          </cell>
          <cell r="M126" t="str">
            <v>3244809972</v>
          </cell>
          <cell r="N126" t="str">
            <v/>
          </cell>
          <cell r="O126" t="str">
            <v>3244809972</v>
          </cell>
        </row>
        <row r="127">
          <cell r="B127">
            <v>52746420</v>
          </cell>
          <cell r="C127" t="str">
            <v xml:space="preserve">REY PARDO YUDI JASBLEIDI </v>
          </cell>
          <cell r="D127" t="str">
            <v>OPERARIA DE ASEO Y CAFETERIA</v>
          </cell>
          <cell r="E127" t="str">
            <v>18/10/2025</v>
          </cell>
          <cell r="F127" t="str">
            <v/>
          </cell>
          <cell r="G127">
            <v>1750905</v>
          </cell>
          <cell r="H127">
            <v>0</v>
          </cell>
          <cell r="I127">
            <v>0</v>
          </cell>
          <cell r="J127">
            <v>0</v>
          </cell>
          <cell r="K127">
            <v>0</v>
          </cell>
          <cell r="L127">
            <v>0</v>
          </cell>
          <cell r="M127" t="str">
            <v>3103251895</v>
          </cell>
          <cell r="N127" t="str">
            <v/>
          </cell>
          <cell r="O127" t="str">
            <v>3103251895</v>
          </cell>
        </row>
        <row r="128">
          <cell r="B128">
            <v>1073668951</v>
          </cell>
          <cell r="C128" t="str">
            <v xml:space="preserve">RIVAS SOTO BRIGTIH VICTORIA </v>
          </cell>
          <cell r="D128" t="str">
            <v>OPERARIA DE ASEO Y CAFETERIA</v>
          </cell>
          <cell r="E128" t="str">
            <v>18/10/2025</v>
          </cell>
          <cell r="F128" t="str">
            <v/>
          </cell>
          <cell r="G128">
            <v>1750905</v>
          </cell>
          <cell r="H128">
            <v>0</v>
          </cell>
          <cell r="I128">
            <v>0</v>
          </cell>
          <cell r="J128">
            <v>0</v>
          </cell>
          <cell r="K128">
            <v>0</v>
          </cell>
          <cell r="L128">
            <v>0</v>
          </cell>
          <cell r="M128" t="str">
            <v/>
          </cell>
          <cell r="N128" t="str">
            <v/>
          </cell>
          <cell r="O128" t="str">
            <v>3208455267</v>
          </cell>
        </row>
        <row r="129">
          <cell r="B129">
            <v>53073073</v>
          </cell>
          <cell r="C129" t="str">
            <v xml:space="preserve">MURCIA CHICUE CONSUELO MATILDE </v>
          </cell>
          <cell r="D129" t="str">
            <v>OPERARIA DE ASEO Y CAFETERIA</v>
          </cell>
          <cell r="E129" t="str">
            <v>18/10/2025</v>
          </cell>
          <cell r="F129" t="str">
            <v/>
          </cell>
          <cell r="G129">
            <v>1750905</v>
          </cell>
          <cell r="H129">
            <v>0</v>
          </cell>
          <cell r="I129">
            <v>0</v>
          </cell>
          <cell r="J129">
            <v>0</v>
          </cell>
          <cell r="K129">
            <v>0</v>
          </cell>
          <cell r="L129">
            <v>0</v>
          </cell>
          <cell r="M129" t="str">
            <v/>
          </cell>
          <cell r="N129" t="str">
            <v>3208414643</v>
          </cell>
          <cell r="O129" t="str">
            <v>3229044250</v>
          </cell>
        </row>
        <row r="130">
          <cell r="B130">
            <v>35602050</v>
          </cell>
          <cell r="C130" t="str">
            <v xml:space="preserve">ASPRILLA LONDONO ROSAURA  </v>
          </cell>
          <cell r="D130" t="str">
            <v>OPERARIA DE ASEO Y CAFETERIA</v>
          </cell>
          <cell r="E130" t="str">
            <v>21/10/2025</v>
          </cell>
          <cell r="F130" t="str">
            <v/>
          </cell>
          <cell r="G130">
            <v>1750905</v>
          </cell>
          <cell r="H130">
            <v>0</v>
          </cell>
          <cell r="I130">
            <v>0</v>
          </cell>
          <cell r="J130">
            <v>0</v>
          </cell>
          <cell r="K130">
            <v>0</v>
          </cell>
          <cell r="L130">
            <v>0</v>
          </cell>
          <cell r="M130" t="str">
            <v>6012589645</v>
          </cell>
          <cell r="N130" t="str">
            <v>312558620</v>
          </cell>
          <cell r="O130" t="str">
            <v>3045479405</v>
          </cell>
        </row>
        <row r="131">
          <cell r="B131">
            <v>1127668946</v>
          </cell>
          <cell r="C131" t="str">
            <v xml:space="preserve">HERNANDEZ VERGARA MARILIN DEL VALLE </v>
          </cell>
          <cell r="D131" t="str">
            <v>OPERARIA DE ASEO Y CAFETERIA</v>
          </cell>
          <cell r="E131" t="str">
            <v>21/10/2025</v>
          </cell>
          <cell r="F131" t="str">
            <v/>
          </cell>
          <cell r="G131">
            <v>1750905</v>
          </cell>
          <cell r="H131">
            <v>0</v>
          </cell>
          <cell r="I131">
            <v>0</v>
          </cell>
          <cell r="J131">
            <v>0</v>
          </cell>
          <cell r="K131">
            <v>0</v>
          </cell>
          <cell r="L131">
            <v>0</v>
          </cell>
          <cell r="M131" t="str">
            <v/>
          </cell>
          <cell r="N131" t="str">
            <v>3225809923</v>
          </cell>
          <cell r="O131" t="str">
            <v>3118538436</v>
          </cell>
        </row>
        <row r="132">
          <cell r="B132">
            <v>52463545</v>
          </cell>
          <cell r="C132" t="str">
            <v xml:space="preserve">ROJAS CAMACHO SONIA YEMILE </v>
          </cell>
          <cell r="D132" t="str">
            <v>OPERARIA DE ASEO Y CAFETERIA</v>
          </cell>
          <cell r="E132" t="str">
            <v>21/10/2025</v>
          </cell>
          <cell r="F132" t="str">
            <v/>
          </cell>
          <cell r="G132">
            <v>1750905</v>
          </cell>
          <cell r="H132">
            <v>0</v>
          </cell>
          <cell r="I132">
            <v>0</v>
          </cell>
          <cell r="J132">
            <v>0</v>
          </cell>
          <cell r="K132">
            <v>0</v>
          </cell>
          <cell r="L132">
            <v>0</v>
          </cell>
          <cell r="M132" t="str">
            <v/>
          </cell>
          <cell r="N132" t="str">
            <v>3058696165</v>
          </cell>
          <cell r="O132" t="str">
            <v>3115585946</v>
          </cell>
        </row>
        <row r="133">
          <cell r="B133">
            <v>52973150</v>
          </cell>
          <cell r="C133" t="str">
            <v xml:space="preserve">YANGUMA  NINI YOANA </v>
          </cell>
          <cell r="D133" t="str">
            <v>OPERARIA DE ASEO Y CAFETERIA</v>
          </cell>
          <cell r="E133" t="str">
            <v>21/10/2025</v>
          </cell>
          <cell r="F133" t="str">
            <v/>
          </cell>
          <cell r="G133">
            <v>1750905</v>
          </cell>
          <cell r="H133">
            <v>0</v>
          </cell>
          <cell r="I133">
            <v>0</v>
          </cell>
          <cell r="J133">
            <v>0</v>
          </cell>
          <cell r="K133">
            <v>0</v>
          </cell>
          <cell r="L133">
            <v>0</v>
          </cell>
          <cell r="M133" t="str">
            <v/>
          </cell>
          <cell r="N133" t="str">
            <v>3138290467</v>
          </cell>
          <cell r="O133" t="str">
            <v>3213976040</v>
          </cell>
        </row>
        <row r="134">
          <cell r="B134">
            <v>1111335552</v>
          </cell>
          <cell r="C134" t="str">
            <v xml:space="preserve">RAMIREZ NINO ANDREA  </v>
          </cell>
          <cell r="D134" t="str">
            <v>OPERARIA DE ASEO Y CAFETERIA</v>
          </cell>
          <cell r="E134" t="str">
            <v>21/10/2025</v>
          </cell>
          <cell r="F134" t="str">
            <v/>
          </cell>
          <cell r="G134">
            <v>1750905</v>
          </cell>
          <cell r="H134">
            <v>0</v>
          </cell>
          <cell r="I134">
            <v>0</v>
          </cell>
          <cell r="J134">
            <v>0</v>
          </cell>
          <cell r="K134">
            <v>0</v>
          </cell>
          <cell r="L134">
            <v>0</v>
          </cell>
          <cell r="M134" t="str">
            <v/>
          </cell>
          <cell r="N134" t="str">
            <v>3142988758</v>
          </cell>
          <cell r="O134" t="str">
            <v>3114415852</v>
          </cell>
        </row>
        <row r="135">
          <cell r="B135">
            <v>1032395283</v>
          </cell>
          <cell r="C135" t="str">
            <v xml:space="preserve">RUIZ VALERO CAROLINA  </v>
          </cell>
          <cell r="D135" t="str">
            <v>OPERARIA DE ASEO Y CAFETERIA</v>
          </cell>
          <cell r="E135" t="str">
            <v>21/10/2025</v>
          </cell>
          <cell r="F135" t="str">
            <v/>
          </cell>
          <cell r="G135">
            <v>1750905</v>
          </cell>
          <cell r="H135">
            <v>0</v>
          </cell>
          <cell r="I135">
            <v>0</v>
          </cell>
          <cell r="J135">
            <v>0</v>
          </cell>
          <cell r="K135">
            <v>0</v>
          </cell>
          <cell r="L135">
            <v>0</v>
          </cell>
          <cell r="M135" t="str">
            <v>6018184778</v>
          </cell>
          <cell r="N135" t="str">
            <v>3022511969</v>
          </cell>
          <cell r="O135" t="str">
            <v>3229490411</v>
          </cell>
        </row>
        <row r="136">
          <cell r="B136">
            <v>52990959</v>
          </cell>
          <cell r="C136" t="str">
            <v xml:space="preserve">PRIETO BELTRAN MARIA EDIMELSA </v>
          </cell>
          <cell r="D136" t="str">
            <v>OPERARIA DE ASEO Y CAFETERIA</v>
          </cell>
          <cell r="E136" t="str">
            <v>21/10/2025</v>
          </cell>
          <cell r="F136" t="str">
            <v/>
          </cell>
          <cell r="G136">
            <v>1750905</v>
          </cell>
          <cell r="H136">
            <v>0</v>
          </cell>
          <cell r="I136">
            <v>0</v>
          </cell>
          <cell r="J136">
            <v>0</v>
          </cell>
          <cell r="K136">
            <v>0</v>
          </cell>
          <cell r="L136">
            <v>0</v>
          </cell>
          <cell r="M136" t="str">
            <v/>
          </cell>
          <cell r="N136" t="str">
            <v>3023628096</v>
          </cell>
          <cell r="O136" t="str">
            <v>3004466553</v>
          </cell>
        </row>
        <row r="137">
          <cell r="B137">
            <v>52759800</v>
          </cell>
          <cell r="C137" t="str">
            <v xml:space="preserve">CARDENAS SIERRA ANGELA VIVIANA </v>
          </cell>
          <cell r="D137" t="str">
            <v>OPERARIA DE ASEO Y CAFETERIA</v>
          </cell>
          <cell r="E137" t="str">
            <v>21/10/2025</v>
          </cell>
          <cell r="F137" t="str">
            <v/>
          </cell>
          <cell r="G137">
            <v>1750905</v>
          </cell>
          <cell r="H137">
            <v>0</v>
          </cell>
          <cell r="I137">
            <v>0</v>
          </cell>
          <cell r="J137">
            <v>0</v>
          </cell>
          <cell r="K137">
            <v>0</v>
          </cell>
          <cell r="L137">
            <v>0</v>
          </cell>
          <cell r="M137" t="str">
            <v>3213794807</v>
          </cell>
          <cell r="N137" t="str">
            <v>3125876153</v>
          </cell>
          <cell r="O137" t="str">
            <v>3213794807</v>
          </cell>
        </row>
        <row r="138">
          <cell r="B138">
            <v>63508533</v>
          </cell>
          <cell r="C138" t="str">
            <v xml:space="preserve">CELIS SANDRA VICTORIA  </v>
          </cell>
          <cell r="D138" t="str">
            <v>OPERARIA DE ASEO Y CAFETERIA</v>
          </cell>
          <cell r="E138" t="str">
            <v>21/10/2025</v>
          </cell>
          <cell r="F138" t="str">
            <v/>
          </cell>
          <cell r="G138">
            <v>1750905</v>
          </cell>
          <cell r="H138">
            <v>0</v>
          </cell>
          <cell r="I138">
            <v>0</v>
          </cell>
          <cell r="J138">
            <v>0</v>
          </cell>
          <cell r="K138">
            <v>0</v>
          </cell>
          <cell r="L138">
            <v>0</v>
          </cell>
          <cell r="M138" t="str">
            <v>6016234567</v>
          </cell>
          <cell r="N138" t="str">
            <v>3162226072</v>
          </cell>
          <cell r="O138" t="str">
            <v>3125313860</v>
          </cell>
        </row>
        <row r="139">
          <cell r="B139">
            <v>52309477</v>
          </cell>
          <cell r="C139" t="str">
            <v xml:space="preserve">PINEDA MOYA MARIA VIRGINIA </v>
          </cell>
          <cell r="D139" t="str">
            <v>OPERARIA DE ASEO Y CAFETERIA</v>
          </cell>
          <cell r="E139" t="str">
            <v>21/10/2025</v>
          </cell>
          <cell r="F139" t="str">
            <v/>
          </cell>
          <cell r="G139">
            <v>1750905</v>
          </cell>
          <cell r="H139">
            <v>0</v>
          </cell>
          <cell r="I139">
            <v>0</v>
          </cell>
          <cell r="J139">
            <v>0</v>
          </cell>
          <cell r="K139">
            <v>0</v>
          </cell>
          <cell r="L139">
            <v>0</v>
          </cell>
          <cell r="M139" t="str">
            <v>3208707869</v>
          </cell>
          <cell r="N139" t="str">
            <v>3203989628</v>
          </cell>
          <cell r="O139" t="str">
            <v>3208707869</v>
          </cell>
        </row>
        <row r="140">
          <cell r="B140">
            <v>52431371</v>
          </cell>
          <cell r="C140" t="str">
            <v xml:space="preserve">MARIN SANCHEZ LINA CLEMENCIA </v>
          </cell>
          <cell r="D140" t="str">
            <v>OPERARIA DE ASEO Y CAFETERIA</v>
          </cell>
          <cell r="E140" t="str">
            <v>22/10/2025</v>
          </cell>
          <cell r="F140" t="str">
            <v/>
          </cell>
          <cell r="G140">
            <v>1750905</v>
          </cell>
          <cell r="H140">
            <v>0</v>
          </cell>
          <cell r="I140">
            <v>0</v>
          </cell>
          <cell r="J140">
            <v>0</v>
          </cell>
          <cell r="K140">
            <v>0</v>
          </cell>
          <cell r="L140">
            <v>0</v>
          </cell>
          <cell r="M140" t="str">
            <v/>
          </cell>
          <cell r="N140" t="str">
            <v>3144550222</v>
          </cell>
          <cell r="O140" t="str">
            <v>3133094459</v>
          </cell>
        </row>
        <row r="141">
          <cell r="B141">
            <v>51990667</v>
          </cell>
          <cell r="C141" t="str">
            <v xml:space="preserve">MARTINEZ ROMERO MIRIAM  </v>
          </cell>
          <cell r="D141" t="str">
            <v>OPERARIA DE ASEO Y CAFETERIA</v>
          </cell>
          <cell r="E141" t="str">
            <v>22/10/2025</v>
          </cell>
          <cell r="F141" t="str">
            <v/>
          </cell>
          <cell r="G141">
            <v>1750905</v>
          </cell>
          <cell r="H141">
            <v>0</v>
          </cell>
          <cell r="I141">
            <v>0</v>
          </cell>
          <cell r="J141">
            <v>0</v>
          </cell>
          <cell r="K141">
            <v>0</v>
          </cell>
          <cell r="L141">
            <v>0</v>
          </cell>
          <cell r="M141" t="str">
            <v>6013180180</v>
          </cell>
          <cell r="N141" t="str">
            <v>3227162796</v>
          </cell>
          <cell r="O141" t="str">
            <v>3103180180</v>
          </cell>
        </row>
        <row r="142">
          <cell r="B142">
            <v>5090615</v>
          </cell>
          <cell r="C142" t="str">
            <v xml:space="preserve">BERMUDEZ RANGEL RONALD DAVID </v>
          </cell>
          <cell r="D142" t="str">
            <v>OPERARIO DE MANTENIMIENTO</v>
          </cell>
          <cell r="E142" t="str">
            <v>22/10/2025</v>
          </cell>
          <cell r="F142" t="str">
            <v/>
          </cell>
          <cell r="G142">
            <v>1872060</v>
          </cell>
          <cell r="H142">
            <v>0</v>
          </cell>
          <cell r="I142">
            <v>0</v>
          </cell>
          <cell r="J142">
            <v>0</v>
          </cell>
          <cell r="K142">
            <v>0</v>
          </cell>
          <cell r="L142">
            <v>0</v>
          </cell>
          <cell r="M142" t="str">
            <v/>
          </cell>
          <cell r="N142">
            <v>0</v>
          </cell>
          <cell r="O142" t="str">
            <v>3136802598</v>
          </cell>
        </row>
        <row r="143">
          <cell r="B143">
            <v>1024487831</v>
          </cell>
          <cell r="C143" t="str">
            <v xml:space="preserve">RODRIGUEZ DELGADO DIEGO ALEXANDER </v>
          </cell>
          <cell r="D143" t="str">
            <v>OPERARIO DE MANTENIMIENTO</v>
          </cell>
          <cell r="E143" t="str">
            <v>22/10/2025</v>
          </cell>
          <cell r="F143" t="str">
            <v/>
          </cell>
          <cell r="G143">
            <v>1872060</v>
          </cell>
          <cell r="H143">
            <v>0</v>
          </cell>
          <cell r="I143">
            <v>0</v>
          </cell>
          <cell r="J143">
            <v>0</v>
          </cell>
          <cell r="K143">
            <v>0</v>
          </cell>
          <cell r="L143">
            <v>0</v>
          </cell>
          <cell r="M143" t="str">
            <v/>
          </cell>
          <cell r="N143" t="str">
            <v>00000000000</v>
          </cell>
          <cell r="O143" t="str">
            <v>3138079922</v>
          </cell>
        </row>
        <row r="144">
          <cell r="B144">
            <v>80391453</v>
          </cell>
          <cell r="C144" t="str">
            <v xml:space="preserve">PULIDO GONZALEZ BERTULIO  </v>
          </cell>
          <cell r="D144" t="str">
            <v>OPERARIO DE MANTENIMIENTO</v>
          </cell>
          <cell r="E144" t="str">
            <v>22/10/2025</v>
          </cell>
          <cell r="F144" t="str">
            <v/>
          </cell>
          <cell r="G144">
            <v>1872060</v>
          </cell>
          <cell r="H144">
            <v>0</v>
          </cell>
          <cell r="I144">
            <v>0</v>
          </cell>
          <cell r="J144">
            <v>0</v>
          </cell>
          <cell r="K144">
            <v>0</v>
          </cell>
          <cell r="L144">
            <v>0</v>
          </cell>
          <cell r="M144" t="str">
            <v/>
          </cell>
          <cell r="N144" t="str">
            <v>3124128274</v>
          </cell>
          <cell r="O144" t="str">
            <v>3124113303</v>
          </cell>
        </row>
        <row r="145">
          <cell r="B145">
            <v>1010053949</v>
          </cell>
          <cell r="C145" t="str">
            <v xml:space="preserve">SARMIENTO CORREDOR DORA MARCELA </v>
          </cell>
          <cell r="D145" t="str">
            <v>OPERARIA DE ASEO Y CAFETERIA</v>
          </cell>
          <cell r="E145" t="str">
            <v>22/10/2025</v>
          </cell>
          <cell r="F145" t="str">
            <v/>
          </cell>
          <cell r="G145">
            <v>1750905</v>
          </cell>
          <cell r="H145">
            <v>0</v>
          </cell>
          <cell r="I145">
            <v>0</v>
          </cell>
          <cell r="J145">
            <v>0</v>
          </cell>
          <cell r="K145">
            <v>0</v>
          </cell>
          <cell r="L145">
            <v>0</v>
          </cell>
          <cell r="M145" t="str">
            <v/>
          </cell>
          <cell r="N145" t="str">
            <v>3017347739</v>
          </cell>
          <cell r="O145" t="str">
            <v>3017347739</v>
          </cell>
        </row>
        <row r="146">
          <cell r="B146">
            <v>65788478</v>
          </cell>
          <cell r="C146" t="str">
            <v xml:space="preserve">AROCA AROCA ANA ELIZA </v>
          </cell>
          <cell r="D146" t="str">
            <v>OPERARIA DE ASEO Y CAFETERIA</v>
          </cell>
          <cell r="E146" t="str">
            <v>22/10/2025</v>
          </cell>
          <cell r="F146" t="str">
            <v/>
          </cell>
          <cell r="G146">
            <v>1750905</v>
          </cell>
          <cell r="H146">
            <v>0</v>
          </cell>
          <cell r="I146">
            <v>0</v>
          </cell>
          <cell r="J146">
            <v>0</v>
          </cell>
          <cell r="K146">
            <v>0</v>
          </cell>
          <cell r="L146">
            <v>0</v>
          </cell>
          <cell r="M146" t="str">
            <v/>
          </cell>
          <cell r="N146" t="str">
            <v>3142484700</v>
          </cell>
          <cell r="O146" t="str">
            <v>3114512807</v>
          </cell>
        </row>
        <row r="147">
          <cell r="B147">
            <v>80443614</v>
          </cell>
          <cell r="C147" t="str">
            <v xml:space="preserve">LARA TELLEZ YESID  </v>
          </cell>
          <cell r="D147" t="str">
            <v>OPERARIO DE MANTENIMIENTO</v>
          </cell>
          <cell r="E147" t="str">
            <v>22/10/2025</v>
          </cell>
          <cell r="F147" t="str">
            <v/>
          </cell>
          <cell r="G147">
            <v>1872060</v>
          </cell>
          <cell r="H147">
            <v>0</v>
          </cell>
          <cell r="I147">
            <v>0</v>
          </cell>
          <cell r="J147">
            <v>0</v>
          </cell>
          <cell r="K147">
            <v>0</v>
          </cell>
          <cell r="L147">
            <v>0</v>
          </cell>
          <cell r="M147" t="str">
            <v/>
          </cell>
          <cell r="N147" t="str">
            <v>3135723862</v>
          </cell>
          <cell r="O147" t="str">
            <v>3042009163</v>
          </cell>
        </row>
        <row r="148">
          <cell r="B148">
            <v>42778107</v>
          </cell>
          <cell r="C148" t="str">
            <v xml:space="preserve">ORTIZ RESTREPO NANCY JANET </v>
          </cell>
          <cell r="D148" t="str">
            <v>OPERARIA DE ASEO Y CAFETERIA</v>
          </cell>
          <cell r="E148" t="str">
            <v>23/10/2025</v>
          </cell>
          <cell r="F148" t="str">
            <v/>
          </cell>
          <cell r="G148">
            <v>1750905</v>
          </cell>
          <cell r="H148">
            <v>0</v>
          </cell>
          <cell r="I148">
            <v>0</v>
          </cell>
          <cell r="J148">
            <v>0</v>
          </cell>
          <cell r="K148">
            <v>0</v>
          </cell>
          <cell r="L148">
            <v>0</v>
          </cell>
          <cell r="M148" t="str">
            <v/>
          </cell>
          <cell r="N148">
            <v>0</v>
          </cell>
          <cell r="O148" t="str">
            <v>3112552620</v>
          </cell>
        </row>
        <row r="149">
          <cell r="B149">
            <v>52064995</v>
          </cell>
          <cell r="C149" t="str">
            <v xml:space="preserve">ECHEVERRI VARGAS ELSA YOLANDA </v>
          </cell>
          <cell r="D149" t="str">
            <v>OPERARIA DE ASEO Y CAFETERIA</v>
          </cell>
          <cell r="E149" t="str">
            <v>23/10/2025</v>
          </cell>
          <cell r="F149" t="str">
            <v/>
          </cell>
          <cell r="G149">
            <v>1750905</v>
          </cell>
          <cell r="H149">
            <v>0</v>
          </cell>
          <cell r="I149">
            <v>0</v>
          </cell>
          <cell r="J149">
            <v>0</v>
          </cell>
          <cell r="K149">
            <v>0</v>
          </cell>
          <cell r="L149">
            <v>0</v>
          </cell>
          <cell r="M149" t="str">
            <v>6013682588</v>
          </cell>
          <cell r="N149" t="str">
            <v>3115020193</v>
          </cell>
          <cell r="O149" t="str">
            <v>3202003857</v>
          </cell>
        </row>
        <row r="150">
          <cell r="B150">
            <v>79633497</v>
          </cell>
          <cell r="C150" t="str">
            <v xml:space="preserve">TORRES GIRALDO JAIRO HERNAN </v>
          </cell>
          <cell r="D150" t="str">
            <v>OPERARIO DE MANTENIMIENTO</v>
          </cell>
          <cell r="E150" t="str">
            <v>23/10/2025</v>
          </cell>
          <cell r="F150" t="str">
            <v/>
          </cell>
          <cell r="G150">
            <v>1872060</v>
          </cell>
          <cell r="H150">
            <v>0</v>
          </cell>
          <cell r="I150">
            <v>0</v>
          </cell>
          <cell r="J150">
            <v>0</v>
          </cell>
          <cell r="K150">
            <v>0</v>
          </cell>
          <cell r="L150">
            <v>0</v>
          </cell>
          <cell r="M150" t="str">
            <v/>
          </cell>
          <cell r="N150" t="str">
            <v>3214480481</v>
          </cell>
          <cell r="O150" t="str">
            <v>3017371363</v>
          </cell>
        </row>
        <row r="151">
          <cell r="B151">
            <v>55305195</v>
          </cell>
          <cell r="C151" t="str">
            <v xml:space="preserve">RUDA GONZALEZ YADIRA MILAGROS </v>
          </cell>
          <cell r="D151" t="str">
            <v>OPERARIA DE ASEO Y CAFETERIA</v>
          </cell>
          <cell r="E151" t="str">
            <v>23/10/2025</v>
          </cell>
          <cell r="F151" t="str">
            <v/>
          </cell>
          <cell r="G151">
            <v>1750905</v>
          </cell>
          <cell r="H151">
            <v>0</v>
          </cell>
          <cell r="I151">
            <v>0</v>
          </cell>
          <cell r="J151">
            <v>0</v>
          </cell>
          <cell r="K151">
            <v>0</v>
          </cell>
          <cell r="L151">
            <v>0</v>
          </cell>
          <cell r="M151" t="str">
            <v>6016969796</v>
          </cell>
          <cell r="N151" t="str">
            <v>3203988900</v>
          </cell>
          <cell r="O151" t="str">
            <v>3223827570</v>
          </cell>
        </row>
        <row r="152">
          <cell r="B152">
            <v>53093292</v>
          </cell>
          <cell r="C152" t="str">
            <v xml:space="preserve">MORENO MELO YEIMI CATALINA </v>
          </cell>
          <cell r="D152" t="str">
            <v>SUPERVISOR</v>
          </cell>
          <cell r="E152" t="str">
            <v>27/10/2025</v>
          </cell>
          <cell r="F152" t="str">
            <v/>
          </cell>
          <cell r="G152">
            <v>1886820</v>
          </cell>
          <cell r="H152">
            <v>182040</v>
          </cell>
          <cell r="I152">
            <v>0</v>
          </cell>
          <cell r="J152">
            <v>0</v>
          </cell>
          <cell r="K152">
            <v>104000</v>
          </cell>
          <cell r="L152">
            <v>0</v>
          </cell>
          <cell r="M152" t="str">
            <v/>
          </cell>
          <cell r="N152" t="str">
            <v>3236455930</v>
          </cell>
          <cell r="O152" t="str">
            <v>3133337120</v>
          </cell>
        </row>
        <row r="153">
          <cell r="B153">
            <v>1010014769</v>
          </cell>
          <cell r="C153" t="str">
            <v xml:space="preserve">EPINAYU ARIAS MARIA JOSE </v>
          </cell>
          <cell r="D153" t="str">
            <v>OPERARIO DE ASEO Y CAFETERIA</v>
          </cell>
          <cell r="E153" t="str">
            <v>05/11/2025</v>
          </cell>
          <cell r="F153" t="str">
            <v/>
          </cell>
          <cell r="G153">
            <v>1750905</v>
          </cell>
          <cell r="H153">
            <v>0</v>
          </cell>
          <cell r="I153">
            <v>0</v>
          </cell>
          <cell r="J153">
            <v>0</v>
          </cell>
          <cell r="K153">
            <v>0</v>
          </cell>
          <cell r="L153">
            <v>0</v>
          </cell>
          <cell r="M153" t="str">
            <v>3243657620</v>
          </cell>
          <cell r="N153" t="str">
            <v>3202818614</v>
          </cell>
          <cell r="O153" t="str">
            <v>3243657620</v>
          </cell>
        </row>
        <row r="154">
          <cell r="B154">
            <v>53047255</v>
          </cell>
          <cell r="C154" t="str">
            <v xml:space="preserve">ROJAS  YURY ESPERANZA </v>
          </cell>
          <cell r="D154" t="str">
            <v>OPERARIO DE ASEO Y CAFETERIA</v>
          </cell>
          <cell r="E154" t="str">
            <v>05/11/2025</v>
          </cell>
          <cell r="F154" t="str">
            <v/>
          </cell>
          <cell r="G154">
            <v>1750905</v>
          </cell>
          <cell r="H154">
            <v>0</v>
          </cell>
          <cell r="I154">
            <v>0</v>
          </cell>
          <cell r="J154">
            <v>0</v>
          </cell>
          <cell r="K154">
            <v>0</v>
          </cell>
          <cell r="L154">
            <v>0</v>
          </cell>
          <cell r="M154" t="str">
            <v>3234330531</v>
          </cell>
          <cell r="N154" t="str">
            <v>3112727823</v>
          </cell>
          <cell r="O154" t="str">
            <v>3234330531</v>
          </cell>
        </row>
        <row r="155">
          <cell r="B155">
            <v>80735722</v>
          </cell>
          <cell r="C155" t="str">
            <v xml:space="preserve">BELTRAN  ANGEL ANTONIO </v>
          </cell>
          <cell r="D155" t="str">
            <v>OPERARIO DE MANTENIMIENTO</v>
          </cell>
          <cell r="E155" t="str">
            <v>13/11/2025</v>
          </cell>
          <cell r="F155" t="str">
            <v/>
          </cell>
          <cell r="G155">
            <v>1872060</v>
          </cell>
          <cell r="H155">
            <v>0</v>
          </cell>
          <cell r="I155">
            <v>0</v>
          </cell>
          <cell r="J155">
            <v>0</v>
          </cell>
          <cell r="K155">
            <v>0</v>
          </cell>
          <cell r="L155">
            <v>0</v>
          </cell>
          <cell r="M155" t="str">
            <v>6014538294</v>
          </cell>
          <cell r="N155" t="str">
            <v>3172742839</v>
          </cell>
          <cell r="O155" t="str">
            <v>3124825793</v>
          </cell>
        </row>
        <row r="156">
          <cell r="B156">
            <v>79612751</v>
          </cell>
          <cell r="C156" t="str">
            <v xml:space="preserve">RAMIREZ WILCHES FABIO  </v>
          </cell>
          <cell r="D156" t="str">
            <v>OPERARIO DE MANTENIMIENTO</v>
          </cell>
          <cell r="E156" t="str">
            <v>18/11/2025</v>
          </cell>
          <cell r="F156" t="str">
            <v/>
          </cell>
          <cell r="G156">
            <v>1872060</v>
          </cell>
          <cell r="H156">
            <v>0</v>
          </cell>
          <cell r="I156">
            <v>0</v>
          </cell>
          <cell r="J156">
            <v>0</v>
          </cell>
          <cell r="K156">
            <v>0</v>
          </cell>
          <cell r="L156">
            <v>0</v>
          </cell>
          <cell r="M156" t="str">
            <v/>
          </cell>
          <cell r="N156">
            <v>0</v>
          </cell>
          <cell r="O156" t="str">
            <v>3107679676</v>
          </cell>
        </row>
        <row r="157">
          <cell r="B157">
            <v>1010176179</v>
          </cell>
          <cell r="C157" t="str">
            <v xml:space="preserve">HERNANDEZ  CINDY LORENA </v>
          </cell>
          <cell r="D157" t="str">
            <v>SUPERNUMERARIA ASEO Y CAFETERIA</v>
          </cell>
          <cell r="E157" t="str">
            <v>01/12/2025</v>
          </cell>
          <cell r="F157" t="str">
            <v/>
          </cell>
          <cell r="G157">
            <v>1750905</v>
          </cell>
          <cell r="H157">
            <v>0</v>
          </cell>
          <cell r="I157">
            <v>0</v>
          </cell>
          <cell r="J157">
            <v>0</v>
          </cell>
          <cell r="K157">
            <v>0</v>
          </cell>
          <cell r="L157">
            <v>0</v>
          </cell>
          <cell r="M157" t="str">
            <v>6012051066</v>
          </cell>
          <cell r="N157" t="str">
            <v>3202052981</v>
          </cell>
          <cell r="O157" t="str">
            <v>3151006455</v>
          </cell>
        </row>
        <row r="158">
          <cell r="B158">
            <v>52033728</v>
          </cell>
          <cell r="C158" t="str">
            <v xml:space="preserve">PARRA ESPITIA ANGELICA  </v>
          </cell>
          <cell r="D158" t="str">
            <v>SUPERNUMERARIA ASEO Y CAFETERIA</v>
          </cell>
          <cell r="E158" t="str">
            <v>04/12/2025</v>
          </cell>
          <cell r="F158" t="str">
            <v/>
          </cell>
          <cell r="G158">
            <v>1750905</v>
          </cell>
          <cell r="H158">
            <v>0</v>
          </cell>
          <cell r="I158">
            <v>0</v>
          </cell>
          <cell r="J158">
            <v>0</v>
          </cell>
          <cell r="K158">
            <v>0</v>
          </cell>
          <cell r="L158">
            <v>0</v>
          </cell>
          <cell r="M158" t="str">
            <v/>
          </cell>
          <cell r="N158" t="str">
            <v>3124001676</v>
          </cell>
          <cell r="O158" t="str">
            <v>3187091610</v>
          </cell>
        </row>
        <row r="159">
          <cell r="B159">
            <v>39629193</v>
          </cell>
          <cell r="C159" t="str">
            <v xml:space="preserve">QUINTIN BAQUERO ELIDA KATERINE </v>
          </cell>
          <cell r="D159" t="str">
            <v>OPERARIA DE ASEO Y CAFETERIA</v>
          </cell>
          <cell r="E159" t="str">
            <v>09/12/2025</v>
          </cell>
          <cell r="F159" t="str">
            <v/>
          </cell>
          <cell r="G159">
            <v>1750905</v>
          </cell>
          <cell r="H159">
            <v>0</v>
          </cell>
          <cell r="I159">
            <v>0</v>
          </cell>
          <cell r="J159">
            <v>0</v>
          </cell>
          <cell r="K159">
            <v>0</v>
          </cell>
          <cell r="L159">
            <v>0</v>
          </cell>
          <cell r="M159" t="str">
            <v/>
          </cell>
          <cell r="N159" t="str">
            <v>3137097234</v>
          </cell>
          <cell r="O159" t="str">
            <v>3144909914</v>
          </cell>
        </row>
        <row r="160">
          <cell r="B160">
            <v>52776596</v>
          </cell>
          <cell r="C160" t="str">
            <v xml:space="preserve">CASTRO POSADA DORIS CAROLINA </v>
          </cell>
          <cell r="D160" t="str">
            <v>OPERARIA DE ASEO Y CAFETERIA</v>
          </cell>
          <cell r="E160" t="str">
            <v>09/12/2025</v>
          </cell>
          <cell r="F160" t="str">
            <v/>
          </cell>
          <cell r="G160">
            <v>1750905</v>
          </cell>
          <cell r="H160">
            <v>0</v>
          </cell>
          <cell r="I160">
            <v>0</v>
          </cell>
          <cell r="J160">
            <v>0</v>
          </cell>
          <cell r="K160">
            <v>0</v>
          </cell>
          <cell r="L160">
            <v>0</v>
          </cell>
          <cell r="M160" t="str">
            <v/>
          </cell>
          <cell r="N160">
            <v>0</v>
          </cell>
          <cell r="O160" t="str">
            <v>3138695545</v>
          </cell>
        </row>
        <row r="161">
          <cell r="B161">
            <v>79697226</v>
          </cell>
          <cell r="C161" t="str">
            <v xml:space="preserve">RIOS FRANCO HECTOR ALONSO </v>
          </cell>
          <cell r="D161" t="str">
            <v>OPERARIO DE MANTENIMIENTO</v>
          </cell>
          <cell r="E161" t="str">
            <v>10/12/2025</v>
          </cell>
          <cell r="F161" t="str">
            <v/>
          </cell>
          <cell r="G161">
            <v>1872060</v>
          </cell>
          <cell r="H161">
            <v>0</v>
          </cell>
          <cell r="I161">
            <v>0</v>
          </cell>
          <cell r="J161">
            <v>0</v>
          </cell>
          <cell r="K161">
            <v>0</v>
          </cell>
          <cell r="L161">
            <v>0</v>
          </cell>
          <cell r="M161" t="str">
            <v/>
          </cell>
          <cell r="N161" t="str">
            <v>3045452052</v>
          </cell>
          <cell r="O161" t="str">
            <v>3162682712</v>
          </cell>
        </row>
        <row r="162">
          <cell r="B162">
            <v>1000255690</v>
          </cell>
          <cell r="C162" t="str">
            <v xml:space="preserve">MORENO CASTANEDA MELANY JULIETH </v>
          </cell>
          <cell r="D162" t="str">
            <v>SUPERNUMERARIA ASEO Y CAFETERIA</v>
          </cell>
          <cell r="E162" t="str">
            <v>11/12/2025</v>
          </cell>
          <cell r="F162" t="str">
            <v/>
          </cell>
          <cell r="G162">
            <v>1750905</v>
          </cell>
          <cell r="H162">
            <v>0</v>
          </cell>
          <cell r="I162">
            <v>0</v>
          </cell>
          <cell r="J162">
            <v>0</v>
          </cell>
          <cell r="K162">
            <v>0</v>
          </cell>
          <cell r="L162">
            <v>0</v>
          </cell>
          <cell r="M162" t="str">
            <v/>
          </cell>
          <cell r="N162" t="str">
            <v>3105638823</v>
          </cell>
          <cell r="O162" t="str">
            <v>3142062934</v>
          </cell>
        </row>
        <row r="163">
          <cell r="B163">
            <v>73185010</v>
          </cell>
          <cell r="C163" t="str">
            <v xml:space="preserve">OROZCO GUALDRON DARWIN ENRIQUE </v>
          </cell>
          <cell r="D163" t="str">
            <v>OPERARIO DE MANTENIMIENTO</v>
          </cell>
          <cell r="E163" t="str">
            <v>12/12/2025</v>
          </cell>
          <cell r="F163" t="str">
            <v/>
          </cell>
          <cell r="G163">
            <v>1872060</v>
          </cell>
          <cell r="H163">
            <v>0</v>
          </cell>
          <cell r="I163">
            <v>0</v>
          </cell>
          <cell r="J163">
            <v>0</v>
          </cell>
          <cell r="K163">
            <v>0</v>
          </cell>
          <cell r="L163">
            <v>0</v>
          </cell>
          <cell r="M163" t="str">
            <v/>
          </cell>
          <cell r="N163" t="str">
            <v>3102569544</v>
          </cell>
          <cell r="O163" t="str">
            <v>3045456809</v>
          </cell>
        </row>
        <row r="164">
          <cell r="B164">
            <v>5070700</v>
          </cell>
          <cell r="C164" t="str">
            <v xml:space="preserve">MALAVE HERNANDEZ DIANA VALENTINA </v>
          </cell>
          <cell r="D164" t="str">
            <v>SUPERNUMERARIA ASEO Y CAFETERIA</v>
          </cell>
          <cell r="E164" t="str">
            <v>12/12/2025</v>
          </cell>
          <cell r="F164" t="str">
            <v/>
          </cell>
          <cell r="G164">
            <v>1750905</v>
          </cell>
          <cell r="H164">
            <v>0</v>
          </cell>
          <cell r="I164">
            <v>0</v>
          </cell>
          <cell r="J164">
            <v>0</v>
          </cell>
          <cell r="K164">
            <v>0</v>
          </cell>
          <cell r="L164">
            <v>0</v>
          </cell>
          <cell r="M164" t="str">
            <v>6013245656</v>
          </cell>
          <cell r="N164" t="str">
            <v>3245379538</v>
          </cell>
          <cell r="O164" t="str">
            <v>3008787026</v>
          </cell>
        </row>
        <row r="165">
          <cell r="B165">
            <v>52231175</v>
          </cell>
          <cell r="C165" t="str">
            <v xml:space="preserve">ABDO CORTES YANNA ZORAYA </v>
          </cell>
          <cell r="D165" t="str">
            <v>OPERARIO DE ASEO Y CAFETERIA</v>
          </cell>
          <cell r="E165" t="str">
            <v>15/12/2025</v>
          </cell>
          <cell r="F165" t="str">
            <v/>
          </cell>
          <cell r="G165">
            <v>1750905</v>
          </cell>
          <cell r="H165">
            <v>0</v>
          </cell>
          <cell r="I165">
            <v>0</v>
          </cell>
          <cell r="J165">
            <v>0</v>
          </cell>
          <cell r="K165">
            <v>0</v>
          </cell>
          <cell r="L165">
            <v>0</v>
          </cell>
          <cell r="M165" t="str">
            <v/>
          </cell>
          <cell r="N165" t="str">
            <v>3212181308</v>
          </cell>
          <cell r="O165" t="str">
            <v>3136280582</v>
          </cell>
        </row>
        <row r="166">
          <cell r="B166">
            <v>1004501396</v>
          </cell>
          <cell r="C166" t="str">
            <v xml:space="preserve">AMARIS MARTINEZ MARYURIS TATIANA </v>
          </cell>
          <cell r="D166" t="str">
            <v>OPERARIA DE ASEO Y CAFETERIA</v>
          </cell>
          <cell r="E166" t="str">
            <v>15/12/2025</v>
          </cell>
          <cell r="F166" t="str">
            <v/>
          </cell>
          <cell r="G166">
            <v>1750905</v>
          </cell>
          <cell r="H166">
            <v>0</v>
          </cell>
          <cell r="I166">
            <v>0</v>
          </cell>
          <cell r="J166">
            <v>0</v>
          </cell>
          <cell r="K166">
            <v>0</v>
          </cell>
          <cell r="L166">
            <v>0</v>
          </cell>
          <cell r="M166" t="str">
            <v/>
          </cell>
          <cell r="N166" t="str">
            <v>3135432389</v>
          </cell>
          <cell r="O166" t="str">
            <v>3008041039</v>
          </cell>
        </row>
        <row r="167">
          <cell r="B167">
            <v>1002296084</v>
          </cell>
          <cell r="C167" t="str">
            <v xml:space="preserve">TORRES AREVALO SEBASTIAN  </v>
          </cell>
          <cell r="D167" t="str">
            <v>OPERARIO DE MANTENIMIENTO</v>
          </cell>
          <cell r="E167" t="str">
            <v>15/12/2025</v>
          </cell>
          <cell r="F167" t="str">
            <v/>
          </cell>
          <cell r="G167">
            <v>1872060</v>
          </cell>
          <cell r="H167">
            <v>0</v>
          </cell>
          <cell r="I167">
            <v>0</v>
          </cell>
          <cell r="J167">
            <v>0</v>
          </cell>
          <cell r="K167">
            <v>0</v>
          </cell>
          <cell r="L167">
            <v>0</v>
          </cell>
          <cell r="M167" t="str">
            <v/>
          </cell>
          <cell r="N167" t="str">
            <v>3214622392</v>
          </cell>
          <cell r="O167" t="str">
            <v>3148873264</v>
          </cell>
        </row>
        <row r="168">
          <cell r="B168">
            <v>24716019</v>
          </cell>
          <cell r="C168" t="str">
            <v xml:space="preserve">RUBIO SANCHEZ ALISON  </v>
          </cell>
          <cell r="D168" t="str">
            <v>JARDINERO</v>
          </cell>
          <cell r="E168" t="str">
            <v>17/12/2025</v>
          </cell>
          <cell r="F168" t="str">
            <v/>
          </cell>
          <cell r="G168">
            <v>1826550</v>
          </cell>
          <cell r="H168">
            <v>0</v>
          </cell>
          <cell r="I168">
            <v>0</v>
          </cell>
          <cell r="J168">
            <v>0</v>
          </cell>
          <cell r="K168">
            <v>0</v>
          </cell>
          <cell r="L168">
            <v>0</v>
          </cell>
          <cell r="M168" t="str">
            <v/>
          </cell>
          <cell r="N168" t="str">
            <v>3229383878</v>
          </cell>
          <cell r="O168" t="str">
            <v>3018506304</v>
          </cell>
        </row>
        <row r="169">
          <cell r="B169">
            <v>1023943429</v>
          </cell>
          <cell r="C169" t="str">
            <v xml:space="preserve">AVILA SALINAS CARLOS ALBERTO </v>
          </cell>
          <cell r="D169" t="str">
            <v>OPERARIO DE MANTENIMIENTO</v>
          </cell>
          <cell r="E169" t="str">
            <v>17/12/2025</v>
          </cell>
          <cell r="F169" t="str">
            <v/>
          </cell>
          <cell r="G169">
            <v>1872060</v>
          </cell>
          <cell r="H169">
            <v>0</v>
          </cell>
          <cell r="I169">
            <v>0</v>
          </cell>
          <cell r="J169">
            <v>0</v>
          </cell>
          <cell r="K169">
            <v>0</v>
          </cell>
          <cell r="L169">
            <v>0</v>
          </cell>
          <cell r="M169" t="str">
            <v/>
          </cell>
          <cell r="N169" t="str">
            <v>3229026801</v>
          </cell>
          <cell r="O169" t="str">
            <v>3246890914</v>
          </cell>
        </row>
        <row r="170">
          <cell r="B170">
            <v>53026098</v>
          </cell>
          <cell r="C170" t="str">
            <v xml:space="preserve">GUARIN TORRES LILIANA PAOLA </v>
          </cell>
          <cell r="D170" t="str">
            <v>OPERARIA DE ASEO Y CAFETERIA</v>
          </cell>
          <cell r="E170" t="str">
            <v>02/01/2026</v>
          </cell>
          <cell r="F170" t="str">
            <v/>
          </cell>
          <cell r="G170">
            <v>1750905</v>
          </cell>
          <cell r="H170">
            <v>0</v>
          </cell>
          <cell r="I170">
            <v>0</v>
          </cell>
          <cell r="J170">
            <v>0</v>
          </cell>
          <cell r="K170">
            <v>0</v>
          </cell>
          <cell r="L170">
            <v>0</v>
          </cell>
          <cell r="M170" t="str">
            <v>6015481673</v>
          </cell>
          <cell r="N170" t="str">
            <v>3206246077</v>
          </cell>
          <cell r="O170" t="str">
            <v>3187766237</v>
          </cell>
        </row>
        <row r="171">
          <cell r="B171">
            <v>1073510783</v>
          </cell>
          <cell r="C171" t="str">
            <v xml:space="preserve">PARRADO LEYTON EDWIN  </v>
          </cell>
          <cell r="D171" t="str">
            <v>OPERARIO DE MANTENIMIENTO</v>
          </cell>
          <cell r="E171" t="str">
            <v>02/01/2026</v>
          </cell>
          <cell r="F171" t="str">
            <v/>
          </cell>
          <cell r="G171">
            <v>1872060</v>
          </cell>
          <cell r="H171">
            <v>0</v>
          </cell>
          <cell r="I171">
            <v>0</v>
          </cell>
          <cell r="J171">
            <v>0</v>
          </cell>
          <cell r="K171">
            <v>0</v>
          </cell>
          <cell r="L171">
            <v>0</v>
          </cell>
          <cell r="M171" t="str">
            <v/>
          </cell>
          <cell r="N171" t="str">
            <v>3106087893</v>
          </cell>
          <cell r="O171" t="str">
            <v>3143288879</v>
          </cell>
        </row>
        <row r="172">
          <cell r="B172">
            <v>1233911895</v>
          </cell>
          <cell r="C172" t="str">
            <v xml:space="preserve">BAQUERO ORTIZ LUISA FERNANDA </v>
          </cell>
          <cell r="D172" t="str">
            <v>OPERARIA DE ASEO Y CAFETERIA</v>
          </cell>
          <cell r="E172" t="str">
            <v>02/01/2026</v>
          </cell>
          <cell r="F172" t="str">
            <v/>
          </cell>
          <cell r="G172">
            <v>1750905</v>
          </cell>
          <cell r="H172">
            <v>0</v>
          </cell>
          <cell r="I172">
            <v>0</v>
          </cell>
          <cell r="J172">
            <v>0</v>
          </cell>
          <cell r="K172">
            <v>0</v>
          </cell>
          <cell r="L172">
            <v>0</v>
          </cell>
          <cell r="M172" t="str">
            <v>6014556754</v>
          </cell>
          <cell r="N172" t="str">
            <v>3105557685</v>
          </cell>
          <cell r="O172" t="str">
            <v>3005075170</v>
          </cell>
        </row>
        <row r="173">
          <cell r="B173">
            <v>91438948</v>
          </cell>
          <cell r="C173" t="str">
            <v xml:space="preserve">GIL RANGEL WILSON  </v>
          </cell>
          <cell r="D173" t="str">
            <v>OPERARIO DE MANTENIMIENTO</v>
          </cell>
          <cell r="E173" t="str">
            <v>06/01/2026</v>
          </cell>
          <cell r="F173" t="str">
            <v/>
          </cell>
          <cell r="G173">
            <v>1872060</v>
          </cell>
          <cell r="H173">
            <v>0</v>
          </cell>
          <cell r="I173">
            <v>0</v>
          </cell>
          <cell r="J173">
            <v>0</v>
          </cell>
          <cell r="K173">
            <v>0</v>
          </cell>
          <cell r="L173">
            <v>0</v>
          </cell>
          <cell r="M173" t="str">
            <v/>
          </cell>
          <cell r="N173" t="str">
            <v>3028664973</v>
          </cell>
          <cell r="O173" t="str">
            <v>3133500092</v>
          </cell>
        </row>
        <row r="174">
          <cell r="B174">
            <v>1023963907</v>
          </cell>
          <cell r="C174" t="str">
            <v xml:space="preserve">HERNANDEZ GRANADOS ASLY TATIANA </v>
          </cell>
          <cell r="D174" t="str">
            <v>OPERARIA DE ASEO Y CAFETERIA</v>
          </cell>
          <cell r="E174" t="str">
            <v>06/01/2026</v>
          </cell>
          <cell r="F174" t="str">
            <v/>
          </cell>
          <cell r="G174">
            <v>1750905</v>
          </cell>
          <cell r="H174">
            <v>0</v>
          </cell>
          <cell r="I174">
            <v>0</v>
          </cell>
          <cell r="J174">
            <v>0</v>
          </cell>
          <cell r="K174">
            <v>0</v>
          </cell>
          <cell r="L174">
            <v>0</v>
          </cell>
          <cell r="M174" t="str">
            <v/>
          </cell>
          <cell r="N174" t="str">
            <v>3106890634</v>
          </cell>
          <cell r="O174" t="str">
            <v>3219123660</v>
          </cell>
        </row>
        <row r="175">
          <cell r="B175">
            <v>1023934402</v>
          </cell>
          <cell r="C175" t="str">
            <v xml:space="preserve">TORRES SOTO MARIA TERESA </v>
          </cell>
          <cell r="D175" t="str">
            <v>OPERARIA DE ASEO Y CAFETERIA</v>
          </cell>
          <cell r="E175" t="str">
            <v>06/01/2026</v>
          </cell>
          <cell r="F175" t="str">
            <v/>
          </cell>
          <cell r="G175">
            <v>1750905</v>
          </cell>
          <cell r="H175">
            <v>0</v>
          </cell>
          <cell r="I175">
            <v>0</v>
          </cell>
          <cell r="J175">
            <v>0</v>
          </cell>
          <cell r="K175">
            <v>0</v>
          </cell>
          <cell r="L175">
            <v>0</v>
          </cell>
          <cell r="M175" t="str">
            <v/>
          </cell>
          <cell r="N175" t="str">
            <v>3108685590</v>
          </cell>
          <cell r="O175" t="str">
            <v>3003866003</v>
          </cell>
        </row>
        <row r="176">
          <cell r="B176">
            <v>1032438600</v>
          </cell>
          <cell r="C176" t="str">
            <v xml:space="preserve">PATINO MONTANO ZULY MARCELA </v>
          </cell>
          <cell r="D176" t="str">
            <v>OPERARIA DE ASEO Y CAFETERIA</v>
          </cell>
          <cell r="E176" t="str">
            <v>06/01/2026</v>
          </cell>
          <cell r="F176" t="str">
            <v/>
          </cell>
          <cell r="G176">
            <v>1750905</v>
          </cell>
          <cell r="H176">
            <v>0</v>
          </cell>
          <cell r="I176">
            <v>0</v>
          </cell>
          <cell r="J176">
            <v>0</v>
          </cell>
          <cell r="K176">
            <v>0</v>
          </cell>
          <cell r="L176">
            <v>0</v>
          </cell>
          <cell r="M176" t="str">
            <v/>
          </cell>
          <cell r="N176" t="str">
            <v>3004949758</v>
          </cell>
          <cell r="O176" t="str">
            <v>3004963232</v>
          </cell>
        </row>
        <row r="177">
          <cell r="B177">
            <v>1020781448</v>
          </cell>
          <cell r="C177" t="str">
            <v xml:space="preserve">CALDERON MEDRANO MARIA ALEJANDRA </v>
          </cell>
          <cell r="D177" t="str">
            <v>OPERARIA DE ASEO Y CAFETERIA</v>
          </cell>
          <cell r="E177" t="str">
            <v>06/01/2026</v>
          </cell>
          <cell r="F177" t="str">
            <v/>
          </cell>
          <cell r="G177">
            <v>1750905</v>
          </cell>
          <cell r="H177">
            <v>0</v>
          </cell>
          <cell r="I177">
            <v>0</v>
          </cell>
          <cell r="J177">
            <v>0</v>
          </cell>
          <cell r="K177">
            <v>0</v>
          </cell>
          <cell r="L177">
            <v>0</v>
          </cell>
          <cell r="M177" t="str">
            <v/>
          </cell>
          <cell r="N177" t="str">
            <v>3182300494</v>
          </cell>
          <cell r="O177" t="str">
            <v>3234039310</v>
          </cell>
        </row>
        <row r="178">
          <cell r="B178">
            <v>1004536224</v>
          </cell>
          <cell r="C178" t="str">
            <v xml:space="preserve">YESQUEN SINISTERRA XIMENA  </v>
          </cell>
          <cell r="D178" t="str">
            <v>OPERARIA DE ASEO Y CAFETERIA</v>
          </cell>
          <cell r="E178" t="str">
            <v>06/01/2026</v>
          </cell>
          <cell r="F178" t="str">
            <v/>
          </cell>
          <cell r="G178">
            <v>1750905</v>
          </cell>
          <cell r="H178">
            <v>0</v>
          </cell>
          <cell r="I178">
            <v>0</v>
          </cell>
          <cell r="J178">
            <v>0</v>
          </cell>
          <cell r="K178">
            <v>0</v>
          </cell>
          <cell r="L178">
            <v>0</v>
          </cell>
          <cell r="M178" t="str">
            <v>6017943020</v>
          </cell>
          <cell r="N178" t="str">
            <v>3113176226</v>
          </cell>
          <cell r="O178" t="str">
            <v>3232931329</v>
          </cell>
        </row>
        <row r="179">
          <cell r="B179">
            <v>1000596462</v>
          </cell>
          <cell r="C179" t="str">
            <v xml:space="preserve">HERNANDEZ LUGO YADY ALEJANDRA </v>
          </cell>
          <cell r="D179" t="str">
            <v>OPERARIA DE ASEO Y CAFETERIA</v>
          </cell>
          <cell r="E179" t="str">
            <v>14/01/2026</v>
          </cell>
          <cell r="F179" t="str">
            <v/>
          </cell>
          <cell r="G179">
            <v>1750905</v>
          </cell>
          <cell r="H179">
            <v>0</v>
          </cell>
          <cell r="I179">
            <v>0</v>
          </cell>
          <cell r="J179">
            <v>0</v>
          </cell>
          <cell r="K179">
            <v>0</v>
          </cell>
          <cell r="L179">
            <v>0</v>
          </cell>
          <cell r="M179" t="str">
            <v/>
          </cell>
          <cell r="N179" t="str">
            <v>3177145730</v>
          </cell>
          <cell r="O179" t="str">
            <v>3112302469</v>
          </cell>
        </row>
        <row r="180">
          <cell r="B180">
            <v>53892166</v>
          </cell>
          <cell r="C180" t="str">
            <v xml:space="preserve">LOPEZ REINA YENNY ANDREA </v>
          </cell>
          <cell r="D180" t="str">
            <v>OPERARIA DE ASEO Y CAFETERIA</v>
          </cell>
          <cell r="E180" t="str">
            <v>14/01/2026</v>
          </cell>
          <cell r="F180" t="str">
            <v/>
          </cell>
          <cell r="G180">
            <v>1750905</v>
          </cell>
          <cell r="H180">
            <v>0</v>
          </cell>
          <cell r="I180">
            <v>0</v>
          </cell>
          <cell r="J180">
            <v>0</v>
          </cell>
          <cell r="K180">
            <v>0</v>
          </cell>
          <cell r="L180">
            <v>0</v>
          </cell>
          <cell r="M180" t="str">
            <v>6017126241</v>
          </cell>
          <cell r="N180" t="str">
            <v>3054208502</v>
          </cell>
          <cell r="O180" t="str">
            <v>3102772175</v>
          </cell>
        </row>
        <row r="181">
          <cell r="B181">
            <v>72428676</v>
          </cell>
          <cell r="C181" t="str">
            <v xml:space="preserve">MANOTAS SERNA DAVID ENRIQUE </v>
          </cell>
          <cell r="D181" t="str">
            <v>JARDINERO</v>
          </cell>
          <cell r="E181" t="str">
            <v>14/01/2026</v>
          </cell>
          <cell r="F181" t="str">
            <v/>
          </cell>
          <cell r="G181">
            <v>1826550</v>
          </cell>
          <cell r="H181">
            <v>0</v>
          </cell>
          <cell r="I181">
            <v>0</v>
          </cell>
          <cell r="J181">
            <v>0</v>
          </cell>
          <cell r="K181">
            <v>0</v>
          </cell>
          <cell r="L181">
            <v>0</v>
          </cell>
          <cell r="M181" t="str">
            <v/>
          </cell>
          <cell r="N181" t="str">
            <v>3015737737</v>
          </cell>
          <cell r="O181" t="str">
            <v>3002072224</v>
          </cell>
        </row>
        <row r="182">
          <cell r="B182">
            <v>53002582</v>
          </cell>
          <cell r="C182" t="str">
            <v xml:space="preserve">RAMIREZ ALZATE MONICA ALEXANDRA </v>
          </cell>
          <cell r="D182" t="str">
            <v>OPERARIA DE ASEO Y CAFETERIA</v>
          </cell>
          <cell r="E182" t="str">
            <v>16/01/2026</v>
          </cell>
          <cell r="F182" t="str">
            <v/>
          </cell>
          <cell r="G182">
            <v>1750905</v>
          </cell>
          <cell r="H182">
            <v>0</v>
          </cell>
          <cell r="I182">
            <v>0</v>
          </cell>
          <cell r="J182">
            <v>0</v>
          </cell>
          <cell r="K182">
            <v>0</v>
          </cell>
          <cell r="L182">
            <v>0</v>
          </cell>
          <cell r="M182" t="str">
            <v/>
          </cell>
          <cell r="N182" t="str">
            <v>3103427885</v>
          </cell>
          <cell r="O182" t="str">
            <v>3005713443</v>
          </cell>
        </row>
        <row r="183">
          <cell r="B183">
            <v>1233899199</v>
          </cell>
          <cell r="C183" t="str">
            <v xml:space="preserve">MATIZ CANTOR ERIKA PAMELA </v>
          </cell>
          <cell r="D183" t="str">
            <v>OPERARIA DE ASEO Y CAFETERIA</v>
          </cell>
          <cell r="E183" t="str">
            <v>19/01/2026</v>
          </cell>
          <cell r="F183" t="str">
            <v/>
          </cell>
          <cell r="G183">
            <v>1750905</v>
          </cell>
          <cell r="H183">
            <v>0</v>
          </cell>
          <cell r="I183">
            <v>0</v>
          </cell>
          <cell r="J183">
            <v>0</v>
          </cell>
          <cell r="K183">
            <v>0</v>
          </cell>
          <cell r="L183">
            <v>0</v>
          </cell>
          <cell r="M183" t="str">
            <v/>
          </cell>
          <cell r="N183" t="str">
            <v>3153725209</v>
          </cell>
          <cell r="O183" t="str">
            <v>3102935990</v>
          </cell>
        </row>
        <row r="184">
          <cell r="B184">
            <v>80166999</v>
          </cell>
          <cell r="C184" t="str">
            <v xml:space="preserve">VELOZA GALINDO RODRIGO  </v>
          </cell>
          <cell r="D184" t="str">
            <v>SUPERVISOR</v>
          </cell>
          <cell r="E184" t="str">
            <v>22/01/2026</v>
          </cell>
          <cell r="F184" t="str">
            <v/>
          </cell>
          <cell r="G184">
            <v>1886820</v>
          </cell>
          <cell r="H184">
            <v>182040</v>
          </cell>
          <cell r="I184">
            <v>0</v>
          </cell>
          <cell r="J184">
            <v>0</v>
          </cell>
          <cell r="K184">
            <v>127920</v>
          </cell>
          <cell r="L184">
            <v>0</v>
          </cell>
          <cell r="M184" t="str">
            <v>6013233204</v>
          </cell>
          <cell r="N184" t="str">
            <v>3135238594</v>
          </cell>
          <cell r="O184" t="str">
            <v>3233204212</v>
          </cell>
        </row>
        <row r="185">
          <cell r="B185">
            <v>52118270</v>
          </cell>
          <cell r="C185" t="str">
            <v xml:space="preserve">ROJAS MARTINEZ MARIA CONSUELO </v>
          </cell>
          <cell r="D185" t="str">
            <v>SUPERNUMERARIAS DE ASEO Y CAFETERIA</v>
          </cell>
          <cell r="E185" t="str">
            <v>02/02/2026</v>
          </cell>
          <cell r="F185" t="str">
            <v/>
          </cell>
          <cell r="G185">
            <v>1750905</v>
          </cell>
          <cell r="H185">
            <v>0</v>
          </cell>
          <cell r="I185">
            <v>0</v>
          </cell>
          <cell r="J185">
            <v>0</v>
          </cell>
          <cell r="K185">
            <v>0</v>
          </cell>
          <cell r="L185">
            <v>0</v>
          </cell>
          <cell r="M185" t="str">
            <v/>
          </cell>
          <cell r="N185" t="str">
            <v>3142416198</v>
          </cell>
          <cell r="O185" t="str">
            <v>3125374289</v>
          </cell>
        </row>
        <row r="186">
          <cell r="B186">
            <v>1023917280</v>
          </cell>
          <cell r="C186" t="str">
            <v xml:space="preserve">BERNAL HOYOS EDNA  </v>
          </cell>
          <cell r="D186" t="str">
            <v>SUPERVISOR</v>
          </cell>
          <cell r="E186" t="str">
            <v>02/02/2026</v>
          </cell>
          <cell r="F186" t="str">
            <v/>
          </cell>
          <cell r="G186">
            <v>1886820</v>
          </cell>
          <cell r="H186">
            <v>182040</v>
          </cell>
          <cell r="I186">
            <v>0</v>
          </cell>
          <cell r="J186">
            <v>0</v>
          </cell>
          <cell r="K186">
            <v>127920</v>
          </cell>
          <cell r="L186">
            <v>0</v>
          </cell>
          <cell r="M186" t="str">
            <v/>
          </cell>
          <cell r="N186" t="str">
            <v>3106085099</v>
          </cell>
          <cell r="O186" t="str">
            <v>3112290273</v>
          </cell>
        </row>
        <row r="187">
          <cell r="B187">
            <v>1087206496</v>
          </cell>
          <cell r="C187" t="str">
            <v xml:space="preserve">CASTILLO GONZALEZ JENIFER TATIANA </v>
          </cell>
          <cell r="D187" t="str">
            <v>OPERARIAS DE ASEO Y CAFETERIA</v>
          </cell>
          <cell r="E187" t="str">
            <v>12/02/2026</v>
          </cell>
          <cell r="F187" t="str">
            <v/>
          </cell>
          <cell r="G187">
            <v>1750905</v>
          </cell>
          <cell r="H187">
            <v>0</v>
          </cell>
          <cell r="I187">
            <v>0</v>
          </cell>
          <cell r="J187">
            <v>0</v>
          </cell>
          <cell r="K187">
            <v>0</v>
          </cell>
          <cell r="L187">
            <v>0</v>
          </cell>
          <cell r="M187" t="str">
            <v/>
          </cell>
          <cell r="N187" t="str">
            <v>3219155956</v>
          </cell>
          <cell r="O187" t="str">
            <v>3504640587</v>
          </cell>
        </row>
        <row r="188">
          <cell r="B188">
            <v>1052077081</v>
          </cell>
          <cell r="C188" t="str">
            <v xml:space="preserve">TORRES MONTES DIANA PAOLA </v>
          </cell>
          <cell r="D188" t="str">
            <v>OPERARIA DE ASEO Y CAFETERIA</v>
          </cell>
          <cell r="E188" t="str">
            <v>25/02/2026</v>
          </cell>
          <cell r="F188" t="str">
            <v/>
          </cell>
          <cell r="G188">
            <v>1750905</v>
          </cell>
          <cell r="H188">
            <v>0</v>
          </cell>
          <cell r="I188">
            <v>0</v>
          </cell>
          <cell r="J188">
            <v>0</v>
          </cell>
          <cell r="K188">
            <v>0</v>
          </cell>
          <cell r="L188">
            <v>0</v>
          </cell>
          <cell r="M188" t="str">
            <v/>
          </cell>
          <cell r="N188" t="str">
            <v>3021091882</v>
          </cell>
          <cell r="O188" t="str">
            <v>3506655015</v>
          </cell>
        </row>
        <row r="189">
          <cell r="B189">
            <v>1196963427</v>
          </cell>
          <cell r="C189" t="str">
            <v xml:space="preserve">VELASQUEZ ARIAS NATALIA ISABEL </v>
          </cell>
          <cell r="D189" t="str">
            <v>OPERARIA DE ASEO Y CAFETERIA</v>
          </cell>
          <cell r="E189" t="str">
            <v>25/02/2026</v>
          </cell>
          <cell r="F189" t="str">
            <v/>
          </cell>
          <cell r="G189">
            <v>1750905</v>
          </cell>
          <cell r="H189">
            <v>0</v>
          </cell>
          <cell r="I189">
            <v>0</v>
          </cell>
          <cell r="J189">
            <v>0</v>
          </cell>
          <cell r="K189">
            <v>0</v>
          </cell>
          <cell r="L189">
            <v>0</v>
          </cell>
          <cell r="M189" t="str">
            <v/>
          </cell>
          <cell r="N189" t="str">
            <v>2043991064</v>
          </cell>
          <cell r="O189" t="str">
            <v>3014711213</v>
          </cell>
        </row>
        <row r="190">
          <cell r="B190">
            <v>28868060</v>
          </cell>
          <cell r="C190" t="str">
            <v xml:space="preserve">MONTIEL MENDEZ ANA MARIA </v>
          </cell>
          <cell r="D190" t="str">
            <v>OPERARIA DE ASEO Y CAFETERIA</v>
          </cell>
          <cell r="E190" t="str">
            <v>24/03/2026</v>
          </cell>
          <cell r="F190" t="str">
            <v/>
          </cell>
          <cell r="G190">
            <v>1750905</v>
          </cell>
          <cell r="H190">
            <v>0</v>
          </cell>
          <cell r="I190">
            <v>0</v>
          </cell>
          <cell r="J190">
            <v>0</v>
          </cell>
          <cell r="K190">
            <v>0</v>
          </cell>
          <cell r="L190">
            <v>0</v>
          </cell>
          <cell r="M190" t="str">
            <v/>
          </cell>
          <cell r="N190" t="str">
            <v>3143278175</v>
          </cell>
          <cell r="O190" t="str">
            <v>3123627867</v>
          </cell>
        </row>
        <row r="191">
          <cell r="B191">
            <v>53128765</v>
          </cell>
          <cell r="C191" t="str">
            <v xml:space="preserve">PULIDO PULIDO HEIDY ANDREA </v>
          </cell>
          <cell r="D191" t="str">
            <v>OPERARIA DE ASEO Y CAFETERIA</v>
          </cell>
          <cell r="E191" t="str">
            <v>25/03/2026</v>
          </cell>
          <cell r="F191" t="str">
            <v/>
          </cell>
          <cell r="G191">
            <v>1750905</v>
          </cell>
          <cell r="H191">
            <v>0</v>
          </cell>
          <cell r="I191">
            <v>0</v>
          </cell>
          <cell r="J191">
            <v>0</v>
          </cell>
          <cell r="K191">
            <v>0</v>
          </cell>
          <cell r="L191">
            <v>0</v>
          </cell>
          <cell r="M191" t="str">
            <v/>
          </cell>
          <cell r="N191" t="str">
            <v>3103698483</v>
          </cell>
          <cell r="O191" t="str">
            <v>3114769963</v>
          </cell>
        </row>
        <row r="192">
          <cell r="B192">
            <v>1033773795</v>
          </cell>
          <cell r="C192" t="str">
            <v xml:space="preserve">BARRERA  INGRI  </v>
          </cell>
          <cell r="D192" t="str">
            <v>OPERARIA DE ASEO Y CAFETERIA</v>
          </cell>
          <cell r="E192" t="str">
            <v>25/03/2026</v>
          </cell>
          <cell r="F192" t="str">
            <v/>
          </cell>
          <cell r="G192">
            <v>1750905</v>
          </cell>
          <cell r="H192">
            <v>0</v>
          </cell>
          <cell r="I192">
            <v>0</v>
          </cell>
          <cell r="J192">
            <v>0</v>
          </cell>
          <cell r="K192">
            <v>0</v>
          </cell>
          <cell r="L192">
            <v>0</v>
          </cell>
          <cell r="M192" t="str">
            <v>6017548998</v>
          </cell>
          <cell r="N192" t="str">
            <v>3105668800</v>
          </cell>
          <cell r="O192" t="str">
            <v>3108832491</v>
          </cell>
        </row>
        <row r="193">
          <cell r="B193">
            <v>52582054</v>
          </cell>
          <cell r="C193" t="str">
            <v xml:space="preserve">RODRIGUEZ CASTILLO ELIZABETH  </v>
          </cell>
          <cell r="D193" t="str">
            <v>OPERARIA DE ASEO Y CAFETERIA</v>
          </cell>
          <cell r="E193" t="str">
            <v>26/03/2026</v>
          </cell>
          <cell r="F193" t="str">
            <v/>
          </cell>
          <cell r="G193">
            <v>1750905</v>
          </cell>
          <cell r="H193">
            <v>0</v>
          </cell>
          <cell r="I193">
            <v>0</v>
          </cell>
          <cell r="J193">
            <v>0</v>
          </cell>
          <cell r="K193">
            <v>0</v>
          </cell>
          <cell r="L193">
            <v>0</v>
          </cell>
          <cell r="M193" t="str">
            <v/>
          </cell>
          <cell r="N193" t="str">
            <v>3202035194</v>
          </cell>
          <cell r="O193" t="str">
            <v>3125181881</v>
          </cell>
        </row>
        <row r="194">
          <cell r="B194">
            <v>80802120</v>
          </cell>
          <cell r="C194" t="str">
            <v xml:space="preserve">RUIZ PENA DIEGO ARMANDO </v>
          </cell>
          <cell r="D194" t="str">
            <v>OPERARIO DE MANTENIMIENTO</v>
          </cell>
          <cell r="E194" t="str">
            <v>06/04/2026</v>
          </cell>
          <cell r="F194" t="str">
            <v/>
          </cell>
          <cell r="G194">
            <v>1872060</v>
          </cell>
          <cell r="H194">
            <v>0</v>
          </cell>
          <cell r="I194">
            <v>0</v>
          </cell>
          <cell r="J194">
            <v>0</v>
          </cell>
          <cell r="K194">
            <v>0</v>
          </cell>
          <cell r="L194">
            <v>0</v>
          </cell>
          <cell r="M194" t="str">
            <v/>
          </cell>
          <cell r="N194" t="str">
            <v>3017715438</v>
          </cell>
          <cell r="O194" t="str">
            <v>3054585093</v>
          </cell>
        </row>
        <row r="195">
          <cell r="B195">
            <v>1010186612</v>
          </cell>
          <cell r="C195" t="str">
            <v xml:space="preserve">MESA ROZO GINETH MARCELA </v>
          </cell>
          <cell r="D195" t="str">
            <v>OPERARIA DE ASEO Y CAFETERIA</v>
          </cell>
          <cell r="E195" t="str">
            <v>07/04/2026</v>
          </cell>
          <cell r="F195" t="str">
            <v/>
          </cell>
          <cell r="G195">
            <v>1750905</v>
          </cell>
          <cell r="H195">
            <v>0</v>
          </cell>
          <cell r="I195">
            <v>0</v>
          </cell>
          <cell r="J195">
            <v>0</v>
          </cell>
          <cell r="K195">
            <v>0</v>
          </cell>
          <cell r="L195">
            <v>0</v>
          </cell>
          <cell r="M195" t="str">
            <v/>
          </cell>
          <cell r="N195" t="str">
            <v>3028329117</v>
          </cell>
          <cell r="O195" t="str">
            <v>3138706053</v>
          </cell>
        </row>
        <row r="196">
          <cell r="B196">
            <v>1031642480</v>
          </cell>
          <cell r="C196" t="str">
            <v xml:space="preserve">REYES DUITAMA BRAYAN DAVID </v>
          </cell>
          <cell r="D196" t="str">
            <v>OPERARIO DE MANTENIMIENTO</v>
          </cell>
          <cell r="E196" t="str">
            <v>16/04/2026</v>
          </cell>
          <cell r="F196" t="str">
            <v>21/04/2026</v>
          </cell>
          <cell r="G196">
            <v>1872060</v>
          </cell>
          <cell r="H196">
            <v>0</v>
          </cell>
          <cell r="I196">
            <v>0</v>
          </cell>
          <cell r="J196">
            <v>0</v>
          </cell>
          <cell r="K196">
            <v>0</v>
          </cell>
          <cell r="L196">
            <v>0</v>
          </cell>
          <cell r="M196" t="str">
            <v>6013677573</v>
          </cell>
          <cell r="N196" t="str">
            <v>3125711424</v>
          </cell>
          <cell r="O196" t="str">
            <v>3044821075</v>
          </cell>
        </row>
        <row r="197">
          <cell r="B197">
            <v>1007538618</v>
          </cell>
          <cell r="C197" t="str">
            <v xml:space="preserve">PALACIOS SEVILLA SIRLEY  </v>
          </cell>
          <cell r="D197" t="str">
            <v>OPERARIA DE ASEO Y CAFETERIA</v>
          </cell>
          <cell r="E197" t="str">
            <v>23/04/2026</v>
          </cell>
          <cell r="F197" t="str">
            <v/>
          </cell>
          <cell r="G197">
            <v>1750905</v>
          </cell>
          <cell r="H197">
            <v>0</v>
          </cell>
          <cell r="I197">
            <v>0</v>
          </cell>
          <cell r="J197">
            <v>0</v>
          </cell>
          <cell r="K197">
            <v>0</v>
          </cell>
          <cell r="L197">
            <v>0</v>
          </cell>
          <cell r="M197" t="str">
            <v/>
          </cell>
          <cell r="N197" t="str">
            <v>3105175310</v>
          </cell>
          <cell r="O197" t="str">
            <v>3023858780</v>
          </cell>
        </row>
        <row r="198">
          <cell r="B198">
            <v>52747002</v>
          </cell>
          <cell r="C198" t="str">
            <v>GUERRA RODRIGUEZ YEIMY JOHANNA</v>
          </cell>
          <cell r="D198" t="str">
            <v>OPERARIO DE ASEO Y CAFETERIA</v>
          </cell>
          <cell r="E198" t="str">
            <v>UNIDAD ADMINISTRATIVA ESPECIAL DE LA JUSTICIA PENAL MILITAR Y POLICIAL</v>
          </cell>
          <cell r="F198">
            <v>0</v>
          </cell>
          <cell r="G198">
            <v>0</v>
          </cell>
          <cell r="H198">
            <v>0</v>
          </cell>
          <cell r="I198">
            <v>0</v>
          </cell>
          <cell r="J198">
            <v>0</v>
          </cell>
          <cell r="K198">
            <v>0</v>
          </cell>
          <cell r="L198">
            <v>0</v>
          </cell>
          <cell r="M198">
            <v>0</v>
          </cell>
          <cell r="N198">
            <v>0</v>
          </cell>
          <cell r="O198">
            <v>0</v>
          </cell>
        </row>
        <row r="199">
          <cell r="B199">
            <v>20989375</v>
          </cell>
          <cell r="C199" t="str">
            <v>CALDERON RODRIGUEZ GLORIA</v>
          </cell>
          <cell r="D199" t="str">
            <v>OPERARIO DE ASEO Y CAFETERIA</v>
          </cell>
          <cell r="E199" t="str">
            <v>DIRECCION SECCIONAL DE ADMINISTRACION JUDICIAL DE CUNDINAMARCA -AMAZONA</v>
          </cell>
          <cell r="F199">
            <v>0</v>
          </cell>
          <cell r="G199">
            <v>0</v>
          </cell>
          <cell r="H199">
            <v>0</v>
          </cell>
          <cell r="I199">
            <v>0</v>
          </cell>
          <cell r="J199">
            <v>0</v>
          </cell>
          <cell r="K199">
            <v>0</v>
          </cell>
          <cell r="L199">
            <v>0</v>
          </cell>
          <cell r="M199">
            <v>0</v>
          </cell>
          <cell r="N199">
            <v>0</v>
          </cell>
          <cell r="O199">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9">
          <cell r="C9">
            <v>1007186042</v>
          </cell>
          <cell r="D9" t="str">
            <v xml:space="preserve">ALARCON HERNANDEZ YENNY MARCELA </v>
          </cell>
          <cell r="E9" t="str">
            <v>YEIMI MORENO</v>
          </cell>
          <cell r="F9" t="str">
            <v xml:space="preserve">SEDE 10 - SUPERCADE MANITAS </v>
          </cell>
          <cell r="G9" t="str">
            <v>18/10/2025</v>
          </cell>
          <cell r="H9" t="str">
            <v>TS</v>
          </cell>
          <cell r="I9" t="str">
            <v>TS</v>
          </cell>
          <cell r="J9" t="str">
            <v>TS</v>
          </cell>
          <cell r="K9" t="str">
            <v>TS</v>
          </cell>
          <cell r="L9" t="str">
            <v>TS</v>
          </cell>
          <cell r="M9" t="str">
            <v>TS</v>
          </cell>
          <cell r="N9" t="str">
            <v>TS</v>
          </cell>
          <cell r="O9" t="str">
            <v>TS</v>
          </cell>
          <cell r="P9" t="str">
            <v>TS</v>
          </cell>
          <cell r="Q9" t="str">
            <v>TS</v>
          </cell>
          <cell r="R9" t="str">
            <v>TS</v>
          </cell>
          <cell r="S9" t="str">
            <v>TS</v>
          </cell>
          <cell r="T9" t="str">
            <v>TS</v>
          </cell>
          <cell r="U9" t="str">
            <v>TS</v>
          </cell>
          <cell r="V9" t="str">
            <v>TS</v>
          </cell>
          <cell r="W9" t="str">
            <v>TS</v>
          </cell>
          <cell r="X9" t="str">
            <v>OK</v>
          </cell>
          <cell r="Y9" t="str">
            <v>OK</v>
          </cell>
          <cell r="Z9" t="str">
            <v>OK</v>
          </cell>
          <cell r="AA9" t="str">
            <v>OK</v>
          </cell>
          <cell r="AB9" t="str">
            <v>OK</v>
          </cell>
          <cell r="AC9">
            <v>0</v>
          </cell>
          <cell r="AD9">
            <v>0</v>
          </cell>
          <cell r="AE9">
            <v>0</v>
          </cell>
          <cell r="AF9">
            <v>0</v>
          </cell>
          <cell r="AG9">
            <v>0</v>
          </cell>
          <cell r="AH9">
            <v>0</v>
          </cell>
          <cell r="AI9">
            <v>0</v>
          </cell>
          <cell r="AJ9">
            <v>0</v>
          </cell>
          <cell r="AK9">
            <v>0</v>
          </cell>
          <cell r="AM9">
            <v>0</v>
          </cell>
          <cell r="AN9">
            <v>0</v>
          </cell>
          <cell r="AO9">
            <v>0</v>
          </cell>
          <cell r="AP9">
            <v>0</v>
          </cell>
          <cell r="AQ9">
            <v>0</v>
          </cell>
          <cell r="AR9">
            <v>0</v>
          </cell>
          <cell r="AS9">
            <v>0</v>
          </cell>
          <cell r="AT9">
            <v>0</v>
          </cell>
          <cell r="AU9">
            <v>0</v>
          </cell>
          <cell r="AV9">
            <v>0</v>
          </cell>
          <cell r="AW9">
            <v>0</v>
          </cell>
          <cell r="AX9">
            <v>5</v>
          </cell>
          <cell r="AY9">
            <v>5</v>
          </cell>
        </row>
        <row r="10">
          <cell r="C10">
            <v>80369946</v>
          </cell>
          <cell r="D10" t="str">
            <v xml:space="preserve">MEDINA CASTRO PEDRO ANTONIO </v>
          </cell>
          <cell r="E10" t="str">
            <v>YEIMI MORENO</v>
          </cell>
          <cell r="F10" t="str">
            <v xml:space="preserve">SEDE 10 - SUPERCADE MANITAS </v>
          </cell>
          <cell r="G10" t="str">
            <v>18/10/2025</v>
          </cell>
          <cell r="H10" t="str">
            <v>OK</v>
          </cell>
          <cell r="I10" t="str">
            <v>OK</v>
          </cell>
          <cell r="J10" t="str">
            <v>OK</v>
          </cell>
          <cell r="K10" t="str">
            <v>OK</v>
          </cell>
          <cell r="L10" t="str">
            <v>OK</v>
          </cell>
          <cell r="M10" t="str">
            <v>OK</v>
          </cell>
          <cell r="N10" t="str">
            <v>OK</v>
          </cell>
          <cell r="O10" t="str">
            <v>OK</v>
          </cell>
          <cell r="P10" t="str">
            <v>OK</v>
          </cell>
          <cell r="Q10" t="str">
            <v>OK</v>
          </cell>
          <cell r="R10" t="str">
            <v>OK</v>
          </cell>
          <cell r="S10" t="str">
            <v>OK</v>
          </cell>
          <cell r="T10" t="str">
            <v>OK</v>
          </cell>
          <cell r="U10" t="str">
            <v>OK</v>
          </cell>
          <cell r="V10" t="str">
            <v>OK</v>
          </cell>
          <cell r="W10" t="str">
            <v>OK</v>
          </cell>
          <cell r="X10" t="str">
            <v>OK</v>
          </cell>
          <cell r="Y10" t="str">
            <v>OK</v>
          </cell>
          <cell r="Z10" t="str">
            <v>OK</v>
          </cell>
          <cell r="AA10" t="str">
            <v>OK</v>
          </cell>
          <cell r="AB10" t="str">
            <v>OK</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21</v>
          </cell>
          <cell r="AY10">
            <v>21</v>
          </cell>
        </row>
        <row r="11">
          <cell r="C11">
            <v>55305195</v>
          </cell>
          <cell r="D11" t="str">
            <v xml:space="preserve">RUDA GONZALEZ YADIRA MILAGROS </v>
          </cell>
          <cell r="E11" t="str">
            <v>YEIMI MORENO</v>
          </cell>
          <cell r="F11" t="str">
            <v xml:space="preserve">SEDE 10 - SUPERCADE MANITAS </v>
          </cell>
          <cell r="G11" t="str">
            <v>23/10/2025</v>
          </cell>
          <cell r="H11" t="str">
            <v>OK</v>
          </cell>
          <cell r="I11" t="str">
            <v>OK</v>
          </cell>
          <cell r="J11" t="str">
            <v>OK</v>
          </cell>
          <cell r="K11" t="str">
            <v>OK</v>
          </cell>
          <cell r="L11" t="str">
            <v>OK</v>
          </cell>
          <cell r="M11" t="str">
            <v>OK</v>
          </cell>
          <cell r="N11" t="str">
            <v>OK</v>
          </cell>
          <cell r="O11" t="str">
            <v>OK</v>
          </cell>
          <cell r="P11" t="str">
            <v>OK</v>
          </cell>
          <cell r="Q11" t="str">
            <v>OK</v>
          </cell>
          <cell r="R11" t="str">
            <v>OK</v>
          </cell>
          <cell r="S11" t="str">
            <v>OK</v>
          </cell>
          <cell r="T11" t="str">
            <v>OK</v>
          </cell>
          <cell r="U11" t="str">
            <v>OK</v>
          </cell>
          <cell r="V11" t="str">
            <v>OK</v>
          </cell>
          <cell r="W11" t="str">
            <v>OK</v>
          </cell>
          <cell r="X11" t="str">
            <v>OK</v>
          </cell>
          <cell r="Y11" t="str">
            <v>OK</v>
          </cell>
          <cell r="Z11" t="str">
            <v>OK</v>
          </cell>
          <cell r="AA11" t="str">
            <v>OK</v>
          </cell>
          <cell r="AB11" t="str">
            <v>OK</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21</v>
          </cell>
          <cell r="AY11">
            <v>21</v>
          </cell>
        </row>
        <row r="12">
          <cell r="C12">
            <v>1010217314</v>
          </cell>
          <cell r="D12" t="str">
            <v xml:space="preserve">SUAREZ SANCHEZ JOSE PARMENIO </v>
          </cell>
          <cell r="E12" t="str">
            <v>YEIMI MORENO</v>
          </cell>
          <cell r="F12" t="str">
            <v xml:space="preserve">SEDE 10 - SUPERCADE MANITAS </v>
          </cell>
          <cell r="G12" t="str">
            <v>18/10/2025</v>
          </cell>
          <cell r="H12" t="str">
            <v>OK</v>
          </cell>
          <cell r="I12" t="str">
            <v>OK</v>
          </cell>
          <cell r="J12" t="str">
            <v>OK</v>
          </cell>
          <cell r="K12" t="str">
            <v>OK</v>
          </cell>
          <cell r="L12" t="str">
            <v>OK</v>
          </cell>
          <cell r="M12" t="str">
            <v>OK</v>
          </cell>
          <cell r="N12" t="str">
            <v>OK</v>
          </cell>
          <cell r="O12" t="str">
            <v>OK</v>
          </cell>
          <cell r="P12" t="str">
            <v>AUS</v>
          </cell>
          <cell r="Q12" t="str">
            <v>OK</v>
          </cell>
          <cell r="R12" t="str">
            <v>OK</v>
          </cell>
          <cell r="S12" t="str">
            <v>OK</v>
          </cell>
          <cell r="T12" t="str">
            <v>OK</v>
          </cell>
          <cell r="U12" t="str">
            <v>OK</v>
          </cell>
          <cell r="V12" t="str">
            <v>OK</v>
          </cell>
          <cell r="W12" t="str">
            <v>OK</v>
          </cell>
          <cell r="X12" t="str">
            <v>OK</v>
          </cell>
          <cell r="Y12" t="str">
            <v>OK</v>
          </cell>
          <cell r="Z12" t="str">
            <v>OK</v>
          </cell>
          <cell r="AA12" t="str">
            <v>OK</v>
          </cell>
          <cell r="AB12" t="str">
            <v>OK</v>
          </cell>
          <cell r="AC12">
            <v>0</v>
          </cell>
          <cell r="AD12">
            <v>0</v>
          </cell>
          <cell r="AE12">
            <v>0</v>
          </cell>
          <cell r="AF12">
            <v>0</v>
          </cell>
          <cell r="AG12">
            <v>0</v>
          </cell>
          <cell r="AH12">
            <v>0</v>
          </cell>
          <cell r="AI12">
            <v>0</v>
          </cell>
          <cell r="AJ12">
            <v>0</v>
          </cell>
          <cell r="AK12">
            <v>0</v>
          </cell>
          <cell r="AM12">
            <v>1</v>
          </cell>
          <cell r="AN12">
            <v>0</v>
          </cell>
          <cell r="AO12">
            <v>0</v>
          </cell>
          <cell r="AP12">
            <v>0</v>
          </cell>
          <cell r="AQ12">
            <v>0</v>
          </cell>
          <cell r="AR12">
            <v>0</v>
          </cell>
          <cell r="AS12">
            <v>0</v>
          </cell>
          <cell r="AT12">
            <v>0</v>
          </cell>
          <cell r="AU12">
            <v>0</v>
          </cell>
          <cell r="AV12">
            <v>0</v>
          </cell>
          <cell r="AW12">
            <v>0</v>
          </cell>
          <cell r="AX12">
            <v>20</v>
          </cell>
          <cell r="AY12">
            <v>20</v>
          </cell>
        </row>
        <row r="13">
          <cell r="C13">
            <v>1007105867</v>
          </cell>
          <cell r="D13" t="str">
            <v xml:space="preserve">GACHA SANCHEZ NATALIA SILBINA </v>
          </cell>
          <cell r="E13" t="str">
            <v>YEIMI MORENO</v>
          </cell>
          <cell r="F13" t="str">
            <v xml:space="preserve">SEDE 10 - SUPERCADE MANITAS </v>
          </cell>
          <cell r="G13" t="str">
            <v>18/10/2025</v>
          </cell>
          <cell r="H13" t="str">
            <v>OK</v>
          </cell>
          <cell r="I13" t="str">
            <v>OK</v>
          </cell>
          <cell r="J13" t="str">
            <v>OK</v>
          </cell>
          <cell r="K13" t="str">
            <v>OK</v>
          </cell>
          <cell r="L13" t="str">
            <v>OK</v>
          </cell>
          <cell r="M13" t="str">
            <v>OK</v>
          </cell>
          <cell r="N13" t="str">
            <v>OK</v>
          </cell>
          <cell r="O13" t="str">
            <v>OK</v>
          </cell>
          <cell r="P13" t="str">
            <v>OK</v>
          </cell>
          <cell r="Q13" t="str">
            <v>OK</v>
          </cell>
          <cell r="R13" t="str">
            <v>OK</v>
          </cell>
          <cell r="S13" t="str">
            <v>OK</v>
          </cell>
          <cell r="T13" t="str">
            <v>OK</v>
          </cell>
          <cell r="U13" t="str">
            <v>OK</v>
          </cell>
          <cell r="V13" t="str">
            <v>OK</v>
          </cell>
          <cell r="W13" t="str">
            <v>OK</v>
          </cell>
          <cell r="X13" t="str">
            <v>OK</v>
          </cell>
          <cell r="Y13" t="str">
            <v>OK</v>
          </cell>
          <cell r="Z13" t="str">
            <v>OK</v>
          </cell>
          <cell r="AA13" t="str">
            <v>OK</v>
          </cell>
          <cell r="AB13" t="str">
            <v>OK</v>
          </cell>
          <cell r="AC13">
            <v>0</v>
          </cell>
          <cell r="AD13">
            <v>0</v>
          </cell>
          <cell r="AE13">
            <v>0</v>
          </cell>
          <cell r="AF13">
            <v>0</v>
          </cell>
          <cell r="AG13">
            <v>0</v>
          </cell>
          <cell r="AH13">
            <v>0</v>
          </cell>
          <cell r="AI13">
            <v>0</v>
          </cell>
          <cell r="AJ13">
            <v>0</v>
          </cell>
          <cell r="AK13">
            <v>0</v>
          </cell>
          <cell r="AM13">
            <v>0</v>
          </cell>
          <cell r="AN13">
            <v>0</v>
          </cell>
          <cell r="AO13">
            <v>0</v>
          </cell>
          <cell r="AP13">
            <v>0</v>
          </cell>
          <cell r="AQ13">
            <v>0</v>
          </cell>
          <cell r="AR13">
            <v>0</v>
          </cell>
          <cell r="AS13">
            <v>0</v>
          </cell>
          <cell r="AT13">
            <v>0</v>
          </cell>
          <cell r="AU13">
            <v>0</v>
          </cell>
          <cell r="AV13">
            <v>0</v>
          </cell>
          <cell r="AW13">
            <v>0</v>
          </cell>
          <cell r="AX13">
            <v>21</v>
          </cell>
          <cell r="AY13">
            <v>21</v>
          </cell>
        </row>
        <row r="14">
          <cell r="C14">
            <v>51990667</v>
          </cell>
          <cell r="D14" t="str">
            <v xml:space="preserve">MARTINEZ ROMERO MIRIAM  </v>
          </cell>
          <cell r="E14" t="str">
            <v>YEIMI MORENO</v>
          </cell>
          <cell r="F14" t="str">
            <v xml:space="preserve">SEDE 10 - SUPERCADE MANITAS </v>
          </cell>
          <cell r="G14" t="str">
            <v>22/10/2025</v>
          </cell>
          <cell r="H14" t="str">
            <v>OK</v>
          </cell>
          <cell r="I14" t="str">
            <v>OK</v>
          </cell>
          <cell r="J14" t="str">
            <v>OK</v>
          </cell>
          <cell r="K14" t="str">
            <v>OK</v>
          </cell>
          <cell r="L14" t="str">
            <v>OK</v>
          </cell>
          <cell r="M14" t="str">
            <v>OK</v>
          </cell>
          <cell r="N14" t="str">
            <v>INC</v>
          </cell>
          <cell r="O14" t="str">
            <v>INC</v>
          </cell>
          <cell r="P14" t="str">
            <v>OK</v>
          </cell>
          <cell r="Q14" t="str">
            <v>OK</v>
          </cell>
          <cell r="R14" t="str">
            <v>OK</v>
          </cell>
          <cell r="S14" t="str">
            <v>OK</v>
          </cell>
          <cell r="T14" t="str">
            <v>OK</v>
          </cell>
          <cell r="U14" t="str">
            <v>OK</v>
          </cell>
          <cell r="V14" t="str">
            <v>OK</v>
          </cell>
          <cell r="W14" t="str">
            <v>OK</v>
          </cell>
          <cell r="X14" t="str">
            <v>OK</v>
          </cell>
          <cell r="Y14" t="str">
            <v>OK</v>
          </cell>
          <cell r="Z14" t="str">
            <v>OK</v>
          </cell>
          <cell r="AA14" t="str">
            <v>OK</v>
          </cell>
          <cell r="AB14" t="str">
            <v>OK</v>
          </cell>
          <cell r="AC14">
            <v>0</v>
          </cell>
          <cell r="AD14">
            <v>0</v>
          </cell>
          <cell r="AE14">
            <v>0</v>
          </cell>
          <cell r="AF14">
            <v>0</v>
          </cell>
          <cell r="AG14">
            <v>0</v>
          </cell>
          <cell r="AH14">
            <v>0</v>
          </cell>
          <cell r="AI14">
            <v>0</v>
          </cell>
          <cell r="AJ14">
            <v>0</v>
          </cell>
          <cell r="AK14">
            <v>0</v>
          </cell>
          <cell r="AM14">
            <v>0</v>
          </cell>
          <cell r="AN14">
            <v>0</v>
          </cell>
          <cell r="AO14">
            <v>0</v>
          </cell>
          <cell r="AP14">
            <v>2</v>
          </cell>
          <cell r="AQ14">
            <v>0</v>
          </cell>
          <cell r="AR14">
            <v>0</v>
          </cell>
          <cell r="AS14">
            <v>0</v>
          </cell>
          <cell r="AT14">
            <v>0</v>
          </cell>
          <cell r="AU14">
            <v>0</v>
          </cell>
          <cell r="AV14">
            <v>0</v>
          </cell>
          <cell r="AW14">
            <v>0</v>
          </cell>
          <cell r="AX14">
            <v>19</v>
          </cell>
          <cell r="AY14">
            <v>19</v>
          </cell>
        </row>
        <row r="15">
          <cell r="C15">
            <v>39655719</v>
          </cell>
          <cell r="D15" t="str">
            <v xml:space="preserve">REAL  ESPERANZA  </v>
          </cell>
          <cell r="E15" t="str">
            <v>YEIMI MORENO</v>
          </cell>
          <cell r="F15" t="str">
            <v xml:space="preserve">SEDE 10 - SUPERCADE MANITAS </v>
          </cell>
          <cell r="G15" t="str">
            <v>18/10/2025</v>
          </cell>
          <cell r="H15" t="str">
            <v>OK</v>
          </cell>
          <cell r="I15" t="str">
            <v>OK</v>
          </cell>
          <cell r="J15" t="str">
            <v>OK</v>
          </cell>
          <cell r="K15" t="str">
            <v>OK</v>
          </cell>
          <cell r="L15" t="str">
            <v>OK</v>
          </cell>
          <cell r="M15" t="str">
            <v>OK</v>
          </cell>
          <cell r="N15" t="str">
            <v>OK</v>
          </cell>
          <cell r="O15" t="str">
            <v>OK</v>
          </cell>
          <cell r="P15" t="str">
            <v>OK</v>
          </cell>
          <cell r="Q15" t="str">
            <v>OK</v>
          </cell>
          <cell r="R15" t="str">
            <v>OK</v>
          </cell>
          <cell r="S15" t="str">
            <v>OK</v>
          </cell>
          <cell r="T15" t="str">
            <v>OK</v>
          </cell>
          <cell r="U15" t="str">
            <v>OK</v>
          </cell>
          <cell r="V15" t="str">
            <v>OK</v>
          </cell>
          <cell r="W15" t="str">
            <v>OK</v>
          </cell>
          <cell r="X15" t="str">
            <v>OK</v>
          </cell>
          <cell r="Y15" t="str">
            <v>OK</v>
          </cell>
          <cell r="Z15" t="str">
            <v>OK</v>
          </cell>
          <cell r="AA15" t="str">
            <v>OK</v>
          </cell>
          <cell r="AB15" t="str">
            <v>OK</v>
          </cell>
          <cell r="AC15">
            <v>0</v>
          </cell>
          <cell r="AD15">
            <v>0</v>
          </cell>
          <cell r="AE15">
            <v>0</v>
          </cell>
          <cell r="AF15">
            <v>0</v>
          </cell>
          <cell r="AG15">
            <v>0</v>
          </cell>
          <cell r="AH15">
            <v>0</v>
          </cell>
          <cell r="AI15">
            <v>0</v>
          </cell>
          <cell r="AJ15">
            <v>0</v>
          </cell>
          <cell r="AK15">
            <v>0</v>
          </cell>
          <cell r="AM15">
            <v>0</v>
          </cell>
          <cell r="AN15">
            <v>0</v>
          </cell>
          <cell r="AO15">
            <v>0</v>
          </cell>
          <cell r="AP15">
            <v>0</v>
          </cell>
          <cell r="AQ15">
            <v>0</v>
          </cell>
          <cell r="AR15">
            <v>0</v>
          </cell>
          <cell r="AS15">
            <v>0</v>
          </cell>
          <cell r="AT15">
            <v>0</v>
          </cell>
          <cell r="AU15">
            <v>0</v>
          </cell>
          <cell r="AV15">
            <v>0</v>
          </cell>
          <cell r="AW15">
            <v>0</v>
          </cell>
          <cell r="AX15">
            <v>21</v>
          </cell>
          <cell r="AY15">
            <v>21</v>
          </cell>
        </row>
        <row r="16">
          <cell r="C16">
            <v>52751251</v>
          </cell>
          <cell r="D16" t="str">
            <v xml:space="preserve">BERNAL MUNOZ DEISY JOHANNA </v>
          </cell>
          <cell r="E16" t="str">
            <v>YEIMI MORENO</v>
          </cell>
          <cell r="F16" t="str">
            <v xml:space="preserve">SEDE 10 - SUPERCADE MANITAS </v>
          </cell>
          <cell r="G16" t="str">
            <v>23/09/2025</v>
          </cell>
          <cell r="H16" t="str">
            <v>INC</v>
          </cell>
          <cell r="I16" t="str">
            <v>INC</v>
          </cell>
          <cell r="J16" t="str">
            <v>INC</v>
          </cell>
          <cell r="K16" t="str">
            <v>INC</v>
          </cell>
          <cell r="L16" t="str">
            <v>INC</v>
          </cell>
          <cell r="M16" t="str">
            <v>INC</v>
          </cell>
          <cell r="N16" t="str">
            <v>INC</v>
          </cell>
          <cell r="O16" t="str">
            <v>INC</v>
          </cell>
          <cell r="P16" t="str">
            <v>INC</v>
          </cell>
          <cell r="Q16" t="str">
            <v>INC</v>
          </cell>
          <cell r="R16" t="str">
            <v>INC</v>
          </cell>
          <cell r="S16" t="str">
            <v>INC</v>
          </cell>
          <cell r="T16" t="str">
            <v>INC</v>
          </cell>
          <cell r="U16" t="str">
            <v>INC</v>
          </cell>
          <cell r="V16" t="str">
            <v>INC</v>
          </cell>
          <cell r="W16" t="str">
            <v>INC</v>
          </cell>
          <cell r="X16" t="str">
            <v>INC</v>
          </cell>
          <cell r="Y16" t="str">
            <v>INC</v>
          </cell>
          <cell r="Z16" t="str">
            <v>INC</v>
          </cell>
          <cell r="AA16" t="str">
            <v>INC</v>
          </cell>
          <cell r="AB16" t="str">
            <v>INC</v>
          </cell>
          <cell r="AC16">
            <v>0</v>
          </cell>
          <cell r="AD16">
            <v>0</v>
          </cell>
          <cell r="AE16">
            <v>0</v>
          </cell>
          <cell r="AF16">
            <v>0</v>
          </cell>
          <cell r="AG16">
            <v>0</v>
          </cell>
          <cell r="AH16">
            <v>0</v>
          </cell>
          <cell r="AI16">
            <v>0</v>
          </cell>
          <cell r="AJ16">
            <v>0</v>
          </cell>
          <cell r="AK16">
            <v>0</v>
          </cell>
          <cell r="AM16">
            <v>0</v>
          </cell>
          <cell r="AN16">
            <v>0</v>
          </cell>
          <cell r="AO16">
            <v>0</v>
          </cell>
          <cell r="AP16">
            <v>21</v>
          </cell>
          <cell r="AQ16">
            <v>0</v>
          </cell>
          <cell r="AR16">
            <v>0</v>
          </cell>
          <cell r="AS16">
            <v>0</v>
          </cell>
          <cell r="AT16">
            <v>0</v>
          </cell>
          <cell r="AU16">
            <v>0</v>
          </cell>
          <cell r="AV16">
            <v>0</v>
          </cell>
          <cell r="AW16">
            <v>0</v>
          </cell>
          <cell r="AX16">
            <v>0</v>
          </cell>
          <cell r="AY16">
            <v>0</v>
          </cell>
        </row>
        <row r="17">
          <cell r="C17">
            <v>52747002</v>
          </cell>
          <cell r="D17" t="str">
            <v>GUERRA RODRIGUEZ YEIMY JOHANNA</v>
          </cell>
          <cell r="E17" t="str">
            <v>YEIMI MORENO</v>
          </cell>
          <cell r="F17" t="str">
            <v xml:space="preserve">SEDE 10 - SUPERCADE MANITAS </v>
          </cell>
          <cell r="G17" t="str">
            <v>UNIDAD ADMINISTRATIVA ESPECIAL DE LA JUSTICIA PENAL MILITAR Y POLICIAL</v>
          </cell>
          <cell r="H17" t="str">
            <v>OK</v>
          </cell>
          <cell r="I17" t="str">
            <v>OK</v>
          </cell>
          <cell r="J17" t="str">
            <v>OK</v>
          </cell>
          <cell r="K17" t="str">
            <v>OK</v>
          </cell>
          <cell r="L17" t="str">
            <v>OK</v>
          </cell>
          <cell r="M17" t="str">
            <v>OK</v>
          </cell>
          <cell r="N17" t="str">
            <v>OK</v>
          </cell>
          <cell r="O17" t="str">
            <v>OK</v>
          </cell>
          <cell r="P17" t="str">
            <v>OK</v>
          </cell>
          <cell r="Q17" t="str">
            <v>OK</v>
          </cell>
          <cell r="R17" t="str">
            <v>OK</v>
          </cell>
          <cell r="S17" t="str">
            <v>OK</v>
          </cell>
          <cell r="T17" t="str">
            <v>OK</v>
          </cell>
          <cell r="U17" t="str">
            <v>OK</v>
          </cell>
          <cell r="V17" t="str">
            <v>OK</v>
          </cell>
          <cell r="W17" t="str">
            <v>OK</v>
          </cell>
          <cell r="X17" t="str">
            <v>OK</v>
          </cell>
          <cell r="Y17" t="str">
            <v>OK</v>
          </cell>
          <cell r="Z17" t="str">
            <v>OK</v>
          </cell>
          <cell r="AA17" t="str">
            <v>OK</v>
          </cell>
          <cell r="AB17" t="str">
            <v>OK</v>
          </cell>
          <cell r="AC17">
            <v>0</v>
          </cell>
          <cell r="AD17">
            <v>0</v>
          </cell>
          <cell r="AE17">
            <v>0</v>
          </cell>
          <cell r="AF17">
            <v>0</v>
          </cell>
          <cell r="AG17">
            <v>0</v>
          </cell>
          <cell r="AH17">
            <v>0</v>
          </cell>
          <cell r="AI17">
            <v>0</v>
          </cell>
          <cell r="AJ17">
            <v>0</v>
          </cell>
          <cell r="AK17">
            <v>0</v>
          </cell>
          <cell r="AM17">
            <v>0</v>
          </cell>
          <cell r="AN17">
            <v>0</v>
          </cell>
          <cell r="AO17">
            <v>0</v>
          </cell>
          <cell r="AP17">
            <v>0</v>
          </cell>
          <cell r="AQ17">
            <v>0</v>
          </cell>
          <cell r="AR17">
            <v>0</v>
          </cell>
          <cell r="AS17">
            <v>0</v>
          </cell>
          <cell r="AT17">
            <v>0</v>
          </cell>
          <cell r="AU17">
            <v>0</v>
          </cell>
          <cell r="AV17">
            <v>0</v>
          </cell>
          <cell r="AW17">
            <v>0</v>
          </cell>
          <cell r="AX17">
            <v>21</v>
          </cell>
          <cell r="AY17">
            <v>21</v>
          </cell>
        </row>
        <row r="18">
          <cell r="C18">
            <v>20989375</v>
          </cell>
          <cell r="D18" t="str">
            <v>CALDERON RODRIGUEZ GLORIA</v>
          </cell>
          <cell r="E18" t="str">
            <v>YEIMI MORENO</v>
          </cell>
          <cell r="F18" t="str">
            <v xml:space="preserve">SEDE 10 - SUPERCADE MANITAS </v>
          </cell>
          <cell r="G18" t="str">
            <v>DIRECCION SECCIONAL DE ADMINISTRACION JUDICIAL DE CUNDINAMARCA -AMAZONA</v>
          </cell>
          <cell r="H18" t="str">
            <v>OK</v>
          </cell>
          <cell r="I18" t="str">
            <v>OK</v>
          </cell>
          <cell r="J18" t="str">
            <v>OK</v>
          </cell>
          <cell r="K18" t="str">
            <v>OK</v>
          </cell>
          <cell r="L18" t="str">
            <v>OK</v>
          </cell>
          <cell r="M18" t="str">
            <v>OK</v>
          </cell>
          <cell r="N18" t="str">
            <v>OK</v>
          </cell>
          <cell r="O18" t="str">
            <v>OK</v>
          </cell>
          <cell r="P18" t="str">
            <v>OK</v>
          </cell>
          <cell r="Q18" t="str">
            <v>OK</v>
          </cell>
          <cell r="R18" t="str">
            <v>OK</v>
          </cell>
          <cell r="S18" t="str">
            <v>OK</v>
          </cell>
          <cell r="T18" t="str">
            <v>OK</v>
          </cell>
          <cell r="U18" t="str">
            <v>OK</v>
          </cell>
          <cell r="V18" t="str">
            <v>OK</v>
          </cell>
          <cell r="W18" t="str">
            <v>OK</v>
          </cell>
          <cell r="X18" t="str">
            <v>OK</v>
          </cell>
          <cell r="Y18" t="str">
            <v>OK</v>
          </cell>
          <cell r="Z18" t="str">
            <v>OK</v>
          </cell>
          <cell r="AA18" t="str">
            <v>OK</v>
          </cell>
          <cell r="AB18" t="str">
            <v>OK</v>
          </cell>
          <cell r="AC18">
            <v>0</v>
          </cell>
          <cell r="AD18">
            <v>0</v>
          </cell>
          <cell r="AE18">
            <v>0</v>
          </cell>
          <cell r="AF18">
            <v>0</v>
          </cell>
          <cell r="AG18">
            <v>0</v>
          </cell>
          <cell r="AH18">
            <v>0</v>
          </cell>
          <cell r="AI18">
            <v>0</v>
          </cell>
          <cell r="AJ18">
            <v>0</v>
          </cell>
          <cell r="AK18">
            <v>0</v>
          </cell>
          <cell r="AM18">
            <v>0</v>
          </cell>
          <cell r="AN18">
            <v>0</v>
          </cell>
          <cell r="AO18">
            <v>0</v>
          </cell>
          <cell r="AP18">
            <v>0</v>
          </cell>
          <cell r="AQ18">
            <v>0</v>
          </cell>
          <cell r="AR18">
            <v>0</v>
          </cell>
          <cell r="AS18">
            <v>0</v>
          </cell>
          <cell r="AT18">
            <v>0</v>
          </cell>
          <cell r="AU18">
            <v>0</v>
          </cell>
          <cell r="AV18">
            <v>0</v>
          </cell>
          <cell r="AW18">
            <v>0</v>
          </cell>
          <cell r="AX18">
            <v>21</v>
          </cell>
          <cell r="AY18">
            <v>21</v>
          </cell>
        </row>
        <row r="19">
          <cell r="C19">
            <v>1024583299</v>
          </cell>
          <cell r="D19" t="str">
            <v xml:space="preserve">SIERRA BOTERO JENNIFER  </v>
          </cell>
          <cell r="E19" t="str">
            <v>YEIMI MORENO</v>
          </cell>
          <cell r="F19" t="str">
            <v xml:space="preserve">SEDE 10 - SUPERCADE MANITAS </v>
          </cell>
          <cell r="G19" t="str">
            <v>18/10/2025</v>
          </cell>
          <cell r="H19" t="str">
            <v>OK</v>
          </cell>
          <cell r="I19" t="str">
            <v>OK</v>
          </cell>
          <cell r="J19" t="str">
            <v>OK</v>
          </cell>
          <cell r="K19" t="str">
            <v>OK</v>
          </cell>
          <cell r="L19" t="str">
            <v>OK</v>
          </cell>
          <cell r="M19" t="str">
            <v>OK</v>
          </cell>
          <cell r="N19" t="str">
            <v>OK</v>
          </cell>
          <cell r="O19" t="str">
            <v>OK</v>
          </cell>
          <cell r="P19" t="str">
            <v>OK</v>
          </cell>
          <cell r="Q19" t="str">
            <v>OK</v>
          </cell>
          <cell r="R19" t="str">
            <v>OK</v>
          </cell>
          <cell r="S19" t="str">
            <v>OK</v>
          </cell>
          <cell r="T19" t="str">
            <v>OK</v>
          </cell>
          <cell r="U19" t="str">
            <v>OK</v>
          </cell>
          <cell r="V19" t="str">
            <v>OK</v>
          </cell>
          <cell r="W19" t="str">
            <v>OK</v>
          </cell>
          <cell r="X19" t="str">
            <v>OK</v>
          </cell>
          <cell r="Y19" t="str">
            <v>OK</v>
          </cell>
          <cell r="Z19" t="str">
            <v>OK</v>
          </cell>
          <cell r="AA19" t="str">
            <v>OK</v>
          </cell>
          <cell r="AB19" t="str">
            <v>TS</v>
          </cell>
          <cell r="AC19">
            <v>0</v>
          </cell>
          <cell r="AD19">
            <v>0</v>
          </cell>
          <cell r="AE19">
            <v>0</v>
          </cell>
          <cell r="AF19">
            <v>0</v>
          </cell>
          <cell r="AG19">
            <v>0</v>
          </cell>
          <cell r="AH19">
            <v>0</v>
          </cell>
          <cell r="AI19">
            <v>0</v>
          </cell>
          <cell r="AJ19">
            <v>0</v>
          </cell>
          <cell r="AK19">
            <v>0</v>
          </cell>
          <cell r="AM19">
            <v>0</v>
          </cell>
          <cell r="AN19">
            <v>0</v>
          </cell>
          <cell r="AO19">
            <v>0</v>
          </cell>
          <cell r="AP19">
            <v>0</v>
          </cell>
          <cell r="AQ19">
            <v>0</v>
          </cell>
          <cell r="AR19">
            <v>0</v>
          </cell>
          <cell r="AS19">
            <v>0</v>
          </cell>
          <cell r="AT19">
            <v>0</v>
          </cell>
          <cell r="AU19">
            <v>0</v>
          </cell>
          <cell r="AV19">
            <v>0</v>
          </cell>
          <cell r="AW19">
            <v>0</v>
          </cell>
          <cell r="AX19">
            <v>20</v>
          </cell>
          <cell r="AY19">
            <v>20</v>
          </cell>
        </row>
        <row r="20">
          <cell r="C20">
            <v>39802794</v>
          </cell>
          <cell r="D20" t="str">
            <v xml:space="preserve">ZAPATA CAMACHO NUBIA AMPARO </v>
          </cell>
          <cell r="E20" t="str">
            <v>YEIMI MORENO</v>
          </cell>
          <cell r="F20" t="str">
            <v xml:space="preserve">SEDE 7 - SUPERCADE BOSA </v>
          </cell>
          <cell r="G20" t="str">
            <v>18/10/2025</v>
          </cell>
          <cell r="H20" t="str">
            <v>INC</v>
          </cell>
          <cell r="I20" t="str">
            <v>INC</v>
          </cell>
          <cell r="J20" t="str">
            <v>INC</v>
          </cell>
          <cell r="K20" t="str">
            <v>INC</v>
          </cell>
          <cell r="L20" t="str">
            <v>INC</v>
          </cell>
          <cell r="M20" t="str">
            <v>INC</v>
          </cell>
          <cell r="N20" t="str">
            <v>INC</v>
          </cell>
          <cell r="O20" t="str">
            <v>INC</v>
          </cell>
          <cell r="P20" t="str">
            <v>INC</v>
          </cell>
          <cell r="Q20" t="str">
            <v>INC</v>
          </cell>
          <cell r="R20" t="str">
            <v>INC</v>
          </cell>
          <cell r="S20" t="str">
            <v>INC</v>
          </cell>
          <cell r="T20" t="str">
            <v>INC</v>
          </cell>
          <cell r="U20" t="str">
            <v>INC</v>
          </cell>
          <cell r="V20" t="str">
            <v>INC</v>
          </cell>
          <cell r="W20" t="str">
            <v>OK</v>
          </cell>
          <cell r="X20" t="str">
            <v>OK</v>
          </cell>
          <cell r="Y20" t="str">
            <v>OK</v>
          </cell>
          <cell r="Z20" t="str">
            <v>OK</v>
          </cell>
          <cell r="AA20" t="str">
            <v>OK</v>
          </cell>
          <cell r="AB20" t="str">
            <v>OK</v>
          </cell>
          <cell r="AC20">
            <v>0</v>
          </cell>
          <cell r="AD20">
            <v>0</v>
          </cell>
          <cell r="AE20">
            <v>0</v>
          </cell>
          <cell r="AF20">
            <v>0</v>
          </cell>
          <cell r="AG20">
            <v>0</v>
          </cell>
          <cell r="AH20">
            <v>0</v>
          </cell>
          <cell r="AI20">
            <v>0</v>
          </cell>
          <cell r="AJ20">
            <v>0</v>
          </cell>
          <cell r="AK20">
            <v>0</v>
          </cell>
          <cell r="AM20">
            <v>0</v>
          </cell>
          <cell r="AN20">
            <v>0</v>
          </cell>
          <cell r="AO20">
            <v>0</v>
          </cell>
          <cell r="AP20">
            <v>15</v>
          </cell>
          <cell r="AQ20">
            <v>0</v>
          </cell>
          <cell r="AR20">
            <v>0</v>
          </cell>
          <cell r="AS20">
            <v>0</v>
          </cell>
          <cell r="AT20">
            <v>0</v>
          </cell>
          <cell r="AU20">
            <v>0</v>
          </cell>
          <cell r="AV20">
            <v>0</v>
          </cell>
          <cell r="AW20">
            <v>0</v>
          </cell>
          <cell r="AX20">
            <v>6</v>
          </cell>
          <cell r="AY20">
            <v>6</v>
          </cell>
        </row>
        <row r="21">
          <cell r="C21">
            <v>52742012</v>
          </cell>
          <cell r="D21" t="str">
            <v xml:space="preserve">RAMIREZ TORRES PAOLA ANDREA </v>
          </cell>
          <cell r="E21" t="str">
            <v>YEIMI MORENO</v>
          </cell>
          <cell r="F21" t="str">
            <v xml:space="preserve">SEDE 7 - SUPERCADE BOSA </v>
          </cell>
          <cell r="G21" t="str">
            <v>18/10/2025</v>
          </cell>
          <cell r="H21" t="str">
            <v>OK</v>
          </cell>
          <cell r="I21" t="str">
            <v>OK</v>
          </cell>
          <cell r="J21" t="str">
            <v>OK</v>
          </cell>
          <cell r="K21" t="str">
            <v>OK</v>
          </cell>
          <cell r="L21" t="str">
            <v>OK</v>
          </cell>
          <cell r="M21" t="str">
            <v>OK</v>
          </cell>
          <cell r="N21" t="str">
            <v>OK</v>
          </cell>
          <cell r="O21" t="str">
            <v>OK</v>
          </cell>
          <cell r="P21" t="str">
            <v>OK</v>
          </cell>
          <cell r="Q21" t="str">
            <v>OK</v>
          </cell>
          <cell r="R21" t="str">
            <v>OK</v>
          </cell>
          <cell r="S21" t="str">
            <v>OK</v>
          </cell>
          <cell r="T21" t="str">
            <v>OK</v>
          </cell>
          <cell r="U21" t="str">
            <v>OK</v>
          </cell>
          <cell r="V21" t="str">
            <v>OK</v>
          </cell>
          <cell r="W21" t="str">
            <v>OK</v>
          </cell>
          <cell r="X21" t="str">
            <v>OK</v>
          </cell>
          <cell r="Y21" t="str">
            <v>OK</v>
          </cell>
          <cell r="Z21" t="str">
            <v>OK</v>
          </cell>
          <cell r="AA21" t="str">
            <v>OK</v>
          </cell>
          <cell r="AB21" t="str">
            <v>OK</v>
          </cell>
          <cell r="AC21">
            <v>0</v>
          </cell>
          <cell r="AD21">
            <v>0</v>
          </cell>
          <cell r="AE21">
            <v>0</v>
          </cell>
          <cell r="AF21">
            <v>0</v>
          </cell>
          <cell r="AG21">
            <v>0</v>
          </cell>
          <cell r="AH21">
            <v>0</v>
          </cell>
          <cell r="AI21">
            <v>0</v>
          </cell>
          <cell r="AJ21">
            <v>0</v>
          </cell>
          <cell r="AK21">
            <v>0</v>
          </cell>
          <cell r="AM21">
            <v>0</v>
          </cell>
          <cell r="AN21">
            <v>0</v>
          </cell>
          <cell r="AO21">
            <v>0</v>
          </cell>
          <cell r="AP21">
            <v>0</v>
          </cell>
          <cell r="AQ21">
            <v>0</v>
          </cell>
          <cell r="AR21">
            <v>0</v>
          </cell>
          <cell r="AS21">
            <v>0</v>
          </cell>
          <cell r="AT21">
            <v>0</v>
          </cell>
          <cell r="AU21">
            <v>0</v>
          </cell>
          <cell r="AV21">
            <v>0</v>
          </cell>
          <cell r="AW21">
            <v>0</v>
          </cell>
          <cell r="AX21">
            <v>21</v>
          </cell>
          <cell r="AY21">
            <v>21</v>
          </cell>
        </row>
        <row r="22">
          <cell r="C22">
            <v>52017874</v>
          </cell>
          <cell r="D22" t="str">
            <v xml:space="preserve">MATEUS PIRACOA MARTHA JANETH </v>
          </cell>
          <cell r="E22" t="str">
            <v>YEIMI MORENO</v>
          </cell>
          <cell r="F22" t="str">
            <v xml:space="preserve">SEDE 7 - SUPERCADE BOSA </v>
          </cell>
          <cell r="G22" t="str">
            <v>18/10/2025</v>
          </cell>
          <cell r="H22" t="str">
            <v>OK</v>
          </cell>
          <cell r="I22" t="str">
            <v>OK</v>
          </cell>
          <cell r="J22" t="str">
            <v>OK</v>
          </cell>
          <cell r="K22" t="str">
            <v>OK</v>
          </cell>
          <cell r="L22" t="str">
            <v>OK</v>
          </cell>
          <cell r="M22" t="str">
            <v>OK</v>
          </cell>
          <cell r="N22" t="str">
            <v>OK</v>
          </cell>
          <cell r="O22" t="str">
            <v>OK</v>
          </cell>
          <cell r="P22" t="str">
            <v>OK</v>
          </cell>
          <cell r="Q22" t="str">
            <v>INC</v>
          </cell>
          <cell r="R22" t="str">
            <v>INC</v>
          </cell>
          <cell r="S22" t="str">
            <v>OK</v>
          </cell>
          <cell r="T22" t="str">
            <v>OK</v>
          </cell>
          <cell r="U22" t="str">
            <v>OK</v>
          </cell>
          <cell r="V22" t="str">
            <v>OK</v>
          </cell>
          <cell r="W22" t="str">
            <v>OK</v>
          </cell>
          <cell r="X22" t="str">
            <v>OK</v>
          </cell>
          <cell r="Y22" t="str">
            <v>OK</v>
          </cell>
          <cell r="Z22" t="str">
            <v>OK</v>
          </cell>
          <cell r="AA22" t="str">
            <v>OK</v>
          </cell>
          <cell r="AB22" t="str">
            <v>OK</v>
          </cell>
          <cell r="AC22">
            <v>0</v>
          </cell>
          <cell r="AD22">
            <v>0</v>
          </cell>
          <cell r="AE22">
            <v>0</v>
          </cell>
          <cell r="AF22">
            <v>0</v>
          </cell>
          <cell r="AG22">
            <v>0</v>
          </cell>
          <cell r="AH22">
            <v>0</v>
          </cell>
          <cell r="AI22">
            <v>0</v>
          </cell>
          <cell r="AJ22">
            <v>0</v>
          </cell>
          <cell r="AK22">
            <v>0</v>
          </cell>
          <cell r="AM22">
            <v>0</v>
          </cell>
          <cell r="AN22">
            <v>0</v>
          </cell>
          <cell r="AO22">
            <v>0</v>
          </cell>
          <cell r="AP22">
            <v>2</v>
          </cell>
          <cell r="AQ22">
            <v>0</v>
          </cell>
          <cell r="AR22">
            <v>0</v>
          </cell>
          <cell r="AS22">
            <v>0</v>
          </cell>
          <cell r="AT22">
            <v>0</v>
          </cell>
          <cell r="AU22">
            <v>0</v>
          </cell>
          <cell r="AV22">
            <v>0</v>
          </cell>
          <cell r="AW22">
            <v>0</v>
          </cell>
          <cell r="AX22">
            <v>19</v>
          </cell>
          <cell r="AY22">
            <v>19</v>
          </cell>
        </row>
        <row r="23">
          <cell r="C23">
            <v>5483580</v>
          </cell>
          <cell r="D23" t="str">
            <v xml:space="preserve">DELGADO GUEVARA NELLYS ALEJANDRA </v>
          </cell>
          <cell r="E23" t="str">
            <v>YEIMI MORENO</v>
          </cell>
          <cell r="F23" t="str">
            <v xml:space="preserve">SEDE 7 - SUPERCADE BOSA </v>
          </cell>
          <cell r="G23" t="str">
            <v>18/10/2025</v>
          </cell>
          <cell r="H23" t="str">
            <v>OK</v>
          </cell>
          <cell r="I23" t="str">
            <v>OK</v>
          </cell>
          <cell r="J23" t="str">
            <v>OK</v>
          </cell>
          <cell r="K23" t="str">
            <v>OK</v>
          </cell>
          <cell r="L23" t="str">
            <v>OK</v>
          </cell>
          <cell r="M23" t="str">
            <v>OK</v>
          </cell>
          <cell r="N23" t="str">
            <v>OK</v>
          </cell>
          <cell r="O23" t="str">
            <v>OK</v>
          </cell>
          <cell r="P23" t="str">
            <v>OK</v>
          </cell>
          <cell r="Q23" t="str">
            <v>OK</v>
          </cell>
          <cell r="R23" t="str">
            <v>OK</v>
          </cell>
          <cell r="S23" t="str">
            <v>OK</v>
          </cell>
          <cell r="T23" t="str">
            <v>OK</v>
          </cell>
          <cell r="U23" t="str">
            <v>OK</v>
          </cell>
          <cell r="V23" t="str">
            <v>OK</v>
          </cell>
          <cell r="W23" t="str">
            <v>OK</v>
          </cell>
          <cell r="X23" t="str">
            <v>OK</v>
          </cell>
          <cell r="Y23" t="str">
            <v>OK</v>
          </cell>
          <cell r="Z23" t="str">
            <v>OK</v>
          </cell>
          <cell r="AA23" t="str">
            <v>OK</v>
          </cell>
          <cell r="AB23" t="str">
            <v>OK</v>
          </cell>
          <cell r="AC23">
            <v>0</v>
          </cell>
          <cell r="AD23">
            <v>0</v>
          </cell>
          <cell r="AE23">
            <v>0</v>
          </cell>
          <cell r="AF23">
            <v>0</v>
          </cell>
          <cell r="AG23">
            <v>0</v>
          </cell>
          <cell r="AH23">
            <v>0</v>
          </cell>
          <cell r="AI23">
            <v>0</v>
          </cell>
          <cell r="AJ23">
            <v>0</v>
          </cell>
          <cell r="AK23">
            <v>0</v>
          </cell>
          <cell r="AM23">
            <v>0</v>
          </cell>
          <cell r="AN23">
            <v>0</v>
          </cell>
          <cell r="AO23">
            <v>0</v>
          </cell>
          <cell r="AP23">
            <v>0</v>
          </cell>
          <cell r="AQ23">
            <v>0</v>
          </cell>
          <cell r="AR23">
            <v>0</v>
          </cell>
          <cell r="AS23">
            <v>0</v>
          </cell>
          <cell r="AT23">
            <v>0</v>
          </cell>
          <cell r="AU23">
            <v>0</v>
          </cell>
          <cell r="AV23">
            <v>0</v>
          </cell>
          <cell r="AW23">
            <v>0</v>
          </cell>
          <cell r="AX23">
            <v>21</v>
          </cell>
          <cell r="AY23">
            <v>21</v>
          </cell>
        </row>
        <row r="24">
          <cell r="C24">
            <v>79612751</v>
          </cell>
          <cell r="D24" t="str">
            <v xml:space="preserve">RAMIREZ WILCHES FABIO  </v>
          </cell>
          <cell r="E24" t="str">
            <v>YEIMI MORENO</v>
          </cell>
          <cell r="F24" t="str">
            <v xml:space="preserve">SEDE 7 - SUPERCADE BOSA </v>
          </cell>
          <cell r="G24" t="str">
            <v>18/11/2025</v>
          </cell>
          <cell r="H24" t="str">
            <v>OK</v>
          </cell>
          <cell r="I24" t="str">
            <v>OK</v>
          </cell>
          <cell r="J24" t="str">
            <v>OK</v>
          </cell>
          <cell r="K24" t="str">
            <v>OK</v>
          </cell>
          <cell r="L24" t="str">
            <v>OK</v>
          </cell>
          <cell r="M24" t="str">
            <v>OK</v>
          </cell>
          <cell r="N24" t="str">
            <v>OK</v>
          </cell>
          <cell r="O24" t="str">
            <v>OK</v>
          </cell>
          <cell r="P24" t="str">
            <v>OK</v>
          </cell>
          <cell r="Q24" t="str">
            <v>OK</v>
          </cell>
          <cell r="R24" t="str">
            <v>OK</v>
          </cell>
          <cell r="S24" t="str">
            <v>OK</v>
          </cell>
          <cell r="T24" t="str">
            <v>OK</v>
          </cell>
          <cell r="U24" t="str">
            <v>OK</v>
          </cell>
          <cell r="V24" t="str">
            <v>OK</v>
          </cell>
          <cell r="W24" t="str">
            <v>OK</v>
          </cell>
          <cell r="X24" t="str">
            <v>OK</v>
          </cell>
          <cell r="Y24" t="str">
            <v>OK</v>
          </cell>
          <cell r="Z24" t="str">
            <v>OK</v>
          </cell>
          <cell r="AA24" t="str">
            <v>OK</v>
          </cell>
          <cell r="AB24" t="str">
            <v>OK</v>
          </cell>
          <cell r="AC24">
            <v>0</v>
          </cell>
          <cell r="AD24">
            <v>0</v>
          </cell>
          <cell r="AE24">
            <v>0</v>
          </cell>
          <cell r="AF24">
            <v>0</v>
          </cell>
          <cell r="AG24">
            <v>0</v>
          </cell>
          <cell r="AH24">
            <v>0</v>
          </cell>
          <cell r="AI24">
            <v>0</v>
          </cell>
          <cell r="AJ24">
            <v>0</v>
          </cell>
          <cell r="AK24">
            <v>0</v>
          </cell>
          <cell r="AM24">
            <v>0</v>
          </cell>
          <cell r="AN24">
            <v>0</v>
          </cell>
          <cell r="AO24">
            <v>0</v>
          </cell>
          <cell r="AP24">
            <v>0</v>
          </cell>
          <cell r="AQ24">
            <v>0</v>
          </cell>
          <cell r="AR24">
            <v>0</v>
          </cell>
          <cell r="AS24">
            <v>0</v>
          </cell>
          <cell r="AT24">
            <v>0</v>
          </cell>
          <cell r="AU24">
            <v>0</v>
          </cell>
          <cell r="AV24">
            <v>0</v>
          </cell>
          <cell r="AW24">
            <v>0</v>
          </cell>
          <cell r="AX24">
            <v>21</v>
          </cell>
          <cell r="AY24">
            <v>21</v>
          </cell>
        </row>
        <row r="25">
          <cell r="C25">
            <v>5090615</v>
          </cell>
          <cell r="D25" t="str">
            <v xml:space="preserve">BERMUDEZ RANGEL RONALD DAVID </v>
          </cell>
          <cell r="E25" t="str">
            <v>YEIMI MORENO</v>
          </cell>
          <cell r="F25" t="str">
            <v xml:space="preserve">SEDE 7 - SUPERCADE BOSA </v>
          </cell>
          <cell r="G25" t="str">
            <v>22/10/2025</v>
          </cell>
          <cell r="H25" t="str">
            <v>OK</v>
          </cell>
          <cell r="I25" t="str">
            <v>OK</v>
          </cell>
          <cell r="J25" t="str">
            <v>OK</v>
          </cell>
          <cell r="K25" t="str">
            <v>OK</v>
          </cell>
          <cell r="L25" t="str">
            <v>OK</v>
          </cell>
          <cell r="M25" t="str">
            <v>OK</v>
          </cell>
          <cell r="N25" t="str">
            <v>OK</v>
          </cell>
          <cell r="O25" t="str">
            <v>OK</v>
          </cell>
          <cell r="P25" t="str">
            <v>OK</v>
          </cell>
          <cell r="Q25" t="str">
            <v>OK</v>
          </cell>
          <cell r="R25" t="str">
            <v>OK</v>
          </cell>
          <cell r="S25" t="str">
            <v>OK</v>
          </cell>
          <cell r="T25" t="str">
            <v>OK</v>
          </cell>
          <cell r="U25" t="str">
            <v>OK</v>
          </cell>
          <cell r="V25" t="str">
            <v>OK</v>
          </cell>
          <cell r="W25" t="str">
            <v>OK</v>
          </cell>
          <cell r="X25" t="str">
            <v>OK</v>
          </cell>
          <cell r="Y25" t="str">
            <v>OK</v>
          </cell>
          <cell r="Z25" t="str">
            <v>OK</v>
          </cell>
          <cell r="AA25" t="str">
            <v>OK</v>
          </cell>
          <cell r="AB25" t="str">
            <v>OK</v>
          </cell>
          <cell r="AC25">
            <v>0</v>
          </cell>
          <cell r="AD25">
            <v>0</v>
          </cell>
          <cell r="AE25">
            <v>0</v>
          </cell>
          <cell r="AF25">
            <v>0</v>
          </cell>
          <cell r="AG25">
            <v>0</v>
          </cell>
          <cell r="AH25">
            <v>0</v>
          </cell>
          <cell r="AI25">
            <v>0</v>
          </cell>
          <cell r="AJ25">
            <v>0</v>
          </cell>
          <cell r="AK25">
            <v>0</v>
          </cell>
          <cell r="AM25">
            <v>0</v>
          </cell>
          <cell r="AN25">
            <v>0</v>
          </cell>
          <cell r="AO25">
            <v>0</v>
          </cell>
          <cell r="AP25">
            <v>0</v>
          </cell>
          <cell r="AQ25">
            <v>0</v>
          </cell>
          <cell r="AR25">
            <v>0</v>
          </cell>
          <cell r="AS25">
            <v>0</v>
          </cell>
          <cell r="AT25">
            <v>0</v>
          </cell>
          <cell r="AU25">
            <v>0</v>
          </cell>
          <cell r="AV25">
            <v>0</v>
          </cell>
          <cell r="AW25">
            <v>0</v>
          </cell>
          <cell r="AX25">
            <v>21</v>
          </cell>
          <cell r="AY25">
            <v>21</v>
          </cell>
        </row>
        <row r="26">
          <cell r="C26">
            <v>1004536224</v>
          </cell>
          <cell r="D26" t="str">
            <v xml:space="preserve">YESQUEN SINISTERRA XIMENA  </v>
          </cell>
          <cell r="E26" t="str">
            <v>YEIMI MORENO</v>
          </cell>
          <cell r="F26" t="str">
            <v xml:space="preserve">SEDE 7 - SUPERCADE BOSA </v>
          </cell>
          <cell r="G26" t="str">
            <v>06/01/2026</v>
          </cell>
          <cell r="H26" t="str">
            <v>OK</v>
          </cell>
          <cell r="I26" t="str">
            <v>OK</v>
          </cell>
          <cell r="J26" t="str">
            <v>OK</v>
          </cell>
          <cell r="K26" t="str">
            <v>OK</v>
          </cell>
          <cell r="L26" t="str">
            <v>OK</v>
          </cell>
          <cell r="M26" t="str">
            <v>OK</v>
          </cell>
          <cell r="N26" t="str">
            <v>OK</v>
          </cell>
          <cell r="O26" t="str">
            <v>OK</v>
          </cell>
          <cell r="P26" t="str">
            <v>OK</v>
          </cell>
          <cell r="Q26" t="str">
            <v>OK</v>
          </cell>
          <cell r="R26" t="str">
            <v>OK</v>
          </cell>
          <cell r="S26" t="str">
            <v>OK</v>
          </cell>
          <cell r="T26" t="str">
            <v>OK</v>
          </cell>
          <cell r="U26" t="str">
            <v>OK</v>
          </cell>
          <cell r="V26" t="str">
            <v>OK</v>
          </cell>
          <cell r="W26" t="str">
            <v>OK</v>
          </cell>
          <cell r="X26" t="str">
            <v>OK</v>
          </cell>
          <cell r="Y26" t="str">
            <v>OK</v>
          </cell>
          <cell r="Z26" t="str">
            <v>OK</v>
          </cell>
          <cell r="AA26" t="str">
            <v>OK</v>
          </cell>
          <cell r="AB26" t="str">
            <v>OK</v>
          </cell>
          <cell r="AC26">
            <v>0</v>
          </cell>
          <cell r="AD26">
            <v>0</v>
          </cell>
          <cell r="AE26">
            <v>0</v>
          </cell>
          <cell r="AF26">
            <v>0</v>
          </cell>
          <cell r="AG26">
            <v>0</v>
          </cell>
          <cell r="AH26">
            <v>0</v>
          </cell>
          <cell r="AI26">
            <v>0</v>
          </cell>
          <cell r="AJ26">
            <v>0</v>
          </cell>
          <cell r="AK26">
            <v>0</v>
          </cell>
          <cell r="AM26">
            <v>0</v>
          </cell>
          <cell r="AN26">
            <v>0</v>
          </cell>
          <cell r="AO26">
            <v>0</v>
          </cell>
          <cell r="AP26">
            <v>0</v>
          </cell>
          <cell r="AQ26">
            <v>0</v>
          </cell>
          <cell r="AR26">
            <v>0</v>
          </cell>
          <cell r="AS26">
            <v>0</v>
          </cell>
          <cell r="AT26">
            <v>0</v>
          </cell>
          <cell r="AU26">
            <v>0</v>
          </cell>
          <cell r="AV26">
            <v>0</v>
          </cell>
          <cell r="AW26">
            <v>0</v>
          </cell>
          <cell r="AX26">
            <v>21</v>
          </cell>
          <cell r="AY26">
            <v>21</v>
          </cell>
        </row>
        <row r="27">
          <cell r="C27">
            <v>52164364</v>
          </cell>
          <cell r="D27" t="str">
            <v xml:space="preserve">AREVALO MEDINA MARIA GLADYS </v>
          </cell>
          <cell r="E27" t="str">
            <v>YEIMI MORENO</v>
          </cell>
          <cell r="F27" t="str">
            <v xml:space="preserve">SEDE 7 - SUPERCADE BOSA </v>
          </cell>
          <cell r="G27" t="str">
            <v>18/10/2025</v>
          </cell>
          <cell r="H27" t="str">
            <v>OK</v>
          </cell>
          <cell r="I27" t="str">
            <v>OK</v>
          </cell>
          <cell r="J27" t="str">
            <v>OK</v>
          </cell>
          <cell r="K27" t="str">
            <v>OK</v>
          </cell>
          <cell r="L27" t="str">
            <v>OK</v>
          </cell>
          <cell r="M27" t="str">
            <v>OK</v>
          </cell>
          <cell r="N27" t="str">
            <v>OK</v>
          </cell>
          <cell r="O27" t="str">
            <v>OK</v>
          </cell>
          <cell r="P27" t="str">
            <v>OK</v>
          </cell>
          <cell r="Q27" t="str">
            <v>OK</v>
          </cell>
          <cell r="R27" t="str">
            <v>OK</v>
          </cell>
          <cell r="S27" t="str">
            <v>OK</v>
          </cell>
          <cell r="T27" t="str">
            <v>OK</v>
          </cell>
          <cell r="U27" t="str">
            <v>OK</v>
          </cell>
          <cell r="V27" t="str">
            <v>INC</v>
          </cell>
          <cell r="W27" t="str">
            <v>INC</v>
          </cell>
          <cell r="X27" t="str">
            <v>OK</v>
          </cell>
          <cell r="Y27" t="str">
            <v>OK</v>
          </cell>
          <cell r="Z27" t="str">
            <v>OK</v>
          </cell>
          <cell r="AA27" t="str">
            <v>OK</v>
          </cell>
          <cell r="AB27" t="str">
            <v>OK</v>
          </cell>
          <cell r="AC27">
            <v>0</v>
          </cell>
          <cell r="AD27">
            <v>0</v>
          </cell>
          <cell r="AE27">
            <v>0</v>
          </cell>
          <cell r="AF27">
            <v>0</v>
          </cell>
          <cell r="AG27">
            <v>0</v>
          </cell>
          <cell r="AH27">
            <v>0</v>
          </cell>
          <cell r="AI27">
            <v>0</v>
          </cell>
          <cell r="AJ27">
            <v>0</v>
          </cell>
          <cell r="AK27">
            <v>0</v>
          </cell>
          <cell r="AM27">
            <v>0</v>
          </cell>
          <cell r="AN27">
            <v>0</v>
          </cell>
          <cell r="AO27">
            <v>0</v>
          </cell>
          <cell r="AP27">
            <v>2</v>
          </cell>
          <cell r="AQ27">
            <v>0</v>
          </cell>
          <cell r="AR27">
            <v>0</v>
          </cell>
          <cell r="AS27">
            <v>0</v>
          </cell>
          <cell r="AT27">
            <v>0</v>
          </cell>
          <cell r="AU27">
            <v>0</v>
          </cell>
          <cell r="AV27">
            <v>0</v>
          </cell>
          <cell r="AW27">
            <v>0</v>
          </cell>
          <cell r="AX27">
            <v>19</v>
          </cell>
          <cell r="AY27">
            <v>19</v>
          </cell>
        </row>
        <row r="28">
          <cell r="C28">
            <v>39629193</v>
          </cell>
          <cell r="D28" t="str">
            <v xml:space="preserve">QUINTIN BAQUERO ELIDA KATERINE </v>
          </cell>
          <cell r="E28" t="str">
            <v>YEIMI MORENO</v>
          </cell>
          <cell r="F28" t="str">
            <v xml:space="preserve">SEDE 7 - SUPERCADE BOSA </v>
          </cell>
          <cell r="G28" t="str">
            <v>09/12/2025</v>
          </cell>
          <cell r="H28" t="str">
            <v>OK</v>
          </cell>
          <cell r="I28" t="str">
            <v>OK</v>
          </cell>
          <cell r="J28" t="str">
            <v>OK</v>
          </cell>
          <cell r="K28" t="str">
            <v>OK</v>
          </cell>
          <cell r="L28" t="str">
            <v>OK</v>
          </cell>
          <cell r="M28" t="str">
            <v>OK</v>
          </cell>
          <cell r="N28" t="str">
            <v>OK</v>
          </cell>
          <cell r="O28" t="str">
            <v>OK</v>
          </cell>
          <cell r="P28" t="str">
            <v>OK</v>
          </cell>
          <cell r="Q28" t="str">
            <v>OK</v>
          </cell>
          <cell r="R28" t="str">
            <v>OK</v>
          </cell>
          <cell r="S28" t="str">
            <v>OK</v>
          </cell>
          <cell r="T28" t="str">
            <v>OK</v>
          </cell>
          <cell r="U28" t="str">
            <v>OK</v>
          </cell>
          <cell r="V28" t="str">
            <v>OK</v>
          </cell>
          <cell r="W28" t="str">
            <v>OK</v>
          </cell>
          <cell r="X28" t="str">
            <v>OK</v>
          </cell>
          <cell r="Y28" t="str">
            <v>OK</v>
          </cell>
          <cell r="Z28" t="str">
            <v>OK</v>
          </cell>
          <cell r="AA28" t="str">
            <v>OK</v>
          </cell>
          <cell r="AB28" t="str">
            <v>OK</v>
          </cell>
          <cell r="AC28">
            <v>0</v>
          </cell>
          <cell r="AD28">
            <v>0</v>
          </cell>
          <cell r="AE28">
            <v>0</v>
          </cell>
          <cell r="AF28">
            <v>0</v>
          </cell>
          <cell r="AG28">
            <v>0</v>
          </cell>
          <cell r="AH28">
            <v>0</v>
          </cell>
          <cell r="AI28">
            <v>0</v>
          </cell>
          <cell r="AJ28">
            <v>0</v>
          </cell>
          <cell r="AK28">
            <v>0</v>
          </cell>
          <cell r="AM28">
            <v>0</v>
          </cell>
          <cell r="AN28">
            <v>0</v>
          </cell>
          <cell r="AO28">
            <v>0</v>
          </cell>
          <cell r="AP28">
            <v>0</v>
          </cell>
          <cell r="AQ28">
            <v>0</v>
          </cell>
          <cell r="AR28">
            <v>0</v>
          </cell>
          <cell r="AS28">
            <v>0</v>
          </cell>
          <cell r="AT28">
            <v>0</v>
          </cell>
          <cell r="AU28">
            <v>0</v>
          </cell>
          <cell r="AV28">
            <v>0</v>
          </cell>
          <cell r="AW28">
            <v>0</v>
          </cell>
          <cell r="AX28">
            <v>21</v>
          </cell>
          <cell r="AY28">
            <v>21</v>
          </cell>
        </row>
        <row r="29">
          <cell r="C29">
            <v>1045227589</v>
          </cell>
          <cell r="D29" t="str">
            <v xml:space="preserve">JIMENEZ POLO ANA LUCIA </v>
          </cell>
          <cell r="E29" t="str">
            <v>YEIMI MORENO</v>
          </cell>
          <cell r="F29" t="str">
            <v xml:space="preserve">SEDE 7 - SUPERCADE BOSA </v>
          </cell>
          <cell r="G29" t="str">
            <v>18/10/2025</v>
          </cell>
          <cell r="H29" t="str">
            <v>OK</v>
          </cell>
          <cell r="I29" t="str">
            <v>OK</v>
          </cell>
          <cell r="J29" t="str">
            <v>OK</v>
          </cell>
          <cell r="K29" t="str">
            <v>OK</v>
          </cell>
          <cell r="L29" t="str">
            <v>OK</v>
          </cell>
          <cell r="M29" t="str">
            <v>OK</v>
          </cell>
          <cell r="N29" t="str">
            <v>OK</v>
          </cell>
          <cell r="O29" t="str">
            <v>OK</v>
          </cell>
          <cell r="P29" t="str">
            <v>OK</v>
          </cell>
          <cell r="Q29" t="str">
            <v>OK</v>
          </cell>
          <cell r="R29" t="str">
            <v>OK</v>
          </cell>
          <cell r="S29" t="str">
            <v>OK</v>
          </cell>
          <cell r="T29" t="str">
            <v>OK</v>
          </cell>
          <cell r="U29" t="str">
            <v>OK</v>
          </cell>
          <cell r="V29" t="str">
            <v>OK</v>
          </cell>
          <cell r="W29" t="str">
            <v>OK</v>
          </cell>
          <cell r="X29" t="str">
            <v>OK</v>
          </cell>
          <cell r="Y29" t="str">
            <v>OK</v>
          </cell>
          <cell r="Z29" t="str">
            <v>OK</v>
          </cell>
          <cell r="AA29" t="str">
            <v>OK</v>
          </cell>
          <cell r="AB29" t="str">
            <v>OK</v>
          </cell>
          <cell r="AC29">
            <v>0</v>
          </cell>
          <cell r="AD29">
            <v>0</v>
          </cell>
          <cell r="AE29">
            <v>0</v>
          </cell>
          <cell r="AF29">
            <v>0</v>
          </cell>
          <cell r="AG29">
            <v>0</v>
          </cell>
          <cell r="AH29">
            <v>0</v>
          </cell>
          <cell r="AI29">
            <v>0</v>
          </cell>
          <cell r="AJ29">
            <v>0</v>
          </cell>
          <cell r="AK29">
            <v>0</v>
          </cell>
          <cell r="AM29">
            <v>0</v>
          </cell>
          <cell r="AN29">
            <v>0</v>
          </cell>
          <cell r="AO29">
            <v>0</v>
          </cell>
          <cell r="AP29">
            <v>0</v>
          </cell>
          <cell r="AQ29">
            <v>0</v>
          </cell>
          <cell r="AR29">
            <v>0</v>
          </cell>
          <cell r="AS29">
            <v>0</v>
          </cell>
          <cell r="AT29">
            <v>0</v>
          </cell>
          <cell r="AU29">
            <v>0</v>
          </cell>
          <cell r="AV29">
            <v>0</v>
          </cell>
          <cell r="AW29">
            <v>0</v>
          </cell>
          <cell r="AX29">
            <v>21</v>
          </cell>
          <cell r="AY29">
            <v>21</v>
          </cell>
        </row>
        <row r="30">
          <cell r="C30">
            <v>52442600</v>
          </cell>
          <cell r="D30" t="str">
            <v xml:space="preserve">TORO CAMARGO BLANCA AYDEE </v>
          </cell>
          <cell r="E30" t="str">
            <v>YEIMI MORENO</v>
          </cell>
          <cell r="F30" t="str">
            <v xml:space="preserve">SEDE 6 - SUPERCADE AMERICAS </v>
          </cell>
          <cell r="G30" t="str">
            <v>18/10/2025</v>
          </cell>
          <cell r="H30" t="str">
            <v>OK</v>
          </cell>
          <cell r="I30" t="str">
            <v>OK</v>
          </cell>
          <cell r="J30" t="str">
            <v>OK</v>
          </cell>
          <cell r="K30" t="str">
            <v>OK</v>
          </cell>
          <cell r="L30" t="str">
            <v>OK</v>
          </cell>
          <cell r="M30" t="str">
            <v>OK</v>
          </cell>
          <cell r="N30" t="str">
            <v>OK</v>
          </cell>
          <cell r="O30" t="str">
            <v>OK</v>
          </cell>
          <cell r="P30" t="str">
            <v>OK</v>
          </cell>
          <cell r="Q30" t="str">
            <v>OK</v>
          </cell>
          <cell r="R30" t="str">
            <v>OK</v>
          </cell>
          <cell r="S30" t="str">
            <v>OK</v>
          </cell>
          <cell r="T30" t="str">
            <v>OK</v>
          </cell>
          <cell r="U30" t="str">
            <v>OK</v>
          </cell>
          <cell r="V30" t="str">
            <v>OK</v>
          </cell>
          <cell r="W30" t="str">
            <v>OK</v>
          </cell>
          <cell r="X30" t="str">
            <v>OK</v>
          </cell>
          <cell r="Y30" t="str">
            <v>OK</v>
          </cell>
          <cell r="Z30" t="str">
            <v>OK</v>
          </cell>
          <cell r="AA30" t="str">
            <v>OK</v>
          </cell>
          <cell r="AB30" t="str">
            <v>OK</v>
          </cell>
          <cell r="AC30">
            <v>0</v>
          </cell>
          <cell r="AD30">
            <v>0</v>
          </cell>
          <cell r="AE30">
            <v>0</v>
          </cell>
          <cell r="AF30">
            <v>0</v>
          </cell>
          <cell r="AG30">
            <v>0</v>
          </cell>
          <cell r="AH30">
            <v>0</v>
          </cell>
          <cell r="AI30">
            <v>0</v>
          </cell>
          <cell r="AJ30">
            <v>0</v>
          </cell>
          <cell r="AK30">
            <v>0</v>
          </cell>
          <cell r="AM30">
            <v>0</v>
          </cell>
          <cell r="AN30">
            <v>0</v>
          </cell>
          <cell r="AO30">
            <v>0</v>
          </cell>
          <cell r="AP30">
            <v>0</v>
          </cell>
          <cell r="AQ30">
            <v>0</v>
          </cell>
          <cell r="AR30">
            <v>0</v>
          </cell>
          <cell r="AS30">
            <v>0</v>
          </cell>
          <cell r="AT30">
            <v>0</v>
          </cell>
          <cell r="AU30">
            <v>0</v>
          </cell>
          <cell r="AV30">
            <v>0</v>
          </cell>
          <cell r="AW30">
            <v>0</v>
          </cell>
          <cell r="AX30">
            <v>21</v>
          </cell>
          <cell r="AY30">
            <v>21</v>
          </cell>
        </row>
        <row r="31">
          <cell r="C31">
            <v>1031120358</v>
          </cell>
          <cell r="D31" t="str">
            <v xml:space="preserve">ARDILA PULIDO JEIMMY CAROLINA </v>
          </cell>
          <cell r="E31" t="str">
            <v>YEIMI MORENO</v>
          </cell>
          <cell r="F31" t="str">
            <v xml:space="preserve">SEDE 6 - SUPERCADE AMERICAS </v>
          </cell>
          <cell r="G31" t="str">
            <v>18/10/2025</v>
          </cell>
          <cell r="H31" t="str">
            <v>OK</v>
          </cell>
          <cell r="I31" t="str">
            <v>OK</v>
          </cell>
          <cell r="J31" t="str">
            <v>OK</v>
          </cell>
          <cell r="K31" t="str">
            <v>INC</v>
          </cell>
          <cell r="L31" t="str">
            <v>INC</v>
          </cell>
          <cell r="M31" t="str">
            <v>INC</v>
          </cell>
          <cell r="N31" t="str">
            <v>INC</v>
          </cell>
          <cell r="O31" t="str">
            <v>INC</v>
          </cell>
          <cell r="P31" t="str">
            <v>INC</v>
          </cell>
          <cell r="Q31" t="str">
            <v>INC</v>
          </cell>
          <cell r="R31" t="str">
            <v>INC</v>
          </cell>
          <cell r="S31" t="str">
            <v>INC</v>
          </cell>
          <cell r="T31" t="str">
            <v>INC</v>
          </cell>
          <cell r="U31" t="str">
            <v>INC</v>
          </cell>
          <cell r="V31" t="str">
            <v>INC</v>
          </cell>
          <cell r="W31" t="str">
            <v>INC</v>
          </cell>
          <cell r="X31" t="str">
            <v>INC</v>
          </cell>
          <cell r="Y31" t="str">
            <v>INC</v>
          </cell>
          <cell r="Z31" t="str">
            <v>INC</v>
          </cell>
          <cell r="AA31" t="str">
            <v>INC</v>
          </cell>
          <cell r="AB31" t="str">
            <v>INC</v>
          </cell>
          <cell r="AC31">
            <v>0</v>
          </cell>
          <cell r="AD31">
            <v>0</v>
          </cell>
          <cell r="AE31">
            <v>0</v>
          </cell>
          <cell r="AF31">
            <v>0</v>
          </cell>
          <cell r="AG31">
            <v>0</v>
          </cell>
          <cell r="AH31">
            <v>0</v>
          </cell>
          <cell r="AI31">
            <v>0</v>
          </cell>
          <cell r="AJ31">
            <v>0</v>
          </cell>
          <cell r="AK31">
            <v>0</v>
          </cell>
          <cell r="AM31">
            <v>0</v>
          </cell>
          <cell r="AN31">
            <v>0</v>
          </cell>
          <cell r="AO31">
            <v>0</v>
          </cell>
          <cell r="AP31">
            <v>18</v>
          </cell>
          <cell r="AQ31">
            <v>0</v>
          </cell>
          <cell r="AR31">
            <v>0</v>
          </cell>
          <cell r="AS31">
            <v>0</v>
          </cell>
          <cell r="AT31">
            <v>0</v>
          </cell>
          <cell r="AU31">
            <v>0</v>
          </cell>
          <cell r="AV31">
            <v>0</v>
          </cell>
          <cell r="AW31">
            <v>0</v>
          </cell>
          <cell r="AX31">
            <v>3</v>
          </cell>
          <cell r="AY31">
            <v>3</v>
          </cell>
        </row>
        <row r="32">
          <cell r="C32">
            <v>21119479</v>
          </cell>
          <cell r="D32" t="str">
            <v xml:space="preserve">PANCHE SERNA ADRIANA MARIA </v>
          </cell>
          <cell r="E32" t="str">
            <v>YEIMI MORENO</v>
          </cell>
          <cell r="F32" t="str">
            <v xml:space="preserve">SEDE 6 - SUPERCADE AMERICAS </v>
          </cell>
          <cell r="G32" t="str">
            <v>18/10/2025</v>
          </cell>
          <cell r="H32" t="str">
            <v>OK</v>
          </cell>
          <cell r="I32" t="str">
            <v>OK</v>
          </cell>
          <cell r="J32" t="str">
            <v>OK</v>
          </cell>
          <cell r="K32" t="str">
            <v>OK</v>
          </cell>
          <cell r="L32" t="str">
            <v>OK</v>
          </cell>
          <cell r="M32" t="str">
            <v>OK</v>
          </cell>
          <cell r="N32" t="str">
            <v>OK</v>
          </cell>
          <cell r="O32" t="str">
            <v>OK</v>
          </cell>
          <cell r="P32" t="str">
            <v>OK</v>
          </cell>
          <cell r="Q32" t="str">
            <v>OK</v>
          </cell>
          <cell r="R32" t="str">
            <v>OK</v>
          </cell>
          <cell r="S32" t="str">
            <v>OK</v>
          </cell>
          <cell r="T32" t="str">
            <v>OK</v>
          </cell>
          <cell r="U32" t="str">
            <v>OK</v>
          </cell>
          <cell r="V32" t="str">
            <v>OK</v>
          </cell>
          <cell r="W32" t="str">
            <v>OK</v>
          </cell>
          <cell r="X32" t="str">
            <v>OK</v>
          </cell>
          <cell r="Y32" t="str">
            <v>OK</v>
          </cell>
          <cell r="Z32" t="str">
            <v>OK</v>
          </cell>
          <cell r="AA32" t="str">
            <v>OK</v>
          </cell>
          <cell r="AB32" t="str">
            <v>OK</v>
          </cell>
          <cell r="AC32">
            <v>0</v>
          </cell>
          <cell r="AD32">
            <v>0</v>
          </cell>
          <cell r="AE32">
            <v>0</v>
          </cell>
          <cell r="AF32">
            <v>0</v>
          </cell>
          <cell r="AG32">
            <v>0</v>
          </cell>
          <cell r="AH32">
            <v>0</v>
          </cell>
          <cell r="AI32">
            <v>0</v>
          </cell>
          <cell r="AJ32">
            <v>0</v>
          </cell>
          <cell r="AK32">
            <v>0</v>
          </cell>
          <cell r="AM32">
            <v>0</v>
          </cell>
          <cell r="AN32">
            <v>0</v>
          </cell>
          <cell r="AO32">
            <v>0</v>
          </cell>
          <cell r="AP32">
            <v>0</v>
          </cell>
          <cell r="AQ32">
            <v>0</v>
          </cell>
          <cell r="AR32">
            <v>0</v>
          </cell>
          <cell r="AS32">
            <v>0</v>
          </cell>
          <cell r="AT32">
            <v>0</v>
          </cell>
          <cell r="AU32">
            <v>0</v>
          </cell>
          <cell r="AV32">
            <v>0</v>
          </cell>
          <cell r="AW32">
            <v>0</v>
          </cell>
          <cell r="AX32">
            <v>21</v>
          </cell>
          <cell r="AY32">
            <v>21</v>
          </cell>
        </row>
        <row r="33">
          <cell r="C33">
            <v>80733180</v>
          </cell>
          <cell r="D33" t="str">
            <v xml:space="preserve">ROZO TORRES JONATHAN ALEJANDRO </v>
          </cell>
          <cell r="E33" t="str">
            <v>YEIMI MORENO</v>
          </cell>
          <cell r="F33" t="str">
            <v xml:space="preserve">SEDE 6 - SUPERCADE AMERICAS </v>
          </cell>
          <cell r="G33" t="str">
            <v>18/10/2025</v>
          </cell>
          <cell r="H33" t="str">
            <v>OK</v>
          </cell>
          <cell r="I33" t="str">
            <v>OK</v>
          </cell>
          <cell r="J33" t="str">
            <v>OK</v>
          </cell>
          <cell r="K33" t="str">
            <v>OK</v>
          </cell>
          <cell r="L33" t="str">
            <v>OK</v>
          </cell>
          <cell r="M33" t="str">
            <v>OK</v>
          </cell>
          <cell r="N33" t="str">
            <v>OK</v>
          </cell>
          <cell r="O33" t="str">
            <v>OK</v>
          </cell>
          <cell r="P33" t="str">
            <v>OK</v>
          </cell>
          <cell r="Q33" t="str">
            <v>OK</v>
          </cell>
          <cell r="R33" t="str">
            <v>OK</v>
          </cell>
          <cell r="S33" t="str">
            <v>OK</v>
          </cell>
          <cell r="T33" t="str">
            <v>OK</v>
          </cell>
          <cell r="U33" t="str">
            <v>OK</v>
          </cell>
          <cell r="V33" t="str">
            <v>OK</v>
          </cell>
          <cell r="W33" t="str">
            <v>OK</v>
          </cell>
          <cell r="X33" t="str">
            <v>OK</v>
          </cell>
          <cell r="Y33" t="str">
            <v>OK</v>
          </cell>
          <cell r="Z33" t="str">
            <v>OK</v>
          </cell>
          <cell r="AA33" t="str">
            <v>OK</v>
          </cell>
          <cell r="AB33" t="str">
            <v>OK</v>
          </cell>
          <cell r="AC33">
            <v>0</v>
          </cell>
          <cell r="AD33">
            <v>0</v>
          </cell>
          <cell r="AE33">
            <v>0</v>
          </cell>
          <cell r="AF33">
            <v>0</v>
          </cell>
          <cell r="AG33">
            <v>0</v>
          </cell>
          <cell r="AH33">
            <v>0</v>
          </cell>
          <cell r="AI33">
            <v>0</v>
          </cell>
          <cell r="AJ33">
            <v>0</v>
          </cell>
          <cell r="AK33">
            <v>0</v>
          </cell>
          <cell r="AM33">
            <v>0</v>
          </cell>
          <cell r="AN33">
            <v>0</v>
          </cell>
          <cell r="AO33">
            <v>0</v>
          </cell>
          <cell r="AP33">
            <v>0</v>
          </cell>
          <cell r="AQ33">
            <v>0</v>
          </cell>
          <cell r="AR33">
            <v>0</v>
          </cell>
          <cell r="AS33">
            <v>0</v>
          </cell>
          <cell r="AT33">
            <v>0</v>
          </cell>
          <cell r="AU33">
            <v>0</v>
          </cell>
          <cell r="AV33">
            <v>0</v>
          </cell>
          <cell r="AW33">
            <v>0</v>
          </cell>
          <cell r="AX33">
            <v>21</v>
          </cell>
          <cell r="AY33">
            <v>21</v>
          </cell>
        </row>
        <row r="34">
          <cell r="C34">
            <v>73185010</v>
          </cell>
          <cell r="D34" t="str">
            <v xml:space="preserve">OROZCO GUALDRON DARWIN ENRIQUE </v>
          </cell>
          <cell r="E34" t="str">
            <v>YEIMI MORENO</v>
          </cell>
          <cell r="F34" t="str">
            <v xml:space="preserve">SEDE 6 - SUPERCADE AMERICAS </v>
          </cell>
          <cell r="G34" t="str">
            <v>12/12/2025</v>
          </cell>
          <cell r="H34" t="str">
            <v>OK</v>
          </cell>
          <cell r="I34" t="str">
            <v>OK</v>
          </cell>
          <cell r="J34" t="str">
            <v>OK</v>
          </cell>
          <cell r="K34" t="str">
            <v>OK</v>
          </cell>
          <cell r="L34" t="str">
            <v>OK</v>
          </cell>
          <cell r="M34" t="str">
            <v>OK</v>
          </cell>
          <cell r="N34" t="str">
            <v>OK</v>
          </cell>
          <cell r="O34" t="str">
            <v>OK</v>
          </cell>
          <cell r="P34" t="str">
            <v>OK</v>
          </cell>
          <cell r="Q34" t="str">
            <v>OK</v>
          </cell>
          <cell r="R34" t="str">
            <v>OK</v>
          </cell>
          <cell r="S34" t="str">
            <v>OK</v>
          </cell>
          <cell r="T34" t="str">
            <v>OK</v>
          </cell>
          <cell r="U34" t="str">
            <v>OK</v>
          </cell>
          <cell r="V34" t="str">
            <v>OK</v>
          </cell>
          <cell r="W34" t="str">
            <v>OK</v>
          </cell>
          <cell r="X34" t="str">
            <v>OK</v>
          </cell>
          <cell r="Y34" t="str">
            <v>OK</v>
          </cell>
          <cell r="Z34" t="str">
            <v>OK</v>
          </cell>
          <cell r="AA34" t="str">
            <v>OK</v>
          </cell>
          <cell r="AB34" t="str">
            <v>OK</v>
          </cell>
          <cell r="AC34">
            <v>0</v>
          </cell>
          <cell r="AD34">
            <v>0</v>
          </cell>
          <cell r="AE34">
            <v>0</v>
          </cell>
          <cell r="AF34">
            <v>0</v>
          </cell>
          <cell r="AG34">
            <v>0</v>
          </cell>
          <cell r="AH34">
            <v>0</v>
          </cell>
          <cell r="AI34">
            <v>0</v>
          </cell>
          <cell r="AJ34">
            <v>0</v>
          </cell>
          <cell r="AK34">
            <v>0</v>
          </cell>
          <cell r="AM34">
            <v>0</v>
          </cell>
          <cell r="AN34">
            <v>0</v>
          </cell>
          <cell r="AO34">
            <v>0</v>
          </cell>
          <cell r="AP34">
            <v>0</v>
          </cell>
          <cell r="AQ34">
            <v>0</v>
          </cell>
          <cell r="AR34">
            <v>0</v>
          </cell>
          <cell r="AS34">
            <v>0</v>
          </cell>
          <cell r="AT34">
            <v>0</v>
          </cell>
          <cell r="AU34">
            <v>0</v>
          </cell>
          <cell r="AV34">
            <v>0</v>
          </cell>
          <cell r="AW34">
            <v>0</v>
          </cell>
          <cell r="AX34">
            <v>21</v>
          </cell>
          <cell r="AY34">
            <v>21</v>
          </cell>
        </row>
        <row r="35">
          <cell r="C35">
            <v>53002582</v>
          </cell>
          <cell r="D35" t="str">
            <v xml:space="preserve">RAMIREZ ALZATE MONICA ALEXANDRA </v>
          </cell>
          <cell r="E35" t="str">
            <v>YEIMI MORENO</v>
          </cell>
          <cell r="F35" t="str">
            <v xml:space="preserve">SEDE 6 - SUPERCADE AMERICAS </v>
          </cell>
          <cell r="G35" t="str">
            <v>16/01/2026</v>
          </cell>
          <cell r="H35" t="str">
            <v>OK</v>
          </cell>
          <cell r="I35" t="str">
            <v>OK</v>
          </cell>
          <cell r="J35" t="str">
            <v>OK</v>
          </cell>
          <cell r="K35" t="str">
            <v>OK</v>
          </cell>
          <cell r="L35" t="str">
            <v>OK</v>
          </cell>
          <cell r="M35" t="str">
            <v>OK</v>
          </cell>
          <cell r="N35" t="str">
            <v>OK</v>
          </cell>
          <cell r="O35" t="str">
            <v>OK</v>
          </cell>
          <cell r="P35" t="str">
            <v>OK</v>
          </cell>
          <cell r="Q35" t="str">
            <v>OK</v>
          </cell>
          <cell r="R35" t="str">
            <v>OK</v>
          </cell>
          <cell r="S35" t="str">
            <v>OK</v>
          </cell>
          <cell r="T35" t="str">
            <v>OK</v>
          </cell>
          <cell r="U35" t="str">
            <v>OK</v>
          </cell>
          <cell r="V35" t="str">
            <v>OK</v>
          </cell>
          <cell r="W35" t="str">
            <v>OK</v>
          </cell>
          <cell r="X35" t="str">
            <v>OK</v>
          </cell>
          <cell r="Y35" t="str">
            <v>OK</v>
          </cell>
          <cell r="Z35" t="str">
            <v>OK</v>
          </cell>
          <cell r="AA35" t="str">
            <v>OK</v>
          </cell>
          <cell r="AB35" t="str">
            <v>OK</v>
          </cell>
          <cell r="AC35">
            <v>0</v>
          </cell>
          <cell r="AD35">
            <v>0</v>
          </cell>
          <cell r="AE35">
            <v>0</v>
          </cell>
          <cell r="AF35">
            <v>0</v>
          </cell>
          <cell r="AG35">
            <v>0</v>
          </cell>
          <cell r="AH35">
            <v>0</v>
          </cell>
          <cell r="AI35">
            <v>0</v>
          </cell>
          <cell r="AJ35">
            <v>0</v>
          </cell>
          <cell r="AK35">
            <v>0</v>
          </cell>
          <cell r="AM35">
            <v>0</v>
          </cell>
          <cell r="AN35">
            <v>0</v>
          </cell>
          <cell r="AO35">
            <v>0</v>
          </cell>
          <cell r="AP35">
            <v>0</v>
          </cell>
          <cell r="AQ35">
            <v>0</v>
          </cell>
          <cell r="AR35">
            <v>0</v>
          </cell>
          <cell r="AS35">
            <v>0</v>
          </cell>
          <cell r="AT35">
            <v>0</v>
          </cell>
          <cell r="AU35">
            <v>0</v>
          </cell>
          <cell r="AV35">
            <v>0</v>
          </cell>
          <cell r="AW35">
            <v>0</v>
          </cell>
          <cell r="AX35">
            <v>21</v>
          </cell>
          <cell r="AY35">
            <v>21</v>
          </cell>
        </row>
        <row r="36">
          <cell r="C36">
            <v>52832379</v>
          </cell>
          <cell r="D36" t="str">
            <v xml:space="preserve">LOZANO OCHOA GLADYS STELLA </v>
          </cell>
          <cell r="E36" t="str">
            <v>YEIMI MORENO</v>
          </cell>
          <cell r="F36" t="str">
            <v xml:space="preserve">SEDE 6 - SUPERCADE AMERICAS </v>
          </cell>
          <cell r="G36" t="str">
            <v>18/10/2025</v>
          </cell>
          <cell r="H36" t="str">
            <v>OK</v>
          </cell>
          <cell r="I36" t="str">
            <v>OK</v>
          </cell>
          <cell r="J36" t="str">
            <v>OK</v>
          </cell>
          <cell r="K36" t="str">
            <v>OK</v>
          </cell>
          <cell r="L36" t="str">
            <v>OK</v>
          </cell>
          <cell r="M36" t="str">
            <v>OK</v>
          </cell>
          <cell r="N36" t="str">
            <v>OK</v>
          </cell>
          <cell r="O36" t="str">
            <v>OK</v>
          </cell>
          <cell r="P36" t="str">
            <v>OK</v>
          </cell>
          <cell r="Q36" t="str">
            <v>OK</v>
          </cell>
          <cell r="R36" t="str">
            <v>OK</v>
          </cell>
          <cell r="S36" t="str">
            <v>OK</v>
          </cell>
          <cell r="T36" t="str">
            <v>OK</v>
          </cell>
          <cell r="U36" t="str">
            <v>OK</v>
          </cell>
          <cell r="V36" t="str">
            <v>OK</v>
          </cell>
          <cell r="W36" t="str">
            <v>OK</v>
          </cell>
          <cell r="X36" t="str">
            <v>OK</v>
          </cell>
          <cell r="Y36" t="str">
            <v>OK</v>
          </cell>
          <cell r="Z36" t="str">
            <v>OK</v>
          </cell>
          <cell r="AA36" t="str">
            <v>OK</v>
          </cell>
          <cell r="AB36" t="str">
            <v>OK</v>
          </cell>
          <cell r="AC36">
            <v>0</v>
          </cell>
          <cell r="AD36">
            <v>0</v>
          </cell>
          <cell r="AE36">
            <v>0</v>
          </cell>
          <cell r="AF36">
            <v>0</v>
          </cell>
          <cell r="AG36">
            <v>0</v>
          </cell>
          <cell r="AH36">
            <v>0</v>
          </cell>
          <cell r="AI36">
            <v>0</v>
          </cell>
          <cell r="AJ36">
            <v>0</v>
          </cell>
          <cell r="AK36">
            <v>0</v>
          </cell>
          <cell r="AM36">
            <v>0</v>
          </cell>
          <cell r="AN36">
            <v>0</v>
          </cell>
          <cell r="AO36">
            <v>0</v>
          </cell>
          <cell r="AP36">
            <v>0</v>
          </cell>
          <cell r="AQ36">
            <v>0</v>
          </cell>
          <cell r="AR36">
            <v>0</v>
          </cell>
          <cell r="AS36">
            <v>0</v>
          </cell>
          <cell r="AT36">
            <v>0</v>
          </cell>
          <cell r="AU36">
            <v>0</v>
          </cell>
          <cell r="AV36">
            <v>0</v>
          </cell>
          <cell r="AW36">
            <v>0</v>
          </cell>
          <cell r="AX36">
            <v>21</v>
          </cell>
          <cell r="AY36">
            <v>21</v>
          </cell>
        </row>
        <row r="37">
          <cell r="C37">
            <v>52301809</v>
          </cell>
          <cell r="D37" t="str">
            <v xml:space="preserve">ROJAS RODRIGUEZ ADA LUCIA </v>
          </cell>
          <cell r="E37" t="str">
            <v>YEIMI MORENO</v>
          </cell>
          <cell r="F37" t="str">
            <v xml:space="preserve">SEDE 6 - SUPERCADE AMERICAS </v>
          </cell>
          <cell r="G37" t="str">
            <v>18/10/2025</v>
          </cell>
          <cell r="H37" t="str">
            <v>OK</v>
          </cell>
          <cell r="I37" t="str">
            <v>OK</v>
          </cell>
          <cell r="J37" t="str">
            <v>OK</v>
          </cell>
          <cell r="K37" t="str">
            <v>OK</v>
          </cell>
          <cell r="L37" t="str">
            <v>OK</v>
          </cell>
          <cell r="M37" t="str">
            <v>OK</v>
          </cell>
          <cell r="N37" t="str">
            <v>OK</v>
          </cell>
          <cell r="O37" t="str">
            <v>OK</v>
          </cell>
          <cell r="P37" t="str">
            <v>OK</v>
          </cell>
          <cell r="Q37" t="str">
            <v>OK</v>
          </cell>
          <cell r="R37" t="str">
            <v>OK</v>
          </cell>
          <cell r="S37" t="str">
            <v>OK</v>
          </cell>
          <cell r="T37" t="str">
            <v>OK</v>
          </cell>
          <cell r="U37" t="str">
            <v>OK</v>
          </cell>
          <cell r="V37" t="str">
            <v>OK</v>
          </cell>
          <cell r="W37" t="str">
            <v>OK</v>
          </cell>
          <cell r="X37" t="str">
            <v>OK</v>
          </cell>
          <cell r="Y37" t="str">
            <v>OK</v>
          </cell>
          <cell r="Z37" t="str">
            <v>OK</v>
          </cell>
          <cell r="AA37" t="str">
            <v>OK</v>
          </cell>
          <cell r="AB37" t="str">
            <v>OK</v>
          </cell>
          <cell r="AC37">
            <v>0</v>
          </cell>
          <cell r="AD37">
            <v>0</v>
          </cell>
          <cell r="AE37">
            <v>0</v>
          </cell>
          <cell r="AF37">
            <v>0</v>
          </cell>
          <cell r="AG37">
            <v>0</v>
          </cell>
          <cell r="AH37">
            <v>0</v>
          </cell>
          <cell r="AI37">
            <v>0</v>
          </cell>
          <cell r="AJ37">
            <v>0</v>
          </cell>
          <cell r="AK37">
            <v>0</v>
          </cell>
          <cell r="AM37">
            <v>0</v>
          </cell>
          <cell r="AN37">
            <v>0</v>
          </cell>
          <cell r="AO37">
            <v>0</v>
          </cell>
          <cell r="AP37">
            <v>0</v>
          </cell>
          <cell r="AQ37">
            <v>0</v>
          </cell>
          <cell r="AR37">
            <v>0</v>
          </cell>
          <cell r="AS37">
            <v>0</v>
          </cell>
          <cell r="AT37">
            <v>0</v>
          </cell>
          <cell r="AU37">
            <v>0</v>
          </cell>
          <cell r="AV37">
            <v>0</v>
          </cell>
          <cell r="AW37">
            <v>0</v>
          </cell>
          <cell r="AX37">
            <v>21</v>
          </cell>
          <cell r="AY37">
            <v>21</v>
          </cell>
        </row>
        <row r="38">
          <cell r="C38">
            <v>52033728</v>
          </cell>
          <cell r="D38" t="str">
            <v xml:space="preserve">PARRA ESPITIA ANGELICA  </v>
          </cell>
          <cell r="E38" t="str">
            <v>YEIMI MORENO</v>
          </cell>
          <cell r="F38" t="str">
            <v xml:space="preserve">SEDE 6 - SUPERCADE AMERICAS </v>
          </cell>
          <cell r="G38" t="str">
            <v>04/12/2025</v>
          </cell>
          <cell r="H38" t="str">
            <v>OK</v>
          </cell>
          <cell r="I38" t="str">
            <v>OK</v>
          </cell>
          <cell r="J38" t="str">
            <v>OK</v>
          </cell>
          <cell r="K38" t="str">
            <v>OK</v>
          </cell>
          <cell r="L38" t="str">
            <v>OK</v>
          </cell>
          <cell r="M38" t="str">
            <v>OK</v>
          </cell>
          <cell r="N38" t="str">
            <v>OK</v>
          </cell>
          <cell r="O38" t="str">
            <v>OK</v>
          </cell>
          <cell r="P38" t="str">
            <v>OK</v>
          </cell>
          <cell r="Q38" t="str">
            <v>OK</v>
          </cell>
          <cell r="R38" t="str">
            <v>OK</v>
          </cell>
          <cell r="S38" t="str">
            <v>OK</v>
          </cell>
          <cell r="T38" t="str">
            <v>OK</v>
          </cell>
          <cell r="U38" t="str">
            <v>OK</v>
          </cell>
          <cell r="V38" t="str">
            <v>OK</v>
          </cell>
          <cell r="W38" t="str">
            <v>OK</v>
          </cell>
          <cell r="X38" t="str">
            <v>OK</v>
          </cell>
          <cell r="Y38" t="str">
            <v>OK</v>
          </cell>
          <cell r="Z38" t="str">
            <v>OK</v>
          </cell>
          <cell r="AA38" t="str">
            <v>OK</v>
          </cell>
          <cell r="AB38" t="str">
            <v>OK</v>
          </cell>
          <cell r="AC38">
            <v>0</v>
          </cell>
          <cell r="AD38">
            <v>0</v>
          </cell>
          <cell r="AE38">
            <v>0</v>
          </cell>
          <cell r="AF38">
            <v>0</v>
          </cell>
          <cell r="AG38">
            <v>0</v>
          </cell>
          <cell r="AH38">
            <v>0</v>
          </cell>
          <cell r="AI38">
            <v>0</v>
          </cell>
          <cell r="AJ38">
            <v>0</v>
          </cell>
          <cell r="AK38">
            <v>0</v>
          </cell>
          <cell r="AM38">
            <v>0</v>
          </cell>
          <cell r="AN38">
            <v>0</v>
          </cell>
          <cell r="AO38">
            <v>0</v>
          </cell>
          <cell r="AP38">
            <v>0</v>
          </cell>
          <cell r="AQ38">
            <v>0</v>
          </cell>
          <cell r="AR38">
            <v>0</v>
          </cell>
          <cell r="AS38">
            <v>0</v>
          </cell>
          <cell r="AT38">
            <v>0</v>
          </cell>
          <cell r="AU38">
            <v>0</v>
          </cell>
          <cell r="AV38">
            <v>0</v>
          </cell>
          <cell r="AW38">
            <v>0</v>
          </cell>
          <cell r="AX38">
            <v>21</v>
          </cell>
          <cell r="AY38">
            <v>21</v>
          </cell>
        </row>
        <row r="39">
          <cell r="C39">
            <v>1003242958</v>
          </cell>
          <cell r="D39" t="str">
            <v xml:space="preserve">DAZA VARELA LINDA MARY </v>
          </cell>
          <cell r="E39" t="str">
            <v>YEIMI MORENO</v>
          </cell>
          <cell r="F39" t="str">
            <v xml:space="preserve">SEDE 6 - SUPERCADE AMERICAS </v>
          </cell>
          <cell r="G39" t="str">
            <v>18/10/2025</v>
          </cell>
          <cell r="H39" t="str">
            <v>OK</v>
          </cell>
          <cell r="I39" t="str">
            <v>OK</v>
          </cell>
          <cell r="J39" t="str">
            <v>OK</v>
          </cell>
          <cell r="K39" t="str">
            <v>OK</v>
          </cell>
          <cell r="L39" t="str">
            <v>OK</v>
          </cell>
          <cell r="M39" t="str">
            <v>OK</v>
          </cell>
          <cell r="N39" t="str">
            <v>OK</v>
          </cell>
          <cell r="O39" t="str">
            <v>OK</v>
          </cell>
          <cell r="P39" t="str">
            <v>OK</v>
          </cell>
          <cell r="Q39" t="str">
            <v>OK</v>
          </cell>
          <cell r="R39" t="str">
            <v>OK</v>
          </cell>
          <cell r="S39" t="str">
            <v>OK</v>
          </cell>
          <cell r="T39" t="str">
            <v>OK</v>
          </cell>
          <cell r="U39" t="str">
            <v>OK</v>
          </cell>
          <cell r="V39" t="str">
            <v>OK</v>
          </cell>
          <cell r="W39" t="str">
            <v>OK</v>
          </cell>
          <cell r="X39" t="str">
            <v>OK</v>
          </cell>
          <cell r="Y39" t="str">
            <v>OK</v>
          </cell>
          <cell r="Z39" t="str">
            <v>OK</v>
          </cell>
          <cell r="AA39" t="str">
            <v>OK</v>
          </cell>
          <cell r="AB39" t="str">
            <v>OK</v>
          </cell>
          <cell r="AC39">
            <v>0</v>
          </cell>
          <cell r="AD39">
            <v>0</v>
          </cell>
          <cell r="AE39">
            <v>0</v>
          </cell>
          <cell r="AF39">
            <v>0</v>
          </cell>
          <cell r="AG39">
            <v>0</v>
          </cell>
          <cell r="AH39">
            <v>0</v>
          </cell>
          <cell r="AI39">
            <v>0</v>
          </cell>
          <cell r="AJ39">
            <v>0</v>
          </cell>
          <cell r="AK39">
            <v>0</v>
          </cell>
          <cell r="AM39">
            <v>0</v>
          </cell>
          <cell r="AN39">
            <v>0</v>
          </cell>
          <cell r="AO39">
            <v>0</v>
          </cell>
          <cell r="AP39">
            <v>0</v>
          </cell>
          <cell r="AQ39">
            <v>0</v>
          </cell>
          <cell r="AR39">
            <v>0</v>
          </cell>
          <cell r="AS39">
            <v>0</v>
          </cell>
          <cell r="AT39">
            <v>0</v>
          </cell>
          <cell r="AU39">
            <v>0</v>
          </cell>
          <cell r="AV39">
            <v>0</v>
          </cell>
          <cell r="AW39">
            <v>0</v>
          </cell>
          <cell r="AX39">
            <v>21</v>
          </cell>
          <cell r="AY39">
            <v>21</v>
          </cell>
        </row>
        <row r="40">
          <cell r="C40">
            <v>52635791</v>
          </cell>
          <cell r="D40" t="str">
            <v xml:space="preserve">LOZANO MANRIQUE JAYDI  </v>
          </cell>
          <cell r="E40" t="str">
            <v>YEIMI MORENO</v>
          </cell>
          <cell r="F40" t="str">
            <v xml:space="preserve">SEDE 19 - CENTRO DE ENCUENTRO BOSA </v>
          </cell>
          <cell r="G40" t="str">
            <v>18/10/2025</v>
          </cell>
          <cell r="H40" t="str">
            <v>OK</v>
          </cell>
          <cell r="I40" t="str">
            <v>OK</v>
          </cell>
          <cell r="J40" t="str">
            <v>OK</v>
          </cell>
          <cell r="K40" t="str">
            <v>OK</v>
          </cell>
          <cell r="L40" t="str">
            <v>OK</v>
          </cell>
          <cell r="M40" t="str">
            <v>OK</v>
          </cell>
          <cell r="N40" t="str">
            <v>OK</v>
          </cell>
          <cell r="O40" t="str">
            <v>OK</v>
          </cell>
          <cell r="P40" t="str">
            <v>OK</v>
          </cell>
          <cell r="Q40" t="str">
            <v>OK</v>
          </cell>
          <cell r="R40" t="str">
            <v>OK</v>
          </cell>
          <cell r="S40" t="str">
            <v>OK</v>
          </cell>
          <cell r="T40" t="str">
            <v>OK</v>
          </cell>
          <cell r="U40" t="str">
            <v>OK</v>
          </cell>
          <cell r="V40" t="str">
            <v>OK</v>
          </cell>
          <cell r="W40" t="str">
            <v>OK</v>
          </cell>
          <cell r="X40" t="str">
            <v>OK</v>
          </cell>
          <cell r="Y40" t="str">
            <v>OK</v>
          </cell>
          <cell r="Z40" t="str">
            <v>OK</v>
          </cell>
          <cell r="AA40" t="str">
            <v>OK</v>
          </cell>
          <cell r="AB40" t="str">
            <v>OK</v>
          </cell>
          <cell r="AC40">
            <v>0</v>
          </cell>
          <cell r="AD40">
            <v>0</v>
          </cell>
          <cell r="AE40">
            <v>0</v>
          </cell>
          <cell r="AF40">
            <v>0</v>
          </cell>
          <cell r="AG40">
            <v>0</v>
          </cell>
          <cell r="AH40">
            <v>0</v>
          </cell>
          <cell r="AI40">
            <v>0</v>
          </cell>
          <cell r="AJ40">
            <v>0</v>
          </cell>
          <cell r="AK40">
            <v>0</v>
          </cell>
          <cell r="AM40">
            <v>0</v>
          </cell>
          <cell r="AN40">
            <v>0</v>
          </cell>
          <cell r="AO40">
            <v>0</v>
          </cell>
          <cell r="AP40">
            <v>0</v>
          </cell>
          <cell r="AQ40">
            <v>0</v>
          </cell>
          <cell r="AR40">
            <v>0</v>
          </cell>
          <cell r="AS40">
            <v>0</v>
          </cell>
          <cell r="AT40">
            <v>0</v>
          </cell>
          <cell r="AU40">
            <v>0</v>
          </cell>
          <cell r="AV40">
            <v>0</v>
          </cell>
          <cell r="AW40">
            <v>0</v>
          </cell>
          <cell r="AX40">
            <v>21</v>
          </cell>
          <cell r="AY40">
            <v>21</v>
          </cell>
        </row>
        <row r="41">
          <cell r="C41">
            <v>14191476</v>
          </cell>
          <cell r="D41" t="str">
            <v xml:space="preserve">LONDONO VILLEGAS EDILSON  </v>
          </cell>
          <cell r="E41" t="str">
            <v>YEIMI MORENO</v>
          </cell>
          <cell r="F41" t="str">
            <v xml:space="preserve">SEDE 19 - CENTRO DE ENCUENTRO BOSA </v>
          </cell>
          <cell r="G41" t="str">
            <v>18/10/2025</v>
          </cell>
          <cell r="H41" t="str">
            <v>OK</v>
          </cell>
          <cell r="I41" t="str">
            <v>OK</v>
          </cell>
          <cell r="J41" t="str">
            <v>OK</v>
          </cell>
          <cell r="K41" t="str">
            <v>OK</v>
          </cell>
          <cell r="L41" t="str">
            <v>OK</v>
          </cell>
          <cell r="M41" t="str">
            <v>OK</v>
          </cell>
          <cell r="N41" t="str">
            <v>OK</v>
          </cell>
          <cell r="O41" t="str">
            <v>OK</v>
          </cell>
          <cell r="P41" t="str">
            <v>OK</v>
          </cell>
          <cell r="Q41" t="str">
            <v>OK</v>
          </cell>
          <cell r="R41" t="str">
            <v>OK</v>
          </cell>
          <cell r="S41" t="str">
            <v>OK</v>
          </cell>
          <cell r="T41" t="str">
            <v>OK</v>
          </cell>
          <cell r="U41" t="str">
            <v>OK</v>
          </cell>
          <cell r="V41" t="str">
            <v>OK</v>
          </cell>
          <cell r="W41" t="str">
            <v>TS</v>
          </cell>
          <cell r="X41" t="str">
            <v>TS</v>
          </cell>
          <cell r="Y41" t="str">
            <v>TS</v>
          </cell>
          <cell r="Z41" t="str">
            <v>TS</v>
          </cell>
          <cell r="AA41" t="str">
            <v>TS</v>
          </cell>
          <cell r="AB41" t="str">
            <v>TS</v>
          </cell>
          <cell r="AC41">
            <v>0</v>
          </cell>
          <cell r="AD41">
            <v>0</v>
          </cell>
          <cell r="AE41">
            <v>0</v>
          </cell>
          <cell r="AF41">
            <v>0</v>
          </cell>
          <cell r="AG41">
            <v>0</v>
          </cell>
          <cell r="AH41">
            <v>0</v>
          </cell>
          <cell r="AI41">
            <v>0</v>
          </cell>
          <cell r="AJ41">
            <v>0</v>
          </cell>
          <cell r="AK41">
            <v>0</v>
          </cell>
          <cell r="AM41">
            <v>0</v>
          </cell>
          <cell r="AN41">
            <v>0</v>
          </cell>
          <cell r="AO41">
            <v>0</v>
          </cell>
          <cell r="AP41">
            <v>0</v>
          </cell>
          <cell r="AQ41">
            <v>0</v>
          </cell>
          <cell r="AR41">
            <v>0</v>
          </cell>
          <cell r="AS41">
            <v>0</v>
          </cell>
          <cell r="AT41">
            <v>0</v>
          </cell>
          <cell r="AU41">
            <v>0</v>
          </cell>
          <cell r="AV41">
            <v>0</v>
          </cell>
          <cell r="AW41">
            <v>0</v>
          </cell>
          <cell r="AX41">
            <v>15</v>
          </cell>
          <cell r="AY41">
            <v>15</v>
          </cell>
        </row>
        <row r="42">
          <cell r="C42">
            <v>52339253</v>
          </cell>
          <cell r="D42" t="str">
            <v xml:space="preserve">CANTE MELO NELLY FARID </v>
          </cell>
          <cell r="E42" t="str">
            <v>YEIMI MORENO</v>
          </cell>
          <cell r="F42" t="str">
            <v xml:space="preserve">SEDE 19 - CENTRO DE ENCUENTRO BOSA </v>
          </cell>
          <cell r="G42" t="str">
            <v>18/10/2025</v>
          </cell>
          <cell r="H42" t="str">
            <v>OK</v>
          </cell>
          <cell r="I42" t="str">
            <v>OK</v>
          </cell>
          <cell r="J42" t="str">
            <v>OK</v>
          </cell>
          <cell r="K42" t="str">
            <v>OK</v>
          </cell>
          <cell r="L42" t="str">
            <v>OK</v>
          </cell>
          <cell r="M42" t="str">
            <v>OK</v>
          </cell>
          <cell r="N42" t="str">
            <v>OK</v>
          </cell>
          <cell r="O42" t="str">
            <v>OK</v>
          </cell>
          <cell r="P42" t="str">
            <v>OK</v>
          </cell>
          <cell r="Q42" t="str">
            <v>OK</v>
          </cell>
          <cell r="R42" t="str">
            <v>OK</v>
          </cell>
          <cell r="S42" t="str">
            <v>OK</v>
          </cell>
          <cell r="T42" t="str">
            <v>OK</v>
          </cell>
          <cell r="U42" t="str">
            <v>OK</v>
          </cell>
          <cell r="V42" t="str">
            <v>OK</v>
          </cell>
          <cell r="W42" t="str">
            <v>OK</v>
          </cell>
          <cell r="X42" t="str">
            <v>OK</v>
          </cell>
          <cell r="Y42" t="str">
            <v>OK</v>
          </cell>
          <cell r="Z42" t="str">
            <v>OK</v>
          </cell>
          <cell r="AA42" t="str">
            <v>OK</v>
          </cell>
          <cell r="AB42" t="str">
            <v>OK</v>
          </cell>
          <cell r="AC42">
            <v>0</v>
          </cell>
          <cell r="AD42">
            <v>0</v>
          </cell>
          <cell r="AE42">
            <v>0</v>
          </cell>
          <cell r="AF42">
            <v>0</v>
          </cell>
          <cell r="AG42">
            <v>0</v>
          </cell>
          <cell r="AH42">
            <v>0</v>
          </cell>
          <cell r="AI42">
            <v>0</v>
          </cell>
          <cell r="AJ42">
            <v>0</v>
          </cell>
          <cell r="AK42">
            <v>0</v>
          </cell>
          <cell r="AM42">
            <v>0</v>
          </cell>
          <cell r="AN42">
            <v>0</v>
          </cell>
          <cell r="AO42">
            <v>0</v>
          </cell>
          <cell r="AP42">
            <v>0</v>
          </cell>
          <cell r="AQ42">
            <v>0</v>
          </cell>
          <cell r="AR42">
            <v>0</v>
          </cell>
          <cell r="AS42">
            <v>0</v>
          </cell>
          <cell r="AT42">
            <v>0</v>
          </cell>
          <cell r="AU42">
            <v>0</v>
          </cell>
          <cell r="AV42">
            <v>0</v>
          </cell>
          <cell r="AW42">
            <v>0</v>
          </cell>
          <cell r="AX42">
            <v>21</v>
          </cell>
          <cell r="AY42">
            <v>21</v>
          </cell>
        </row>
        <row r="43">
          <cell r="C43">
            <v>79633497</v>
          </cell>
          <cell r="D43" t="str">
            <v xml:space="preserve">TORRES GIRALDO JAIRO HERNAN </v>
          </cell>
          <cell r="E43" t="str">
            <v>YEIMI MORENO</v>
          </cell>
          <cell r="F43" t="str">
            <v xml:space="preserve">SEDE 19 - CENTRO DE ENCUENTRO BOSA </v>
          </cell>
          <cell r="G43" t="str">
            <v>23/10/2025</v>
          </cell>
          <cell r="H43" t="str">
            <v>OK</v>
          </cell>
          <cell r="I43" t="str">
            <v>OK</v>
          </cell>
          <cell r="J43" t="str">
            <v>OK</v>
          </cell>
          <cell r="K43" t="str">
            <v>OK</v>
          </cell>
          <cell r="L43" t="str">
            <v>OK</v>
          </cell>
          <cell r="M43" t="str">
            <v>OK</v>
          </cell>
          <cell r="N43" t="str">
            <v>OK</v>
          </cell>
          <cell r="O43" t="str">
            <v>OK</v>
          </cell>
          <cell r="P43" t="str">
            <v>OK</v>
          </cell>
          <cell r="Q43" t="str">
            <v>OK</v>
          </cell>
          <cell r="R43" t="str">
            <v>OK</v>
          </cell>
          <cell r="S43" t="str">
            <v>OK</v>
          </cell>
          <cell r="T43" t="str">
            <v>OK</v>
          </cell>
          <cell r="U43" t="str">
            <v>OK</v>
          </cell>
          <cell r="V43" t="str">
            <v>OK</v>
          </cell>
          <cell r="W43" t="str">
            <v>OK</v>
          </cell>
          <cell r="X43" t="str">
            <v>OK</v>
          </cell>
          <cell r="Y43" t="str">
            <v>OK</v>
          </cell>
          <cell r="Z43" t="str">
            <v>OK</v>
          </cell>
          <cell r="AA43" t="str">
            <v>OK</v>
          </cell>
          <cell r="AB43" t="str">
            <v>OK</v>
          </cell>
          <cell r="AC43">
            <v>0</v>
          </cell>
          <cell r="AD43">
            <v>0</v>
          </cell>
          <cell r="AE43">
            <v>0</v>
          </cell>
          <cell r="AF43">
            <v>0</v>
          </cell>
          <cell r="AG43">
            <v>0</v>
          </cell>
          <cell r="AH43">
            <v>0</v>
          </cell>
          <cell r="AI43">
            <v>0</v>
          </cell>
          <cell r="AJ43">
            <v>0</v>
          </cell>
          <cell r="AK43">
            <v>0</v>
          </cell>
          <cell r="AM43">
            <v>0</v>
          </cell>
          <cell r="AN43">
            <v>0</v>
          </cell>
          <cell r="AO43">
            <v>0</v>
          </cell>
          <cell r="AP43">
            <v>0</v>
          </cell>
          <cell r="AQ43">
            <v>0</v>
          </cell>
          <cell r="AR43">
            <v>0</v>
          </cell>
          <cell r="AS43">
            <v>0</v>
          </cell>
          <cell r="AT43">
            <v>0</v>
          </cell>
          <cell r="AU43">
            <v>0</v>
          </cell>
          <cell r="AV43">
            <v>0</v>
          </cell>
          <cell r="AW43">
            <v>0</v>
          </cell>
          <cell r="AX43">
            <v>21</v>
          </cell>
          <cell r="AY43">
            <v>21</v>
          </cell>
        </row>
        <row r="44">
          <cell r="C44">
            <v>55155416</v>
          </cell>
          <cell r="D44" t="str">
            <v xml:space="preserve">OROZCO MEDINA MARTHA ROCIO </v>
          </cell>
          <cell r="E44" t="str">
            <v>YEIMI MORENO</v>
          </cell>
          <cell r="F44" t="str">
            <v xml:space="preserve">SEDE 19 - CENTRO DE ENCUENTRO BOSA </v>
          </cell>
          <cell r="G44" t="str">
            <v>18/10/2025</v>
          </cell>
          <cell r="H44" t="str">
            <v>OK</v>
          </cell>
          <cell r="I44" t="str">
            <v>OK</v>
          </cell>
          <cell r="J44" t="str">
            <v>OK</v>
          </cell>
          <cell r="K44" t="str">
            <v>OK</v>
          </cell>
          <cell r="L44" t="str">
            <v>OK</v>
          </cell>
          <cell r="M44" t="str">
            <v>OK</v>
          </cell>
          <cell r="N44" t="str">
            <v>OK</v>
          </cell>
          <cell r="O44" t="str">
            <v>OK</v>
          </cell>
          <cell r="P44" t="str">
            <v>OK</v>
          </cell>
          <cell r="Q44" t="str">
            <v>OK</v>
          </cell>
          <cell r="R44" t="str">
            <v>OK</v>
          </cell>
          <cell r="S44" t="str">
            <v>OK</v>
          </cell>
          <cell r="T44" t="str">
            <v>OK</v>
          </cell>
          <cell r="U44" t="str">
            <v>OK</v>
          </cell>
          <cell r="V44" t="str">
            <v>OK</v>
          </cell>
          <cell r="W44" t="str">
            <v>OK</v>
          </cell>
          <cell r="X44" t="str">
            <v>OK</v>
          </cell>
          <cell r="Y44" t="str">
            <v>OK</v>
          </cell>
          <cell r="Z44" t="str">
            <v>OK</v>
          </cell>
          <cell r="AA44" t="str">
            <v>OK</v>
          </cell>
          <cell r="AB44" t="str">
            <v>OK</v>
          </cell>
          <cell r="AC44">
            <v>0</v>
          </cell>
          <cell r="AD44">
            <v>0</v>
          </cell>
          <cell r="AE44">
            <v>0</v>
          </cell>
          <cell r="AF44">
            <v>0</v>
          </cell>
          <cell r="AG44">
            <v>0</v>
          </cell>
          <cell r="AH44">
            <v>0</v>
          </cell>
          <cell r="AI44">
            <v>0</v>
          </cell>
          <cell r="AJ44">
            <v>0</v>
          </cell>
          <cell r="AK44">
            <v>0</v>
          </cell>
          <cell r="AM44">
            <v>0</v>
          </cell>
          <cell r="AN44">
            <v>0</v>
          </cell>
          <cell r="AO44">
            <v>0</v>
          </cell>
          <cell r="AP44">
            <v>0</v>
          </cell>
          <cell r="AQ44">
            <v>0</v>
          </cell>
          <cell r="AR44">
            <v>0</v>
          </cell>
          <cell r="AS44">
            <v>0</v>
          </cell>
          <cell r="AT44">
            <v>0</v>
          </cell>
          <cell r="AU44">
            <v>0</v>
          </cell>
          <cell r="AV44">
            <v>0</v>
          </cell>
          <cell r="AW44">
            <v>0</v>
          </cell>
          <cell r="AX44">
            <v>21</v>
          </cell>
          <cell r="AY44">
            <v>21</v>
          </cell>
        </row>
        <row r="45">
          <cell r="C45">
            <v>72428676</v>
          </cell>
          <cell r="D45" t="str">
            <v xml:space="preserve">MANOTAS SERNA DAVID ENRIQUE </v>
          </cell>
          <cell r="E45" t="str">
            <v>YEIMI MORENO</v>
          </cell>
          <cell r="F45" t="str">
            <v xml:space="preserve">SEDE 19 - CENTRO DE ENCUENTRO BOSA </v>
          </cell>
          <cell r="G45" t="str">
            <v>14/01/2026</v>
          </cell>
          <cell r="H45" t="str">
            <v>TS</v>
          </cell>
          <cell r="I45" t="str">
            <v>TS</v>
          </cell>
          <cell r="J45" t="str">
            <v>TS</v>
          </cell>
          <cell r="K45" t="str">
            <v>TS</v>
          </cell>
          <cell r="L45" t="str">
            <v>TS</v>
          </cell>
          <cell r="M45" t="str">
            <v>TS</v>
          </cell>
          <cell r="N45" t="str">
            <v>TS</v>
          </cell>
          <cell r="O45" t="str">
            <v>TS</v>
          </cell>
          <cell r="P45" t="str">
            <v>TS</v>
          </cell>
          <cell r="Q45" t="str">
            <v>TS</v>
          </cell>
          <cell r="R45" t="str">
            <v>TS</v>
          </cell>
          <cell r="S45" t="str">
            <v>TS</v>
          </cell>
          <cell r="T45" t="str">
            <v>AUS</v>
          </cell>
          <cell r="U45" t="str">
            <v>OK</v>
          </cell>
          <cell r="V45" t="str">
            <v>OK</v>
          </cell>
          <cell r="W45" t="str">
            <v>OK</v>
          </cell>
          <cell r="X45" t="str">
            <v>OK</v>
          </cell>
          <cell r="Y45" t="str">
            <v>OK</v>
          </cell>
          <cell r="Z45" t="str">
            <v>OK</v>
          </cell>
          <cell r="AA45" t="str">
            <v>OK</v>
          </cell>
          <cell r="AB45" t="str">
            <v>OK</v>
          </cell>
          <cell r="AC45">
            <v>0</v>
          </cell>
          <cell r="AD45">
            <v>0</v>
          </cell>
          <cell r="AE45">
            <v>0</v>
          </cell>
          <cell r="AF45">
            <v>0</v>
          </cell>
          <cell r="AG45">
            <v>0</v>
          </cell>
          <cell r="AH45">
            <v>0</v>
          </cell>
          <cell r="AI45">
            <v>0</v>
          </cell>
          <cell r="AJ45">
            <v>0</v>
          </cell>
          <cell r="AK45">
            <v>0</v>
          </cell>
          <cell r="AM45">
            <v>1</v>
          </cell>
          <cell r="AN45">
            <v>0</v>
          </cell>
          <cell r="AO45">
            <v>0</v>
          </cell>
          <cell r="AP45">
            <v>0</v>
          </cell>
          <cell r="AQ45">
            <v>0</v>
          </cell>
          <cell r="AR45">
            <v>0</v>
          </cell>
          <cell r="AS45">
            <v>0</v>
          </cell>
          <cell r="AT45">
            <v>0</v>
          </cell>
          <cell r="AU45">
            <v>0</v>
          </cell>
          <cell r="AV45">
            <v>0</v>
          </cell>
          <cell r="AW45">
            <v>0</v>
          </cell>
          <cell r="AX45">
            <v>8</v>
          </cell>
          <cell r="AY45">
            <v>8</v>
          </cell>
        </row>
        <row r="46">
          <cell r="C46">
            <v>80802120</v>
          </cell>
          <cell r="D46" t="str">
            <v xml:space="preserve">RUIZ PENA DIEGO ARMANDO </v>
          </cell>
          <cell r="E46" t="str">
            <v>YEIMI MORENO</v>
          </cell>
          <cell r="F46" t="str">
            <v xml:space="preserve">SEDE 19 - CENTRO DE ENCUENTRO BOSA </v>
          </cell>
          <cell r="G46" t="str">
            <v>06/04/2026</v>
          </cell>
          <cell r="H46" t="str">
            <v>OK</v>
          </cell>
          <cell r="I46" t="str">
            <v>OK</v>
          </cell>
          <cell r="J46" t="str">
            <v>OK</v>
          </cell>
          <cell r="K46" t="str">
            <v>OK</v>
          </cell>
          <cell r="L46" t="str">
            <v>OK</v>
          </cell>
          <cell r="M46" t="str">
            <v>OK</v>
          </cell>
          <cell r="N46" t="str">
            <v>OK</v>
          </cell>
          <cell r="O46" t="str">
            <v>OK</v>
          </cell>
          <cell r="P46" t="str">
            <v>OK</v>
          </cell>
          <cell r="Q46" t="str">
            <v>OK</v>
          </cell>
          <cell r="R46" t="str">
            <v>OK</v>
          </cell>
          <cell r="S46" t="str">
            <v>OK</v>
          </cell>
          <cell r="T46" t="str">
            <v>OK</v>
          </cell>
          <cell r="U46" t="str">
            <v>OK</v>
          </cell>
          <cell r="V46" t="str">
            <v>OK</v>
          </cell>
          <cell r="W46" t="str">
            <v>OK</v>
          </cell>
          <cell r="X46" t="str">
            <v>OK</v>
          </cell>
          <cell r="Y46" t="str">
            <v>OK</v>
          </cell>
          <cell r="Z46" t="str">
            <v>OK</v>
          </cell>
          <cell r="AA46" t="str">
            <v>OK</v>
          </cell>
          <cell r="AB46" t="str">
            <v>OK</v>
          </cell>
          <cell r="AC46">
            <v>0</v>
          </cell>
          <cell r="AD46">
            <v>0</v>
          </cell>
          <cell r="AE46">
            <v>0</v>
          </cell>
          <cell r="AF46">
            <v>0</v>
          </cell>
          <cell r="AG46">
            <v>0</v>
          </cell>
          <cell r="AH46">
            <v>0</v>
          </cell>
          <cell r="AI46">
            <v>0</v>
          </cell>
          <cell r="AJ46">
            <v>0</v>
          </cell>
          <cell r="AK46">
            <v>0</v>
          </cell>
          <cell r="AM46">
            <v>0</v>
          </cell>
          <cell r="AN46">
            <v>0</v>
          </cell>
          <cell r="AO46">
            <v>0</v>
          </cell>
          <cell r="AP46">
            <v>0</v>
          </cell>
          <cell r="AQ46">
            <v>0</v>
          </cell>
          <cell r="AR46">
            <v>0</v>
          </cell>
          <cell r="AS46">
            <v>0</v>
          </cell>
          <cell r="AT46">
            <v>0</v>
          </cell>
          <cell r="AU46">
            <v>0</v>
          </cell>
          <cell r="AV46">
            <v>0</v>
          </cell>
          <cell r="AW46">
            <v>0</v>
          </cell>
          <cell r="AX46">
            <v>21</v>
          </cell>
          <cell r="AY46">
            <v>21</v>
          </cell>
        </row>
        <row r="47">
          <cell r="C47">
            <v>52161057</v>
          </cell>
          <cell r="D47" t="str">
            <v xml:space="preserve">PENA TORRES NILSA MILENA </v>
          </cell>
          <cell r="E47" t="str">
            <v>YEIMI MORENO</v>
          </cell>
          <cell r="F47" t="str">
            <v>SEDE 17 - CADE LUCEROS</v>
          </cell>
          <cell r="G47" t="str">
            <v>18/10/2025</v>
          </cell>
          <cell r="H47" t="str">
            <v>OK</v>
          </cell>
          <cell r="I47" t="str">
            <v>OK</v>
          </cell>
          <cell r="J47" t="str">
            <v>OK</v>
          </cell>
          <cell r="K47" t="str">
            <v>OK</v>
          </cell>
          <cell r="L47" t="str">
            <v>OK</v>
          </cell>
          <cell r="M47" t="str">
            <v>OK</v>
          </cell>
          <cell r="N47" t="str">
            <v>OK</v>
          </cell>
          <cell r="O47" t="str">
            <v>OK</v>
          </cell>
          <cell r="P47" t="str">
            <v>OK</v>
          </cell>
          <cell r="Q47" t="str">
            <v>OK</v>
          </cell>
          <cell r="R47" t="str">
            <v>OK</v>
          </cell>
          <cell r="S47" t="str">
            <v>OK</v>
          </cell>
          <cell r="T47" t="str">
            <v>OK</v>
          </cell>
          <cell r="U47" t="str">
            <v>OK</v>
          </cell>
          <cell r="V47" t="str">
            <v>OK</v>
          </cell>
          <cell r="W47" t="str">
            <v>OK</v>
          </cell>
          <cell r="X47" t="str">
            <v>OK</v>
          </cell>
          <cell r="Y47" t="str">
            <v>OK</v>
          </cell>
          <cell r="Z47" t="str">
            <v>OK</v>
          </cell>
          <cell r="AA47" t="str">
            <v>OK</v>
          </cell>
          <cell r="AB47" t="str">
            <v>OK</v>
          </cell>
          <cell r="AC47">
            <v>0</v>
          </cell>
          <cell r="AD47">
            <v>0</v>
          </cell>
          <cell r="AE47">
            <v>0</v>
          </cell>
          <cell r="AF47">
            <v>0</v>
          </cell>
          <cell r="AG47">
            <v>0</v>
          </cell>
          <cell r="AH47">
            <v>0</v>
          </cell>
          <cell r="AI47">
            <v>0</v>
          </cell>
          <cell r="AJ47">
            <v>0</v>
          </cell>
          <cell r="AK47">
            <v>0</v>
          </cell>
          <cell r="AM47">
            <v>0</v>
          </cell>
          <cell r="AN47">
            <v>0</v>
          </cell>
          <cell r="AO47">
            <v>0</v>
          </cell>
          <cell r="AP47">
            <v>0</v>
          </cell>
          <cell r="AQ47">
            <v>0</v>
          </cell>
          <cell r="AR47">
            <v>0</v>
          </cell>
          <cell r="AS47">
            <v>0</v>
          </cell>
          <cell r="AT47">
            <v>0</v>
          </cell>
          <cell r="AU47">
            <v>0</v>
          </cell>
          <cell r="AV47">
            <v>0</v>
          </cell>
          <cell r="AW47">
            <v>0</v>
          </cell>
          <cell r="AX47">
            <v>21</v>
          </cell>
          <cell r="AY47">
            <v>21</v>
          </cell>
        </row>
        <row r="48">
          <cell r="C48">
            <v>1026256911</v>
          </cell>
          <cell r="D48" t="str">
            <v xml:space="preserve">FUQUENE CANON SANDRA YAMILE </v>
          </cell>
          <cell r="E48" t="str">
            <v>YEIMI MORENO</v>
          </cell>
          <cell r="F48" t="str">
            <v>SEDE 20 - CENTRO DE ENCUENTRO CIUDAD BOLIVAR</v>
          </cell>
          <cell r="G48" t="str">
            <v>18/10/2025</v>
          </cell>
          <cell r="H48" t="str">
            <v>OK</v>
          </cell>
          <cell r="I48" t="str">
            <v>OK</v>
          </cell>
          <cell r="J48" t="str">
            <v>OK</v>
          </cell>
          <cell r="K48" t="str">
            <v>OK</v>
          </cell>
          <cell r="L48" t="str">
            <v>OK</v>
          </cell>
          <cell r="M48" t="str">
            <v>OK</v>
          </cell>
          <cell r="N48" t="str">
            <v>OK</v>
          </cell>
          <cell r="O48" t="str">
            <v>OK</v>
          </cell>
          <cell r="P48" t="str">
            <v>OK</v>
          </cell>
          <cell r="Q48" t="str">
            <v>OK</v>
          </cell>
          <cell r="R48" t="str">
            <v>OK</v>
          </cell>
          <cell r="S48" t="str">
            <v>OK</v>
          </cell>
          <cell r="T48" t="str">
            <v>OK</v>
          </cell>
          <cell r="U48" t="str">
            <v>OK</v>
          </cell>
          <cell r="V48" t="str">
            <v>OK</v>
          </cell>
          <cell r="W48" t="str">
            <v>OK</v>
          </cell>
          <cell r="X48" t="str">
            <v>OK</v>
          </cell>
          <cell r="Y48" t="str">
            <v>OK</v>
          </cell>
          <cell r="Z48" t="str">
            <v>OK</v>
          </cell>
          <cell r="AA48" t="str">
            <v>OK</v>
          </cell>
          <cell r="AB48" t="str">
            <v>OK</v>
          </cell>
          <cell r="AC48">
            <v>0</v>
          </cell>
          <cell r="AD48">
            <v>0</v>
          </cell>
          <cell r="AE48">
            <v>0</v>
          </cell>
          <cell r="AF48">
            <v>0</v>
          </cell>
          <cell r="AG48">
            <v>0</v>
          </cell>
          <cell r="AH48">
            <v>0</v>
          </cell>
          <cell r="AI48">
            <v>0</v>
          </cell>
          <cell r="AJ48">
            <v>0</v>
          </cell>
          <cell r="AK48">
            <v>0</v>
          </cell>
          <cell r="AM48">
            <v>0</v>
          </cell>
          <cell r="AN48">
            <v>0</v>
          </cell>
          <cell r="AO48">
            <v>0</v>
          </cell>
          <cell r="AP48">
            <v>0</v>
          </cell>
          <cell r="AQ48">
            <v>0</v>
          </cell>
          <cell r="AR48">
            <v>0</v>
          </cell>
          <cell r="AS48">
            <v>0</v>
          </cell>
          <cell r="AT48">
            <v>0</v>
          </cell>
          <cell r="AU48">
            <v>0</v>
          </cell>
          <cell r="AV48">
            <v>0</v>
          </cell>
          <cell r="AW48">
            <v>0</v>
          </cell>
          <cell r="AX48">
            <v>21</v>
          </cell>
          <cell r="AY48">
            <v>21</v>
          </cell>
        </row>
        <row r="49">
          <cell r="C49">
            <v>79449859</v>
          </cell>
          <cell r="D49" t="str">
            <v xml:space="preserve">TORRES ANGEL JOSE MANUEL </v>
          </cell>
          <cell r="E49" t="str">
            <v>YEIMI MORENO</v>
          </cell>
          <cell r="F49" t="str">
            <v>SEDE 20 - CENTRO DE ENCUENTRO CIUDAD BOLIVAR</v>
          </cell>
          <cell r="G49" t="str">
            <v>18/10/2025</v>
          </cell>
          <cell r="H49" t="str">
            <v>OK</v>
          </cell>
          <cell r="I49" t="str">
            <v>OK</v>
          </cell>
          <cell r="J49" t="str">
            <v>OK</v>
          </cell>
          <cell r="K49" t="str">
            <v>OK</v>
          </cell>
          <cell r="L49" t="str">
            <v>OK</v>
          </cell>
          <cell r="M49" t="str">
            <v>OK</v>
          </cell>
          <cell r="N49" t="str">
            <v>OK</v>
          </cell>
          <cell r="O49" t="str">
            <v>OK</v>
          </cell>
          <cell r="P49" t="str">
            <v>OK</v>
          </cell>
          <cell r="Q49" t="str">
            <v>OK</v>
          </cell>
          <cell r="R49" t="str">
            <v>OK</v>
          </cell>
          <cell r="S49" t="str">
            <v>OK</v>
          </cell>
          <cell r="T49" t="str">
            <v>OK</v>
          </cell>
          <cell r="U49" t="str">
            <v>OK</v>
          </cell>
          <cell r="V49" t="str">
            <v>OK</v>
          </cell>
          <cell r="W49" t="str">
            <v>OK</v>
          </cell>
          <cell r="X49" t="str">
            <v>OK</v>
          </cell>
          <cell r="Y49" t="str">
            <v>OK</v>
          </cell>
          <cell r="Z49" t="str">
            <v>OK</v>
          </cell>
          <cell r="AA49" t="str">
            <v>OK</v>
          </cell>
          <cell r="AB49" t="str">
            <v>OK</v>
          </cell>
          <cell r="AC49">
            <v>0</v>
          </cell>
          <cell r="AD49">
            <v>0</v>
          </cell>
          <cell r="AE49">
            <v>0</v>
          </cell>
          <cell r="AF49">
            <v>0</v>
          </cell>
          <cell r="AG49">
            <v>0</v>
          </cell>
          <cell r="AH49">
            <v>0</v>
          </cell>
          <cell r="AI49">
            <v>0</v>
          </cell>
          <cell r="AJ49">
            <v>0</v>
          </cell>
          <cell r="AK49">
            <v>0</v>
          </cell>
          <cell r="AM49">
            <v>0</v>
          </cell>
          <cell r="AN49">
            <v>0</v>
          </cell>
          <cell r="AO49">
            <v>0</v>
          </cell>
          <cell r="AP49">
            <v>0</v>
          </cell>
          <cell r="AQ49">
            <v>0</v>
          </cell>
          <cell r="AR49">
            <v>0</v>
          </cell>
          <cell r="AS49">
            <v>0</v>
          </cell>
          <cell r="AT49">
            <v>0</v>
          </cell>
          <cell r="AU49">
            <v>0</v>
          </cell>
          <cell r="AV49">
            <v>0</v>
          </cell>
          <cell r="AW49">
            <v>0</v>
          </cell>
          <cell r="AX49">
            <v>21</v>
          </cell>
          <cell r="AY49">
            <v>21</v>
          </cell>
        </row>
        <row r="50">
          <cell r="C50">
            <v>1111335552</v>
          </cell>
          <cell r="D50" t="str">
            <v xml:space="preserve">RAMIREZ NINO ANDREA  </v>
          </cell>
          <cell r="E50" t="str">
            <v>YEIMI MORENO</v>
          </cell>
          <cell r="F50" t="str">
            <v>SEDE 20 - CENTRO DE ENCUENTRO CIUDAD BOLIVAR</v>
          </cell>
          <cell r="G50" t="str">
            <v>21/10/2025</v>
          </cell>
          <cell r="H50" t="str">
            <v>OK</v>
          </cell>
          <cell r="I50" t="str">
            <v>OK</v>
          </cell>
          <cell r="J50" t="str">
            <v>OK</v>
          </cell>
          <cell r="K50" t="str">
            <v>OK</v>
          </cell>
          <cell r="L50" t="str">
            <v>OK</v>
          </cell>
          <cell r="M50" t="str">
            <v>OK</v>
          </cell>
          <cell r="N50" t="str">
            <v>OK</v>
          </cell>
          <cell r="O50" t="str">
            <v>OK</v>
          </cell>
          <cell r="P50" t="str">
            <v>OK</v>
          </cell>
          <cell r="Q50" t="str">
            <v>OK</v>
          </cell>
          <cell r="R50" t="str">
            <v>OK</v>
          </cell>
          <cell r="S50" t="str">
            <v>OK</v>
          </cell>
          <cell r="T50" t="str">
            <v>OK</v>
          </cell>
          <cell r="U50" t="str">
            <v>OK</v>
          </cell>
          <cell r="V50" t="str">
            <v>OK</v>
          </cell>
          <cell r="W50" t="str">
            <v>OK</v>
          </cell>
          <cell r="X50" t="str">
            <v>OK</v>
          </cell>
          <cell r="Y50" t="str">
            <v>OK</v>
          </cell>
          <cell r="Z50" t="str">
            <v>OK</v>
          </cell>
          <cell r="AA50" t="str">
            <v>OK</v>
          </cell>
          <cell r="AB50" t="str">
            <v>OK</v>
          </cell>
          <cell r="AC50">
            <v>0</v>
          </cell>
          <cell r="AD50">
            <v>0</v>
          </cell>
          <cell r="AE50">
            <v>0</v>
          </cell>
          <cell r="AF50">
            <v>0</v>
          </cell>
          <cell r="AG50">
            <v>0</v>
          </cell>
          <cell r="AH50">
            <v>0</v>
          </cell>
          <cell r="AI50">
            <v>0</v>
          </cell>
          <cell r="AJ50">
            <v>0</v>
          </cell>
          <cell r="AK50">
            <v>0</v>
          </cell>
          <cell r="AM50">
            <v>0</v>
          </cell>
          <cell r="AN50">
            <v>0</v>
          </cell>
          <cell r="AO50">
            <v>0</v>
          </cell>
          <cell r="AP50">
            <v>0</v>
          </cell>
          <cell r="AQ50">
            <v>0</v>
          </cell>
          <cell r="AR50">
            <v>0</v>
          </cell>
          <cell r="AS50">
            <v>0</v>
          </cell>
          <cell r="AT50">
            <v>0</v>
          </cell>
          <cell r="AU50">
            <v>0</v>
          </cell>
          <cell r="AV50">
            <v>0</v>
          </cell>
          <cell r="AW50">
            <v>0</v>
          </cell>
          <cell r="AX50">
            <v>21</v>
          </cell>
          <cell r="AY50">
            <v>21</v>
          </cell>
        </row>
        <row r="51">
          <cell r="C51">
            <v>80391453</v>
          </cell>
          <cell r="D51" t="str">
            <v xml:space="preserve">PULIDO GONZALEZ BERTULIO  </v>
          </cell>
          <cell r="E51" t="str">
            <v>YEIMI MORENO</v>
          </cell>
          <cell r="F51" t="str">
            <v>SEDE 25 - SEDE YOMASA</v>
          </cell>
          <cell r="G51" t="str">
            <v>22/10/2025</v>
          </cell>
          <cell r="H51" t="str">
            <v>OK</v>
          </cell>
          <cell r="I51" t="str">
            <v>OK</v>
          </cell>
          <cell r="J51" t="str">
            <v>OK</v>
          </cell>
          <cell r="K51" t="str">
            <v>OK</v>
          </cell>
          <cell r="L51" t="str">
            <v>OK</v>
          </cell>
          <cell r="M51" t="str">
            <v>OK</v>
          </cell>
          <cell r="N51" t="str">
            <v>OK</v>
          </cell>
          <cell r="O51" t="str">
            <v>OK</v>
          </cell>
          <cell r="P51" t="str">
            <v>OK</v>
          </cell>
          <cell r="Q51" t="str">
            <v>OK</v>
          </cell>
          <cell r="R51" t="str">
            <v>OK</v>
          </cell>
          <cell r="S51" t="str">
            <v>OK</v>
          </cell>
          <cell r="T51" t="str">
            <v>OK</v>
          </cell>
          <cell r="U51" t="str">
            <v>OK</v>
          </cell>
          <cell r="V51" t="str">
            <v>OK</v>
          </cell>
          <cell r="W51" t="str">
            <v>OK</v>
          </cell>
          <cell r="X51" t="str">
            <v>OK</v>
          </cell>
          <cell r="Y51" t="str">
            <v>OK</v>
          </cell>
          <cell r="Z51" t="str">
            <v>OK</v>
          </cell>
          <cell r="AA51" t="str">
            <v>OK</v>
          </cell>
          <cell r="AB51" t="str">
            <v>OK</v>
          </cell>
          <cell r="AC51">
            <v>0</v>
          </cell>
          <cell r="AD51">
            <v>0</v>
          </cell>
          <cell r="AE51">
            <v>0</v>
          </cell>
          <cell r="AF51">
            <v>0</v>
          </cell>
          <cell r="AG51">
            <v>0</v>
          </cell>
          <cell r="AH51">
            <v>0</v>
          </cell>
          <cell r="AI51">
            <v>0</v>
          </cell>
          <cell r="AJ51">
            <v>0</v>
          </cell>
          <cell r="AK51">
            <v>0</v>
          </cell>
          <cell r="AM51">
            <v>0</v>
          </cell>
          <cell r="AN51">
            <v>0</v>
          </cell>
          <cell r="AO51">
            <v>0</v>
          </cell>
          <cell r="AP51">
            <v>0</v>
          </cell>
          <cell r="AQ51">
            <v>0</v>
          </cell>
          <cell r="AR51">
            <v>0</v>
          </cell>
          <cell r="AS51">
            <v>0</v>
          </cell>
          <cell r="AT51">
            <v>0</v>
          </cell>
          <cell r="AU51">
            <v>0</v>
          </cell>
          <cell r="AV51">
            <v>0</v>
          </cell>
          <cell r="AW51">
            <v>0</v>
          </cell>
          <cell r="AX51">
            <v>21</v>
          </cell>
          <cell r="AY51">
            <v>21</v>
          </cell>
        </row>
        <row r="52">
          <cell r="C52">
            <v>24716019</v>
          </cell>
          <cell r="D52" t="str">
            <v xml:space="preserve">RUBIO SANCHEZ ALISON  </v>
          </cell>
          <cell r="E52" t="str">
            <v>YEIMI MORENO</v>
          </cell>
          <cell r="F52" t="str">
            <v>SEDE 25 - SEDE YOMASA</v>
          </cell>
          <cell r="G52" t="str">
            <v>17/12/2025</v>
          </cell>
          <cell r="H52" t="str">
            <v>OK</v>
          </cell>
          <cell r="I52" t="str">
            <v>OK</v>
          </cell>
          <cell r="J52" t="str">
            <v>OK</v>
          </cell>
          <cell r="K52" t="str">
            <v>OK</v>
          </cell>
          <cell r="L52" t="str">
            <v>OK</v>
          </cell>
          <cell r="M52" t="str">
            <v>OK</v>
          </cell>
          <cell r="N52" t="str">
            <v>OK</v>
          </cell>
          <cell r="O52" t="str">
            <v>OK</v>
          </cell>
          <cell r="P52" t="str">
            <v>OK</v>
          </cell>
          <cell r="Q52" t="str">
            <v>OK</v>
          </cell>
          <cell r="R52" t="str">
            <v>OK</v>
          </cell>
          <cell r="S52" t="str">
            <v>OK</v>
          </cell>
          <cell r="T52" t="str">
            <v>OK</v>
          </cell>
          <cell r="U52" t="str">
            <v>OK</v>
          </cell>
          <cell r="V52" t="str">
            <v>OK</v>
          </cell>
          <cell r="W52" t="str">
            <v>OK</v>
          </cell>
          <cell r="X52" t="str">
            <v>OK</v>
          </cell>
          <cell r="Y52" t="str">
            <v>OK</v>
          </cell>
          <cell r="Z52" t="str">
            <v>OK</v>
          </cell>
          <cell r="AA52" t="str">
            <v>OK</v>
          </cell>
          <cell r="AB52" t="str">
            <v>OK</v>
          </cell>
          <cell r="AC52">
            <v>0</v>
          </cell>
          <cell r="AD52">
            <v>0</v>
          </cell>
          <cell r="AE52">
            <v>0</v>
          </cell>
          <cell r="AF52">
            <v>0</v>
          </cell>
          <cell r="AG52">
            <v>0</v>
          </cell>
          <cell r="AH52">
            <v>0</v>
          </cell>
          <cell r="AI52">
            <v>0</v>
          </cell>
          <cell r="AJ52">
            <v>0</v>
          </cell>
          <cell r="AK52">
            <v>0</v>
          </cell>
          <cell r="AM52">
            <v>0</v>
          </cell>
          <cell r="AN52">
            <v>0</v>
          </cell>
          <cell r="AO52">
            <v>0</v>
          </cell>
          <cell r="AP52">
            <v>0</v>
          </cell>
          <cell r="AQ52">
            <v>0</v>
          </cell>
          <cell r="AR52">
            <v>0</v>
          </cell>
          <cell r="AS52">
            <v>0</v>
          </cell>
          <cell r="AT52">
            <v>0</v>
          </cell>
          <cell r="AU52">
            <v>0</v>
          </cell>
          <cell r="AV52">
            <v>0</v>
          </cell>
          <cell r="AW52">
            <v>0</v>
          </cell>
          <cell r="AX52">
            <v>21</v>
          </cell>
          <cell r="AY52">
            <v>21</v>
          </cell>
        </row>
        <row r="53">
          <cell r="C53">
            <v>65788478</v>
          </cell>
          <cell r="D53" t="str">
            <v xml:space="preserve">AROCA AROCA ANA ELIZA </v>
          </cell>
          <cell r="E53" t="str">
            <v>YEIMI MORENO</v>
          </cell>
          <cell r="F53" t="str">
            <v>SEDE 25 - SEDE YOMASA</v>
          </cell>
          <cell r="G53" t="str">
            <v>22/10/2025</v>
          </cell>
          <cell r="H53" t="str">
            <v>OK</v>
          </cell>
          <cell r="I53" t="str">
            <v>OK</v>
          </cell>
          <cell r="J53" t="str">
            <v>OK</v>
          </cell>
          <cell r="K53" t="str">
            <v>OK</v>
          </cell>
          <cell r="L53" t="str">
            <v>OK</v>
          </cell>
          <cell r="M53" t="str">
            <v>OK</v>
          </cell>
          <cell r="N53" t="str">
            <v>OK</v>
          </cell>
          <cell r="O53" t="str">
            <v>OK</v>
          </cell>
          <cell r="P53" t="str">
            <v>OK</v>
          </cell>
          <cell r="Q53" t="str">
            <v>OK</v>
          </cell>
          <cell r="R53" t="str">
            <v>OK</v>
          </cell>
          <cell r="S53" t="str">
            <v>OK</v>
          </cell>
          <cell r="T53" t="str">
            <v>OK</v>
          </cell>
          <cell r="U53" t="str">
            <v>OK</v>
          </cell>
          <cell r="V53" t="str">
            <v>OK</v>
          </cell>
          <cell r="W53" t="str">
            <v>LT</v>
          </cell>
          <cell r="X53" t="str">
            <v>LT</v>
          </cell>
          <cell r="Y53" t="str">
            <v>LT</v>
          </cell>
          <cell r="Z53" t="str">
            <v>LT</v>
          </cell>
          <cell r="AA53" t="str">
            <v>LT</v>
          </cell>
          <cell r="AB53" t="str">
            <v>CD</v>
          </cell>
          <cell r="AC53">
            <v>0</v>
          </cell>
          <cell r="AD53">
            <v>0</v>
          </cell>
          <cell r="AE53">
            <v>0</v>
          </cell>
          <cell r="AF53">
            <v>0</v>
          </cell>
          <cell r="AG53">
            <v>0</v>
          </cell>
          <cell r="AH53">
            <v>0</v>
          </cell>
          <cell r="AI53">
            <v>0</v>
          </cell>
          <cell r="AJ53">
            <v>0</v>
          </cell>
          <cell r="AK53">
            <v>0</v>
          </cell>
          <cell r="AM53">
            <v>0</v>
          </cell>
          <cell r="AN53">
            <v>0</v>
          </cell>
          <cell r="AO53">
            <v>0</v>
          </cell>
          <cell r="AP53">
            <v>0</v>
          </cell>
          <cell r="AQ53">
            <v>0</v>
          </cell>
          <cell r="AR53">
            <v>0</v>
          </cell>
          <cell r="AS53">
            <v>0</v>
          </cell>
          <cell r="AT53">
            <v>1</v>
          </cell>
          <cell r="AU53">
            <v>0</v>
          </cell>
          <cell r="AV53">
            <v>0</v>
          </cell>
          <cell r="AW53">
            <v>5</v>
          </cell>
          <cell r="AX53">
            <v>15</v>
          </cell>
          <cell r="AY53">
            <v>15</v>
          </cell>
        </row>
        <row r="54">
          <cell r="C54">
            <v>1023963907</v>
          </cell>
          <cell r="D54" t="str">
            <v xml:space="preserve">HERNANDEZ GRANADOS ASLY TATIANA </v>
          </cell>
          <cell r="E54" t="str">
            <v>YEIMI MORENO</v>
          </cell>
          <cell r="F54" t="str">
            <v>SEDE 25 - SEDE YOMASA</v>
          </cell>
          <cell r="G54" t="str">
            <v>06/01/2026</v>
          </cell>
          <cell r="H54" t="str">
            <v>OK</v>
          </cell>
          <cell r="I54" t="str">
            <v>OK</v>
          </cell>
          <cell r="J54" t="str">
            <v>OK</v>
          </cell>
          <cell r="K54" t="str">
            <v>OK</v>
          </cell>
          <cell r="L54" t="str">
            <v>OK</v>
          </cell>
          <cell r="M54" t="str">
            <v>OK</v>
          </cell>
          <cell r="N54" t="str">
            <v>OK</v>
          </cell>
          <cell r="O54" t="str">
            <v>OK</v>
          </cell>
          <cell r="P54" t="str">
            <v>OK</v>
          </cell>
          <cell r="Q54" t="str">
            <v>OK</v>
          </cell>
          <cell r="R54" t="str">
            <v>OK</v>
          </cell>
          <cell r="S54" t="str">
            <v>OK</v>
          </cell>
          <cell r="T54" t="str">
            <v>OK</v>
          </cell>
          <cell r="U54" t="str">
            <v>OK</v>
          </cell>
          <cell r="V54" t="str">
            <v>OK</v>
          </cell>
          <cell r="W54" t="str">
            <v>OK</v>
          </cell>
          <cell r="X54" t="str">
            <v>OK</v>
          </cell>
          <cell r="Y54" t="str">
            <v>OK</v>
          </cell>
          <cell r="Z54" t="str">
            <v>OK</v>
          </cell>
          <cell r="AA54" t="str">
            <v>OK</v>
          </cell>
          <cell r="AB54" t="str">
            <v>OK</v>
          </cell>
          <cell r="AC54">
            <v>0</v>
          </cell>
          <cell r="AD54">
            <v>0</v>
          </cell>
          <cell r="AE54">
            <v>0</v>
          </cell>
          <cell r="AF54">
            <v>0</v>
          </cell>
          <cell r="AG54">
            <v>0</v>
          </cell>
          <cell r="AH54">
            <v>0</v>
          </cell>
          <cell r="AI54">
            <v>0</v>
          </cell>
          <cell r="AJ54">
            <v>0</v>
          </cell>
          <cell r="AK54">
            <v>0</v>
          </cell>
          <cell r="AM54">
            <v>0</v>
          </cell>
          <cell r="AN54">
            <v>0</v>
          </cell>
          <cell r="AO54">
            <v>0</v>
          </cell>
          <cell r="AP54">
            <v>0</v>
          </cell>
          <cell r="AQ54">
            <v>0</v>
          </cell>
          <cell r="AR54">
            <v>0</v>
          </cell>
          <cell r="AS54">
            <v>0</v>
          </cell>
          <cell r="AT54">
            <v>0</v>
          </cell>
          <cell r="AU54">
            <v>0</v>
          </cell>
          <cell r="AV54">
            <v>0</v>
          </cell>
          <cell r="AW54">
            <v>0</v>
          </cell>
          <cell r="AX54">
            <v>21</v>
          </cell>
          <cell r="AY54">
            <v>21</v>
          </cell>
        </row>
        <row r="55">
          <cell r="C55">
            <v>52937317</v>
          </cell>
          <cell r="D55" t="str">
            <v xml:space="preserve">RODRIGUEZ REYES ELENA YOHANA </v>
          </cell>
          <cell r="E55" t="str">
            <v>YEIMI MORENO</v>
          </cell>
          <cell r="F55" t="str">
            <v>SEDE 25 - SEDE YOMASA</v>
          </cell>
          <cell r="G55" t="str">
            <v>18/10/2025</v>
          </cell>
          <cell r="H55" t="str">
            <v>OK</v>
          </cell>
          <cell r="I55" t="str">
            <v>OK</v>
          </cell>
          <cell r="J55" t="str">
            <v>OK</v>
          </cell>
          <cell r="K55" t="str">
            <v>OK</v>
          </cell>
          <cell r="L55" t="str">
            <v>OK</v>
          </cell>
          <cell r="M55" t="str">
            <v>OK</v>
          </cell>
          <cell r="N55" t="str">
            <v>OK</v>
          </cell>
          <cell r="O55" t="str">
            <v>OK</v>
          </cell>
          <cell r="P55" t="str">
            <v>OK</v>
          </cell>
          <cell r="Q55" t="str">
            <v>OK</v>
          </cell>
          <cell r="R55" t="str">
            <v>OK</v>
          </cell>
          <cell r="S55" t="str">
            <v>OK</v>
          </cell>
          <cell r="T55" t="str">
            <v>OK</v>
          </cell>
          <cell r="U55" t="str">
            <v>OK</v>
          </cell>
          <cell r="V55" t="str">
            <v>OK</v>
          </cell>
          <cell r="W55" t="str">
            <v>OK</v>
          </cell>
          <cell r="X55" t="str">
            <v>OK</v>
          </cell>
          <cell r="Y55" t="str">
            <v>OK</v>
          </cell>
          <cell r="Z55" t="str">
            <v>OK</v>
          </cell>
          <cell r="AA55" t="str">
            <v>OK</v>
          </cell>
          <cell r="AB55" t="str">
            <v>OK</v>
          </cell>
          <cell r="AC55">
            <v>0</v>
          </cell>
          <cell r="AD55">
            <v>0</v>
          </cell>
          <cell r="AE55">
            <v>0</v>
          </cell>
          <cell r="AF55">
            <v>0</v>
          </cell>
          <cell r="AG55">
            <v>0</v>
          </cell>
          <cell r="AH55">
            <v>0</v>
          </cell>
          <cell r="AI55">
            <v>0</v>
          </cell>
          <cell r="AJ55">
            <v>0</v>
          </cell>
          <cell r="AK55">
            <v>0</v>
          </cell>
          <cell r="AM55">
            <v>0</v>
          </cell>
          <cell r="AN55">
            <v>0</v>
          </cell>
          <cell r="AO55">
            <v>0</v>
          </cell>
          <cell r="AP55">
            <v>0</v>
          </cell>
          <cell r="AQ55">
            <v>0</v>
          </cell>
          <cell r="AR55">
            <v>0</v>
          </cell>
          <cell r="AS55">
            <v>0</v>
          </cell>
          <cell r="AT55">
            <v>0</v>
          </cell>
          <cell r="AU55">
            <v>0</v>
          </cell>
          <cell r="AV55">
            <v>0</v>
          </cell>
          <cell r="AW55">
            <v>0</v>
          </cell>
          <cell r="AX55">
            <v>21</v>
          </cell>
          <cell r="AY55">
            <v>21</v>
          </cell>
        </row>
        <row r="56">
          <cell r="C56">
            <v>1050838828</v>
          </cell>
          <cell r="D56" t="str">
            <v xml:space="preserve">GONZALEZ CHACON KARINA  </v>
          </cell>
          <cell r="E56" t="str">
            <v>YEIMI MORENO</v>
          </cell>
          <cell r="F56" t="str">
            <v>SEDE 26 - CADE PATIO BONITO</v>
          </cell>
          <cell r="G56" t="str">
            <v>18/10/2025</v>
          </cell>
          <cell r="H56" t="str">
            <v>OK</v>
          </cell>
          <cell r="I56" t="str">
            <v>OK</v>
          </cell>
          <cell r="J56" t="str">
            <v>OK</v>
          </cell>
          <cell r="K56" t="str">
            <v>OK</v>
          </cell>
          <cell r="L56" t="str">
            <v>OK</v>
          </cell>
          <cell r="M56" t="str">
            <v>OK</v>
          </cell>
          <cell r="N56" t="str">
            <v>OK</v>
          </cell>
          <cell r="O56" t="str">
            <v>OK</v>
          </cell>
          <cell r="P56" t="str">
            <v>OK</v>
          </cell>
          <cell r="Q56" t="str">
            <v>OK</v>
          </cell>
          <cell r="R56" t="str">
            <v>OK</v>
          </cell>
          <cell r="S56" t="str">
            <v>OK</v>
          </cell>
          <cell r="T56" t="str">
            <v>OK</v>
          </cell>
          <cell r="U56" t="str">
            <v>OK</v>
          </cell>
          <cell r="V56" t="str">
            <v>OK</v>
          </cell>
          <cell r="W56" t="str">
            <v>OK</v>
          </cell>
          <cell r="X56" t="str">
            <v>OK</v>
          </cell>
          <cell r="Y56" t="str">
            <v>OK</v>
          </cell>
          <cell r="Z56" t="str">
            <v>OK</v>
          </cell>
          <cell r="AA56" t="str">
            <v>OK</v>
          </cell>
          <cell r="AB56" t="str">
            <v>OK</v>
          </cell>
          <cell r="AC56">
            <v>0</v>
          </cell>
          <cell r="AD56">
            <v>0</v>
          </cell>
          <cell r="AE56">
            <v>0</v>
          </cell>
          <cell r="AF56">
            <v>0</v>
          </cell>
          <cell r="AG56">
            <v>0</v>
          </cell>
          <cell r="AH56">
            <v>0</v>
          </cell>
          <cell r="AI56">
            <v>0</v>
          </cell>
          <cell r="AJ56">
            <v>0</v>
          </cell>
          <cell r="AK56">
            <v>0</v>
          </cell>
          <cell r="AM56">
            <v>0</v>
          </cell>
          <cell r="AN56">
            <v>0</v>
          </cell>
          <cell r="AO56">
            <v>0</v>
          </cell>
          <cell r="AP56">
            <v>0</v>
          </cell>
          <cell r="AQ56">
            <v>0</v>
          </cell>
          <cell r="AR56">
            <v>0</v>
          </cell>
          <cell r="AS56">
            <v>0</v>
          </cell>
          <cell r="AT56">
            <v>0</v>
          </cell>
          <cell r="AU56">
            <v>0</v>
          </cell>
          <cell r="AV56">
            <v>0</v>
          </cell>
          <cell r="AW56">
            <v>0</v>
          </cell>
          <cell r="AX56">
            <v>21</v>
          </cell>
          <cell r="AY56">
            <v>21</v>
          </cell>
          <cell r="AZ56">
            <v>0</v>
          </cell>
        </row>
        <row r="57">
          <cell r="C57">
            <v>1090491496</v>
          </cell>
          <cell r="D57" t="str">
            <v xml:space="preserve">RINCON MALDONADO LUCENIT ISABEL </v>
          </cell>
          <cell r="E57" t="str">
            <v>YEIMI MORENO</v>
          </cell>
          <cell r="F57" t="str">
            <v>SEDE 22 - CENTRO DE ENCUENTRO KENNEDY PATIO BONITO</v>
          </cell>
          <cell r="G57" t="str">
            <v>18/10/2025</v>
          </cell>
          <cell r="H57" t="str">
            <v>OK</v>
          </cell>
          <cell r="I57" t="str">
            <v>OK</v>
          </cell>
          <cell r="J57" t="str">
            <v>OK</v>
          </cell>
          <cell r="K57" t="str">
            <v>OK</v>
          </cell>
          <cell r="L57" t="str">
            <v>OK</v>
          </cell>
          <cell r="M57" t="str">
            <v>OK</v>
          </cell>
          <cell r="N57" t="str">
            <v>OK</v>
          </cell>
          <cell r="O57" t="str">
            <v>OK</v>
          </cell>
          <cell r="P57" t="str">
            <v>OK</v>
          </cell>
          <cell r="Q57" t="str">
            <v>OK</v>
          </cell>
          <cell r="R57" t="str">
            <v>OK</v>
          </cell>
          <cell r="S57" t="str">
            <v>OK</v>
          </cell>
          <cell r="T57" t="str">
            <v>OK</v>
          </cell>
          <cell r="U57" t="str">
            <v>OK</v>
          </cell>
          <cell r="V57" t="str">
            <v>OK</v>
          </cell>
          <cell r="W57" t="str">
            <v>OK</v>
          </cell>
          <cell r="X57" t="str">
            <v>OK</v>
          </cell>
          <cell r="Y57" t="str">
            <v>OK</v>
          </cell>
          <cell r="Z57" t="str">
            <v>OK</v>
          </cell>
          <cell r="AA57" t="str">
            <v>OK</v>
          </cell>
          <cell r="AB57" t="str">
            <v>OK</v>
          </cell>
          <cell r="AC57">
            <v>0</v>
          </cell>
          <cell r="AD57">
            <v>0</v>
          </cell>
          <cell r="AE57">
            <v>0</v>
          </cell>
          <cell r="AF57">
            <v>0</v>
          </cell>
          <cell r="AG57">
            <v>0</v>
          </cell>
          <cell r="AH57">
            <v>0</v>
          </cell>
          <cell r="AI57">
            <v>0</v>
          </cell>
          <cell r="AJ57">
            <v>0</v>
          </cell>
          <cell r="AK57">
            <v>0</v>
          </cell>
          <cell r="AM57">
            <v>0</v>
          </cell>
          <cell r="AN57">
            <v>0</v>
          </cell>
          <cell r="AO57">
            <v>0</v>
          </cell>
          <cell r="AP57">
            <v>0</v>
          </cell>
          <cell r="AQ57">
            <v>0</v>
          </cell>
          <cell r="AR57">
            <v>0</v>
          </cell>
          <cell r="AS57">
            <v>0</v>
          </cell>
          <cell r="AT57">
            <v>0</v>
          </cell>
          <cell r="AU57">
            <v>0</v>
          </cell>
          <cell r="AV57">
            <v>0</v>
          </cell>
          <cell r="AW57">
            <v>0</v>
          </cell>
          <cell r="AX57">
            <v>21</v>
          </cell>
          <cell r="AY57">
            <v>21</v>
          </cell>
          <cell r="AZ57">
            <v>0</v>
          </cell>
        </row>
        <row r="58">
          <cell r="C58">
            <v>52317516</v>
          </cell>
          <cell r="D58" t="str">
            <v xml:space="preserve">MARTINEZ CICHACA JOSEFINA  </v>
          </cell>
          <cell r="E58" t="str">
            <v>YEIMI MORENO</v>
          </cell>
          <cell r="F58" t="str">
            <v>SEDE 22 - CENTRO DE ENCUENTRO KENNEDY PATIO BONITO</v>
          </cell>
          <cell r="G58" t="str">
            <v>18/10/2025</v>
          </cell>
          <cell r="H58" t="str">
            <v>OK</v>
          </cell>
          <cell r="I58" t="str">
            <v>OK</v>
          </cell>
          <cell r="J58" t="str">
            <v>OK</v>
          </cell>
          <cell r="K58" t="str">
            <v>OK</v>
          </cell>
          <cell r="L58" t="str">
            <v>OK</v>
          </cell>
          <cell r="M58" t="str">
            <v>OK</v>
          </cell>
          <cell r="N58" t="str">
            <v>OK</v>
          </cell>
          <cell r="O58" t="str">
            <v>OK</v>
          </cell>
          <cell r="P58" t="str">
            <v>OK</v>
          </cell>
          <cell r="Q58" t="str">
            <v>OK</v>
          </cell>
          <cell r="R58" t="str">
            <v>OK</v>
          </cell>
          <cell r="S58" t="str">
            <v>OK</v>
          </cell>
          <cell r="T58" t="str">
            <v>OK</v>
          </cell>
          <cell r="U58" t="str">
            <v>OK</v>
          </cell>
          <cell r="V58" t="str">
            <v>OK</v>
          </cell>
          <cell r="W58" t="str">
            <v>OK</v>
          </cell>
          <cell r="X58" t="str">
            <v>OK</v>
          </cell>
          <cell r="Y58" t="str">
            <v>OK</v>
          </cell>
          <cell r="Z58" t="str">
            <v>OK</v>
          </cell>
          <cell r="AA58" t="str">
            <v>OK</v>
          </cell>
          <cell r="AB58" t="str">
            <v>OK</v>
          </cell>
          <cell r="AC58">
            <v>0</v>
          </cell>
          <cell r="AD58">
            <v>0</v>
          </cell>
          <cell r="AE58">
            <v>0</v>
          </cell>
          <cell r="AF58">
            <v>0</v>
          </cell>
          <cell r="AG58">
            <v>0</v>
          </cell>
          <cell r="AH58">
            <v>0</v>
          </cell>
          <cell r="AI58">
            <v>0</v>
          </cell>
          <cell r="AJ58">
            <v>0</v>
          </cell>
          <cell r="AK58">
            <v>0</v>
          </cell>
          <cell r="AM58">
            <v>0</v>
          </cell>
          <cell r="AN58">
            <v>0</v>
          </cell>
          <cell r="AO58">
            <v>0</v>
          </cell>
          <cell r="AP58">
            <v>0</v>
          </cell>
          <cell r="AQ58">
            <v>0</v>
          </cell>
          <cell r="AR58">
            <v>0</v>
          </cell>
          <cell r="AS58">
            <v>0</v>
          </cell>
          <cell r="AT58">
            <v>0</v>
          </cell>
          <cell r="AU58">
            <v>0</v>
          </cell>
          <cell r="AV58">
            <v>0</v>
          </cell>
          <cell r="AW58">
            <v>0</v>
          </cell>
          <cell r="AX58">
            <v>21</v>
          </cell>
          <cell r="AY58">
            <v>21</v>
          </cell>
          <cell r="AZ58">
            <v>0</v>
          </cell>
        </row>
        <row r="59">
          <cell r="C59">
            <v>28868060</v>
          </cell>
          <cell r="D59" t="str">
            <v xml:space="preserve">MONTIEL MENDEZ ANA MARIA </v>
          </cell>
          <cell r="E59" t="str">
            <v>YEIMI MORENO</v>
          </cell>
          <cell r="F59" t="str">
            <v xml:space="preserve">TODAS LAS SEDES (SUPERNUMERARIA) </v>
          </cell>
          <cell r="G59" t="str">
            <v>24/03/2026</v>
          </cell>
          <cell r="H59" t="str">
            <v>OK</v>
          </cell>
          <cell r="I59" t="str">
            <v>OK</v>
          </cell>
          <cell r="J59" t="str">
            <v>OK</v>
          </cell>
          <cell r="K59" t="str">
            <v>OK</v>
          </cell>
          <cell r="L59" t="str">
            <v>OK</v>
          </cell>
          <cell r="M59" t="str">
            <v>OK</v>
          </cell>
          <cell r="N59" t="str">
            <v>OK</v>
          </cell>
          <cell r="O59" t="str">
            <v>OK</v>
          </cell>
          <cell r="P59" t="str">
            <v>OK</v>
          </cell>
          <cell r="Q59" t="str">
            <v>OK</v>
          </cell>
          <cell r="R59" t="str">
            <v>OK</v>
          </cell>
          <cell r="S59" t="str">
            <v>OK</v>
          </cell>
          <cell r="T59" t="str">
            <v>OK</v>
          </cell>
          <cell r="U59" t="str">
            <v>OK</v>
          </cell>
          <cell r="V59" t="str">
            <v>OK</v>
          </cell>
          <cell r="W59" t="str">
            <v>OK</v>
          </cell>
          <cell r="X59" t="str">
            <v>OK</v>
          </cell>
          <cell r="Y59" t="str">
            <v>OK</v>
          </cell>
          <cell r="Z59" t="str">
            <v>OK</v>
          </cell>
          <cell r="AA59" t="str">
            <v>OK</v>
          </cell>
          <cell r="AB59" t="str">
            <v>OK</v>
          </cell>
          <cell r="AC59">
            <v>0</v>
          </cell>
          <cell r="AD59">
            <v>0</v>
          </cell>
          <cell r="AE59">
            <v>0</v>
          </cell>
          <cell r="AF59">
            <v>0</v>
          </cell>
          <cell r="AG59">
            <v>0</v>
          </cell>
          <cell r="AH59">
            <v>0</v>
          </cell>
          <cell r="AI59">
            <v>0</v>
          </cell>
          <cell r="AJ59">
            <v>0</v>
          </cell>
          <cell r="AK59">
            <v>0</v>
          </cell>
          <cell r="AM59">
            <v>0</v>
          </cell>
          <cell r="AN59">
            <v>0</v>
          </cell>
          <cell r="AO59">
            <v>0</v>
          </cell>
          <cell r="AP59">
            <v>0</v>
          </cell>
          <cell r="AQ59">
            <v>0</v>
          </cell>
          <cell r="AR59">
            <v>0</v>
          </cell>
          <cell r="AS59">
            <v>0</v>
          </cell>
          <cell r="AT59">
            <v>0</v>
          </cell>
          <cell r="AU59">
            <v>0</v>
          </cell>
          <cell r="AV59">
            <v>0</v>
          </cell>
          <cell r="AW59">
            <v>0</v>
          </cell>
          <cell r="AX59">
            <v>21</v>
          </cell>
          <cell r="AY59">
            <v>21</v>
          </cell>
          <cell r="AZ59">
            <v>0</v>
          </cell>
        </row>
        <row r="60">
          <cell r="C60">
            <v>53093292</v>
          </cell>
          <cell r="D60" t="str">
            <v xml:space="preserve">MORENO MELO YEIMI CATALINA </v>
          </cell>
          <cell r="E60" t="str">
            <v>YEIMI MORENO</v>
          </cell>
          <cell r="F60" t="str">
            <v>SUPERVISORA</v>
          </cell>
          <cell r="G60" t="str">
            <v>27/10/2025</v>
          </cell>
          <cell r="H60" t="str">
            <v>OK</v>
          </cell>
          <cell r="I60" t="str">
            <v>OK</v>
          </cell>
          <cell r="J60" t="str">
            <v>OK</v>
          </cell>
          <cell r="K60" t="str">
            <v>OK</v>
          </cell>
          <cell r="L60" t="str">
            <v>OK</v>
          </cell>
          <cell r="M60" t="str">
            <v>OK</v>
          </cell>
          <cell r="N60" t="str">
            <v>OK</v>
          </cell>
          <cell r="O60" t="str">
            <v>OK</v>
          </cell>
          <cell r="P60" t="str">
            <v>OK</v>
          </cell>
          <cell r="Q60" t="str">
            <v>OK</v>
          </cell>
          <cell r="R60" t="str">
            <v>OK</v>
          </cell>
          <cell r="S60" t="str">
            <v>OK</v>
          </cell>
          <cell r="T60" t="str">
            <v>OK</v>
          </cell>
          <cell r="U60" t="str">
            <v>OK</v>
          </cell>
          <cell r="V60" t="str">
            <v>OK</v>
          </cell>
          <cell r="W60" t="str">
            <v>OK</v>
          </cell>
          <cell r="X60" t="str">
            <v>OK</v>
          </cell>
          <cell r="Y60" t="str">
            <v>OK</v>
          </cell>
          <cell r="Z60" t="str">
            <v>OK</v>
          </cell>
          <cell r="AA60" t="str">
            <v>OK</v>
          </cell>
          <cell r="AB60" t="str">
            <v>OK</v>
          </cell>
          <cell r="AC60">
            <v>0</v>
          </cell>
          <cell r="AD60">
            <v>0</v>
          </cell>
          <cell r="AE60">
            <v>0</v>
          </cell>
          <cell r="AF60">
            <v>0</v>
          </cell>
          <cell r="AG60">
            <v>0</v>
          </cell>
          <cell r="AH60">
            <v>0</v>
          </cell>
          <cell r="AI60">
            <v>0</v>
          </cell>
          <cell r="AJ60">
            <v>0</v>
          </cell>
          <cell r="AK60">
            <v>0</v>
          </cell>
          <cell r="AM60">
            <v>0</v>
          </cell>
          <cell r="AN60">
            <v>0</v>
          </cell>
          <cell r="AO60">
            <v>0</v>
          </cell>
          <cell r="AP60">
            <v>0</v>
          </cell>
          <cell r="AQ60">
            <v>0</v>
          </cell>
          <cell r="AR60">
            <v>0</v>
          </cell>
          <cell r="AS60">
            <v>0</v>
          </cell>
          <cell r="AT60">
            <v>0</v>
          </cell>
          <cell r="AU60">
            <v>0</v>
          </cell>
          <cell r="AV60">
            <v>0</v>
          </cell>
          <cell r="AW60">
            <v>0</v>
          </cell>
          <cell r="AX60">
            <v>21</v>
          </cell>
          <cell r="AY60">
            <v>21</v>
          </cell>
          <cell r="AZ60">
            <v>0</v>
          </cell>
        </row>
        <row r="61">
          <cell r="AM61">
            <v>2</v>
          </cell>
          <cell r="AN61">
            <v>0</v>
          </cell>
          <cell r="AO61">
            <v>0</v>
          </cell>
          <cell r="AP61">
            <v>60</v>
          </cell>
          <cell r="AQ61">
            <v>0</v>
          </cell>
          <cell r="AR61">
            <v>0</v>
          </cell>
          <cell r="AS61">
            <v>0</v>
          </cell>
          <cell r="AT61">
            <v>1</v>
          </cell>
          <cell r="AU61">
            <v>0</v>
          </cell>
          <cell r="AV61">
            <v>0</v>
          </cell>
          <cell r="AW61">
            <v>5</v>
          </cell>
          <cell r="AX61">
            <v>989</v>
          </cell>
          <cell r="AY61">
            <v>989</v>
          </cell>
        </row>
      </sheetData>
      <sheetData sheetId="18">
        <row r="7">
          <cell r="C7" t="str">
            <v>DOCUMENTO</v>
          </cell>
          <cell r="D7" t="str">
            <v>NOMBRE Y APELLIDO</v>
          </cell>
          <cell r="E7" t="str">
            <v>SUPERVISORA</v>
          </cell>
          <cell r="F7" t="str">
            <v>SEDE</v>
          </cell>
          <cell r="G7" t="str">
            <v>FECHA INGRESO</v>
          </cell>
          <cell r="H7" t="str">
            <v>mié</v>
          </cell>
          <cell r="I7" t="str">
            <v>jue</v>
          </cell>
          <cell r="J7" t="str">
            <v>vie</v>
          </cell>
          <cell r="K7" t="str">
            <v>sáb</v>
          </cell>
          <cell r="L7" t="str">
            <v>dom</v>
          </cell>
          <cell r="M7" t="str">
            <v>lun</v>
          </cell>
          <cell r="N7" t="str">
            <v>mar</v>
          </cell>
          <cell r="O7" t="str">
            <v>mié</v>
          </cell>
          <cell r="P7" t="str">
            <v>jue</v>
          </cell>
          <cell r="Q7" t="str">
            <v>vie</v>
          </cell>
          <cell r="R7" t="str">
            <v>sáb</v>
          </cell>
          <cell r="S7" t="str">
            <v>dom</v>
          </cell>
          <cell r="T7" t="str">
            <v>lun</v>
          </cell>
          <cell r="U7" t="str">
            <v>mar</v>
          </cell>
          <cell r="V7" t="str">
            <v>mié</v>
          </cell>
          <cell r="W7" t="str">
            <v>jue</v>
          </cell>
          <cell r="X7" t="str">
            <v>vie</v>
          </cell>
          <cell r="Y7" t="str">
            <v>sáb</v>
          </cell>
          <cell r="Z7" t="str">
            <v>dom</v>
          </cell>
          <cell r="AA7" t="str">
            <v>lun</v>
          </cell>
          <cell r="AB7" t="str">
            <v>mar</v>
          </cell>
          <cell r="AC7" t="str">
            <v>mié</v>
          </cell>
          <cell r="AD7" t="str">
            <v>jue</v>
          </cell>
          <cell r="AE7" t="str">
            <v>vie</v>
          </cell>
          <cell r="AF7" t="str">
            <v>sáb</v>
          </cell>
          <cell r="AG7" t="str">
            <v>dom</v>
          </cell>
          <cell r="AH7" t="str">
            <v>lun</v>
          </cell>
          <cell r="AI7" t="str">
            <v>mar</v>
          </cell>
          <cell r="AJ7" t="str">
            <v>dom</v>
          </cell>
          <cell r="AK7" t="str">
            <v>lun</v>
          </cell>
          <cell r="AM7" t="str">
            <v>AUS</v>
          </cell>
          <cell r="AN7" t="str">
            <v>PNR</v>
          </cell>
          <cell r="AO7" t="str">
            <v>D</v>
          </cell>
          <cell r="AP7" t="str">
            <v>INC</v>
          </cell>
          <cell r="AQ7" t="str">
            <v>S</v>
          </cell>
          <cell r="AR7" t="str">
            <v>LNR</v>
          </cell>
          <cell r="AS7" t="str">
            <v>VAC</v>
          </cell>
          <cell r="AT7" t="str">
            <v>CD</v>
          </cell>
          <cell r="AU7" t="str">
            <v>REN</v>
          </cell>
          <cell r="AV7" t="str">
            <v>TC</v>
          </cell>
          <cell r="AW7" t="str">
            <v>LT</v>
          </cell>
          <cell r="AX7" t="str">
            <v>OK</v>
          </cell>
          <cell r="AY7" t="str">
            <v>TOTAL LABORADO</v>
          </cell>
        </row>
        <row r="8">
          <cell r="C8">
            <v>0</v>
          </cell>
          <cell r="D8">
            <v>0</v>
          </cell>
          <cell r="E8">
            <v>0</v>
          </cell>
          <cell r="F8">
            <v>0</v>
          </cell>
          <cell r="G8">
            <v>0</v>
          </cell>
          <cell r="H8">
            <v>46113</v>
          </cell>
          <cell r="I8">
            <v>46114</v>
          </cell>
          <cell r="J8">
            <v>46115</v>
          </cell>
          <cell r="K8">
            <v>46116</v>
          </cell>
          <cell r="L8">
            <v>46117</v>
          </cell>
          <cell r="M8">
            <v>46118</v>
          </cell>
          <cell r="N8">
            <v>46119</v>
          </cell>
          <cell r="O8">
            <v>46120</v>
          </cell>
          <cell r="P8">
            <v>46121</v>
          </cell>
          <cell r="Q8">
            <v>46122</v>
          </cell>
          <cell r="R8">
            <v>46123</v>
          </cell>
          <cell r="S8">
            <v>46124</v>
          </cell>
          <cell r="T8">
            <v>46125</v>
          </cell>
          <cell r="U8">
            <v>46126</v>
          </cell>
          <cell r="V8">
            <v>46127</v>
          </cell>
          <cell r="W8">
            <v>46128</v>
          </cell>
          <cell r="X8">
            <v>46129</v>
          </cell>
          <cell r="Y8">
            <v>46130</v>
          </cell>
          <cell r="Z8">
            <v>46131</v>
          </cell>
          <cell r="AA8">
            <v>46132</v>
          </cell>
          <cell r="AB8">
            <v>46133</v>
          </cell>
          <cell r="AC8">
            <v>46134</v>
          </cell>
          <cell r="AD8">
            <v>46135</v>
          </cell>
          <cell r="AE8">
            <v>46136</v>
          </cell>
          <cell r="AF8">
            <v>46137</v>
          </cell>
          <cell r="AG8">
            <v>46138</v>
          </cell>
          <cell r="AH8">
            <v>46139</v>
          </cell>
          <cell r="AI8">
            <v>46140</v>
          </cell>
          <cell r="AJ8">
            <v>29</v>
          </cell>
          <cell r="AK8">
            <v>30</v>
          </cell>
          <cell r="AM8" t="str">
            <v>AUSENCIAS</v>
          </cell>
          <cell r="AN8" t="str">
            <v>PERMISO NO REMUNERADO</v>
          </cell>
          <cell r="AO8" t="str">
            <v xml:space="preserve">DESCANSO </v>
          </cell>
          <cell r="AP8" t="str">
            <v>INCAPACIDAD</v>
          </cell>
          <cell r="AQ8" t="str">
            <v>SUSPENSION</v>
          </cell>
          <cell r="AR8" t="str">
            <v>LICENCIA NO REMUNERADA</v>
          </cell>
          <cell r="AS8" t="str">
            <v>VACACIONES</v>
          </cell>
          <cell r="AT8" t="str">
            <v>CALAMIDAS DOMESTICA</v>
          </cell>
          <cell r="AU8" t="str">
            <v>RENUNCIA</v>
          </cell>
          <cell r="AV8" t="str">
            <v>TERMINACION CONTRATO</v>
          </cell>
          <cell r="AW8" t="str">
            <v>LICENCIA DE LUTO</v>
          </cell>
          <cell r="AX8" t="str">
            <v>LABORÓ</v>
          </cell>
          <cell r="AY8">
            <v>0</v>
          </cell>
        </row>
        <row r="9">
          <cell r="C9">
            <v>51907172</v>
          </cell>
          <cell r="D9" t="str">
            <v xml:space="preserve">CASAS CASAS DORIS HELENA </v>
          </cell>
          <cell r="E9" t="str">
            <v>EDNA BERNAL</v>
          </cell>
          <cell r="F9" t="str">
            <v>SEDE 1 - MANZANA LIEVANO - ALCALDÍA MAYOR</v>
          </cell>
          <cell r="G9" t="str">
            <v>18/10/2025</v>
          </cell>
          <cell r="H9" t="str">
            <v>OK</v>
          </cell>
          <cell r="I9" t="str">
            <v>D</v>
          </cell>
          <cell r="J9" t="str">
            <v>D</v>
          </cell>
          <cell r="K9" t="str">
            <v>OK</v>
          </cell>
          <cell r="L9" t="str">
            <v>D</v>
          </cell>
          <cell r="M9" t="str">
            <v>OK</v>
          </cell>
          <cell r="N9" t="str">
            <v>OK</v>
          </cell>
          <cell r="O9" t="str">
            <v>OK</v>
          </cell>
          <cell r="P9" t="str">
            <v>OK</v>
          </cell>
          <cell r="Q9" t="str">
            <v>OK</v>
          </cell>
          <cell r="R9" t="str">
            <v>OK</v>
          </cell>
          <cell r="S9" t="str">
            <v>D</v>
          </cell>
          <cell r="T9" t="str">
            <v>OK</v>
          </cell>
          <cell r="U9" t="str">
            <v>OK</v>
          </cell>
          <cell r="V9" t="str">
            <v>OK</v>
          </cell>
          <cell r="W9" t="str">
            <v>OK</v>
          </cell>
          <cell r="X9" t="str">
            <v>OK</v>
          </cell>
          <cell r="Y9" t="str">
            <v>OK</v>
          </cell>
          <cell r="Z9" t="str">
            <v>D</v>
          </cell>
          <cell r="AA9" t="str">
            <v>OK</v>
          </cell>
          <cell r="AB9" t="str">
            <v>OK</v>
          </cell>
          <cell r="AC9" t="str">
            <v>OK</v>
          </cell>
          <cell r="AD9">
            <v>0</v>
          </cell>
          <cell r="AE9">
            <v>0</v>
          </cell>
          <cell r="AF9">
            <v>0</v>
          </cell>
          <cell r="AG9">
            <v>0</v>
          </cell>
          <cell r="AH9">
            <v>0</v>
          </cell>
          <cell r="AI9">
            <v>0</v>
          </cell>
          <cell r="AJ9">
            <v>0</v>
          </cell>
          <cell r="AK9">
            <v>0</v>
          </cell>
          <cell r="AM9">
            <v>0</v>
          </cell>
          <cell r="AN9">
            <v>0</v>
          </cell>
          <cell r="AO9">
            <v>5</v>
          </cell>
          <cell r="AP9">
            <v>0</v>
          </cell>
          <cell r="AQ9">
            <v>0</v>
          </cell>
          <cell r="AR9">
            <v>0</v>
          </cell>
          <cell r="AS9">
            <v>0</v>
          </cell>
          <cell r="AT9">
            <v>0</v>
          </cell>
          <cell r="AU9">
            <v>0</v>
          </cell>
          <cell r="AV9">
            <v>0</v>
          </cell>
          <cell r="AW9">
            <v>0</v>
          </cell>
          <cell r="AX9">
            <v>17</v>
          </cell>
          <cell r="AY9">
            <v>22</v>
          </cell>
        </row>
        <row r="10">
          <cell r="C10">
            <v>1026279093</v>
          </cell>
          <cell r="D10" t="str">
            <v xml:space="preserve">RODRIGUEZ MATEUS NASLY JULIETH </v>
          </cell>
          <cell r="E10" t="str">
            <v>EDNA BERNAL</v>
          </cell>
          <cell r="F10" t="str">
            <v>SEDE 1 - MANZANA LIEVANO - ALCALDÍA MAYOR</v>
          </cell>
          <cell r="G10" t="str">
            <v>18/10/2025</v>
          </cell>
          <cell r="H10" t="str">
            <v>OK</v>
          </cell>
          <cell r="I10" t="str">
            <v>D</v>
          </cell>
          <cell r="J10" t="str">
            <v>D</v>
          </cell>
          <cell r="K10" t="str">
            <v>OK</v>
          </cell>
          <cell r="L10" t="str">
            <v>D</v>
          </cell>
          <cell r="M10" t="str">
            <v>OK</v>
          </cell>
          <cell r="N10" t="str">
            <v>OK</v>
          </cell>
          <cell r="O10" t="str">
            <v>OK</v>
          </cell>
          <cell r="P10" t="str">
            <v>OK</v>
          </cell>
          <cell r="Q10" t="str">
            <v>OK</v>
          </cell>
          <cell r="R10" t="str">
            <v>OK</v>
          </cell>
          <cell r="S10" t="str">
            <v>D</v>
          </cell>
          <cell r="T10" t="str">
            <v>OK</v>
          </cell>
          <cell r="U10" t="str">
            <v>OK</v>
          </cell>
          <cell r="V10" t="str">
            <v>OK</v>
          </cell>
          <cell r="W10" t="str">
            <v>OK</v>
          </cell>
          <cell r="X10" t="str">
            <v>OK</v>
          </cell>
          <cell r="Y10" t="str">
            <v>OK</v>
          </cell>
          <cell r="Z10" t="str">
            <v>D</v>
          </cell>
          <cell r="AA10" t="str">
            <v>OK</v>
          </cell>
          <cell r="AB10" t="str">
            <v>OK</v>
          </cell>
          <cell r="AC10" t="str">
            <v>OK</v>
          </cell>
          <cell r="AD10">
            <v>0</v>
          </cell>
          <cell r="AE10">
            <v>0</v>
          </cell>
          <cell r="AF10">
            <v>0</v>
          </cell>
          <cell r="AG10">
            <v>0</v>
          </cell>
          <cell r="AH10">
            <v>0</v>
          </cell>
          <cell r="AI10">
            <v>0</v>
          </cell>
          <cell r="AJ10">
            <v>0</v>
          </cell>
          <cell r="AK10">
            <v>0</v>
          </cell>
          <cell r="AM10">
            <v>0</v>
          </cell>
          <cell r="AN10">
            <v>0</v>
          </cell>
          <cell r="AO10">
            <v>5</v>
          </cell>
          <cell r="AP10">
            <v>0</v>
          </cell>
          <cell r="AQ10">
            <v>0</v>
          </cell>
          <cell r="AR10">
            <v>0</v>
          </cell>
          <cell r="AS10">
            <v>0</v>
          </cell>
          <cell r="AT10">
            <v>0</v>
          </cell>
          <cell r="AU10">
            <v>0</v>
          </cell>
          <cell r="AV10">
            <v>0</v>
          </cell>
          <cell r="AW10">
            <v>0</v>
          </cell>
          <cell r="AX10">
            <v>17</v>
          </cell>
          <cell r="AY10">
            <v>22</v>
          </cell>
        </row>
        <row r="11">
          <cell r="C11">
            <v>1013612458</v>
          </cell>
          <cell r="D11" t="str">
            <v xml:space="preserve">TORRES GOMEZ SANDI YUSVELI </v>
          </cell>
          <cell r="E11" t="str">
            <v>EDNA BERNAL</v>
          </cell>
          <cell r="F11" t="str">
            <v xml:space="preserve">SEDE 4 - SEDE ALTERNA RESTREPO </v>
          </cell>
          <cell r="G11" t="str">
            <v>18/10/2025</v>
          </cell>
          <cell r="H11" t="str">
            <v>OK</v>
          </cell>
          <cell r="I11" t="str">
            <v>D</v>
          </cell>
          <cell r="J11" t="str">
            <v>D</v>
          </cell>
          <cell r="K11" t="str">
            <v>OK</v>
          </cell>
          <cell r="L11" t="str">
            <v>D</v>
          </cell>
          <cell r="M11" t="str">
            <v>OK</v>
          </cell>
          <cell r="N11" t="str">
            <v>OK</v>
          </cell>
          <cell r="O11" t="str">
            <v>OK</v>
          </cell>
          <cell r="P11" t="str">
            <v>OK</v>
          </cell>
          <cell r="Q11" t="str">
            <v>OK</v>
          </cell>
          <cell r="R11" t="str">
            <v>OK</v>
          </cell>
          <cell r="S11" t="str">
            <v>D</v>
          </cell>
          <cell r="T11" t="str">
            <v>OK</v>
          </cell>
          <cell r="U11" t="str">
            <v>OK</v>
          </cell>
          <cell r="V11" t="str">
            <v>OK</v>
          </cell>
          <cell r="W11" t="str">
            <v>OK</v>
          </cell>
          <cell r="X11" t="str">
            <v>OK</v>
          </cell>
          <cell r="Y11" t="str">
            <v>OK</v>
          </cell>
          <cell r="Z11" t="str">
            <v>D</v>
          </cell>
          <cell r="AA11" t="str">
            <v>LT</v>
          </cell>
          <cell r="AB11" t="str">
            <v>LT</v>
          </cell>
          <cell r="AC11" t="str">
            <v>LT</v>
          </cell>
          <cell r="AD11" t="str">
            <v>LT</v>
          </cell>
          <cell r="AE11" t="str">
            <v>LT</v>
          </cell>
          <cell r="AF11">
            <v>0</v>
          </cell>
          <cell r="AG11">
            <v>0</v>
          </cell>
          <cell r="AH11">
            <v>0</v>
          </cell>
          <cell r="AI11">
            <v>0</v>
          </cell>
          <cell r="AJ11">
            <v>0</v>
          </cell>
          <cell r="AK11">
            <v>0</v>
          </cell>
          <cell r="AM11">
            <v>0</v>
          </cell>
          <cell r="AN11">
            <v>0</v>
          </cell>
          <cell r="AO11">
            <v>5</v>
          </cell>
          <cell r="AP11">
            <v>0</v>
          </cell>
          <cell r="AQ11">
            <v>0</v>
          </cell>
          <cell r="AR11">
            <v>0</v>
          </cell>
          <cell r="AS11">
            <v>0</v>
          </cell>
          <cell r="AT11">
            <v>0</v>
          </cell>
          <cell r="AU11">
            <v>0</v>
          </cell>
          <cell r="AV11">
            <v>0</v>
          </cell>
          <cell r="AW11">
            <v>5</v>
          </cell>
          <cell r="AX11">
            <v>14</v>
          </cell>
          <cell r="AY11">
            <v>19</v>
          </cell>
        </row>
        <row r="12">
          <cell r="C12">
            <v>1073599974</v>
          </cell>
          <cell r="D12" t="str">
            <v xml:space="preserve">GARZON LUGO EDWARD MIGUEL </v>
          </cell>
          <cell r="E12" t="str">
            <v>EDNA BERNAL</v>
          </cell>
          <cell r="F12" t="str">
            <v>SEDE 1 - MANZANA LIEVANO - ALCALDÍA MAYOR</v>
          </cell>
          <cell r="G12" t="str">
            <v>18/10/2025</v>
          </cell>
          <cell r="H12" t="str">
            <v>OK</v>
          </cell>
          <cell r="I12" t="str">
            <v>D</v>
          </cell>
          <cell r="J12" t="str">
            <v>D</v>
          </cell>
          <cell r="K12" t="str">
            <v>OK</v>
          </cell>
          <cell r="L12" t="str">
            <v>D</v>
          </cell>
          <cell r="M12" t="str">
            <v>OK</v>
          </cell>
          <cell r="N12" t="str">
            <v>OK</v>
          </cell>
          <cell r="O12" t="str">
            <v>OK</v>
          </cell>
          <cell r="P12" t="str">
            <v>OK</v>
          </cell>
          <cell r="Q12" t="str">
            <v>OK</v>
          </cell>
          <cell r="R12" t="str">
            <v>OK</v>
          </cell>
          <cell r="S12" t="str">
            <v>D</v>
          </cell>
          <cell r="T12" t="str">
            <v>LT</v>
          </cell>
          <cell r="U12" t="str">
            <v>LT</v>
          </cell>
          <cell r="V12" t="str">
            <v>LT</v>
          </cell>
          <cell r="W12" t="str">
            <v>LT</v>
          </cell>
          <cell r="X12" t="str">
            <v>LT</v>
          </cell>
          <cell r="Y12" t="str">
            <v>OK</v>
          </cell>
          <cell r="Z12" t="str">
            <v>D</v>
          </cell>
          <cell r="AA12" t="str">
            <v>OK</v>
          </cell>
          <cell r="AB12" t="str">
            <v>OK</v>
          </cell>
          <cell r="AC12" t="str">
            <v>OK</v>
          </cell>
          <cell r="AD12">
            <v>0</v>
          </cell>
          <cell r="AE12">
            <v>0</v>
          </cell>
          <cell r="AF12">
            <v>0</v>
          </cell>
          <cell r="AG12">
            <v>0</v>
          </cell>
          <cell r="AH12">
            <v>0</v>
          </cell>
          <cell r="AI12">
            <v>0</v>
          </cell>
          <cell r="AJ12">
            <v>0</v>
          </cell>
          <cell r="AK12">
            <v>0</v>
          </cell>
          <cell r="AM12">
            <v>0</v>
          </cell>
          <cell r="AN12">
            <v>0</v>
          </cell>
          <cell r="AO12">
            <v>5</v>
          </cell>
          <cell r="AP12">
            <v>0</v>
          </cell>
          <cell r="AQ12">
            <v>0</v>
          </cell>
          <cell r="AR12">
            <v>0</v>
          </cell>
          <cell r="AS12">
            <v>0</v>
          </cell>
          <cell r="AT12">
            <v>0</v>
          </cell>
          <cell r="AU12">
            <v>0</v>
          </cell>
          <cell r="AV12">
            <v>0</v>
          </cell>
          <cell r="AW12">
            <v>5</v>
          </cell>
          <cell r="AX12">
            <v>12</v>
          </cell>
          <cell r="AY12">
            <v>17</v>
          </cell>
        </row>
        <row r="13">
          <cell r="C13">
            <v>52381579</v>
          </cell>
          <cell r="D13" t="str">
            <v xml:space="preserve">ALTURO FLORIAN JACQUELINE  </v>
          </cell>
          <cell r="E13" t="str">
            <v>EDNA BERNAL</v>
          </cell>
          <cell r="F13" t="str">
            <v>SEDE 1 - MANZANA LIEVANO - ALCALDÍA MAYOR</v>
          </cell>
          <cell r="G13" t="str">
            <v>18/10/2025</v>
          </cell>
          <cell r="H13" t="str">
            <v>OK</v>
          </cell>
          <cell r="I13" t="str">
            <v>D</v>
          </cell>
          <cell r="J13" t="str">
            <v>D</v>
          </cell>
          <cell r="K13" t="str">
            <v>OK</v>
          </cell>
          <cell r="L13" t="str">
            <v>D</v>
          </cell>
          <cell r="M13" t="str">
            <v>OK</v>
          </cell>
          <cell r="N13" t="str">
            <v>OK</v>
          </cell>
          <cell r="O13" t="str">
            <v>OK</v>
          </cell>
          <cell r="P13" t="str">
            <v>OK</v>
          </cell>
          <cell r="Q13" t="str">
            <v>OK</v>
          </cell>
          <cell r="R13" t="str">
            <v>OK</v>
          </cell>
          <cell r="S13" t="str">
            <v>D</v>
          </cell>
          <cell r="T13" t="str">
            <v>OK</v>
          </cell>
          <cell r="U13" t="str">
            <v>OK</v>
          </cell>
          <cell r="V13" t="str">
            <v>OK</v>
          </cell>
          <cell r="W13" t="str">
            <v>OK</v>
          </cell>
          <cell r="X13" t="str">
            <v>OK</v>
          </cell>
          <cell r="Y13" t="str">
            <v>OK</v>
          </cell>
          <cell r="Z13" t="str">
            <v>D</v>
          </cell>
          <cell r="AA13" t="str">
            <v>OK</v>
          </cell>
          <cell r="AB13" t="str">
            <v>OK</v>
          </cell>
          <cell r="AC13" t="str">
            <v>OK</v>
          </cell>
          <cell r="AD13">
            <v>0</v>
          </cell>
          <cell r="AE13">
            <v>0</v>
          </cell>
          <cell r="AF13">
            <v>0</v>
          </cell>
          <cell r="AG13">
            <v>0</v>
          </cell>
          <cell r="AH13">
            <v>0</v>
          </cell>
          <cell r="AI13">
            <v>0</v>
          </cell>
          <cell r="AJ13">
            <v>0</v>
          </cell>
          <cell r="AK13">
            <v>0</v>
          </cell>
          <cell r="AM13">
            <v>0</v>
          </cell>
          <cell r="AN13">
            <v>0</v>
          </cell>
          <cell r="AO13">
            <v>5</v>
          </cell>
          <cell r="AP13">
            <v>0</v>
          </cell>
          <cell r="AQ13">
            <v>0</v>
          </cell>
          <cell r="AR13">
            <v>0</v>
          </cell>
          <cell r="AS13">
            <v>0</v>
          </cell>
          <cell r="AT13">
            <v>0</v>
          </cell>
          <cell r="AU13">
            <v>0</v>
          </cell>
          <cell r="AV13">
            <v>0</v>
          </cell>
          <cell r="AW13">
            <v>0</v>
          </cell>
          <cell r="AX13">
            <v>17</v>
          </cell>
          <cell r="AY13">
            <v>22</v>
          </cell>
        </row>
        <row r="14">
          <cell r="C14">
            <v>52927563</v>
          </cell>
          <cell r="D14" t="str">
            <v xml:space="preserve">BAENA JIMENEZ GINA ISABEL </v>
          </cell>
          <cell r="E14" t="str">
            <v>EDNA BERNAL</v>
          </cell>
          <cell r="F14" t="str">
            <v>SEDE 1 - MANZANA LIEVANO - ALCALDÍA MAYOR</v>
          </cell>
          <cell r="G14" t="str">
            <v>18/10/2025</v>
          </cell>
          <cell r="H14" t="str">
            <v>OK</v>
          </cell>
          <cell r="I14" t="str">
            <v>D</v>
          </cell>
          <cell r="J14" t="str">
            <v>D</v>
          </cell>
          <cell r="K14" t="str">
            <v>OK</v>
          </cell>
          <cell r="L14" t="str">
            <v>D</v>
          </cell>
          <cell r="M14" t="str">
            <v>OK</v>
          </cell>
          <cell r="N14" t="str">
            <v>OK</v>
          </cell>
          <cell r="O14" t="str">
            <v>OK</v>
          </cell>
          <cell r="P14" t="str">
            <v>OK</v>
          </cell>
          <cell r="Q14" t="str">
            <v>OK</v>
          </cell>
          <cell r="R14" t="str">
            <v>OK</v>
          </cell>
          <cell r="S14" t="str">
            <v>D</v>
          </cell>
          <cell r="T14" t="str">
            <v>OK</v>
          </cell>
          <cell r="U14" t="str">
            <v>OK</v>
          </cell>
          <cell r="V14" t="str">
            <v>OK</v>
          </cell>
          <cell r="W14" t="str">
            <v>OK</v>
          </cell>
          <cell r="X14" t="str">
            <v>OK</v>
          </cell>
          <cell r="Y14" t="str">
            <v>OK</v>
          </cell>
          <cell r="Z14" t="str">
            <v>D</v>
          </cell>
          <cell r="AA14" t="str">
            <v>OK</v>
          </cell>
          <cell r="AB14" t="str">
            <v>OK</v>
          </cell>
          <cell r="AC14" t="str">
            <v>OK</v>
          </cell>
          <cell r="AD14">
            <v>0</v>
          </cell>
          <cell r="AE14">
            <v>0</v>
          </cell>
          <cell r="AF14">
            <v>0</v>
          </cell>
          <cell r="AG14">
            <v>0</v>
          </cell>
          <cell r="AH14">
            <v>0</v>
          </cell>
          <cell r="AI14">
            <v>0</v>
          </cell>
          <cell r="AJ14">
            <v>0</v>
          </cell>
          <cell r="AK14">
            <v>0</v>
          </cell>
          <cell r="AM14">
            <v>0</v>
          </cell>
          <cell r="AN14">
            <v>0</v>
          </cell>
          <cell r="AO14">
            <v>5</v>
          </cell>
          <cell r="AP14">
            <v>0</v>
          </cell>
          <cell r="AQ14">
            <v>0</v>
          </cell>
          <cell r="AR14">
            <v>0</v>
          </cell>
          <cell r="AS14">
            <v>0</v>
          </cell>
          <cell r="AT14">
            <v>0</v>
          </cell>
          <cell r="AU14">
            <v>0</v>
          </cell>
          <cell r="AV14">
            <v>0</v>
          </cell>
          <cell r="AW14">
            <v>0</v>
          </cell>
          <cell r="AX14">
            <v>17</v>
          </cell>
          <cell r="AY14">
            <v>22</v>
          </cell>
        </row>
        <row r="15">
          <cell r="C15">
            <v>79453613</v>
          </cell>
          <cell r="D15" t="str">
            <v xml:space="preserve">MEDINA ANGEL GILBERTO  </v>
          </cell>
          <cell r="E15" t="str">
            <v>EDNA BERNAL</v>
          </cell>
          <cell r="F15" t="str">
            <v>SEDE 1 - MANZANA LIEVANO - ALCALDÍA MAYOR</v>
          </cell>
          <cell r="G15" t="str">
            <v>18/10/2025</v>
          </cell>
          <cell r="H15" t="str">
            <v>OK</v>
          </cell>
          <cell r="I15" t="str">
            <v>D</v>
          </cell>
          <cell r="J15" t="str">
            <v>D</v>
          </cell>
          <cell r="K15" t="str">
            <v>OK</v>
          </cell>
          <cell r="L15" t="str">
            <v>D</v>
          </cell>
          <cell r="M15" t="str">
            <v>OK</v>
          </cell>
          <cell r="N15" t="str">
            <v>OK</v>
          </cell>
          <cell r="O15" t="str">
            <v>OK</v>
          </cell>
          <cell r="P15" t="str">
            <v>OK</v>
          </cell>
          <cell r="Q15" t="str">
            <v>OK</v>
          </cell>
          <cell r="R15" t="str">
            <v>OK</v>
          </cell>
          <cell r="S15" t="str">
            <v>D</v>
          </cell>
          <cell r="T15" t="str">
            <v>OK</v>
          </cell>
          <cell r="U15" t="str">
            <v>OK</v>
          </cell>
          <cell r="V15" t="str">
            <v>OK</v>
          </cell>
          <cell r="W15" t="str">
            <v>OK</v>
          </cell>
          <cell r="X15" t="str">
            <v>OK</v>
          </cell>
          <cell r="Y15" t="str">
            <v>OK</v>
          </cell>
          <cell r="Z15" t="str">
            <v>D</v>
          </cell>
          <cell r="AA15" t="str">
            <v>OK</v>
          </cell>
          <cell r="AB15" t="str">
            <v>OK</v>
          </cell>
          <cell r="AC15" t="str">
            <v>OK</v>
          </cell>
          <cell r="AD15">
            <v>0</v>
          </cell>
          <cell r="AE15">
            <v>0</v>
          </cell>
          <cell r="AF15">
            <v>0</v>
          </cell>
          <cell r="AG15">
            <v>0</v>
          </cell>
          <cell r="AH15">
            <v>0</v>
          </cell>
          <cell r="AI15">
            <v>0</v>
          </cell>
          <cell r="AJ15">
            <v>0</v>
          </cell>
          <cell r="AK15">
            <v>0</v>
          </cell>
          <cell r="AM15">
            <v>0</v>
          </cell>
          <cell r="AN15">
            <v>0</v>
          </cell>
          <cell r="AO15">
            <v>5</v>
          </cell>
          <cell r="AP15">
            <v>0</v>
          </cell>
          <cell r="AQ15">
            <v>0</v>
          </cell>
          <cell r="AR15">
            <v>0</v>
          </cell>
          <cell r="AS15">
            <v>0</v>
          </cell>
          <cell r="AT15">
            <v>0</v>
          </cell>
          <cell r="AU15">
            <v>0</v>
          </cell>
          <cell r="AV15">
            <v>0</v>
          </cell>
          <cell r="AW15">
            <v>0</v>
          </cell>
          <cell r="AX15">
            <v>17</v>
          </cell>
          <cell r="AY15">
            <v>22</v>
          </cell>
        </row>
        <row r="16">
          <cell r="C16">
            <v>52550381</v>
          </cell>
          <cell r="D16" t="str">
            <v xml:space="preserve">GUZMAN RODRIGUEZ AINED LORENA </v>
          </cell>
          <cell r="E16" t="str">
            <v>EDNA BERNAL</v>
          </cell>
          <cell r="F16" t="str">
            <v>SEDE 1 - MANZANA LIEVANO - ALCALDÍA MAYOR</v>
          </cell>
          <cell r="G16" t="str">
            <v>18/10/2025</v>
          </cell>
          <cell r="H16" t="str">
            <v>OK</v>
          </cell>
          <cell r="I16" t="str">
            <v>D</v>
          </cell>
          <cell r="J16" t="str">
            <v>D</v>
          </cell>
          <cell r="K16" t="str">
            <v>OK</v>
          </cell>
          <cell r="L16" t="str">
            <v>D</v>
          </cell>
          <cell r="M16" t="str">
            <v>OK</v>
          </cell>
          <cell r="N16" t="str">
            <v>OK</v>
          </cell>
          <cell r="O16" t="str">
            <v>OK</v>
          </cell>
          <cell r="P16" t="str">
            <v>OK</v>
          </cell>
          <cell r="Q16" t="str">
            <v>OK</v>
          </cell>
          <cell r="R16" t="str">
            <v>OK</v>
          </cell>
          <cell r="S16" t="str">
            <v>D</v>
          </cell>
          <cell r="T16" t="str">
            <v>OK</v>
          </cell>
          <cell r="U16" t="str">
            <v>OK</v>
          </cell>
          <cell r="V16" t="str">
            <v>OK</v>
          </cell>
          <cell r="W16" t="str">
            <v>OK</v>
          </cell>
          <cell r="X16" t="str">
            <v>OK</v>
          </cell>
          <cell r="Y16" t="str">
            <v>OK</v>
          </cell>
          <cell r="Z16" t="str">
            <v>D</v>
          </cell>
          <cell r="AA16" t="str">
            <v>OK</v>
          </cell>
          <cell r="AB16" t="str">
            <v>OK</v>
          </cell>
          <cell r="AC16" t="str">
            <v>OK</v>
          </cell>
          <cell r="AD16">
            <v>0</v>
          </cell>
          <cell r="AE16">
            <v>0</v>
          </cell>
          <cell r="AF16">
            <v>0</v>
          </cell>
          <cell r="AG16">
            <v>0</v>
          </cell>
          <cell r="AH16">
            <v>0</v>
          </cell>
          <cell r="AI16">
            <v>0</v>
          </cell>
          <cell r="AJ16">
            <v>0</v>
          </cell>
          <cell r="AK16">
            <v>0</v>
          </cell>
          <cell r="AM16">
            <v>0</v>
          </cell>
          <cell r="AN16">
            <v>0</v>
          </cell>
          <cell r="AO16">
            <v>5</v>
          </cell>
          <cell r="AP16">
            <v>0</v>
          </cell>
          <cell r="AQ16">
            <v>0</v>
          </cell>
          <cell r="AR16">
            <v>0</v>
          </cell>
          <cell r="AS16">
            <v>0</v>
          </cell>
          <cell r="AT16">
            <v>0</v>
          </cell>
          <cell r="AU16">
            <v>0</v>
          </cell>
          <cell r="AV16">
            <v>0</v>
          </cell>
          <cell r="AW16">
            <v>0</v>
          </cell>
          <cell r="AX16">
            <v>17</v>
          </cell>
          <cell r="AY16">
            <v>22</v>
          </cell>
        </row>
        <row r="17">
          <cell r="C17">
            <v>1065626457</v>
          </cell>
          <cell r="D17" t="str">
            <v xml:space="preserve">ROMERO SERRANO JAIME LUIS </v>
          </cell>
          <cell r="E17" t="str">
            <v>EDNA BERNAL</v>
          </cell>
          <cell r="F17" t="str">
            <v>SEDE 1 - MANZANA LIEVANO - ALCALDÍA MAYOR</v>
          </cell>
          <cell r="G17" t="str">
            <v>18/10/2025</v>
          </cell>
          <cell r="H17" t="str">
            <v>OK</v>
          </cell>
          <cell r="I17" t="str">
            <v>D</v>
          </cell>
          <cell r="J17" t="str">
            <v>D</v>
          </cell>
          <cell r="K17" t="str">
            <v>OK</v>
          </cell>
          <cell r="L17" t="str">
            <v>D</v>
          </cell>
          <cell r="M17" t="str">
            <v>OK</v>
          </cell>
          <cell r="N17" t="str">
            <v>OK</v>
          </cell>
          <cell r="O17" t="str">
            <v>OK</v>
          </cell>
          <cell r="P17" t="str">
            <v>OK</v>
          </cell>
          <cell r="Q17" t="str">
            <v>OK</v>
          </cell>
          <cell r="R17" t="str">
            <v>OK</v>
          </cell>
          <cell r="S17" t="str">
            <v>D</v>
          </cell>
          <cell r="T17" t="str">
            <v>OK</v>
          </cell>
          <cell r="U17" t="str">
            <v>OK</v>
          </cell>
          <cell r="V17" t="str">
            <v>OK</v>
          </cell>
          <cell r="W17" t="str">
            <v>OK</v>
          </cell>
          <cell r="X17" t="str">
            <v>OK</v>
          </cell>
          <cell r="Y17" t="str">
            <v>OK</v>
          </cell>
          <cell r="Z17" t="str">
            <v>D</v>
          </cell>
          <cell r="AA17" t="str">
            <v>OK</v>
          </cell>
          <cell r="AB17" t="str">
            <v>OK</v>
          </cell>
          <cell r="AC17" t="str">
            <v>OK</v>
          </cell>
          <cell r="AD17">
            <v>0</v>
          </cell>
          <cell r="AE17">
            <v>0</v>
          </cell>
          <cell r="AF17">
            <v>0</v>
          </cell>
          <cell r="AG17">
            <v>0</v>
          </cell>
          <cell r="AH17">
            <v>0</v>
          </cell>
          <cell r="AI17">
            <v>0</v>
          </cell>
          <cell r="AJ17">
            <v>0</v>
          </cell>
          <cell r="AK17">
            <v>0</v>
          </cell>
          <cell r="AM17">
            <v>0</v>
          </cell>
          <cell r="AN17">
            <v>0</v>
          </cell>
          <cell r="AO17">
            <v>5</v>
          </cell>
          <cell r="AP17">
            <v>0</v>
          </cell>
          <cell r="AQ17">
            <v>0</v>
          </cell>
          <cell r="AR17">
            <v>0</v>
          </cell>
          <cell r="AS17">
            <v>0</v>
          </cell>
          <cell r="AT17">
            <v>0</v>
          </cell>
          <cell r="AU17">
            <v>0</v>
          </cell>
          <cell r="AV17">
            <v>0</v>
          </cell>
          <cell r="AW17">
            <v>0</v>
          </cell>
          <cell r="AX17">
            <v>17</v>
          </cell>
          <cell r="AY17">
            <v>22</v>
          </cell>
        </row>
        <row r="18">
          <cell r="C18">
            <v>1023881249</v>
          </cell>
          <cell r="D18" t="str">
            <v xml:space="preserve">POVEDA GONZALEZ MIGUEL ANGEL </v>
          </cell>
          <cell r="E18" t="str">
            <v>EDNA BERNAL</v>
          </cell>
          <cell r="F18" t="str">
            <v>SEDE 1 - MANZANA LIEVANO - ALCALDÍA MAYOR</v>
          </cell>
          <cell r="G18" t="str">
            <v>18/10/2025</v>
          </cell>
          <cell r="H18" t="str">
            <v>OK</v>
          </cell>
          <cell r="I18" t="str">
            <v>D</v>
          </cell>
          <cell r="J18" t="str">
            <v>D</v>
          </cell>
          <cell r="K18" t="str">
            <v>OK</v>
          </cell>
          <cell r="L18" t="str">
            <v>D</v>
          </cell>
          <cell r="M18" t="str">
            <v>OK</v>
          </cell>
          <cell r="N18" t="str">
            <v>OK</v>
          </cell>
          <cell r="O18" t="str">
            <v>OK</v>
          </cell>
          <cell r="P18" t="str">
            <v>OK</v>
          </cell>
          <cell r="Q18" t="str">
            <v>OK</v>
          </cell>
          <cell r="R18" t="str">
            <v>OK</v>
          </cell>
          <cell r="S18" t="str">
            <v>D</v>
          </cell>
          <cell r="T18" t="str">
            <v>OK</v>
          </cell>
          <cell r="U18" t="str">
            <v>OK</v>
          </cell>
          <cell r="V18" t="str">
            <v>OK</v>
          </cell>
          <cell r="W18" t="str">
            <v>OK</v>
          </cell>
          <cell r="X18" t="str">
            <v>OK</v>
          </cell>
          <cell r="Y18" t="str">
            <v>OK</v>
          </cell>
          <cell r="Z18" t="str">
            <v>D</v>
          </cell>
          <cell r="AA18" t="str">
            <v>OK</v>
          </cell>
          <cell r="AB18" t="str">
            <v>OK</v>
          </cell>
          <cell r="AC18" t="str">
            <v>OK</v>
          </cell>
          <cell r="AD18">
            <v>0</v>
          </cell>
          <cell r="AE18">
            <v>0</v>
          </cell>
          <cell r="AF18">
            <v>0</v>
          </cell>
          <cell r="AG18">
            <v>0</v>
          </cell>
          <cell r="AH18">
            <v>0</v>
          </cell>
          <cell r="AI18">
            <v>0</v>
          </cell>
          <cell r="AJ18">
            <v>0</v>
          </cell>
          <cell r="AK18">
            <v>0</v>
          </cell>
          <cell r="AM18">
            <v>0</v>
          </cell>
          <cell r="AN18">
            <v>0</v>
          </cell>
          <cell r="AO18">
            <v>5</v>
          </cell>
          <cell r="AP18">
            <v>0</v>
          </cell>
          <cell r="AQ18">
            <v>0</v>
          </cell>
          <cell r="AR18">
            <v>0</v>
          </cell>
          <cell r="AS18">
            <v>0</v>
          </cell>
          <cell r="AT18">
            <v>0</v>
          </cell>
          <cell r="AU18">
            <v>0</v>
          </cell>
          <cell r="AV18">
            <v>0</v>
          </cell>
          <cell r="AW18">
            <v>0</v>
          </cell>
          <cell r="AX18">
            <v>17</v>
          </cell>
          <cell r="AY18">
            <v>22</v>
          </cell>
        </row>
        <row r="19">
          <cell r="C19">
            <v>1007186042</v>
          </cell>
          <cell r="D19" t="str">
            <v xml:space="preserve">ALARCON HERNANDEZ YENNY MARCELA </v>
          </cell>
          <cell r="E19" t="str">
            <v>EDNA BERNAL</v>
          </cell>
          <cell r="F19" t="str">
            <v>SEDE 1 - MANZANA LIEVANO - ALCALDÍA MAYOR</v>
          </cell>
          <cell r="G19" t="str">
            <v>18/10/2025</v>
          </cell>
          <cell r="H19" t="str">
            <v>OK</v>
          </cell>
          <cell r="I19" t="str">
            <v>D</v>
          </cell>
          <cell r="J19" t="str">
            <v>D</v>
          </cell>
          <cell r="K19" t="str">
            <v>OK</v>
          </cell>
          <cell r="L19" t="str">
            <v>D</v>
          </cell>
          <cell r="M19" t="str">
            <v>OK</v>
          </cell>
          <cell r="N19" t="str">
            <v>OK</v>
          </cell>
          <cell r="O19" t="str">
            <v>INC</v>
          </cell>
          <cell r="P19" t="str">
            <v>INC</v>
          </cell>
          <cell r="Q19" t="str">
            <v>OK</v>
          </cell>
          <cell r="R19" t="str">
            <v>OK</v>
          </cell>
          <cell r="S19" t="str">
            <v>D</v>
          </cell>
          <cell r="T19" t="str">
            <v>OK</v>
          </cell>
          <cell r="U19" t="str">
            <v>OK</v>
          </cell>
          <cell r="V19" t="str">
            <v>OK</v>
          </cell>
          <cell r="W19" t="str">
            <v>AUS</v>
          </cell>
          <cell r="X19" t="str">
            <v>TS</v>
          </cell>
          <cell r="Y19" t="str">
            <v>TS</v>
          </cell>
          <cell r="Z19" t="str">
            <v>TS</v>
          </cell>
          <cell r="AA19" t="str">
            <v>TS</v>
          </cell>
          <cell r="AB19" t="str">
            <v>TS</v>
          </cell>
          <cell r="AC19" t="str">
            <v>TS</v>
          </cell>
          <cell r="AD19" t="str">
            <v>TS</v>
          </cell>
          <cell r="AE19" t="str">
            <v>TS</v>
          </cell>
          <cell r="AF19" t="str">
            <v>TS</v>
          </cell>
          <cell r="AG19" t="str">
            <v>TS</v>
          </cell>
          <cell r="AH19" t="str">
            <v>TS</v>
          </cell>
          <cell r="AI19" t="str">
            <v>TS</v>
          </cell>
          <cell r="AJ19" t="str">
            <v>TS</v>
          </cell>
          <cell r="AK19" t="str">
            <v>TS</v>
          </cell>
          <cell r="AM19">
            <v>1</v>
          </cell>
          <cell r="AN19">
            <v>0</v>
          </cell>
          <cell r="AO19">
            <v>4</v>
          </cell>
          <cell r="AP19">
            <v>2</v>
          </cell>
          <cell r="AQ19">
            <v>0</v>
          </cell>
          <cell r="AR19">
            <v>0</v>
          </cell>
          <cell r="AS19">
            <v>0</v>
          </cell>
          <cell r="AT19">
            <v>0</v>
          </cell>
          <cell r="AU19">
            <v>0</v>
          </cell>
          <cell r="AV19">
            <v>0</v>
          </cell>
          <cell r="AW19">
            <v>0</v>
          </cell>
          <cell r="AX19">
            <v>9</v>
          </cell>
          <cell r="AY19">
            <v>13</v>
          </cell>
        </row>
        <row r="20">
          <cell r="C20">
            <v>52164356</v>
          </cell>
          <cell r="D20" t="str">
            <v xml:space="preserve">CATUCHE PIAMBA LUZ MARINA </v>
          </cell>
          <cell r="E20" t="str">
            <v>EDNA BERNAL</v>
          </cell>
          <cell r="F20" t="str">
            <v>SEDE 1 - MANZANA LIEVANO - ALCALDÍA MAYOR</v>
          </cell>
          <cell r="G20" t="str">
            <v>18/10/2025</v>
          </cell>
          <cell r="H20" t="str">
            <v>OK</v>
          </cell>
          <cell r="I20" t="str">
            <v>D</v>
          </cell>
          <cell r="J20" t="str">
            <v>D</v>
          </cell>
          <cell r="K20" t="str">
            <v>OK</v>
          </cell>
          <cell r="L20" t="str">
            <v>D</v>
          </cell>
          <cell r="M20" t="str">
            <v>OK</v>
          </cell>
          <cell r="N20" t="str">
            <v>OK</v>
          </cell>
          <cell r="O20" t="str">
            <v>OK</v>
          </cell>
          <cell r="P20" t="str">
            <v>OK</v>
          </cell>
          <cell r="Q20" t="str">
            <v>OK</v>
          </cell>
          <cell r="R20" t="str">
            <v>OK</v>
          </cell>
          <cell r="S20" t="str">
            <v>D</v>
          </cell>
          <cell r="T20" t="str">
            <v>OK</v>
          </cell>
          <cell r="U20" t="str">
            <v>OK</v>
          </cell>
          <cell r="V20" t="str">
            <v>OK</v>
          </cell>
          <cell r="W20" t="str">
            <v>OK</v>
          </cell>
          <cell r="X20" t="str">
            <v>OK</v>
          </cell>
          <cell r="Y20" t="str">
            <v>OK</v>
          </cell>
          <cell r="Z20" t="str">
            <v>D</v>
          </cell>
          <cell r="AA20" t="str">
            <v>OK</v>
          </cell>
          <cell r="AB20" t="str">
            <v>OK</v>
          </cell>
          <cell r="AC20" t="str">
            <v>OK</v>
          </cell>
          <cell r="AD20">
            <v>0</v>
          </cell>
          <cell r="AE20">
            <v>0</v>
          </cell>
          <cell r="AF20">
            <v>0</v>
          </cell>
          <cell r="AG20">
            <v>0</v>
          </cell>
          <cell r="AH20">
            <v>0</v>
          </cell>
          <cell r="AI20">
            <v>0</v>
          </cell>
          <cell r="AJ20">
            <v>0</v>
          </cell>
          <cell r="AK20">
            <v>0</v>
          </cell>
          <cell r="AM20">
            <v>0</v>
          </cell>
          <cell r="AN20">
            <v>0</v>
          </cell>
          <cell r="AO20">
            <v>5</v>
          </cell>
          <cell r="AP20">
            <v>0</v>
          </cell>
          <cell r="AQ20">
            <v>0</v>
          </cell>
          <cell r="AR20">
            <v>0</v>
          </cell>
          <cell r="AS20">
            <v>0</v>
          </cell>
          <cell r="AT20">
            <v>0</v>
          </cell>
          <cell r="AU20">
            <v>0</v>
          </cell>
          <cell r="AV20">
            <v>0</v>
          </cell>
          <cell r="AW20">
            <v>0</v>
          </cell>
          <cell r="AX20">
            <v>17</v>
          </cell>
          <cell r="AY20">
            <v>22</v>
          </cell>
        </row>
        <row r="21">
          <cell r="C21">
            <v>28057943</v>
          </cell>
          <cell r="D21" t="str">
            <v xml:space="preserve">CUADROS VALDERRAMA FRANCEID  </v>
          </cell>
          <cell r="E21" t="str">
            <v>EDNA BERNAL</v>
          </cell>
          <cell r="F21" t="str">
            <v>SEDE 1 - MANZANA LIEVANO - ALCALDÍA MAYOR</v>
          </cell>
          <cell r="G21" t="str">
            <v>18/10/2025</v>
          </cell>
          <cell r="H21" t="str">
            <v>OK</v>
          </cell>
          <cell r="I21" t="str">
            <v>D</v>
          </cell>
          <cell r="J21" t="str">
            <v>D</v>
          </cell>
          <cell r="K21" t="str">
            <v>OK</v>
          </cell>
          <cell r="L21" t="str">
            <v>D</v>
          </cell>
          <cell r="M21" t="str">
            <v>OK</v>
          </cell>
          <cell r="N21" t="str">
            <v>OK</v>
          </cell>
          <cell r="O21" t="str">
            <v>OK</v>
          </cell>
          <cell r="P21" t="str">
            <v>OK</v>
          </cell>
          <cell r="Q21" t="str">
            <v>OK</v>
          </cell>
          <cell r="R21" t="str">
            <v>OK</v>
          </cell>
          <cell r="S21" t="str">
            <v>D</v>
          </cell>
          <cell r="T21" t="str">
            <v>OK</v>
          </cell>
          <cell r="U21" t="str">
            <v>OK</v>
          </cell>
          <cell r="V21" t="str">
            <v>OK</v>
          </cell>
          <cell r="W21" t="str">
            <v>OK</v>
          </cell>
          <cell r="X21" t="str">
            <v>OK</v>
          </cell>
          <cell r="Y21" t="str">
            <v>OK</v>
          </cell>
          <cell r="Z21" t="str">
            <v>D</v>
          </cell>
          <cell r="AA21" t="str">
            <v>OK</v>
          </cell>
          <cell r="AB21" t="str">
            <v>OK</v>
          </cell>
          <cell r="AC21" t="str">
            <v>OK</v>
          </cell>
          <cell r="AD21">
            <v>0</v>
          </cell>
          <cell r="AE21">
            <v>0</v>
          </cell>
          <cell r="AF21">
            <v>0</v>
          </cell>
          <cell r="AG21">
            <v>0</v>
          </cell>
          <cell r="AH21">
            <v>0</v>
          </cell>
          <cell r="AI21">
            <v>0</v>
          </cell>
          <cell r="AJ21">
            <v>0</v>
          </cell>
          <cell r="AK21">
            <v>0</v>
          </cell>
          <cell r="AM21">
            <v>0</v>
          </cell>
          <cell r="AN21">
            <v>0</v>
          </cell>
          <cell r="AO21">
            <v>5</v>
          </cell>
          <cell r="AP21">
            <v>0</v>
          </cell>
          <cell r="AQ21">
            <v>0</v>
          </cell>
          <cell r="AR21">
            <v>0</v>
          </cell>
          <cell r="AS21">
            <v>0</v>
          </cell>
          <cell r="AT21">
            <v>0</v>
          </cell>
          <cell r="AU21">
            <v>0</v>
          </cell>
          <cell r="AV21">
            <v>0</v>
          </cell>
          <cell r="AW21">
            <v>0</v>
          </cell>
          <cell r="AX21">
            <v>17</v>
          </cell>
          <cell r="AY21">
            <v>22</v>
          </cell>
        </row>
        <row r="22">
          <cell r="C22">
            <v>39659470</v>
          </cell>
          <cell r="D22" t="str">
            <v xml:space="preserve">GUAYARA MOSCOSO MARIS MELDA </v>
          </cell>
          <cell r="E22" t="str">
            <v>EDNA BERNAL</v>
          </cell>
          <cell r="F22" t="str">
            <v>SEDE 1 - MANZANA LIEVANO - ALCALDÍA MAYOR</v>
          </cell>
          <cell r="G22" t="str">
            <v>18/10/2025</v>
          </cell>
          <cell r="H22" t="str">
            <v>OK</v>
          </cell>
          <cell r="I22" t="str">
            <v>D</v>
          </cell>
          <cell r="J22" t="str">
            <v>D</v>
          </cell>
          <cell r="K22" t="str">
            <v>OK</v>
          </cell>
          <cell r="L22" t="str">
            <v>D</v>
          </cell>
          <cell r="M22" t="str">
            <v>OK</v>
          </cell>
          <cell r="N22" t="str">
            <v>OK</v>
          </cell>
          <cell r="O22" t="str">
            <v>OK</v>
          </cell>
          <cell r="P22" t="str">
            <v>OK</v>
          </cell>
          <cell r="Q22" t="str">
            <v>OK</v>
          </cell>
          <cell r="R22" t="str">
            <v>OK</v>
          </cell>
          <cell r="S22" t="str">
            <v>D</v>
          </cell>
          <cell r="T22" t="str">
            <v>OK</v>
          </cell>
          <cell r="U22" t="str">
            <v>OK</v>
          </cell>
          <cell r="V22" t="str">
            <v>OK</v>
          </cell>
          <cell r="W22" t="str">
            <v>OK</v>
          </cell>
          <cell r="X22" t="str">
            <v>OK</v>
          </cell>
          <cell r="Y22" t="str">
            <v>OK</v>
          </cell>
          <cell r="Z22" t="str">
            <v>D</v>
          </cell>
          <cell r="AA22" t="str">
            <v>OK</v>
          </cell>
          <cell r="AB22" t="str">
            <v>OK</v>
          </cell>
          <cell r="AC22" t="str">
            <v>OK</v>
          </cell>
          <cell r="AD22">
            <v>0</v>
          </cell>
          <cell r="AE22">
            <v>0</v>
          </cell>
          <cell r="AF22">
            <v>0</v>
          </cell>
          <cell r="AG22">
            <v>0</v>
          </cell>
          <cell r="AH22">
            <v>0</v>
          </cell>
          <cell r="AI22">
            <v>0</v>
          </cell>
          <cell r="AJ22">
            <v>0</v>
          </cell>
          <cell r="AK22">
            <v>0</v>
          </cell>
          <cell r="AM22">
            <v>0</v>
          </cell>
          <cell r="AN22">
            <v>0</v>
          </cell>
          <cell r="AO22">
            <v>5</v>
          </cell>
          <cell r="AP22">
            <v>0</v>
          </cell>
          <cell r="AQ22">
            <v>0</v>
          </cell>
          <cell r="AR22">
            <v>0</v>
          </cell>
          <cell r="AS22">
            <v>0</v>
          </cell>
          <cell r="AT22">
            <v>0</v>
          </cell>
          <cell r="AU22">
            <v>0</v>
          </cell>
          <cell r="AV22">
            <v>0</v>
          </cell>
          <cell r="AW22">
            <v>0</v>
          </cell>
          <cell r="AX22">
            <v>17</v>
          </cell>
          <cell r="AY22">
            <v>22</v>
          </cell>
        </row>
        <row r="23">
          <cell r="C23">
            <v>1001171553</v>
          </cell>
          <cell r="D23" t="str">
            <v xml:space="preserve">GONZALEZ GUTIERREZ MICHAEL STIVEN </v>
          </cell>
          <cell r="E23" t="str">
            <v>EDNA BERNAL</v>
          </cell>
          <cell r="F23" t="str">
            <v xml:space="preserve">SEDE 2- DIRECCIÓN DISTRITAL DE ARCHIVO DE  BOGOTA </v>
          </cell>
          <cell r="G23" t="str">
            <v>18/10/2025</v>
          </cell>
          <cell r="H23" t="str">
            <v>OK</v>
          </cell>
          <cell r="I23" t="str">
            <v>D</v>
          </cell>
          <cell r="J23" t="str">
            <v>D</v>
          </cell>
          <cell r="K23" t="str">
            <v>OK</v>
          </cell>
          <cell r="L23" t="str">
            <v>D</v>
          </cell>
          <cell r="M23" t="str">
            <v>OK</v>
          </cell>
          <cell r="N23" t="str">
            <v>OK</v>
          </cell>
          <cell r="O23" t="str">
            <v>OK</v>
          </cell>
          <cell r="P23" t="str">
            <v>OK</v>
          </cell>
          <cell r="Q23" t="str">
            <v>OK</v>
          </cell>
          <cell r="R23" t="str">
            <v>OK</v>
          </cell>
          <cell r="S23" t="str">
            <v>D</v>
          </cell>
          <cell r="T23" t="str">
            <v>OK</v>
          </cell>
          <cell r="U23" t="str">
            <v>OK</v>
          </cell>
          <cell r="V23" t="str">
            <v>OK</v>
          </cell>
          <cell r="W23" t="str">
            <v>OK</v>
          </cell>
          <cell r="X23" t="str">
            <v>OK</v>
          </cell>
          <cell r="Y23" t="str">
            <v>OK</v>
          </cell>
          <cell r="Z23" t="str">
            <v>D</v>
          </cell>
          <cell r="AA23" t="str">
            <v>OK</v>
          </cell>
          <cell r="AB23" t="str">
            <v>OK</v>
          </cell>
          <cell r="AC23" t="str">
            <v>OK</v>
          </cell>
          <cell r="AD23">
            <v>0</v>
          </cell>
          <cell r="AE23">
            <v>0</v>
          </cell>
          <cell r="AF23">
            <v>0</v>
          </cell>
          <cell r="AG23">
            <v>0</v>
          </cell>
          <cell r="AH23">
            <v>0</v>
          </cell>
          <cell r="AI23">
            <v>0</v>
          </cell>
          <cell r="AJ23">
            <v>0</v>
          </cell>
          <cell r="AK23">
            <v>0</v>
          </cell>
          <cell r="AM23">
            <v>0</v>
          </cell>
          <cell r="AN23">
            <v>0</v>
          </cell>
          <cell r="AO23">
            <v>5</v>
          </cell>
          <cell r="AP23">
            <v>0</v>
          </cell>
          <cell r="AQ23">
            <v>0</v>
          </cell>
          <cell r="AR23">
            <v>0</v>
          </cell>
          <cell r="AS23">
            <v>0</v>
          </cell>
          <cell r="AT23">
            <v>0</v>
          </cell>
          <cell r="AU23">
            <v>0</v>
          </cell>
          <cell r="AV23">
            <v>0</v>
          </cell>
          <cell r="AW23">
            <v>0</v>
          </cell>
          <cell r="AX23">
            <v>17</v>
          </cell>
          <cell r="AY23">
            <v>22</v>
          </cell>
        </row>
        <row r="24">
          <cell r="C24">
            <v>52028199</v>
          </cell>
          <cell r="D24" t="str">
            <v xml:space="preserve">LADINO ARDILA DAMARIS  </v>
          </cell>
          <cell r="E24" t="str">
            <v>EDNA BERNAL</v>
          </cell>
          <cell r="F24" t="str">
            <v xml:space="preserve">SEDE 2- DIRECCIÓN DISTRITAL DE ARCHIVO DE  BOGOTA </v>
          </cell>
          <cell r="G24" t="str">
            <v>18/10/2025</v>
          </cell>
          <cell r="H24" t="str">
            <v>OK</v>
          </cell>
          <cell r="I24" t="str">
            <v>D</v>
          </cell>
          <cell r="J24" t="str">
            <v>D</v>
          </cell>
          <cell r="K24" t="str">
            <v>OK</v>
          </cell>
          <cell r="L24" t="str">
            <v>D</v>
          </cell>
          <cell r="M24" t="str">
            <v>OK</v>
          </cell>
          <cell r="N24" t="str">
            <v>OK</v>
          </cell>
          <cell r="O24" t="str">
            <v>OK</v>
          </cell>
          <cell r="P24" t="str">
            <v>OK</v>
          </cell>
          <cell r="Q24" t="str">
            <v>OK</v>
          </cell>
          <cell r="R24" t="str">
            <v>OK</v>
          </cell>
          <cell r="S24" t="str">
            <v>D</v>
          </cell>
          <cell r="T24" t="str">
            <v>OK</v>
          </cell>
          <cell r="U24" t="str">
            <v>OK</v>
          </cell>
          <cell r="V24" t="str">
            <v>OK</v>
          </cell>
          <cell r="W24" t="str">
            <v>OK</v>
          </cell>
          <cell r="X24" t="str">
            <v>OK</v>
          </cell>
          <cell r="Y24" t="str">
            <v>OK</v>
          </cell>
          <cell r="Z24" t="str">
            <v>D</v>
          </cell>
          <cell r="AA24" t="str">
            <v>OK</v>
          </cell>
          <cell r="AB24" t="str">
            <v>OK</v>
          </cell>
          <cell r="AC24" t="str">
            <v>OK</v>
          </cell>
          <cell r="AD24">
            <v>0</v>
          </cell>
          <cell r="AE24">
            <v>0</v>
          </cell>
          <cell r="AF24">
            <v>0</v>
          </cell>
          <cell r="AG24">
            <v>0</v>
          </cell>
          <cell r="AH24">
            <v>0</v>
          </cell>
          <cell r="AI24">
            <v>0</v>
          </cell>
          <cell r="AJ24">
            <v>0</v>
          </cell>
          <cell r="AK24">
            <v>0</v>
          </cell>
          <cell r="AM24">
            <v>0</v>
          </cell>
          <cell r="AN24">
            <v>0</v>
          </cell>
          <cell r="AO24">
            <v>5</v>
          </cell>
          <cell r="AP24">
            <v>0</v>
          </cell>
          <cell r="AQ24">
            <v>0</v>
          </cell>
          <cell r="AR24">
            <v>0</v>
          </cell>
          <cell r="AS24">
            <v>0</v>
          </cell>
          <cell r="AT24">
            <v>0</v>
          </cell>
          <cell r="AU24">
            <v>0</v>
          </cell>
          <cell r="AV24">
            <v>0</v>
          </cell>
          <cell r="AW24">
            <v>0</v>
          </cell>
          <cell r="AX24">
            <v>17</v>
          </cell>
          <cell r="AY24">
            <v>22</v>
          </cell>
        </row>
        <row r="25">
          <cell r="C25">
            <v>1033681788</v>
          </cell>
          <cell r="D25" t="str">
            <v xml:space="preserve">LOAIZA PERDOMO MARITZA FERNANDA </v>
          </cell>
          <cell r="E25" t="str">
            <v>EDNA BERNAL</v>
          </cell>
          <cell r="F25" t="str">
            <v>SEDE 1 - MANZANA LIEVANO - ALCALDÍA MAYOR</v>
          </cell>
          <cell r="G25" t="str">
            <v>18/10/2025</v>
          </cell>
          <cell r="H25" t="str">
            <v>OK</v>
          </cell>
          <cell r="I25" t="str">
            <v>D</v>
          </cell>
          <cell r="J25" t="str">
            <v>D</v>
          </cell>
          <cell r="K25" t="str">
            <v>OK</v>
          </cell>
          <cell r="L25" t="str">
            <v>D</v>
          </cell>
          <cell r="M25" t="str">
            <v>OK</v>
          </cell>
          <cell r="N25" t="str">
            <v>OK</v>
          </cell>
          <cell r="O25" t="str">
            <v>OK</v>
          </cell>
          <cell r="P25" t="str">
            <v>OK</v>
          </cell>
          <cell r="Q25" t="str">
            <v>OK</v>
          </cell>
          <cell r="R25" t="str">
            <v>OK</v>
          </cell>
          <cell r="S25" t="str">
            <v>D</v>
          </cell>
          <cell r="T25" t="str">
            <v>OK</v>
          </cell>
          <cell r="U25" t="str">
            <v>OK</v>
          </cell>
          <cell r="V25" t="str">
            <v>OK</v>
          </cell>
          <cell r="W25" t="str">
            <v>OK</v>
          </cell>
          <cell r="X25" t="str">
            <v>OK</v>
          </cell>
          <cell r="Y25" t="str">
            <v>OK</v>
          </cell>
          <cell r="Z25" t="str">
            <v>D</v>
          </cell>
          <cell r="AA25" t="str">
            <v>OK</v>
          </cell>
          <cell r="AB25" t="str">
            <v>OK</v>
          </cell>
          <cell r="AC25" t="str">
            <v>CD</v>
          </cell>
          <cell r="AD25">
            <v>0</v>
          </cell>
          <cell r="AE25">
            <v>0</v>
          </cell>
          <cell r="AF25">
            <v>0</v>
          </cell>
          <cell r="AG25">
            <v>0</v>
          </cell>
          <cell r="AH25">
            <v>0</v>
          </cell>
          <cell r="AI25">
            <v>0</v>
          </cell>
          <cell r="AJ25">
            <v>0</v>
          </cell>
          <cell r="AK25">
            <v>0</v>
          </cell>
          <cell r="AM25">
            <v>0</v>
          </cell>
          <cell r="AN25">
            <v>0</v>
          </cell>
          <cell r="AO25">
            <v>5</v>
          </cell>
          <cell r="AP25">
            <v>0</v>
          </cell>
          <cell r="AQ25">
            <v>0</v>
          </cell>
          <cell r="AR25">
            <v>0</v>
          </cell>
          <cell r="AS25">
            <v>0</v>
          </cell>
          <cell r="AT25">
            <v>1</v>
          </cell>
          <cell r="AU25">
            <v>0</v>
          </cell>
          <cell r="AV25">
            <v>0</v>
          </cell>
          <cell r="AW25">
            <v>0</v>
          </cell>
          <cell r="AX25">
            <v>16</v>
          </cell>
          <cell r="AY25">
            <v>21</v>
          </cell>
        </row>
        <row r="26">
          <cell r="C26">
            <v>1063148543</v>
          </cell>
          <cell r="D26" t="str">
            <v xml:space="preserve">LOPEZ DORIA PEDRO ANTONIO </v>
          </cell>
          <cell r="E26" t="str">
            <v>EDNA BERNAL</v>
          </cell>
          <cell r="F26" t="str">
            <v>SEDE 1 - MANZANA LIEVANO - ALCALDÍA MAYOR</v>
          </cell>
          <cell r="G26" t="str">
            <v>18/10/2025</v>
          </cell>
          <cell r="H26" t="str">
            <v>OK</v>
          </cell>
          <cell r="I26" t="str">
            <v>D</v>
          </cell>
          <cell r="J26" t="str">
            <v>D</v>
          </cell>
          <cell r="K26" t="str">
            <v>OK</v>
          </cell>
          <cell r="L26" t="str">
            <v>D</v>
          </cell>
          <cell r="M26" t="str">
            <v>OK</v>
          </cell>
          <cell r="N26" t="str">
            <v>OK</v>
          </cell>
          <cell r="O26" t="str">
            <v>OK</v>
          </cell>
          <cell r="P26" t="str">
            <v>OK</v>
          </cell>
          <cell r="Q26" t="str">
            <v>OK</v>
          </cell>
          <cell r="R26" t="str">
            <v>OK</v>
          </cell>
          <cell r="S26" t="str">
            <v>D</v>
          </cell>
          <cell r="T26" t="str">
            <v>OK</v>
          </cell>
          <cell r="U26" t="str">
            <v>OK</v>
          </cell>
          <cell r="V26" t="str">
            <v>OK</v>
          </cell>
          <cell r="W26" t="str">
            <v>OK</v>
          </cell>
          <cell r="X26" t="str">
            <v>OK</v>
          </cell>
          <cell r="Y26" t="str">
            <v>OK</v>
          </cell>
          <cell r="Z26" t="str">
            <v>D</v>
          </cell>
          <cell r="AA26" t="str">
            <v>OK</v>
          </cell>
          <cell r="AB26" t="str">
            <v>OK</v>
          </cell>
          <cell r="AC26" t="str">
            <v>OK</v>
          </cell>
          <cell r="AD26">
            <v>0</v>
          </cell>
          <cell r="AE26">
            <v>0</v>
          </cell>
          <cell r="AF26">
            <v>0</v>
          </cell>
          <cell r="AG26">
            <v>0</v>
          </cell>
          <cell r="AH26">
            <v>0</v>
          </cell>
          <cell r="AI26">
            <v>0</v>
          </cell>
          <cell r="AJ26">
            <v>0</v>
          </cell>
          <cell r="AK26">
            <v>0</v>
          </cell>
          <cell r="AM26">
            <v>0</v>
          </cell>
          <cell r="AN26">
            <v>0</v>
          </cell>
          <cell r="AO26">
            <v>5</v>
          </cell>
          <cell r="AP26">
            <v>0</v>
          </cell>
          <cell r="AQ26">
            <v>0</v>
          </cell>
          <cell r="AR26">
            <v>0</v>
          </cell>
          <cell r="AS26">
            <v>0</v>
          </cell>
          <cell r="AT26">
            <v>0</v>
          </cell>
          <cell r="AU26">
            <v>0</v>
          </cell>
          <cell r="AV26">
            <v>0</v>
          </cell>
          <cell r="AW26">
            <v>0</v>
          </cell>
          <cell r="AX26">
            <v>17</v>
          </cell>
          <cell r="AY26">
            <v>22</v>
          </cell>
        </row>
        <row r="27">
          <cell r="C27">
            <v>51893138</v>
          </cell>
          <cell r="D27" t="str">
            <v xml:space="preserve">PARRA RINCON GLORIA  </v>
          </cell>
          <cell r="E27" t="str">
            <v>EDNA BERNAL</v>
          </cell>
          <cell r="F27" t="str">
            <v>SEDE 1 - MANZANA LIEVANO - ALCALDÍA MAYOR</v>
          </cell>
          <cell r="G27" t="str">
            <v>18/10/2025</v>
          </cell>
          <cell r="H27" t="str">
            <v>OK</v>
          </cell>
          <cell r="I27" t="str">
            <v>D</v>
          </cell>
          <cell r="J27" t="str">
            <v>D</v>
          </cell>
          <cell r="K27" t="str">
            <v>OK</v>
          </cell>
          <cell r="L27" t="str">
            <v>D</v>
          </cell>
          <cell r="M27" t="str">
            <v>OK</v>
          </cell>
          <cell r="N27" t="str">
            <v>OK</v>
          </cell>
          <cell r="O27" t="str">
            <v>OK</v>
          </cell>
          <cell r="P27" t="str">
            <v>OK</v>
          </cell>
          <cell r="Q27" t="str">
            <v>OK</v>
          </cell>
          <cell r="R27" t="str">
            <v>OK</v>
          </cell>
          <cell r="S27" t="str">
            <v>D</v>
          </cell>
          <cell r="T27" t="str">
            <v>OK</v>
          </cell>
          <cell r="U27" t="str">
            <v>OK</v>
          </cell>
          <cell r="V27" t="str">
            <v>OK</v>
          </cell>
          <cell r="W27" t="str">
            <v>OK</v>
          </cell>
          <cell r="X27" t="str">
            <v>OK</v>
          </cell>
          <cell r="Y27" t="str">
            <v>OK</v>
          </cell>
          <cell r="Z27" t="str">
            <v>D</v>
          </cell>
          <cell r="AA27" t="str">
            <v>OK</v>
          </cell>
          <cell r="AB27" t="str">
            <v>OK</v>
          </cell>
          <cell r="AC27" t="str">
            <v>OK</v>
          </cell>
          <cell r="AD27">
            <v>0</v>
          </cell>
          <cell r="AE27">
            <v>0</v>
          </cell>
          <cell r="AF27">
            <v>0</v>
          </cell>
          <cell r="AG27">
            <v>0</v>
          </cell>
          <cell r="AH27">
            <v>0</v>
          </cell>
          <cell r="AI27">
            <v>0</v>
          </cell>
          <cell r="AJ27">
            <v>0</v>
          </cell>
          <cell r="AK27">
            <v>0</v>
          </cell>
          <cell r="AM27">
            <v>0</v>
          </cell>
          <cell r="AN27">
            <v>0</v>
          </cell>
          <cell r="AO27">
            <v>5</v>
          </cell>
          <cell r="AP27">
            <v>0</v>
          </cell>
          <cell r="AQ27">
            <v>0</v>
          </cell>
          <cell r="AR27">
            <v>0</v>
          </cell>
          <cell r="AS27">
            <v>0</v>
          </cell>
          <cell r="AT27">
            <v>0</v>
          </cell>
          <cell r="AU27">
            <v>0</v>
          </cell>
          <cell r="AV27">
            <v>0</v>
          </cell>
          <cell r="AW27">
            <v>0</v>
          </cell>
          <cell r="AX27">
            <v>17</v>
          </cell>
          <cell r="AY27">
            <v>22</v>
          </cell>
        </row>
        <row r="28">
          <cell r="C28">
            <v>1012327473</v>
          </cell>
          <cell r="D28" t="str">
            <v xml:space="preserve">SALGUERO VASCO ALISON DAYANA </v>
          </cell>
          <cell r="E28" t="str">
            <v>EDNA BERNAL</v>
          </cell>
          <cell r="F28" t="str">
            <v>SEDE 1 - MANZANA LIEVANO - ALCALDÍA MAYOR</v>
          </cell>
          <cell r="G28" t="str">
            <v>18/10/2025</v>
          </cell>
          <cell r="H28" t="str">
            <v>OK</v>
          </cell>
          <cell r="I28" t="str">
            <v>D</v>
          </cell>
          <cell r="J28" t="str">
            <v>D</v>
          </cell>
          <cell r="K28" t="str">
            <v>OK</v>
          </cell>
          <cell r="L28" t="str">
            <v>D</v>
          </cell>
          <cell r="M28" t="str">
            <v>OK</v>
          </cell>
          <cell r="N28" t="str">
            <v>OK</v>
          </cell>
          <cell r="O28" t="str">
            <v>OK</v>
          </cell>
          <cell r="P28" t="str">
            <v>OK</v>
          </cell>
          <cell r="Q28" t="str">
            <v>OK</v>
          </cell>
          <cell r="R28" t="str">
            <v>OK</v>
          </cell>
          <cell r="S28" t="str">
            <v>D</v>
          </cell>
          <cell r="T28" t="str">
            <v>OK</v>
          </cell>
          <cell r="U28" t="str">
            <v>OK</v>
          </cell>
          <cell r="V28" t="str">
            <v>OK</v>
          </cell>
          <cell r="W28" t="str">
            <v>OK</v>
          </cell>
          <cell r="X28" t="str">
            <v>OK</v>
          </cell>
          <cell r="Y28" t="str">
            <v>OK</v>
          </cell>
          <cell r="Z28" t="str">
            <v>D</v>
          </cell>
          <cell r="AA28" t="str">
            <v>OK</v>
          </cell>
          <cell r="AB28" t="str">
            <v>OK</v>
          </cell>
          <cell r="AC28" t="str">
            <v>OK</v>
          </cell>
          <cell r="AD28">
            <v>0</v>
          </cell>
          <cell r="AE28">
            <v>0</v>
          </cell>
          <cell r="AF28">
            <v>0</v>
          </cell>
          <cell r="AG28">
            <v>0</v>
          </cell>
          <cell r="AH28">
            <v>0</v>
          </cell>
          <cell r="AI28">
            <v>0</v>
          </cell>
          <cell r="AJ28">
            <v>0</v>
          </cell>
          <cell r="AK28">
            <v>0</v>
          </cell>
          <cell r="AM28">
            <v>0</v>
          </cell>
          <cell r="AN28">
            <v>0</v>
          </cell>
          <cell r="AO28">
            <v>5</v>
          </cell>
          <cell r="AP28">
            <v>0</v>
          </cell>
          <cell r="AQ28">
            <v>0</v>
          </cell>
          <cell r="AR28">
            <v>0</v>
          </cell>
          <cell r="AS28">
            <v>0</v>
          </cell>
          <cell r="AT28">
            <v>0</v>
          </cell>
          <cell r="AU28">
            <v>0</v>
          </cell>
          <cell r="AV28">
            <v>0</v>
          </cell>
          <cell r="AW28">
            <v>0</v>
          </cell>
          <cell r="AX28">
            <v>17</v>
          </cell>
          <cell r="AY28">
            <v>22</v>
          </cell>
        </row>
        <row r="29">
          <cell r="C29">
            <v>52973679</v>
          </cell>
          <cell r="D29" t="str">
            <v xml:space="preserve">SOTO BARRIOS ANA MERCEDES </v>
          </cell>
          <cell r="E29" t="str">
            <v>EDNA BERNAL</v>
          </cell>
          <cell r="F29" t="str">
            <v>SEDE 1 - MANZANA LIEVANO - ALCALDÍA MAYOR</v>
          </cell>
          <cell r="G29" t="str">
            <v>18/10/2025</v>
          </cell>
          <cell r="H29" t="str">
            <v>OK</v>
          </cell>
          <cell r="I29" t="str">
            <v>D</v>
          </cell>
          <cell r="J29" t="str">
            <v>D</v>
          </cell>
          <cell r="K29" t="str">
            <v>OK</v>
          </cell>
          <cell r="L29" t="str">
            <v>D</v>
          </cell>
          <cell r="M29" t="str">
            <v>OK</v>
          </cell>
          <cell r="N29" t="str">
            <v>OK</v>
          </cell>
          <cell r="O29" t="str">
            <v>OK</v>
          </cell>
          <cell r="P29" t="str">
            <v>OK</v>
          </cell>
          <cell r="Q29" t="str">
            <v>OK</v>
          </cell>
          <cell r="R29" t="str">
            <v>OK</v>
          </cell>
          <cell r="S29" t="str">
            <v>D</v>
          </cell>
          <cell r="T29" t="str">
            <v>OK</v>
          </cell>
          <cell r="U29" t="str">
            <v>OK</v>
          </cell>
          <cell r="V29" t="str">
            <v>OK</v>
          </cell>
          <cell r="W29" t="str">
            <v>OK</v>
          </cell>
          <cell r="X29" t="str">
            <v>OK</v>
          </cell>
          <cell r="Y29" t="str">
            <v>OK</v>
          </cell>
          <cell r="Z29" t="str">
            <v>D</v>
          </cell>
          <cell r="AA29" t="str">
            <v>OK</v>
          </cell>
          <cell r="AB29" t="str">
            <v>OK</v>
          </cell>
          <cell r="AC29" t="str">
            <v>OK</v>
          </cell>
          <cell r="AD29">
            <v>0</v>
          </cell>
          <cell r="AE29">
            <v>0</v>
          </cell>
          <cell r="AF29">
            <v>0</v>
          </cell>
          <cell r="AG29">
            <v>0</v>
          </cell>
          <cell r="AH29">
            <v>0</v>
          </cell>
          <cell r="AI29">
            <v>0</v>
          </cell>
          <cell r="AJ29">
            <v>0</v>
          </cell>
          <cell r="AK29">
            <v>0</v>
          </cell>
          <cell r="AM29">
            <v>0</v>
          </cell>
          <cell r="AN29">
            <v>0</v>
          </cell>
          <cell r="AO29">
            <v>5</v>
          </cell>
          <cell r="AP29">
            <v>0</v>
          </cell>
          <cell r="AQ29">
            <v>0</v>
          </cell>
          <cell r="AR29">
            <v>0</v>
          </cell>
          <cell r="AS29">
            <v>0</v>
          </cell>
          <cell r="AT29">
            <v>0</v>
          </cell>
          <cell r="AU29">
            <v>0</v>
          </cell>
          <cell r="AV29">
            <v>0</v>
          </cell>
          <cell r="AW29">
            <v>0</v>
          </cell>
          <cell r="AX29">
            <v>17</v>
          </cell>
          <cell r="AY29">
            <v>22</v>
          </cell>
        </row>
        <row r="30">
          <cell r="C30">
            <v>30350065</v>
          </cell>
          <cell r="D30" t="str">
            <v xml:space="preserve">TRIANA MANCILLA ANA EGRID </v>
          </cell>
          <cell r="E30" t="str">
            <v>EDNA BERNAL</v>
          </cell>
          <cell r="F30" t="str">
            <v>SEDE 1 - MANZANA LIEVANO - ALCALDÍA MAYOR</v>
          </cell>
          <cell r="G30" t="str">
            <v>18/10/2025</v>
          </cell>
          <cell r="H30" t="str">
            <v>OK</v>
          </cell>
          <cell r="I30" t="str">
            <v>D</v>
          </cell>
          <cell r="J30" t="str">
            <v>D</v>
          </cell>
          <cell r="K30" t="str">
            <v>OK</v>
          </cell>
          <cell r="L30" t="str">
            <v>D</v>
          </cell>
          <cell r="M30" t="str">
            <v>OK</v>
          </cell>
          <cell r="N30" t="str">
            <v>OK</v>
          </cell>
          <cell r="O30" t="str">
            <v>OK</v>
          </cell>
          <cell r="P30" t="str">
            <v>OK</v>
          </cell>
          <cell r="Q30" t="str">
            <v>OK</v>
          </cell>
          <cell r="R30" t="str">
            <v>OK</v>
          </cell>
          <cell r="S30" t="str">
            <v>D</v>
          </cell>
          <cell r="T30" t="str">
            <v>OK</v>
          </cell>
          <cell r="U30" t="str">
            <v>OK</v>
          </cell>
          <cell r="V30" t="str">
            <v>OK</v>
          </cell>
          <cell r="W30" t="str">
            <v>OK</v>
          </cell>
          <cell r="X30" t="str">
            <v>OK</v>
          </cell>
          <cell r="Y30" t="str">
            <v>OK</v>
          </cell>
          <cell r="Z30" t="str">
            <v>D</v>
          </cell>
          <cell r="AA30" t="str">
            <v>OK</v>
          </cell>
          <cell r="AB30" t="str">
            <v>OK</v>
          </cell>
          <cell r="AC30" t="str">
            <v>OK</v>
          </cell>
          <cell r="AD30">
            <v>0</v>
          </cell>
          <cell r="AE30">
            <v>0</v>
          </cell>
          <cell r="AF30">
            <v>0</v>
          </cell>
          <cell r="AG30">
            <v>0</v>
          </cell>
          <cell r="AH30">
            <v>0</v>
          </cell>
          <cell r="AI30">
            <v>0</v>
          </cell>
          <cell r="AJ30">
            <v>0</v>
          </cell>
          <cell r="AK30">
            <v>0</v>
          </cell>
          <cell r="AM30">
            <v>0</v>
          </cell>
          <cell r="AN30">
            <v>0</v>
          </cell>
          <cell r="AO30">
            <v>5</v>
          </cell>
          <cell r="AP30">
            <v>0</v>
          </cell>
          <cell r="AQ30">
            <v>0</v>
          </cell>
          <cell r="AR30">
            <v>0</v>
          </cell>
          <cell r="AS30">
            <v>0</v>
          </cell>
          <cell r="AT30">
            <v>0</v>
          </cell>
          <cell r="AU30">
            <v>0</v>
          </cell>
          <cell r="AV30">
            <v>0</v>
          </cell>
          <cell r="AW30">
            <v>0</v>
          </cell>
          <cell r="AX30">
            <v>17</v>
          </cell>
          <cell r="AY30">
            <v>22</v>
          </cell>
        </row>
        <row r="31">
          <cell r="C31">
            <v>1078689395</v>
          </cell>
          <cell r="D31" t="str">
            <v xml:space="preserve">ALBORNOZ MINA MARIA ELVIA </v>
          </cell>
          <cell r="E31" t="str">
            <v>EDNA BERNAL</v>
          </cell>
          <cell r="F31" t="str">
            <v>SEDE 1 - MANZANA LIEVANO - ALCALDÍA MAYOR</v>
          </cell>
          <cell r="G31" t="str">
            <v>18/10/2025</v>
          </cell>
          <cell r="H31" t="str">
            <v>OK</v>
          </cell>
          <cell r="I31" t="str">
            <v>D</v>
          </cell>
          <cell r="J31" t="str">
            <v>D</v>
          </cell>
          <cell r="K31" t="str">
            <v>OK</v>
          </cell>
          <cell r="L31" t="str">
            <v>D</v>
          </cell>
          <cell r="M31" t="str">
            <v>OK</v>
          </cell>
          <cell r="N31" t="str">
            <v>OK</v>
          </cell>
          <cell r="O31" t="str">
            <v>OK</v>
          </cell>
          <cell r="P31" t="str">
            <v>OK</v>
          </cell>
          <cell r="Q31" t="str">
            <v>OK</v>
          </cell>
          <cell r="R31" t="str">
            <v>OK</v>
          </cell>
          <cell r="S31" t="str">
            <v>D</v>
          </cell>
          <cell r="T31" t="str">
            <v>OK</v>
          </cell>
          <cell r="U31" t="str">
            <v>OK</v>
          </cell>
          <cell r="V31" t="str">
            <v>OK</v>
          </cell>
          <cell r="W31" t="str">
            <v>OK</v>
          </cell>
          <cell r="X31" t="str">
            <v>OK</v>
          </cell>
          <cell r="Y31" t="str">
            <v>OK</v>
          </cell>
          <cell r="Z31" t="str">
            <v>D</v>
          </cell>
          <cell r="AA31" t="str">
            <v xml:space="preserve">OK </v>
          </cell>
          <cell r="AB31" t="str">
            <v>OK</v>
          </cell>
          <cell r="AC31" t="str">
            <v>OK</v>
          </cell>
          <cell r="AD31">
            <v>0</v>
          </cell>
          <cell r="AE31">
            <v>0</v>
          </cell>
          <cell r="AF31">
            <v>0</v>
          </cell>
          <cell r="AG31">
            <v>0</v>
          </cell>
          <cell r="AH31">
            <v>0</v>
          </cell>
          <cell r="AI31">
            <v>0</v>
          </cell>
          <cell r="AJ31">
            <v>0</v>
          </cell>
          <cell r="AK31">
            <v>0</v>
          </cell>
          <cell r="AM31">
            <v>0</v>
          </cell>
          <cell r="AN31">
            <v>0</v>
          </cell>
          <cell r="AO31">
            <v>5</v>
          </cell>
          <cell r="AP31">
            <v>0</v>
          </cell>
          <cell r="AQ31">
            <v>0</v>
          </cell>
          <cell r="AR31">
            <v>0</v>
          </cell>
          <cell r="AS31">
            <v>0</v>
          </cell>
          <cell r="AT31">
            <v>0</v>
          </cell>
          <cell r="AU31">
            <v>0</v>
          </cell>
          <cell r="AV31">
            <v>0</v>
          </cell>
          <cell r="AW31">
            <v>0</v>
          </cell>
          <cell r="AX31">
            <v>16</v>
          </cell>
          <cell r="AY31">
            <v>21</v>
          </cell>
        </row>
        <row r="32">
          <cell r="C32">
            <v>79385309</v>
          </cell>
          <cell r="D32" t="str">
            <v xml:space="preserve">TOVAR CONTRERAS HECTOR RICARDO </v>
          </cell>
          <cell r="E32" t="str">
            <v>EDNA BERNAL</v>
          </cell>
          <cell r="F32" t="str">
            <v>SEDE 1 - MANZANA LIEVANO - ALCALDÍA MAYOR</v>
          </cell>
          <cell r="G32" t="str">
            <v>18/10/2025</v>
          </cell>
          <cell r="H32" t="str">
            <v>OK</v>
          </cell>
          <cell r="I32" t="str">
            <v>D</v>
          </cell>
          <cell r="J32" t="str">
            <v>D</v>
          </cell>
          <cell r="K32" t="str">
            <v>OK</v>
          </cell>
          <cell r="L32" t="str">
            <v>D</v>
          </cell>
          <cell r="M32" t="str">
            <v>OK</v>
          </cell>
          <cell r="N32" t="str">
            <v>OK</v>
          </cell>
          <cell r="O32" t="str">
            <v>OK</v>
          </cell>
          <cell r="P32" t="str">
            <v>OK</v>
          </cell>
          <cell r="Q32" t="str">
            <v>OK</v>
          </cell>
          <cell r="R32" t="str">
            <v>OK</v>
          </cell>
          <cell r="S32" t="str">
            <v>D</v>
          </cell>
          <cell r="T32" t="str">
            <v>OK</v>
          </cell>
          <cell r="U32" t="str">
            <v>OK</v>
          </cell>
          <cell r="V32" t="str">
            <v>OK</v>
          </cell>
          <cell r="W32" t="str">
            <v>OK</v>
          </cell>
          <cell r="X32" t="str">
            <v>OK</v>
          </cell>
          <cell r="Y32" t="str">
            <v>OK</v>
          </cell>
          <cell r="Z32" t="str">
            <v>D</v>
          </cell>
          <cell r="AA32" t="str">
            <v>OK</v>
          </cell>
          <cell r="AB32" t="str">
            <v>OK</v>
          </cell>
          <cell r="AC32" t="str">
            <v>OK</v>
          </cell>
          <cell r="AD32">
            <v>0</v>
          </cell>
          <cell r="AE32">
            <v>0</v>
          </cell>
          <cell r="AF32">
            <v>0</v>
          </cell>
          <cell r="AG32">
            <v>0</v>
          </cell>
          <cell r="AH32">
            <v>0</v>
          </cell>
          <cell r="AI32">
            <v>0</v>
          </cell>
          <cell r="AJ32">
            <v>0</v>
          </cell>
          <cell r="AK32">
            <v>0</v>
          </cell>
          <cell r="AM32">
            <v>0</v>
          </cell>
          <cell r="AN32">
            <v>0</v>
          </cell>
          <cell r="AO32">
            <v>5</v>
          </cell>
          <cell r="AP32">
            <v>0</v>
          </cell>
          <cell r="AQ32">
            <v>0</v>
          </cell>
          <cell r="AR32">
            <v>0</v>
          </cell>
          <cell r="AS32">
            <v>0</v>
          </cell>
          <cell r="AT32">
            <v>0</v>
          </cell>
          <cell r="AU32">
            <v>0</v>
          </cell>
          <cell r="AV32">
            <v>0</v>
          </cell>
          <cell r="AW32">
            <v>0</v>
          </cell>
          <cell r="AX32">
            <v>17</v>
          </cell>
          <cell r="AY32">
            <v>22</v>
          </cell>
        </row>
        <row r="33">
          <cell r="C33">
            <v>79771060</v>
          </cell>
          <cell r="D33" t="str">
            <v xml:space="preserve">CITA MARTINEZ ORLANDO  </v>
          </cell>
          <cell r="E33" t="str">
            <v>EDNA BERNAL</v>
          </cell>
          <cell r="F33" t="str">
            <v>SEDE 1 - MANZANA LIEVANO - ALCALDÍA MAYOR</v>
          </cell>
          <cell r="G33" t="str">
            <v>18/10/2025</v>
          </cell>
          <cell r="H33" t="str">
            <v>OK</v>
          </cell>
          <cell r="I33" t="str">
            <v>D</v>
          </cell>
          <cell r="J33" t="str">
            <v>D</v>
          </cell>
          <cell r="K33" t="str">
            <v>OK</v>
          </cell>
          <cell r="L33" t="str">
            <v>D</v>
          </cell>
          <cell r="M33" t="str">
            <v>OK</v>
          </cell>
          <cell r="N33" t="str">
            <v>OK</v>
          </cell>
          <cell r="O33" t="str">
            <v>OK</v>
          </cell>
          <cell r="P33" t="str">
            <v>OK</v>
          </cell>
          <cell r="Q33" t="str">
            <v>OK</v>
          </cell>
          <cell r="R33" t="str">
            <v>OK</v>
          </cell>
          <cell r="S33" t="str">
            <v>D</v>
          </cell>
          <cell r="T33" t="str">
            <v>OK</v>
          </cell>
          <cell r="U33" t="str">
            <v>OK</v>
          </cell>
          <cell r="V33" t="str">
            <v>OK</v>
          </cell>
          <cell r="W33" t="str">
            <v>OK</v>
          </cell>
          <cell r="X33" t="str">
            <v>OK</v>
          </cell>
          <cell r="Y33" t="str">
            <v>OK</v>
          </cell>
          <cell r="Z33" t="str">
            <v>D</v>
          </cell>
          <cell r="AA33" t="str">
            <v>OK</v>
          </cell>
          <cell r="AB33" t="str">
            <v>OK</v>
          </cell>
          <cell r="AC33" t="str">
            <v>OK</v>
          </cell>
          <cell r="AD33">
            <v>0</v>
          </cell>
          <cell r="AE33">
            <v>0</v>
          </cell>
          <cell r="AF33">
            <v>0</v>
          </cell>
          <cell r="AG33">
            <v>0</v>
          </cell>
          <cell r="AH33">
            <v>0</v>
          </cell>
          <cell r="AI33">
            <v>0</v>
          </cell>
          <cell r="AJ33">
            <v>0</v>
          </cell>
          <cell r="AK33">
            <v>0</v>
          </cell>
          <cell r="AM33">
            <v>0</v>
          </cell>
          <cell r="AN33">
            <v>0</v>
          </cell>
          <cell r="AO33">
            <v>5</v>
          </cell>
          <cell r="AP33">
            <v>0</v>
          </cell>
          <cell r="AQ33">
            <v>0</v>
          </cell>
          <cell r="AR33">
            <v>0</v>
          </cell>
          <cell r="AS33">
            <v>0</v>
          </cell>
          <cell r="AT33">
            <v>0</v>
          </cell>
          <cell r="AU33">
            <v>0</v>
          </cell>
          <cell r="AV33">
            <v>0</v>
          </cell>
          <cell r="AW33">
            <v>0</v>
          </cell>
          <cell r="AX33">
            <v>17</v>
          </cell>
          <cell r="AY33">
            <v>22</v>
          </cell>
        </row>
        <row r="34">
          <cell r="C34">
            <v>52776187</v>
          </cell>
          <cell r="D34" t="str">
            <v xml:space="preserve">TIQUE  MARIA NURY </v>
          </cell>
          <cell r="E34" t="str">
            <v>EDNA BERNAL</v>
          </cell>
          <cell r="F34" t="str">
            <v xml:space="preserve">SEDE 2- DIRECCIÓN DISTRITAL DE ARCHIVO DE  BOGOTA </v>
          </cell>
          <cell r="G34" t="str">
            <v>18/10/2025</v>
          </cell>
          <cell r="H34" t="str">
            <v>OK</v>
          </cell>
          <cell r="I34" t="str">
            <v>D</v>
          </cell>
          <cell r="J34" t="str">
            <v>D</v>
          </cell>
          <cell r="K34" t="str">
            <v>OK</v>
          </cell>
          <cell r="L34" t="str">
            <v>D</v>
          </cell>
          <cell r="M34" t="str">
            <v>OK</v>
          </cell>
          <cell r="N34" t="str">
            <v>OK</v>
          </cell>
          <cell r="O34" t="str">
            <v>OK</v>
          </cell>
          <cell r="P34" t="str">
            <v>OK</v>
          </cell>
          <cell r="Q34" t="str">
            <v>OK</v>
          </cell>
          <cell r="R34" t="str">
            <v>OK</v>
          </cell>
          <cell r="S34" t="str">
            <v>D</v>
          </cell>
          <cell r="T34" t="str">
            <v>OK</v>
          </cell>
          <cell r="U34" t="str">
            <v>OK</v>
          </cell>
          <cell r="V34" t="str">
            <v>OK</v>
          </cell>
          <cell r="W34" t="str">
            <v>OK</v>
          </cell>
          <cell r="X34" t="str">
            <v>OK</v>
          </cell>
          <cell r="Y34" t="str">
            <v>OK</v>
          </cell>
          <cell r="Z34" t="str">
            <v>D</v>
          </cell>
          <cell r="AA34" t="str">
            <v>OK</v>
          </cell>
          <cell r="AB34" t="str">
            <v>OK</v>
          </cell>
          <cell r="AC34" t="str">
            <v>OK</v>
          </cell>
          <cell r="AD34">
            <v>0</v>
          </cell>
          <cell r="AE34">
            <v>0</v>
          </cell>
          <cell r="AF34">
            <v>0</v>
          </cell>
          <cell r="AG34">
            <v>0</v>
          </cell>
          <cell r="AH34">
            <v>0</v>
          </cell>
          <cell r="AI34">
            <v>0</v>
          </cell>
          <cell r="AJ34">
            <v>0</v>
          </cell>
          <cell r="AK34">
            <v>0</v>
          </cell>
          <cell r="AM34">
            <v>0</v>
          </cell>
          <cell r="AN34">
            <v>0</v>
          </cell>
          <cell r="AO34">
            <v>5</v>
          </cell>
          <cell r="AP34">
            <v>0</v>
          </cell>
          <cell r="AQ34">
            <v>0</v>
          </cell>
          <cell r="AR34">
            <v>0</v>
          </cell>
          <cell r="AS34">
            <v>0</v>
          </cell>
          <cell r="AT34">
            <v>0</v>
          </cell>
          <cell r="AU34">
            <v>0</v>
          </cell>
          <cell r="AV34">
            <v>0</v>
          </cell>
          <cell r="AW34">
            <v>0</v>
          </cell>
          <cell r="AX34">
            <v>17</v>
          </cell>
          <cell r="AY34">
            <v>22</v>
          </cell>
        </row>
        <row r="35">
          <cell r="C35">
            <v>53048357</v>
          </cell>
          <cell r="D35" t="str">
            <v xml:space="preserve">LOPEZ SANCHEZ MARIA DEL PILAR </v>
          </cell>
          <cell r="E35" t="str">
            <v>EDNA BERNAL</v>
          </cell>
          <cell r="F35" t="str">
            <v>SEDE 3 - IMPRENTA DISTRITAL</v>
          </cell>
          <cell r="G35" t="str">
            <v>18/10/2025</v>
          </cell>
          <cell r="H35" t="str">
            <v>OK</v>
          </cell>
          <cell r="I35" t="str">
            <v>D</v>
          </cell>
          <cell r="J35" t="str">
            <v>D</v>
          </cell>
          <cell r="K35" t="str">
            <v>OK</v>
          </cell>
          <cell r="L35" t="str">
            <v>D</v>
          </cell>
          <cell r="M35" t="str">
            <v>OK</v>
          </cell>
          <cell r="N35" t="str">
            <v>OK</v>
          </cell>
          <cell r="O35" t="str">
            <v>OK</v>
          </cell>
          <cell r="P35" t="str">
            <v>OK</v>
          </cell>
          <cell r="Q35" t="str">
            <v>OK</v>
          </cell>
          <cell r="R35" t="str">
            <v>OK</v>
          </cell>
          <cell r="S35" t="str">
            <v>D</v>
          </cell>
          <cell r="T35" t="str">
            <v>OK</v>
          </cell>
          <cell r="U35" t="str">
            <v>OK</v>
          </cell>
          <cell r="V35" t="str">
            <v>OK</v>
          </cell>
          <cell r="W35" t="str">
            <v>OK</v>
          </cell>
          <cell r="X35" t="str">
            <v>OK</v>
          </cell>
          <cell r="Y35" t="str">
            <v>OK</v>
          </cell>
          <cell r="Z35" t="str">
            <v>D</v>
          </cell>
          <cell r="AA35" t="str">
            <v>OK</v>
          </cell>
          <cell r="AB35" t="str">
            <v>OK</v>
          </cell>
          <cell r="AC35" t="str">
            <v>OK</v>
          </cell>
          <cell r="AD35">
            <v>0</v>
          </cell>
          <cell r="AE35">
            <v>0</v>
          </cell>
          <cell r="AF35">
            <v>0</v>
          </cell>
          <cell r="AG35">
            <v>0</v>
          </cell>
          <cell r="AH35">
            <v>0</v>
          </cell>
          <cell r="AI35">
            <v>0</v>
          </cell>
          <cell r="AJ35">
            <v>0</v>
          </cell>
          <cell r="AK35">
            <v>0</v>
          </cell>
          <cell r="AM35">
            <v>0</v>
          </cell>
          <cell r="AN35">
            <v>0</v>
          </cell>
          <cell r="AO35">
            <v>5</v>
          </cell>
          <cell r="AP35">
            <v>0</v>
          </cell>
          <cell r="AQ35">
            <v>0</v>
          </cell>
          <cell r="AR35">
            <v>0</v>
          </cell>
          <cell r="AS35">
            <v>0</v>
          </cell>
          <cell r="AT35">
            <v>0</v>
          </cell>
          <cell r="AU35">
            <v>0</v>
          </cell>
          <cell r="AV35">
            <v>0</v>
          </cell>
          <cell r="AW35">
            <v>0</v>
          </cell>
          <cell r="AX35">
            <v>17</v>
          </cell>
          <cell r="AY35">
            <v>22</v>
          </cell>
        </row>
        <row r="36">
          <cell r="C36">
            <v>79667853</v>
          </cell>
          <cell r="D36" t="str">
            <v xml:space="preserve">RUBIO HERRERA WILLIAM ALEJANDRO </v>
          </cell>
          <cell r="E36" t="str">
            <v>EDNA BERNAL</v>
          </cell>
          <cell r="F36" t="str">
            <v>SEDE 3 - IMPRENTA DISTRITAL</v>
          </cell>
          <cell r="G36" t="str">
            <v>18/10/2025</v>
          </cell>
          <cell r="H36" t="str">
            <v>OK</v>
          </cell>
          <cell r="I36" t="str">
            <v>D</v>
          </cell>
          <cell r="J36" t="str">
            <v>D</v>
          </cell>
          <cell r="K36" t="str">
            <v>OK</v>
          </cell>
          <cell r="L36" t="str">
            <v>D</v>
          </cell>
          <cell r="M36" t="str">
            <v>OK</v>
          </cell>
          <cell r="N36" t="str">
            <v>OK</v>
          </cell>
          <cell r="O36" t="str">
            <v>OK</v>
          </cell>
          <cell r="P36" t="str">
            <v>OK</v>
          </cell>
          <cell r="Q36" t="str">
            <v>OK</v>
          </cell>
          <cell r="R36" t="str">
            <v>OK</v>
          </cell>
          <cell r="S36" t="str">
            <v>D</v>
          </cell>
          <cell r="T36" t="str">
            <v>OK</v>
          </cell>
          <cell r="U36" t="str">
            <v>OK</v>
          </cell>
          <cell r="V36" t="str">
            <v>OK</v>
          </cell>
          <cell r="W36" t="str">
            <v>OK</v>
          </cell>
          <cell r="X36" t="str">
            <v>OK</v>
          </cell>
          <cell r="Y36" t="str">
            <v>OK</v>
          </cell>
          <cell r="Z36" t="str">
            <v>D</v>
          </cell>
          <cell r="AA36" t="str">
            <v>OK</v>
          </cell>
          <cell r="AB36" t="str">
            <v>OK</v>
          </cell>
          <cell r="AC36" t="str">
            <v>OK</v>
          </cell>
          <cell r="AD36">
            <v>0</v>
          </cell>
          <cell r="AE36">
            <v>0</v>
          </cell>
          <cell r="AF36">
            <v>0</v>
          </cell>
          <cell r="AG36">
            <v>0</v>
          </cell>
          <cell r="AH36">
            <v>0</v>
          </cell>
          <cell r="AI36">
            <v>0</v>
          </cell>
          <cell r="AJ36">
            <v>0</v>
          </cell>
          <cell r="AK36">
            <v>0</v>
          </cell>
          <cell r="AM36">
            <v>0</v>
          </cell>
          <cell r="AN36">
            <v>0</v>
          </cell>
          <cell r="AO36">
            <v>5</v>
          </cell>
          <cell r="AP36">
            <v>0</v>
          </cell>
          <cell r="AQ36">
            <v>0</v>
          </cell>
          <cell r="AR36">
            <v>0</v>
          </cell>
          <cell r="AS36">
            <v>0</v>
          </cell>
          <cell r="AT36">
            <v>0</v>
          </cell>
          <cell r="AU36">
            <v>0</v>
          </cell>
          <cell r="AV36">
            <v>0</v>
          </cell>
          <cell r="AW36">
            <v>0</v>
          </cell>
          <cell r="AX36">
            <v>17</v>
          </cell>
          <cell r="AY36">
            <v>22</v>
          </cell>
        </row>
        <row r="37">
          <cell r="C37">
            <v>79960184</v>
          </cell>
          <cell r="D37" t="str">
            <v xml:space="preserve">VILLANUEVA VALENCIA JOSE DANIEL </v>
          </cell>
          <cell r="E37" t="str">
            <v>EDNA BERNAL</v>
          </cell>
          <cell r="F37" t="str">
            <v xml:space="preserve">SEDE 2- DIRECCIÓN DISTRITAL DE ARCHIVO DE  BOGOTA </v>
          </cell>
          <cell r="G37" t="str">
            <v>18/10/2025</v>
          </cell>
          <cell r="H37" t="str">
            <v>OK</v>
          </cell>
          <cell r="I37" t="str">
            <v>D</v>
          </cell>
          <cell r="J37" t="str">
            <v>D</v>
          </cell>
          <cell r="K37" t="str">
            <v>OK</v>
          </cell>
          <cell r="L37" t="str">
            <v>D</v>
          </cell>
          <cell r="M37" t="str">
            <v>OK</v>
          </cell>
          <cell r="N37" t="str">
            <v>OK</v>
          </cell>
          <cell r="O37" t="str">
            <v>OK</v>
          </cell>
          <cell r="P37" t="str">
            <v>OK</v>
          </cell>
          <cell r="Q37" t="str">
            <v>OK</v>
          </cell>
          <cell r="R37" t="str">
            <v>OK</v>
          </cell>
          <cell r="S37" t="str">
            <v>D</v>
          </cell>
          <cell r="T37" t="str">
            <v>OK</v>
          </cell>
          <cell r="U37" t="str">
            <v>OK</v>
          </cell>
          <cell r="V37" t="str">
            <v>OK</v>
          </cell>
          <cell r="W37" t="str">
            <v>OK</v>
          </cell>
          <cell r="X37" t="str">
            <v>OK</v>
          </cell>
          <cell r="Y37" t="str">
            <v>OK</v>
          </cell>
          <cell r="Z37" t="str">
            <v>D</v>
          </cell>
          <cell r="AA37" t="str">
            <v>OK</v>
          </cell>
          <cell r="AB37" t="str">
            <v>OK</v>
          </cell>
          <cell r="AC37" t="str">
            <v>OK</v>
          </cell>
          <cell r="AD37">
            <v>0</v>
          </cell>
          <cell r="AE37">
            <v>0</v>
          </cell>
          <cell r="AF37">
            <v>0</v>
          </cell>
          <cell r="AG37">
            <v>0</v>
          </cell>
          <cell r="AH37">
            <v>0</v>
          </cell>
          <cell r="AI37">
            <v>0</v>
          </cell>
          <cell r="AJ37">
            <v>0</v>
          </cell>
          <cell r="AK37">
            <v>0</v>
          </cell>
          <cell r="AM37">
            <v>0</v>
          </cell>
          <cell r="AN37">
            <v>0</v>
          </cell>
          <cell r="AO37">
            <v>5</v>
          </cell>
          <cell r="AP37">
            <v>0</v>
          </cell>
          <cell r="AQ37">
            <v>0</v>
          </cell>
          <cell r="AR37">
            <v>0</v>
          </cell>
          <cell r="AS37">
            <v>0</v>
          </cell>
          <cell r="AT37">
            <v>0</v>
          </cell>
          <cell r="AU37">
            <v>0</v>
          </cell>
          <cell r="AV37">
            <v>0</v>
          </cell>
          <cell r="AW37">
            <v>0</v>
          </cell>
          <cell r="AX37">
            <v>17</v>
          </cell>
          <cell r="AY37">
            <v>22</v>
          </cell>
        </row>
        <row r="38">
          <cell r="C38">
            <v>52038209</v>
          </cell>
          <cell r="D38" t="str">
            <v xml:space="preserve">PUENTES CORREDOR DORA  </v>
          </cell>
          <cell r="E38" t="str">
            <v>EDNA BERNAL</v>
          </cell>
          <cell r="F38" t="str">
            <v xml:space="preserve">SEDE 2- DIRECCIÓN DISTRITAL DE ARCHIVO DE  BOGOTA </v>
          </cell>
          <cell r="G38" t="str">
            <v>18/10/2025</v>
          </cell>
          <cell r="H38" t="str">
            <v>OK</v>
          </cell>
          <cell r="I38" t="str">
            <v>D</v>
          </cell>
          <cell r="J38" t="str">
            <v>D</v>
          </cell>
          <cell r="K38" t="str">
            <v>OK</v>
          </cell>
          <cell r="L38" t="str">
            <v>D</v>
          </cell>
          <cell r="M38" t="str">
            <v>OK</v>
          </cell>
          <cell r="N38" t="str">
            <v>OK</v>
          </cell>
          <cell r="O38" t="str">
            <v>OK</v>
          </cell>
          <cell r="P38" t="str">
            <v>OK</v>
          </cell>
          <cell r="Q38" t="str">
            <v>OK</v>
          </cell>
          <cell r="R38" t="str">
            <v>OK</v>
          </cell>
          <cell r="S38" t="str">
            <v>D</v>
          </cell>
          <cell r="T38" t="str">
            <v>OK</v>
          </cell>
          <cell r="U38" t="str">
            <v>OK</v>
          </cell>
          <cell r="V38" t="str">
            <v>OK</v>
          </cell>
          <cell r="W38" t="str">
            <v>OK</v>
          </cell>
          <cell r="X38" t="str">
            <v>OK</v>
          </cell>
          <cell r="Y38" t="str">
            <v>OK</v>
          </cell>
          <cell r="Z38" t="str">
            <v>D</v>
          </cell>
          <cell r="AA38" t="str">
            <v>OK</v>
          </cell>
          <cell r="AB38" t="str">
            <v>OK</v>
          </cell>
          <cell r="AC38" t="str">
            <v>OK</v>
          </cell>
          <cell r="AD38">
            <v>0</v>
          </cell>
          <cell r="AE38">
            <v>0</v>
          </cell>
          <cell r="AF38">
            <v>0</v>
          </cell>
          <cell r="AG38">
            <v>0</v>
          </cell>
          <cell r="AH38">
            <v>0</v>
          </cell>
          <cell r="AI38">
            <v>0</v>
          </cell>
          <cell r="AJ38">
            <v>0</v>
          </cell>
          <cell r="AK38">
            <v>0</v>
          </cell>
          <cell r="AM38">
            <v>0</v>
          </cell>
          <cell r="AN38">
            <v>0</v>
          </cell>
          <cell r="AO38">
            <v>5</v>
          </cell>
          <cell r="AP38">
            <v>0</v>
          </cell>
          <cell r="AQ38">
            <v>0</v>
          </cell>
          <cell r="AR38">
            <v>0</v>
          </cell>
          <cell r="AS38">
            <v>0</v>
          </cell>
          <cell r="AT38">
            <v>0</v>
          </cell>
          <cell r="AU38">
            <v>0</v>
          </cell>
          <cell r="AV38">
            <v>0</v>
          </cell>
          <cell r="AW38">
            <v>0</v>
          </cell>
          <cell r="AX38">
            <v>17</v>
          </cell>
          <cell r="AY38">
            <v>22</v>
          </cell>
        </row>
        <row r="39">
          <cell r="C39">
            <v>51970521</v>
          </cell>
          <cell r="D39" t="str">
            <v xml:space="preserve">HERNANDEZ LUNA MARIBEL  </v>
          </cell>
          <cell r="E39" t="str">
            <v>EDNA BERNAL</v>
          </cell>
          <cell r="F39" t="str">
            <v xml:space="preserve">SEDE 2- DIRECCIÓN DISTRITAL DE ARCHIVO DE  BOGOTA </v>
          </cell>
          <cell r="G39" t="str">
            <v>18/10/2025</v>
          </cell>
          <cell r="H39" t="str">
            <v>OK</v>
          </cell>
          <cell r="I39" t="str">
            <v>D</v>
          </cell>
          <cell r="J39" t="str">
            <v>D</v>
          </cell>
          <cell r="K39" t="str">
            <v>OK</v>
          </cell>
          <cell r="L39" t="str">
            <v>D</v>
          </cell>
          <cell r="M39" t="str">
            <v>OK</v>
          </cell>
          <cell r="N39" t="str">
            <v>OK</v>
          </cell>
          <cell r="O39" t="str">
            <v>OK</v>
          </cell>
          <cell r="P39" t="str">
            <v>OK</v>
          </cell>
          <cell r="Q39" t="str">
            <v>OK</v>
          </cell>
          <cell r="R39" t="str">
            <v>OK</v>
          </cell>
          <cell r="S39" t="str">
            <v>D</v>
          </cell>
          <cell r="T39" t="str">
            <v>OK</v>
          </cell>
          <cell r="U39" t="str">
            <v>OK</v>
          </cell>
          <cell r="V39" t="str">
            <v>OK</v>
          </cell>
          <cell r="W39" t="str">
            <v>OK</v>
          </cell>
          <cell r="X39" t="str">
            <v>OK</v>
          </cell>
          <cell r="Y39" t="str">
            <v>OK</v>
          </cell>
          <cell r="Z39" t="str">
            <v>D</v>
          </cell>
          <cell r="AA39" t="str">
            <v>OK</v>
          </cell>
          <cell r="AB39" t="str">
            <v>OK</v>
          </cell>
          <cell r="AC39" t="str">
            <v>OK</v>
          </cell>
          <cell r="AD39">
            <v>0</v>
          </cell>
          <cell r="AE39">
            <v>0</v>
          </cell>
          <cell r="AF39">
            <v>0</v>
          </cell>
          <cell r="AG39">
            <v>0</v>
          </cell>
          <cell r="AH39">
            <v>0</v>
          </cell>
          <cell r="AI39">
            <v>0</v>
          </cell>
          <cell r="AJ39">
            <v>0</v>
          </cell>
          <cell r="AK39">
            <v>0</v>
          </cell>
          <cell r="AM39">
            <v>0</v>
          </cell>
          <cell r="AN39">
            <v>0</v>
          </cell>
          <cell r="AO39">
            <v>5</v>
          </cell>
          <cell r="AP39">
            <v>0</v>
          </cell>
          <cell r="AQ39">
            <v>0</v>
          </cell>
          <cell r="AR39">
            <v>0</v>
          </cell>
          <cell r="AS39">
            <v>0</v>
          </cell>
          <cell r="AT39">
            <v>0</v>
          </cell>
          <cell r="AU39">
            <v>0</v>
          </cell>
          <cell r="AV39">
            <v>0</v>
          </cell>
          <cell r="AW39">
            <v>0</v>
          </cell>
          <cell r="AX39">
            <v>17</v>
          </cell>
          <cell r="AY39">
            <v>22</v>
          </cell>
        </row>
        <row r="40">
          <cell r="C40">
            <v>52295952</v>
          </cell>
          <cell r="D40" t="str">
            <v xml:space="preserve">MARTINEZ HERNANDEZ MARITZA  </v>
          </cell>
          <cell r="E40" t="str">
            <v>EDNA BERNAL</v>
          </cell>
          <cell r="F40" t="str">
            <v>SEDE 1 - MANZANA LIEVANO - ALCALDÍA MAYOR</v>
          </cell>
          <cell r="G40" t="str">
            <v>18/10/2025</v>
          </cell>
          <cell r="H40" t="str">
            <v>OK</v>
          </cell>
          <cell r="I40" t="str">
            <v>D</v>
          </cell>
          <cell r="J40" t="str">
            <v>D</v>
          </cell>
          <cell r="K40" t="str">
            <v>OK</v>
          </cell>
          <cell r="L40" t="str">
            <v>D</v>
          </cell>
          <cell r="M40" t="str">
            <v>OK</v>
          </cell>
          <cell r="N40" t="str">
            <v>OK</v>
          </cell>
          <cell r="O40" t="str">
            <v>OK</v>
          </cell>
          <cell r="P40" t="str">
            <v>OK</v>
          </cell>
          <cell r="Q40" t="str">
            <v>OK</v>
          </cell>
          <cell r="R40" t="str">
            <v>OK</v>
          </cell>
          <cell r="S40" t="str">
            <v>D</v>
          </cell>
          <cell r="T40" t="str">
            <v>OK</v>
          </cell>
          <cell r="U40" t="str">
            <v>OK</v>
          </cell>
          <cell r="V40" t="str">
            <v>OK</v>
          </cell>
          <cell r="W40" t="str">
            <v>OK</v>
          </cell>
          <cell r="X40" t="str">
            <v>OK</v>
          </cell>
          <cell r="Y40" t="str">
            <v>OK</v>
          </cell>
          <cell r="Z40" t="str">
            <v>D</v>
          </cell>
          <cell r="AA40" t="str">
            <v>OK</v>
          </cell>
          <cell r="AB40" t="str">
            <v>OK</v>
          </cell>
          <cell r="AC40" t="str">
            <v>OK</v>
          </cell>
          <cell r="AD40">
            <v>0</v>
          </cell>
          <cell r="AE40">
            <v>0</v>
          </cell>
          <cell r="AF40">
            <v>0</v>
          </cell>
          <cell r="AG40">
            <v>0</v>
          </cell>
          <cell r="AH40">
            <v>0</v>
          </cell>
          <cell r="AI40">
            <v>0</v>
          </cell>
          <cell r="AJ40">
            <v>0</v>
          </cell>
          <cell r="AK40">
            <v>0</v>
          </cell>
          <cell r="AM40">
            <v>0</v>
          </cell>
          <cell r="AN40">
            <v>0</v>
          </cell>
          <cell r="AO40">
            <v>5</v>
          </cell>
          <cell r="AP40">
            <v>0</v>
          </cell>
          <cell r="AQ40">
            <v>0</v>
          </cell>
          <cell r="AR40">
            <v>0</v>
          </cell>
          <cell r="AS40">
            <v>0</v>
          </cell>
          <cell r="AT40">
            <v>0</v>
          </cell>
          <cell r="AU40">
            <v>0</v>
          </cell>
          <cell r="AV40">
            <v>0</v>
          </cell>
          <cell r="AW40">
            <v>0</v>
          </cell>
          <cell r="AX40">
            <v>17</v>
          </cell>
          <cell r="AY40">
            <v>22</v>
          </cell>
        </row>
        <row r="41">
          <cell r="C41">
            <v>30225706</v>
          </cell>
          <cell r="D41" t="str">
            <v xml:space="preserve">MUNOZ QUINTERO GLORIA ESPERANZA </v>
          </cell>
          <cell r="E41" t="str">
            <v>EDNA BERNAL</v>
          </cell>
          <cell r="F41" t="str">
            <v xml:space="preserve">SEDE 2- DIRECCIÓN DISTRITAL DE ARCHIVO DE  BOGOTA </v>
          </cell>
          <cell r="G41" t="str">
            <v>18/10/2025</v>
          </cell>
          <cell r="H41" t="str">
            <v>OK</v>
          </cell>
          <cell r="I41" t="str">
            <v>D</v>
          </cell>
          <cell r="J41" t="str">
            <v>D</v>
          </cell>
          <cell r="K41" t="str">
            <v>OK</v>
          </cell>
          <cell r="L41" t="str">
            <v>D</v>
          </cell>
          <cell r="M41" t="str">
            <v>OK</v>
          </cell>
          <cell r="N41" t="str">
            <v>OK</v>
          </cell>
          <cell r="O41" t="str">
            <v>OK</v>
          </cell>
          <cell r="P41" t="str">
            <v>OK</v>
          </cell>
          <cell r="Q41" t="str">
            <v>OK</v>
          </cell>
          <cell r="R41" t="str">
            <v>OK</v>
          </cell>
          <cell r="S41" t="str">
            <v>D</v>
          </cell>
          <cell r="T41" t="str">
            <v>OK</v>
          </cell>
          <cell r="U41" t="str">
            <v>OK</v>
          </cell>
          <cell r="V41" t="str">
            <v>OK</v>
          </cell>
          <cell r="W41" t="str">
            <v>OK</v>
          </cell>
          <cell r="X41" t="str">
            <v>OK</v>
          </cell>
          <cell r="Y41" t="str">
            <v>OK</v>
          </cell>
          <cell r="Z41" t="str">
            <v>D</v>
          </cell>
          <cell r="AA41" t="str">
            <v>OK</v>
          </cell>
          <cell r="AB41" t="str">
            <v>OK</v>
          </cell>
          <cell r="AC41" t="str">
            <v>OK</v>
          </cell>
          <cell r="AD41">
            <v>0</v>
          </cell>
          <cell r="AE41">
            <v>0</v>
          </cell>
          <cell r="AF41">
            <v>0</v>
          </cell>
          <cell r="AG41">
            <v>0</v>
          </cell>
          <cell r="AH41">
            <v>0</v>
          </cell>
          <cell r="AI41">
            <v>0</v>
          </cell>
          <cell r="AJ41">
            <v>0</v>
          </cell>
          <cell r="AK41">
            <v>0</v>
          </cell>
          <cell r="AM41">
            <v>0</v>
          </cell>
          <cell r="AN41">
            <v>0</v>
          </cell>
          <cell r="AO41">
            <v>5</v>
          </cell>
          <cell r="AP41">
            <v>0</v>
          </cell>
          <cell r="AQ41">
            <v>0</v>
          </cell>
          <cell r="AR41">
            <v>0</v>
          </cell>
          <cell r="AS41">
            <v>0</v>
          </cell>
          <cell r="AT41">
            <v>0</v>
          </cell>
          <cell r="AU41">
            <v>0</v>
          </cell>
          <cell r="AV41">
            <v>0</v>
          </cell>
          <cell r="AW41">
            <v>0</v>
          </cell>
          <cell r="AX41">
            <v>17</v>
          </cell>
          <cell r="AY41">
            <v>22</v>
          </cell>
        </row>
        <row r="42">
          <cell r="C42">
            <v>1002269813</v>
          </cell>
          <cell r="D42" t="str">
            <v xml:space="preserve">ALARCON URA MINI JOHANA </v>
          </cell>
          <cell r="E42" t="str">
            <v>EDNA BERNAL</v>
          </cell>
          <cell r="F42" t="str">
            <v xml:space="preserve">SEDE 2- DIRECCIÓN DISTRITAL DE ARCHIVO DE  BOGOTA </v>
          </cell>
          <cell r="G42" t="str">
            <v>18/10/2025</v>
          </cell>
          <cell r="H42" t="str">
            <v>OK</v>
          </cell>
          <cell r="I42" t="str">
            <v>D</v>
          </cell>
          <cell r="J42" t="str">
            <v>D</v>
          </cell>
          <cell r="K42" t="str">
            <v>OK</v>
          </cell>
          <cell r="L42" t="str">
            <v>D</v>
          </cell>
          <cell r="M42" t="str">
            <v>OK</v>
          </cell>
          <cell r="N42" t="str">
            <v>OK</v>
          </cell>
          <cell r="O42" t="str">
            <v>OK</v>
          </cell>
          <cell r="P42" t="str">
            <v>OK</v>
          </cell>
          <cell r="Q42" t="str">
            <v>OK</v>
          </cell>
          <cell r="R42" t="str">
            <v>OK</v>
          </cell>
          <cell r="S42" t="str">
            <v>D</v>
          </cell>
          <cell r="T42" t="str">
            <v>OK</v>
          </cell>
          <cell r="U42" t="str">
            <v>OK</v>
          </cell>
          <cell r="V42" t="str">
            <v>OK</v>
          </cell>
          <cell r="W42" t="str">
            <v>OK</v>
          </cell>
          <cell r="X42" t="str">
            <v>OK</v>
          </cell>
          <cell r="Y42" t="str">
            <v>OK</v>
          </cell>
          <cell r="Z42" t="str">
            <v>D</v>
          </cell>
          <cell r="AA42" t="str">
            <v>OK</v>
          </cell>
          <cell r="AB42" t="str">
            <v>OK</v>
          </cell>
          <cell r="AC42" t="str">
            <v>OK</v>
          </cell>
          <cell r="AD42">
            <v>0</v>
          </cell>
          <cell r="AE42">
            <v>0</v>
          </cell>
          <cell r="AF42">
            <v>0</v>
          </cell>
          <cell r="AG42">
            <v>0</v>
          </cell>
          <cell r="AH42">
            <v>0</v>
          </cell>
          <cell r="AI42">
            <v>0</v>
          </cell>
          <cell r="AJ42">
            <v>0</v>
          </cell>
          <cell r="AK42">
            <v>0</v>
          </cell>
          <cell r="AM42">
            <v>0</v>
          </cell>
          <cell r="AN42">
            <v>0</v>
          </cell>
          <cell r="AO42">
            <v>5</v>
          </cell>
          <cell r="AP42">
            <v>0</v>
          </cell>
          <cell r="AQ42">
            <v>0</v>
          </cell>
          <cell r="AR42">
            <v>0</v>
          </cell>
          <cell r="AS42">
            <v>0</v>
          </cell>
          <cell r="AT42">
            <v>0</v>
          </cell>
          <cell r="AU42">
            <v>0</v>
          </cell>
          <cell r="AV42">
            <v>0</v>
          </cell>
          <cell r="AW42">
            <v>0</v>
          </cell>
          <cell r="AX42">
            <v>17</v>
          </cell>
          <cell r="AY42">
            <v>22</v>
          </cell>
        </row>
        <row r="43">
          <cell r="C43">
            <v>1022985784</v>
          </cell>
          <cell r="D43" t="str">
            <v xml:space="preserve">PERALTA GUTIERREZ OSCAR HUMBERTO </v>
          </cell>
          <cell r="E43" t="str">
            <v>EDNA BERNAL</v>
          </cell>
          <cell r="F43" t="str">
            <v>SEDE 1 - MANZANA LIEVANO - ALCALDÍA MAYOR</v>
          </cell>
          <cell r="G43" t="str">
            <v>18/10/2025</v>
          </cell>
          <cell r="H43" t="str">
            <v>OK</v>
          </cell>
          <cell r="I43" t="str">
            <v>D</v>
          </cell>
          <cell r="J43" t="str">
            <v>D</v>
          </cell>
          <cell r="K43" t="str">
            <v>OK</v>
          </cell>
          <cell r="L43" t="str">
            <v>D</v>
          </cell>
          <cell r="M43" t="str">
            <v>OK</v>
          </cell>
          <cell r="N43" t="str">
            <v>OK</v>
          </cell>
          <cell r="O43" t="str">
            <v>OK</v>
          </cell>
          <cell r="P43" t="str">
            <v>OK</v>
          </cell>
          <cell r="Q43" t="str">
            <v>OK</v>
          </cell>
          <cell r="R43" t="str">
            <v>OK</v>
          </cell>
          <cell r="S43" t="str">
            <v>D</v>
          </cell>
          <cell r="T43" t="str">
            <v>CD</v>
          </cell>
          <cell r="U43" t="str">
            <v>OK</v>
          </cell>
          <cell r="V43" t="str">
            <v>OK</v>
          </cell>
          <cell r="W43" t="str">
            <v>OK</v>
          </cell>
          <cell r="X43" t="str">
            <v>OK</v>
          </cell>
          <cell r="Y43" t="str">
            <v>OK</v>
          </cell>
          <cell r="Z43" t="str">
            <v>D</v>
          </cell>
          <cell r="AA43" t="str">
            <v>OK</v>
          </cell>
          <cell r="AB43" t="str">
            <v>OK</v>
          </cell>
          <cell r="AC43" t="str">
            <v>OK</v>
          </cell>
          <cell r="AD43">
            <v>0</v>
          </cell>
          <cell r="AE43">
            <v>0</v>
          </cell>
          <cell r="AF43">
            <v>0</v>
          </cell>
          <cell r="AG43">
            <v>0</v>
          </cell>
          <cell r="AH43">
            <v>0</v>
          </cell>
          <cell r="AI43">
            <v>0</v>
          </cell>
          <cell r="AJ43">
            <v>0</v>
          </cell>
          <cell r="AK43">
            <v>0</v>
          </cell>
          <cell r="AM43">
            <v>0</v>
          </cell>
          <cell r="AN43">
            <v>0</v>
          </cell>
          <cell r="AO43">
            <v>5</v>
          </cell>
          <cell r="AP43">
            <v>0</v>
          </cell>
          <cell r="AQ43">
            <v>0</v>
          </cell>
          <cell r="AR43">
            <v>0</v>
          </cell>
          <cell r="AS43">
            <v>0</v>
          </cell>
          <cell r="AT43">
            <v>1</v>
          </cell>
          <cell r="AU43">
            <v>0</v>
          </cell>
          <cell r="AV43">
            <v>0</v>
          </cell>
          <cell r="AW43">
            <v>0</v>
          </cell>
          <cell r="AX43">
            <v>16</v>
          </cell>
          <cell r="AY43">
            <v>21</v>
          </cell>
        </row>
        <row r="44">
          <cell r="C44">
            <v>28915752</v>
          </cell>
          <cell r="D44" t="str">
            <v xml:space="preserve">CALDERON APONTE YANED  </v>
          </cell>
          <cell r="E44" t="str">
            <v>EDNA BERNAL</v>
          </cell>
          <cell r="F44" t="str">
            <v>SEDE 1 - MANZANA LIEVANO - ALCALDÍA MAYOR</v>
          </cell>
          <cell r="G44" t="str">
            <v>18/10/2025</v>
          </cell>
          <cell r="H44" t="str">
            <v>OK</v>
          </cell>
          <cell r="I44" t="str">
            <v>D</v>
          </cell>
          <cell r="J44" t="str">
            <v>D</v>
          </cell>
          <cell r="K44" t="str">
            <v>OK</v>
          </cell>
          <cell r="L44" t="str">
            <v>D</v>
          </cell>
          <cell r="M44" t="str">
            <v>OK</v>
          </cell>
          <cell r="N44" t="str">
            <v>OK</v>
          </cell>
          <cell r="O44" t="str">
            <v>OK</v>
          </cell>
          <cell r="P44" t="str">
            <v>OK</v>
          </cell>
          <cell r="Q44" t="str">
            <v>OK</v>
          </cell>
          <cell r="R44" t="str">
            <v>OK</v>
          </cell>
          <cell r="S44" t="str">
            <v>D</v>
          </cell>
          <cell r="T44" t="str">
            <v>OK</v>
          </cell>
          <cell r="U44" t="str">
            <v>OK</v>
          </cell>
          <cell r="V44" t="str">
            <v>OK</v>
          </cell>
          <cell r="W44" t="str">
            <v>OK</v>
          </cell>
          <cell r="X44" t="str">
            <v>OK</v>
          </cell>
          <cell r="Y44" t="str">
            <v>OK</v>
          </cell>
          <cell r="Z44" t="str">
            <v>D</v>
          </cell>
          <cell r="AA44" t="str">
            <v>OK</v>
          </cell>
          <cell r="AB44" t="str">
            <v>OK</v>
          </cell>
          <cell r="AC44" t="str">
            <v>OK</v>
          </cell>
          <cell r="AD44">
            <v>0</v>
          </cell>
          <cell r="AE44">
            <v>0</v>
          </cell>
          <cell r="AF44">
            <v>0</v>
          </cell>
          <cell r="AG44">
            <v>0</v>
          </cell>
          <cell r="AH44">
            <v>0</v>
          </cell>
          <cell r="AI44">
            <v>0</v>
          </cell>
          <cell r="AJ44">
            <v>0</v>
          </cell>
          <cell r="AK44">
            <v>0</v>
          </cell>
          <cell r="AM44">
            <v>0</v>
          </cell>
          <cell r="AN44">
            <v>0</v>
          </cell>
          <cell r="AO44">
            <v>5</v>
          </cell>
          <cell r="AP44">
            <v>0</v>
          </cell>
          <cell r="AQ44">
            <v>0</v>
          </cell>
          <cell r="AR44">
            <v>0</v>
          </cell>
          <cell r="AS44">
            <v>0</v>
          </cell>
          <cell r="AT44">
            <v>0</v>
          </cell>
          <cell r="AU44">
            <v>0</v>
          </cell>
          <cell r="AV44">
            <v>0</v>
          </cell>
          <cell r="AW44">
            <v>0</v>
          </cell>
          <cell r="AX44">
            <v>17</v>
          </cell>
          <cell r="AY44">
            <v>22</v>
          </cell>
        </row>
        <row r="45">
          <cell r="C45">
            <v>1007186304</v>
          </cell>
          <cell r="D45" t="str">
            <v xml:space="preserve">PLAZAS GARCIA MARIA CRISTINA </v>
          </cell>
          <cell r="E45" t="str">
            <v>EDNA BERNAL</v>
          </cell>
          <cell r="F45" t="str">
            <v>SEDE 1 - MANZANA LIEVANO - ALCALDÍA MAYOR</v>
          </cell>
          <cell r="G45" t="str">
            <v>18/10/2025</v>
          </cell>
          <cell r="H45" t="str">
            <v>OK</v>
          </cell>
          <cell r="I45" t="str">
            <v>D</v>
          </cell>
          <cell r="J45" t="str">
            <v>D</v>
          </cell>
          <cell r="K45" t="str">
            <v>OK</v>
          </cell>
          <cell r="L45" t="str">
            <v>D</v>
          </cell>
          <cell r="M45" t="str">
            <v>OK</v>
          </cell>
          <cell r="N45" t="str">
            <v>OK</v>
          </cell>
          <cell r="O45" t="str">
            <v>OK</v>
          </cell>
          <cell r="P45" t="str">
            <v>OK</v>
          </cell>
          <cell r="Q45" t="str">
            <v>OK</v>
          </cell>
          <cell r="R45" t="str">
            <v>OK</v>
          </cell>
          <cell r="S45" t="str">
            <v>D</v>
          </cell>
          <cell r="T45" t="str">
            <v>OK</v>
          </cell>
          <cell r="U45" t="str">
            <v>OK</v>
          </cell>
          <cell r="V45" t="str">
            <v>OK</v>
          </cell>
          <cell r="W45" t="str">
            <v>INC</v>
          </cell>
          <cell r="X45" t="str">
            <v>INC</v>
          </cell>
          <cell r="Y45" t="str">
            <v>INC</v>
          </cell>
          <cell r="Z45" t="str">
            <v>D</v>
          </cell>
          <cell r="AA45" t="str">
            <v>OK</v>
          </cell>
          <cell r="AB45" t="str">
            <v>OK</v>
          </cell>
          <cell r="AC45" t="str">
            <v>OK</v>
          </cell>
          <cell r="AD45">
            <v>0</v>
          </cell>
          <cell r="AE45">
            <v>0</v>
          </cell>
          <cell r="AF45">
            <v>0</v>
          </cell>
          <cell r="AG45">
            <v>0</v>
          </cell>
          <cell r="AH45">
            <v>0</v>
          </cell>
          <cell r="AI45">
            <v>0</v>
          </cell>
          <cell r="AJ45">
            <v>0</v>
          </cell>
          <cell r="AK45">
            <v>0</v>
          </cell>
          <cell r="AM45">
            <v>0</v>
          </cell>
          <cell r="AN45">
            <v>0</v>
          </cell>
          <cell r="AO45">
            <v>5</v>
          </cell>
          <cell r="AP45">
            <v>3</v>
          </cell>
          <cell r="AQ45">
            <v>0</v>
          </cell>
          <cell r="AR45">
            <v>0</v>
          </cell>
          <cell r="AS45">
            <v>0</v>
          </cell>
          <cell r="AT45">
            <v>0</v>
          </cell>
          <cell r="AU45">
            <v>0</v>
          </cell>
          <cell r="AV45">
            <v>0</v>
          </cell>
          <cell r="AW45">
            <v>0</v>
          </cell>
          <cell r="AX45">
            <v>14</v>
          </cell>
          <cell r="AY45">
            <v>19</v>
          </cell>
        </row>
        <row r="46">
          <cell r="C46">
            <v>1002377643</v>
          </cell>
          <cell r="D46" t="str">
            <v xml:space="preserve">MARTINEZ ORTIZ VERONICA  </v>
          </cell>
          <cell r="E46" t="str">
            <v>EDNA BERNAL</v>
          </cell>
          <cell r="F46" t="str">
            <v>SEDE 1 - MANZANA LIEVANO - ALCALDÍA MAYOR</v>
          </cell>
          <cell r="G46" t="str">
            <v>18/10/2025</v>
          </cell>
          <cell r="H46" t="str">
            <v>OK</v>
          </cell>
          <cell r="I46" t="str">
            <v>D</v>
          </cell>
          <cell r="J46" t="str">
            <v>D</v>
          </cell>
          <cell r="K46" t="str">
            <v>OK</v>
          </cell>
          <cell r="L46" t="str">
            <v>D</v>
          </cell>
          <cell r="M46" t="str">
            <v>OK</v>
          </cell>
          <cell r="N46" t="str">
            <v>OK</v>
          </cell>
          <cell r="O46" t="str">
            <v>OK</v>
          </cell>
          <cell r="P46" t="str">
            <v>OK</v>
          </cell>
          <cell r="Q46" t="str">
            <v>OK</v>
          </cell>
          <cell r="R46" t="str">
            <v>OK</v>
          </cell>
          <cell r="S46" t="str">
            <v>D</v>
          </cell>
          <cell r="T46" t="str">
            <v>OK</v>
          </cell>
          <cell r="U46" t="str">
            <v>OK</v>
          </cell>
          <cell r="V46" t="str">
            <v>OK</v>
          </cell>
          <cell r="W46" t="str">
            <v>OK</v>
          </cell>
          <cell r="X46" t="str">
            <v>OK</v>
          </cell>
          <cell r="Y46" t="str">
            <v>OK</v>
          </cell>
          <cell r="Z46" t="str">
            <v>D</v>
          </cell>
          <cell r="AA46" t="str">
            <v>OK</v>
          </cell>
          <cell r="AB46" t="str">
            <v>OK</v>
          </cell>
          <cell r="AC46" t="str">
            <v>OK</v>
          </cell>
          <cell r="AD46">
            <v>0</v>
          </cell>
          <cell r="AE46">
            <v>0</v>
          </cell>
          <cell r="AF46">
            <v>0</v>
          </cell>
          <cell r="AG46">
            <v>0</v>
          </cell>
          <cell r="AH46">
            <v>0</v>
          </cell>
          <cell r="AI46">
            <v>0</v>
          </cell>
          <cell r="AJ46">
            <v>0</v>
          </cell>
          <cell r="AK46">
            <v>0</v>
          </cell>
          <cell r="AM46">
            <v>0</v>
          </cell>
          <cell r="AN46">
            <v>0</v>
          </cell>
          <cell r="AO46">
            <v>5</v>
          </cell>
          <cell r="AP46">
            <v>0</v>
          </cell>
          <cell r="AQ46">
            <v>0</v>
          </cell>
          <cell r="AR46">
            <v>0</v>
          </cell>
          <cell r="AS46">
            <v>0</v>
          </cell>
          <cell r="AT46">
            <v>0</v>
          </cell>
          <cell r="AU46">
            <v>0</v>
          </cell>
          <cell r="AV46">
            <v>0</v>
          </cell>
          <cell r="AW46">
            <v>0</v>
          </cell>
          <cell r="AX46">
            <v>17</v>
          </cell>
          <cell r="AY46">
            <v>22</v>
          </cell>
        </row>
        <row r="47">
          <cell r="C47">
            <v>1102816103</v>
          </cell>
          <cell r="D47" t="str">
            <v xml:space="preserve">LEDESMA PERALTA YULISA PAOLA </v>
          </cell>
          <cell r="E47" t="str">
            <v>EDNA BERNAL</v>
          </cell>
          <cell r="F47" t="str">
            <v xml:space="preserve">SEDE 4 - SEDE ALTERNA RESTREPO </v>
          </cell>
          <cell r="G47" t="str">
            <v>18/10/2025</v>
          </cell>
          <cell r="H47" t="str">
            <v>OK</v>
          </cell>
          <cell r="I47" t="str">
            <v>D</v>
          </cell>
          <cell r="J47" t="str">
            <v>D</v>
          </cell>
          <cell r="K47" t="str">
            <v>OK</v>
          </cell>
          <cell r="L47" t="str">
            <v>D</v>
          </cell>
          <cell r="M47" t="str">
            <v>OK</v>
          </cell>
          <cell r="N47" t="str">
            <v>OK</v>
          </cell>
          <cell r="O47" t="str">
            <v>OK</v>
          </cell>
          <cell r="P47" t="str">
            <v>OK</v>
          </cell>
          <cell r="Q47" t="str">
            <v>OK</v>
          </cell>
          <cell r="R47" t="str">
            <v>OK</v>
          </cell>
          <cell r="S47" t="str">
            <v>D</v>
          </cell>
          <cell r="T47" t="str">
            <v>OK</v>
          </cell>
          <cell r="U47" t="str">
            <v>OK</v>
          </cell>
          <cell r="V47" t="str">
            <v>OK</v>
          </cell>
          <cell r="W47" t="str">
            <v>OK</v>
          </cell>
          <cell r="X47" t="str">
            <v>OK</v>
          </cell>
          <cell r="Y47" t="str">
            <v>OK</v>
          </cell>
          <cell r="Z47" t="str">
            <v>D</v>
          </cell>
          <cell r="AA47" t="str">
            <v>OK</v>
          </cell>
          <cell r="AB47" t="str">
            <v>OK</v>
          </cell>
          <cell r="AC47" t="str">
            <v>OK</v>
          </cell>
          <cell r="AD47">
            <v>0</v>
          </cell>
          <cell r="AE47">
            <v>0</v>
          </cell>
          <cell r="AF47">
            <v>0</v>
          </cell>
          <cell r="AG47">
            <v>0</v>
          </cell>
          <cell r="AH47">
            <v>0</v>
          </cell>
          <cell r="AI47">
            <v>0</v>
          </cell>
          <cell r="AJ47">
            <v>0</v>
          </cell>
          <cell r="AK47">
            <v>0</v>
          </cell>
          <cell r="AM47">
            <v>0</v>
          </cell>
          <cell r="AN47">
            <v>0</v>
          </cell>
          <cell r="AO47">
            <v>5</v>
          </cell>
          <cell r="AP47">
            <v>0</v>
          </cell>
          <cell r="AQ47">
            <v>0</v>
          </cell>
          <cell r="AR47">
            <v>0</v>
          </cell>
          <cell r="AS47">
            <v>0</v>
          </cell>
          <cell r="AT47">
            <v>0</v>
          </cell>
          <cell r="AU47">
            <v>0</v>
          </cell>
          <cell r="AV47">
            <v>0</v>
          </cell>
          <cell r="AW47">
            <v>0</v>
          </cell>
          <cell r="AX47">
            <v>17</v>
          </cell>
          <cell r="AY47">
            <v>22</v>
          </cell>
        </row>
        <row r="48">
          <cell r="C48">
            <v>52389391</v>
          </cell>
          <cell r="D48" t="str">
            <v xml:space="preserve">JARAMILLO TOBON SIRLEY ADRIANA </v>
          </cell>
          <cell r="E48" t="str">
            <v>EDNA BERNAL</v>
          </cell>
          <cell r="F48" t="str">
            <v>SEDE 1 - MANZANA LIEVANO - ALCALDÍA MAYOR</v>
          </cell>
          <cell r="G48" t="str">
            <v>18/10/2025</v>
          </cell>
          <cell r="H48" t="str">
            <v>OK</v>
          </cell>
          <cell r="I48" t="str">
            <v>D</v>
          </cell>
          <cell r="J48" t="str">
            <v>D</v>
          </cell>
          <cell r="K48" t="str">
            <v>OK</v>
          </cell>
          <cell r="L48" t="str">
            <v>D</v>
          </cell>
          <cell r="M48" t="str">
            <v>OK</v>
          </cell>
          <cell r="N48" t="str">
            <v>OK</v>
          </cell>
          <cell r="O48" t="str">
            <v>OK</v>
          </cell>
          <cell r="P48" t="str">
            <v>OK</v>
          </cell>
          <cell r="Q48" t="str">
            <v>OK</v>
          </cell>
          <cell r="R48" t="str">
            <v>OK</v>
          </cell>
          <cell r="S48" t="str">
            <v>D</v>
          </cell>
          <cell r="T48" t="str">
            <v>OK</v>
          </cell>
          <cell r="U48" t="str">
            <v>OK</v>
          </cell>
          <cell r="V48" t="str">
            <v>OK</v>
          </cell>
          <cell r="W48" t="str">
            <v>OK</v>
          </cell>
          <cell r="X48" t="str">
            <v>OK</v>
          </cell>
          <cell r="Y48" t="str">
            <v>OK</v>
          </cell>
          <cell r="Z48" t="str">
            <v>D</v>
          </cell>
          <cell r="AA48" t="str">
            <v>OK</v>
          </cell>
          <cell r="AB48" t="str">
            <v>OK</v>
          </cell>
          <cell r="AC48" t="str">
            <v>OK</v>
          </cell>
          <cell r="AD48">
            <v>0</v>
          </cell>
          <cell r="AE48">
            <v>0</v>
          </cell>
          <cell r="AF48">
            <v>0</v>
          </cell>
          <cell r="AG48">
            <v>0</v>
          </cell>
          <cell r="AH48">
            <v>0</v>
          </cell>
          <cell r="AI48">
            <v>0</v>
          </cell>
          <cell r="AJ48">
            <v>0</v>
          </cell>
          <cell r="AK48">
            <v>0</v>
          </cell>
          <cell r="AM48">
            <v>0</v>
          </cell>
          <cell r="AN48">
            <v>0</v>
          </cell>
          <cell r="AO48">
            <v>5</v>
          </cell>
          <cell r="AP48">
            <v>0</v>
          </cell>
          <cell r="AQ48">
            <v>0</v>
          </cell>
          <cell r="AR48">
            <v>0</v>
          </cell>
          <cell r="AS48">
            <v>0</v>
          </cell>
          <cell r="AT48">
            <v>0</v>
          </cell>
          <cell r="AU48">
            <v>0</v>
          </cell>
          <cell r="AV48">
            <v>0</v>
          </cell>
          <cell r="AW48">
            <v>0</v>
          </cell>
          <cell r="AX48">
            <v>17</v>
          </cell>
          <cell r="AY48">
            <v>22</v>
          </cell>
        </row>
        <row r="49">
          <cell r="C49">
            <v>52762197</v>
          </cell>
          <cell r="D49" t="str">
            <v xml:space="preserve">ZAMORA ZAMORA JOHANNA  </v>
          </cell>
          <cell r="E49" t="str">
            <v>EDNA BERNAL</v>
          </cell>
          <cell r="F49" t="str">
            <v>SEDE 1 - MANZANA LIEVANO - ALCALDÍA MAYOR</v>
          </cell>
          <cell r="G49" t="str">
            <v>18/10/2025</v>
          </cell>
          <cell r="H49" t="str">
            <v>OK</v>
          </cell>
          <cell r="I49" t="str">
            <v>D</v>
          </cell>
          <cell r="J49" t="str">
            <v>D</v>
          </cell>
          <cell r="K49" t="str">
            <v>OK</v>
          </cell>
          <cell r="L49" t="str">
            <v>D</v>
          </cell>
          <cell r="M49" t="str">
            <v>OK</v>
          </cell>
          <cell r="N49" t="str">
            <v>OK</v>
          </cell>
          <cell r="O49" t="str">
            <v>OK</v>
          </cell>
          <cell r="P49" t="str">
            <v>OK</v>
          </cell>
          <cell r="Q49" t="str">
            <v>OK</v>
          </cell>
          <cell r="R49" t="str">
            <v>OK</v>
          </cell>
          <cell r="S49" t="str">
            <v>D</v>
          </cell>
          <cell r="T49" t="str">
            <v>OK</v>
          </cell>
          <cell r="U49" t="str">
            <v>OK</v>
          </cell>
          <cell r="V49" t="str">
            <v>OK</v>
          </cell>
          <cell r="W49" t="str">
            <v>OK</v>
          </cell>
          <cell r="X49" t="str">
            <v>OK</v>
          </cell>
          <cell r="Y49" t="str">
            <v>OK</v>
          </cell>
          <cell r="Z49" t="str">
            <v>D</v>
          </cell>
          <cell r="AA49" t="str">
            <v>OK</v>
          </cell>
          <cell r="AB49" t="str">
            <v>OK</v>
          </cell>
          <cell r="AC49" t="str">
            <v>OK</v>
          </cell>
          <cell r="AD49">
            <v>0</v>
          </cell>
          <cell r="AE49">
            <v>0</v>
          </cell>
          <cell r="AF49">
            <v>0</v>
          </cell>
          <cell r="AG49">
            <v>0</v>
          </cell>
          <cell r="AH49">
            <v>0</v>
          </cell>
          <cell r="AI49">
            <v>0</v>
          </cell>
          <cell r="AJ49">
            <v>0</v>
          </cell>
          <cell r="AK49">
            <v>0</v>
          </cell>
          <cell r="AM49">
            <v>0</v>
          </cell>
          <cell r="AN49">
            <v>0</v>
          </cell>
          <cell r="AO49">
            <v>5</v>
          </cell>
          <cell r="AP49">
            <v>0</v>
          </cell>
          <cell r="AQ49">
            <v>0</v>
          </cell>
          <cell r="AR49">
            <v>0</v>
          </cell>
          <cell r="AS49">
            <v>0</v>
          </cell>
          <cell r="AT49">
            <v>0</v>
          </cell>
          <cell r="AU49">
            <v>0</v>
          </cell>
          <cell r="AV49">
            <v>0</v>
          </cell>
          <cell r="AW49">
            <v>0</v>
          </cell>
          <cell r="AX49">
            <v>17</v>
          </cell>
          <cell r="AY49">
            <v>22</v>
          </cell>
        </row>
        <row r="50">
          <cell r="C50">
            <v>1104224004</v>
          </cell>
          <cell r="D50" t="str">
            <v xml:space="preserve">SUAREZ GARCIA JUAN PABLO </v>
          </cell>
          <cell r="E50" t="str">
            <v>EDNA BERNAL</v>
          </cell>
          <cell r="F50" t="str">
            <v>SEDE 1 - MANZANA LIEVANO - ALCALDÍA MAYOR</v>
          </cell>
          <cell r="G50" t="str">
            <v>18/10/2025</v>
          </cell>
          <cell r="H50" t="str">
            <v>OK</v>
          </cell>
          <cell r="I50" t="str">
            <v>D</v>
          </cell>
          <cell r="J50" t="str">
            <v>D</v>
          </cell>
          <cell r="K50" t="str">
            <v>OK</v>
          </cell>
          <cell r="L50" t="str">
            <v>D</v>
          </cell>
          <cell r="M50" t="str">
            <v>OK</v>
          </cell>
          <cell r="N50" t="str">
            <v>OK</v>
          </cell>
          <cell r="O50" t="str">
            <v>OK</v>
          </cell>
          <cell r="P50" t="str">
            <v>OK</v>
          </cell>
          <cell r="Q50" t="str">
            <v>OK</v>
          </cell>
          <cell r="R50" t="str">
            <v>OK</v>
          </cell>
          <cell r="S50" t="str">
            <v>D</v>
          </cell>
          <cell r="T50" t="str">
            <v>OK</v>
          </cell>
          <cell r="U50" t="str">
            <v>OK</v>
          </cell>
          <cell r="V50" t="str">
            <v>OK</v>
          </cell>
          <cell r="W50" t="str">
            <v>OK</v>
          </cell>
          <cell r="X50" t="str">
            <v>OK</v>
          </cell>
          <cell r="Y50" t="str">
            <v>OK</v>
          </cell>
          <cell r="Z50" t="str">
            <v>D</v>
          </cell>
          <cell r="AA50" t="str">
            <v>OK</v>
          </cell>
          <cell r="AB50" t="str">
            <v>OK</v>
          </cell>
          <cell r="AC50" t="str">
            <v>OK</v>
          </cell>
          <cell r="AD50">
            <v>0</v>
          </cell>
          <cell r="AE50">
            <v>0</v>
          </cell>
          <cell r="AF50">
            <v>0</v>
          </cell>
          <cell r="AG50">
            <v>0</v>
          </cell>
          <cell r="AH50">
            <v>0</v>
          </cell>
          <cell r="AI50">
            <v>0</v>
          </cell>
          <cell r="AJ50">
            <v>0</v>
          </cell>
          <cell r="AK50">
            <v>0</v>
          </cell>
          <cell r="AM50">
            <v>0</v>
          </cell>
          <cell r="AN50">
            <v>0</v>
          </cell>
          <cell r="AO50">
            <v>5</v>
          </cell>
          <cell r="AP50">
            <v>0</v>
          </cell>
          <cell r="AQ50">
            <v>0</v>
          </cell>
          <cell r="AR50">
            <v>0</v>
          </cell>
          <cell r="AS50">
            <v>0</v>
          </cell>
          <cell r="AT50">
            <v>0</v>
          </cell>
          <cell r="AU50">
            <v>0</v>
          </cell>
          <cell r="AV50">
            <v>0</v>
          </cell>
          <cell r="AW50">
            <v>0</v>
          </cell>
          <cell r="AX50">
            <v>17</v>
          </cell>
          <cell r="AY50">
            <v>22</v>
          </cell>
        </row>
        <row r="51">
          <cell r="C51">
            <v>52292687</v>
          </cell>
          <cell r="D51" t="str">
            <v xml:space="preserve">TIBAQUIRA MARIA ISABEL  </v>
          </cell>
          <cell r="E51" t="str">
            <v>EDNA BERNAL</v>
          </cell>
          <cell r="F51" t="str">
            <v>SEDE 1 - MANZANA LIEVANO - ALCALDÍA MAYOR</v>
          </cell>
          <cell r="G51" t="str">
            <v>18/10/2025</v>
          </cell>
          <cell r="H51" t="str">
            <v>OK</v>
          </cell>
          <cell r="I51" t="str">
            <v>D</v>
          </cell>
          <cell r="J51" t="str">
            <v>D</v>
          </cell>
          <cell r="K51" t="str">
            <v>OK</v>
          </cell>
          <cell r="L51" t="str">
            <v>D</v>
          </cell>
          <cell r="M51" t="str">
            <v>OK</v>
          </cell>
          <cell r="N51" t="str">
            <v>OK</v>
          </cell>
          <cell r="O51" t="str">
            <v>OK</v>
          </cell>
          <cell r="P51" t="str">
            <v>OK</v>
          </cell>
          <cell r="Q51" t="str">
            <v>OK</v>
          </cell>
          <cell r="R51" t="str">
            <v>OK</v>
          </cell>
          <cell r="S51" t="str">
            <v>D</v>
          </cell>
          <cell r="T51" t="str">
            <v>OK</v>
          </cell>
          <cell r="U51" t="str">
            <v>OK</v>
          </cell>
          <cell r="V51" t="str">
            <v>OK</v>
          </cell>
          <cell r="W51" t="str">
            <v>OK</v>
          </cell>
          <cell r="X51" t="str">
            <v>OK</v>
          </cell>
          <cell r="Y51" t="str">
            <v>OK</v>
          </cell>
          <cell r="Z51" t="str">
            <v>D</v>
          </cell>
          <cell r="AA51" t="str">
            <v>OK</v>
          </cell>
          <cell r="AB51" t="str">
            <v>OK</v>
          </cell>
          <cell r="AC51" t="str">
            <v>OK</v>
          </cell>
          <cell r="AD51">
            <v>0</v>
          </cell>
          <cell r="AE51">
            <v>0</v>
          </cell>
          <cell r="AF51">
            <v>0</v>
          </cell>
          <cell r="AG51">
            <v>0</v>
          </cell>
          <cell r="AH51">
            <v>0</v>
          </cell>
          <cell r="AI51">
            <v>0</v>
          </cell>
          <cell r="AJ51">
            <v>0</v>
          </cell>
          <cell r="AK51">
            <v>0</v>
          </cell>
          <cell r="AM51">
            <v>0</v>
          </cell>
          <cell r="AN51">
            <v>0</v>
          </cell>
          <cell r="AO51">
            <v>5</v>
          </cell>
          <cell r="AP51">
            <v>0</v>
          </cell>
          <cell r="AQ51">
            <v>0</v>
          </cell>
          <cell r="AR51">
            <v>0</v>
          </cell>
          <cell r="AS51">
            <v>0</v>
          </cell>
          <cell r="AT51">
            <v>0</v>
          </cell>
          <cell r="AU51">
            <v>0</v>
          </cell>
          <cell r="AV51">
            <v>0</v>
          </cell>
          <cell r="AW51">
            <v>0</v>
          </cell>
          <cell r="AX51">
            <v>17</v>
          </cell>
          <cell r="AY51">
            <v>22</v>
          </cell>
        </row>
        <row r="52">
          <cell r="C52">
            <v>37650172</v>
          </cell>
          <cell r="D52" t="str">
            <v xml:space="preserve">CABANZO LUQUE NELLY  </v>
          </cell>
          <cell r="E52" t="str">
            <v>EDNA BERNAL</v>
          </cell>
          <cell r="F52" t="str">
            <v xml:space="preserve">SEDE 2- DIRECCIÓN DISTRITAL DE ARCHIVO DE  BOGOTA </v>
          </cell>
          <cell r="G52" t="str">
            <v>18/10/2025</v>
          </cell>
          <cell r="H52" t="str">
            <v>OK</v>
          </cell>
          <cell r="I52" t="str">
            <v>D</v>
          </cell>
          <cell r="J52" t="str">
            <v>D</v>
          </cell>
          <cell r="K52" t="str">
            <v>OK</v>
          </cell>
          <cell r="L52" t="str">
            <v>D</v>
          </cell>
          <cell r="M52" t="str">
            <v>OK</v>
          </cell>
          <cell r="N52" t="str">
            <v>OK</v>
          </cell>
          <cell r="O52" t="str">
            <v>OK</v>
          </cell>
          <cell r="P52" t="str">
            <v>OK</v>
          </cell>
          <cell r="Q52" t="str">
            <v>OK</v>
          </cell>
          <cell r="R52" t="str">
            <v>OK</v>
          </cell>
          <cell r="S52" t="str">
            <v>D</v>
          </cell>
          <cell r="T52" t="str">
            <v>OK</v>
          </cell>
          <cell r="U52" t="str">
            <v>OK</v>
          </cell>
          <cell r="V52" t="str">
            <v>OK</v>
          </cell>
          <cell r="W52" t="str">
            <v>OK</v>
          </cell>
          <cell r="X52" t="str">
            <v>OK</v>
          </cell>
          <cell r="Y52" t="str">
            <v>OK</v>
          </cell>
          <cell r="Z52" t="str">
            <v>D</v>
          </cell>
          <cell r="AA52" t="str">
            <v>OK</v>
          </cell>
          <cell r="AB52" t="str">
            <v>OK</v>
          </cell>
          <cell r="AC52" t="str">
            <v>OK</v>
          </cell>
          <cell r="AD52">
            <v>0</v>
          </cell>
          <cell r="AE52">
            <v>0</v>
          </cell>
          <cell r="AF52">
            <v>0</v>
          </cell>
          <cell r="AG52">
            <v>0</v>
          </cell>
          <cell r="AH52">
            <v>0</v>
          </cell>
          <cell r="AI52">
            <v>0</v>
          </cell>
          <cell r="AJ52">
            <v>0</v>
          </cell>
          <cell r="AK52">
            <v>0</v>
          </cell>
          <cell r="AM52">
            <v>0</v>
          </cell>
          <cell r="AN52">
            <v>0</v>
          </cell>
          <cell r="AO52">
            <v>5</v>
          </cell>
          <cell r="AP52">
            <v>0</v>
          </cell>
          <cell r="AQ52">
            <v>0</v>
          </cell>
          <cell r="AR52">
            <v>0</v>
          </cell>
          <cell r="AS52">
            <v>0</v>
          </cell>
          <cell r="AT52">
            <v>0</v>
          </cell>
          <cell r="AU52">
            <v>0</v>
          </cell>
          <cell r="AV52">
            <v>0</v>
          </cell>
          <cell r="AW52">
            <v>0</v>
          </cell>
          <cell r="AX52">
            <v>17</v>
          </cell>
          <cell r="AY52">
            <v>22</v>
          </cell>
        </row>
        <row r="53">
          <cell r="C53">
            <v>1031167749</v>
          </cell>
          <cell r="D53" t="str">
            <v xml:space="preserve">DIAZ HERNANDEZ ANGIE PAOLA </v>
          </cell>
          <cell r="E53" t="str">
            <v>EDNA BERNAL</v>
          </cell>
          <cell r="F53" t="str">
            <v>SEDE 1 - MANZANA LIEVANO - ALCALDÍA MAYOR</v>
          </cell>
          <cell r="G53" t="str">
            <v>18/10/2025</v>
          </cell>
          <cell r="H53" t="str">
            <v>OK</v>
          </cell>
          <cell r="I53" t="str">
            <v>D</v>
          </cell>
          <cell r="J53" t="str">
            <v>D</v>
          </cell>
          <cell r="K53" t="str">
            <v>OK</v>
          </cell>
          <cell r="L53" t="str">
            <v>D</v>
          </cell>
          <cell r="M53" t="str">
            <v>OK</v>
          </cell>
          <cell r="N53" t="str">
            <v>OK</v>
          </cell>
          <cell r="O53" t="str">
            <v>OK</v>
          </cell>
          <cell r="P53" t="str">
            <v>OK</v>
          </cell>
          <cell r="Q53" t="str">
            <v>OK</v>
          </cell>
          <cell r="R53" t="str">
            <v>OK</v>
          </cell>
          <cell r="S53" t="str">
            <v>D</v>
          </cell>
          <cell r="T53" t="str">
            <v>OK</v>
          </cell>
          <cell r="U53" t="str">
            <v>OK</v>
          </cell>
          <cell r="V53" t="str">
            <v>OK</v>
          </cell>
          <cell r="W53" t="str">
            <v>OK</v>
          </cell>
          <cell r="X53" t="str">
            <v>OK</v>
          </cell>
          <cell r="Y53" t="str">
            <v>OK</v>
          </cell>
          <cell r="Z53" t="str">
            <v>D</v>
          </cell>
          <cell r="AA53" t="str">
            <v>OK</v>
          </cell>
          <cell r="AB53" t="str">
            <v>OK</v>
          </cell>
          <cell r="AC53" t="str">
            <v>OK</v>
          </cell>
          <cell r="AD53">
            <v>0</v>
          </cell>
          <cell r="AE53">
            <v>0</v>
          </cell>
          <cell r="AF53">
            <v>0</v>
          </cell>
          <cell r="AG53">
            <v>0</v>
          </cell>
          <cell r="AH53">
            <v>0</v>
          </cell>
          <cell r="AI53">
            <v>0</v>
          </cell>
          <cell r="AJ53">
            <v>0</v>
          </cell>
          <cell r="AK53">
            <v>0</v>
          </cell>
          <cell r="AM53">
            <v>0</v>
          </cell>
          <cell r="AN53">
            <v>0</v>
          </cell>
          <cell r="AO53">
            <v>5</v>
          </cell>
          <cell r="AP53">
            <v>0</v>
          </cell>
          <cell r="AQ53">
            <v>0</v>
          </cell>
          <cell r="AR53">
            <v>0</v>
          </cell>
          <cell r="AS53">
            <v>0</v>
          </cell>
          <cell r="AT53">
            <v>0</v>
          </cell>
          <cell r="AU53">
            <v>0</v>
          </cell>
          <cell r="AV53">
            <v>0</v>
          </cell>
          <cell r="AW53">
            <v>0</v>
          </cell>
          <cell r="AX53">
            <v>17</v>
          </cell>
          <cell r="AY53">
            <v>22</v>
          </cell>
        </row>
        <row r="54">
          <cell r="C54">
            <v>1012441690</v>
          </cell>
          <cell r="D54" t="str">
            <v xml:space="preserve">RUIZ TRIVINO CAMILO ANDRES </v>
          </cell>
          <cell r="E54" t="str">
            <v>EDNA BERNAL</v>
          </cell>
          <cell r="F54" t="str">
            <v>SEDE 1 - MANZANA LIEVANO - ALCALDÍA MAYOR</v>
          </cell>
          <cell r="G54" t="str">
            <v>18/10/2025</v>
          </cell>
          <cell r="H54" t="str">
            <v>OK</v>
          </cell>
          <cell r="I54" t="str">
            <v>D</v>
          </cell>
          <cell r="J54" t="str">
            <v>D</v>
          </cell>
          <cell r="K54" t="str">
            <v>OK</v>
          </cell>
          <cell r="L54" t="str">
            <v>D</v>
          </cell>
          <cell r="M54" t="str">
            <v>OK</v>
          </cell>
          <cell r="N54" t="str">
            <v>OK</v>
          </cell>
          <cell r="O54" t="str">
            <v>OK</v>
          </cell>
          <cell r="P54" t="str">
            <v>OK</v>
          </cell>
          <cell r="Q54" t="str">
            <v>OK</v>
          </cell>
          <cell r="R54" t="str">
            <v>OK</v>
          </cell>
          <cell r="S54" t="str">
            <v>D</v>
          </cell>
          <cell r="T54" t="str">
            <v>OK</v>
          </cell>
          <cell r="U54" t="str">
            <v>OK</v>
          </cell>
          <cell r="V54" t="str">
            <v>OK</v>
          </cell>
          <cell r="W54" t="str">
            <v>INC</v>
          </cell>
          <cell r="X54" t="str">
            <v>INC</v>
          </cell>
          <cell r="Y54" t="str">
            <v>INC</v>
          </cell>
          <cell r="Z54" t="str">
            <v>D</v>
          </cell>
          <cell r="AA54" t="str">
            <v>INC</v>
          </cell>
          <cell r="AB54" t="str">
            <v>INC</v>
          </cell>
          <cell r="AC54" t="str">
            <v>INC</v>
          </cell>
          <cell r="AD54" t="str">
            <v>INC</v>
          </cell>
          <cell r="AE54">
            <v>0</v>
          </cell>
          <cell r="AF54">
            <v>0</v>
          </cell>
          <cell r="AG54">
            <v>0</v>
          </cell>
          <cell r="AH54">
            <v>0</v>
          </cell>
          <cell r="AI54">
            <v>0</v>
          </cell>
          <cell r="AJ54">
            <v>0</v>
          </cell>
          <cell r="AK54">
            <v>0</v>
          </cell>
          <cell r="AM54">
            <v>0</v>
          </cell>
          <cell r="AN54">
            <v>0</v>
          </cell>
          <cell r="AO54">
            <v>5</v>
          </cell>
          <cell r="AP54">
            <v>7</v>
          </cell>
          <cell r="AQ54">
            <v>0</v>
          </cell>
          <cell r="AR54">
            <v>0</v>
          </cell>
          <cell r="AS54">
            <v>0</v>
          </cell>
          <cell r="AT54">
            <v>0</v>
          </cell>
          <cell r="AU54">
            <v>0</v>
          </cell>
          <cell r="AV54">
            <v>0</v>
          </cell>
          <cell r="AW54">
            <v>0</v>
          </cell>
          <cell r="AX54">
            <v>11</v>
          </cell>
          <cell r="AY54">
            <v>16</v>
          </cell>
        </row>
        <row r="55">
          <cell r="C55">
            <v>52951248</v>
          </cell>
          <cell r="D55" t="str">
            <v xml:space="preserve">MELO PARRA EDITH JOHANNA </v>
          </cell>
          <cell r="E55" t="str">
            <v>EDNA BERNAL</v>
          </cell>
          <cell r="F55" t="str">
            <v>SEDE 1 - MANZANA LIEVANO - ALCALDÍA MAYOR</v>
          </cell>
          <cell r="G55" t="str">
            <v>18/10/2025</v>
          </cell>
          <cell r="H55" t="str">
            <v>OK</v>
          </cell>
          <cell r="I55" t="str">
            <v>D</v>
          </cell>
          <cell r="J55" t="str">
            <v>D</v>
          </cell>
          <cell r="K55" t="str">
            <v>OK</v>
          </cell>
          <cell r="L55" t="str">
            <v>D</v>
          </cell>
          <cell r="M55" t="str">
            <v>OK</v>
          </cell>
          <cell r="N55" t="str">
            <v>OK</v>
          </cell>
          <cell r="O55" t="str">
            <v>OK</v>
          </cell>
          <cell r="P55" t="str">
            <v>OK</v>
          </cell>
          <cell r="Q55" t="str">
            <v>OK</v>
          </cell>
          <cell r="R55" t="str">
            <v>OK</v>
          </cell>
          <cell r="S55" t="str">
            <v>D</v>
          </cell>
          <cell r="T55" t="str">
            <v>OK</v>
          </cell>
          <cell r="U55" t="str">
            <v>OK</v>
          </cell>
          <cell r="V55" t="str">
            <v>OK</v>
          </cell>
          <cell r="W55" t="str">
            <v>OK</v>
          </cell>
          <cell r="X55" t="str">
            <v>OK</v>
          </cell>
          <cell r="Y55" t="str">
            <v>OK</v>
          </cell>
          <cell r="Z55" t="str">
            <v>D</v>
          </cell>
          <cell r="AA55" t="str">
            <v>OK</v>
          </cell>
          <cell r="AB55" t="str">
            <v>OK</v>
          </cell>
          <cell r="AC55" t="str">
            <v>OK</v>
          </cell>
          <cell r="AD55">
            <v>0</v>
          </cell>
          <cell r="AE55">
            <v>0</v>
          </cell>
          <cell r="AF55">
            <v>0</v>
          </cell>
          <cell r="AG55">
            <v>0</v>
          </cell>
          <cell r="AH55">
            <v>0</v>
          </cell>
          <cell r="AI55">
            <v>0</v>
          </cell>
          <cell r="AJ55">
            <v>0</v>
          </cell>
          <cell r="AK55">
            <v>0</v>
          </cell>
          <cell r="AM55">
            <v>0</v>
          </cell>
          <cell r="AN55">
            <v>0</v>
          </cell>
          <cell r="AO55">
            <v>5</v>
          </cell>
          <cell r="AP55">
            <v>0</v>
          </cell>
          <cell r="AQ55">
            <v>0</v>
          </cell>
          <cell r="AR55">
            <v>0</v>
          </cell>
          <cell r="AS55">
            <v>0</v>
          </cell>
          <cell r="AT55">
            <v>0</v>
          </cell>
          <cell r="AU55">
            <v>0</v>
          </cell>
          <cell r="AV55">
            <v>0</v>
          </cell>
          <cell r="AW55">
            <v>0</v>
          </cell>
          <cell r="AX55">
            <v>17</v>
          </cell>
          <cell r="AY55">
            <v>22</v>
          </cell>
        </row>
        <row r="56">
          <cell r="C56">
            <v>52746420</v>
          </cell>
          <cell r="D56" t="str">
            <v xml:space="preserve">REY PARDO YUDI JASBLEIDI </v>
          </cell>
          <cell r="E56" t="str">
            <v>EDNA BERNAL</v>
          </cell>
          <cell r="F56" t="str">
            <v xml:space="preserve">SEDE 2- DIRECCIÓN DISTRITAL DE ARCHIVO DE  BOGOTA </v>
          </cell>
          <cell r="G56" t="str">
            <v>18/10/2025</v>
          </cell>
          <cell r="H56" t="str">
            <v>OK</v>
          </cell>
          <cell r="I56" t="str">
            <v>D</v>
          </cell>
          <cell r="J56" t="str">
            <v>D</v>
          </cell>
          <cell r="K56" t="str">
            <v>OK</v>
          </cell>
          <cell r="L56" t="str">
            <v>D</v>
          </cell>
          <cell r="M56" t="str">
            <v>OK</v>
          </cell>
          <cell r="N56" t="str">
            <v>OK</v>
          </cell>
          <cell r="O56" t="str">
            <v>OK</v>
          </cell>
          <cell r="P56" t="str">
            <v>OK</v>
          </cell>
          <cell r="Q56" t="str">
            <v>OK</v>
          </cell>
          <cell r="R56" t="str">
            <v>OK</v>
          </cell>
          <cell r="S56" t="str">
            <v>D</v>
          </cell>
          <cell r="T56" t="str">
            <v>OK</v>
          </cell>
          <cell r="U56" t="str">
            <v>OK</v>
          </cell>
          <cell r="V56" t="str">
            <v>OK</v>
          </cell>
          <cell r="W56" t="str">
            <v>OK</v>
          </cell>
          <cell r="X56" t="str">
            <v>OK</v>
          </cell>
          <cell r="Y56" t="str">
            <v>OK</v>
          </cell>
          <cell r="Z56" t="str">
            <v>D</v>
          </cell>
          <cell r="AA56" t="str">
            <v>OK</v>
          </cell>
          <cell r="AB56" t="str">
            <v>OK</v>
          </cell>
          <cell r="AC56" t="str">
            <v>OK</v>
          </cell>
          <cell r="AD56">
            <v>0</v>
          </cell>
          <cell r="AE56">
            <v>0</v>
          </cell>
          <cell r="AF56">
            <v>0</v>
          </cell>
          <cell r="AG56">
            <v>0</v>
          </cell>
          <cell r="AH56">
            <v>0</v>
          </cell>
          <cell r="AI56">
            <v>0</v>
          </cell>
          <cell r="AJ56">
            <v>0</v>
          </cell>
          <cell r="AK56">
            <v>0</v>
          </cell>
          <cell r="AM56">
            <v>0</v>
          </cell>
          <cell r="AN56">
            <v>0</v>
          </cell>
          <cell r="AO56">
            <v>5</v>
          </cell>
          <cell r="AP56">
            <v>0</v>
          </cell>
          <cell r="AQ56">
            <v>0</v>
          </cell>
          <cell r="AR56">
            <v>0</v>
          </cell>
          <cell r="AS56">
            <v>0</v>
          </cell>
          <cell r="AT56">
            <v>0</v>
          </cell>
          <cell r="AU56">
            <v>0</v>
          </cell>
          <cell r="AV56">
            <v>0</v>
          </cell>
          <cell r="AW56">
            <v>0</v>
          </cell>
          <cell r="AX56">
            <v>17</v>
          </cell>
          <cell r="AY56">
            <v>22</v>
          </cell>
        </row>
        <row r="57">
          <cell r="C57">
            <v>1073668951</v>
          </cell>
          <cell r="D57" t="str">
            <v xml:space="preserve">RIVAS SOTO BRIGTIH VICTORIA </v>
          </cell>
          <cell r="E57" t="str">
            <v>EDNA BERNAL</v>
          </cell>
          <cell r="F57" t="str">
            <v>SEDE 1 - MANZANA LIEVANO - ALCALDÍA MAYOR</v>
          </cell>
          <cell r="G57" t="str">
            <v>18/10/2025</v>
          </cell>
          <cell r="H57" t="str">
            <v>OK</v>
          </cell>
          <cell r="I57" t="str">
            <v>D</v>
          </cell>
          <cell r="J57" t="str">
            <v>D</v>
          </cell>
          <cell r="K57" t="str">
            <v>OK</v>
          </cell>
          <cell r="L57" t="str">
            <v>D</v>
          </cell>
          <cell r="M57" t="str">
            <v>OK</v>
          </cell>
          <cell r="N57" t="str">
            <v>INC</v>
          </cell>
          <cell r="O57" t="str">
            <v>INC</v>
          </cell>
          <cell r="P57" t="str">
            <v>OK</v>
          </cell>
          <cell r="Q57" t="str">
            <v>OK</v>
          </cell>
          <cell r="R57" t="str">
            <v>OK</v>
          </cell>
          <cell r="S57" t="str">
            <v>D</v>
          </cell>
          <cell r="T57" t="str">
            <v>OK</v>
          </cell>
          <cell r="U57" t="str">
            <v>OK</v>
          </cell>
          <cell r="V57" t="str">
            <v>OK</v>
          </cell>
          <cell r="W57" t="str">
            <v>OK</v>
          </cell>
          <cell r="X57" t="str">
            <v>OK</v>
          </cell>
          <cell r="Y57" t="str">
            <v>OK</v>
          </cell>
          <cell r="Z57" t="str">
            <v>D</v>
          </cell>
          <cell r="AA57" t="str">
            <v>OK</v>
          </cell>
          <cell r="AB57" t="str">
            <v>OK</v>
          </cell>
          <cell r="AC57" t="str">
            <v>OK</v>
          </cell>
          <cell r="AD57">
            <v>0</v>
          </cell>
          <cell r="AE57">
            <v>0</v>
          </cell>
          <cell r="AF57">
            <v>0</v>
          </cell>
          <cell r="AG57">
            <v>0</v>
          </cell>
          <cell r="AH57">
            <v>0</v>
          </cell>
          <cell r="AI57">
            <v>0</v>
          </cell>
          <cell r="AJ57">
            <v>0</v>
          </cell>
          <cell r="AK57">
            <v>0</v>
          </cell>
          <cell r="AM57">
            <v>0</v>
          </cell>
          <cell r="AN57">
            <v>0</v>
          </cell>
          <cell r="AO57">
            <v>5</v>
          </cell>
          <cell r="AP57">
            <v>2</v>
          </cell>
          <cell r="AQ57">
            <v>0</v>
          </cell>
          <cell r="AR57">
            <v>0</v>
          </cell>
          <cell r="AS57">
            <v>0</v>
          </cell>
          <cell r="AT57">
            <v>0</v>
          </cell>
          <cell r="AU57">
            <v>0</v>
          </cell>
          <cell r="AV57">
            <v>0</v>
          </cell>
          <cell r="AW57">
            <v>0</v>
          </cell>
          <cell r="AX57">
            <v>15</v>
          </cell>
          <cell r="AY57">
            <v>20</v>
          </cell>
        </row>
        <row r="58">
          <cell r="C58">
            <v>35602050</v>
          </cell>
          <cell r="D58" t="str">
            <v xml:space="preserve">ASPRILLA LONDONO ROSAURA  </v>
          </cell>
          <cell r="E58" t="str">
            <v>EDNA BERNAL</v>
          </cell>
          <cell r="F58" t="str">
            <v>SEDE 1 - MANZANA LIEVANO - ALCALDÍA MAYOR</v>
          </cell>
          <cell r="G58" t="str">
            <v>21/10/2025</v>
          </cell>
          <cell r="H58" t="str">
            <v>OK</v>
          </cell>
          <cell r="I58" t="str">
            <v>D</v>
          </cell>
          <cell r="J58" t="str">
            <v>D</v>
          </cell>
          <cell r="K58" t="str">
            <v>OK</v>
          </cell>
          <cell r="L58" t="str">
            <v>D</v>
          </cell>
          <cell r="M58" t="str">
            <v>OK</v>
          </cell>
          <cell r="N58" t="str">
            <v>OK</v>
          </cell>
          <cell r="O58" t="str">
            <v>INC</v>
          </cell>
          <cell r="P58" t="str">
            <v>INC</v>
          </cell>
          <cell r="Q58" t="str">
            <v>INC</v>
          </cell>
          <cell r="R58" t="str">
            <v>OK</v>
          </cell>
          <cell r="S58" t="str">
            <v>D</v>
          </cell>
          <cell r="T58" t="str">
            <v>OK</v>
          </cell>
          <cell r="U58" t="str">
            <v>OK</v>
          </cell>
          <cell r="V58" t="str">
            <v>OK</v>
          </cell>
          <cell r="W58" t="str">
            <v>OK</v>
          </cell>
          <cell r="X58" t="str">
            <v>OK</v>
          </cell>
          <cell r="Y58" t="str">
            <v>OK</v>
          </cell>
          <cell r="Z58" t="str">
            <v>D</v>
          </cell>
          <cell r="AA58" t="str">
            <v>OK</v>
          </cell>
          <cell r="AB58" t="str">
            <v>OK</v>
          </cell>
          <cell r="AC58" t="str">
            <v>OK</v>
          </cell>
          <cell r="AD58">
            <v>0</v>
          </cell>
          <cell r="AE58">
            <v>0</v>
          </cell>
          <cell r="AF58">
            <v>0</v>
          </cell>
          <cell r="AG58">
            <v>0</v>
          </cell>
          <cell r="AH58">
            <v>0</v>
          </cell>
          <cell r="AI58">
            <v>0</v>
          </cell>
          <cell r="AJ58">
            <v>0</v>
          </cell>
          <cell r="AK58">
            <v>0</v>
          </cell>
          <cell r="AM58">
            <v>0</v>
          </cell>
          <cell r="AN58">
            <v>0</v>
          </cell>
          <cell r="AO58">
            <v>5</v>
          </cell>
          <cell r="AP58">
            <v>3</v>
          </cell>
          <cell r="AQ58">
            <v>0</v>
          </cell>
          <cell r="AR58">
            <v>0</v>
          </cell>
          <cell r="AS58">
            <v>0</v>
          </cell>
          <cell r="AT58">
            <v>0</v>
          </cell>
          <cell r="AU58">
            <v>0</v>
          </cell>
          <cell r="AV58">
            <v>0</v>
          </cell>
          <cell r="AW58">
            <v>0</v>
          </cell>
          <cell r="AX58">
            <v>14</v>
          </cell>
          <cell r="AY58">
            <v>19</v>
          </cell>
        </row>
        <row r="59">
          <cell r="C59">
            <v>1127668946</v>
          </cell>
          <cell r="D59" t="str">
            <v xml:space="preserve">HERNANDEZ VERGARA MARILIN DEL VALLE </v>
          </cell>
          <cell r="E59" t="str">
            <v>EDNA BERNAL</v>
          </cell>
          <cell r="F59" t="str">
            <v>SEDE 1 - MANZANA LIEVANO - ALCALDÍA MAYOR</v>
          </cell>
          <cell r="G59" t="str">
            <v>21/10/2025</v>
          </cell>
          <cell r="H59" t="str">
            <v>INC</v>
          </cell>
          <cell r="I59" t="str">
            <v>D</v>
          </cell>
          <cell r="J59" t="str">
            <v>D</v>
          </cell>
          <cell r="K59" t="str">
            <v>OK</v>
          </cell>
          <cell r="L59" t="str">
            <v>D</v>
          </cell>
          <cell r="M59" t="str">
            <v>OK</v>
          </cell>
          <cell r="N59" t="str">
            <v>OK</v>
          </cell>
          <cell r="O59" t="str">
            <v>OK</v>
          </cell>
          <cell r="P59" t="str">
            <v>OK</v>
          </cell>
          <cell r="Q59" t="str">
            <v>OK</v>
          </cell>
          <cell r="R59" t="str">
            <v>OK</v>
          </cell>
          <cell r="S59" t="str">
            <v>D</v>
          </cell>
          <cell r="T59" t="str">
            <v>OK</v>
          </cell>
          <cell r="U59" t="str">
            <v>OK</v>
          </cell>
          <cell r="V59" t="str">
            <v>OK</v>
          </cell>
          <cell r="W59" t="str">
            <v>OK</v>
          </cell>
          <cell r="X59" t="str">
            <v>OK</v>
          </cell>
          <cell r="Y59" t="str">
            <v>OK</v>
          </cell>
          <cell r="Z59" t="str">
            <v>D</v>
          </cell>
          <cell r="AA59" t="str">
            <v>OK</v>
          </cell>
          <cell r="AB59" t="str">
            <v>OK</v>
          </cell>
          <cell r="AC59" t="str">
            <v>OK</v>
          </cell>
          <cell r="AD59">
            <v>0</v>
          </cell>
          <cell r="AE59">
            <v>0</v>
          </cell>
          <cell r="AF59">
            <v>0</v>
          </cell>
          <cell r="AG59">
            <v>0</v>
          </cell>
          <cell r="AH59">
            <v>0</v>
          </cell>
          <cell r="AI59">
            <v>0</v>
          </cell>
          <cell r="AJ59">
            <v>0</v>
          </cell>
          <cell r="AK59">
            <v>0</v>
          </cell>
          <cell r="AM59">
            <v>0</v>
          </cell>
          <cell r="AN59">
            <v>0</v>
          </cell>
          <cell r="AO59">
            <v>5</v>
          </cell>
          <cell r="AP59">
            <v>1</v>
          </cell>
          <cell r="AQ59">
            <v>0</v>
          </cell>
          <cell r="AR59">
            <v>0</v>
          </cell>
          <cell r="AS59">
            <v>0</v>
          </cell>
          <cell r="AT59">
            <v>0</v>
          </cell>
          <cell r="AU59">
            <v>0</v>
          </cell>
          <cell r="AV59">
            <v>0</v>
          </cell>
          <cell r="AW59">
            <v>0</v>
          </cell>
          <cell r="AX59">
            <v>16</v>
          </cell>
          <cell r="AY59">
            <v>21</v>
          </cell>
        </row>
        <row r="60">
          <cell r="C60">
            <v>52990959</v>
          </cell>
          <cell r="D60" t="str">
            <v xml:space="preserve">PRIETO BELTRAN MARIA EDIMELSA </v>
          </cell>
          <cell r="E60" t="str">
            <v>EDNA BERNAL</v>
          </cell>
          <cell r="F60" t="str">
            <v>SEDE 1 - MANZANA LIEVANO - ALCALDÍA MAYOR</v>
          </cell>
          <cell r="G60" t="str">
            <v>21/10/2025</v>
          </cell>
          <cell r="H60" t="str">
            <v>OK</v>
          </cell>
          <cell r="I60" t="str">
            <v>D</v>
          </cell>
          <cell r="J60" t="str">
            <v>D</v>
          </cell>
          <cell r="K60" t="str">
            <v>OK</v>
          </cell>
          <cell r="L60" t="str">
            <v>D</v>
          </cell>
          <cell r="M60" t="str">
            <v>OK</v>
          </cell>
          <cell r="N60" t="str">
            <v>OK</v>
          </cell>
          <cell r="O60" t="str">
            <v>OK</v>
          </cell>
          <cell r="P60" t="str">
            <v>OK</v>
          </cell>
          <cell r="Q60" t="str">
            <v>OK</v>
          </cell>
          <cell r="R60" t="str">
            <v>OK</v>
          </cell>
          <cell r="S60" t="str">
            <v>D</v>
          </cell>
          <cell r="T60" t="str">
            <v>OK</v>
          </cell>
          <cell r="U60" t="str">
            <v>OK</v>
          </cell>
          <cell r="V60" t="str">
            <v>OK</v>
          </cell>
          <cell r="W60" t="str">
            <v>OK</v>
          </cell>
          <cell r="X60" t="str">
            <v>OK</v>
          </cell>
          <cell r="Y60" t="str">
            <v>OK</v>
          </cell>
          <cell r="Z60" t="str">
            <v>D</v>
          </cell>
          <cell r="AA60" t="str">
            <v>OK</v>
          </cell>
          <cell r="AB60" t="str">
            <v>OK</v>
          </cell>
          <cell r="AC60" t="str">
            <v>OK</v>
          </cell>
          <cell r="AD60">
            <v>0</v>
          </cell>
          <cell r="AE60">
            <v>0</v>
          </cell>
          <cell r="AF60">
            <v>0</v>
          </cell>
          <cell r="AG60">
            <v>0</v>
          </cell>
          <cell r="AH60">
            <v>0</v>
          </cell>
          <cell r="AI60">
            <v>0</v>
          </cell>
          <cell r="AJ60">
            <v>0</v>
          </cell>
          <cell r="AK60">
            <v>0</v>
          </cell>
          <cell r="AM60">
            <v>0</v>
          </cell>
          <cell r="AN60">
            <v>0</v>
          </cell>
          <cell r="AO60">
            <v>5</v>
          </cell>
          <cell r="AP60">
            <v>0</v>
          </cell>
          <cell r="AQ60">
            <v>0</v>
          </cell>
          <cell r="AR60">
            <v>0</v>
          </cell>
          <cell r="AS60">
            <v>0</v>
          </cell>
          <cell r="AT60">
            <v>0</v>
          </cell>
          <cell r="AU60">
            <v>0</v>
          </cell>
          <cell r="AV60">
            <v>0</v>
          </cell>
          <cell r="AW60">
            <v>0</v>
          </cell>
          <cell r="AX60">
            <v>17</v>
          </cell>
          <cell r="AY60">
            <v>22</v>
          </cell>
        </row>
        <row r="61">
          <cell r="C61">
            <v>52759800</v>
          </cell>
          <cell r="D61" t="str">
            <v xml:space="preserve">CARDENAS SIERRA ANGELA VIVIANA </v>
          </cell>
          <cell r="E61" t="str">
            <v>EDNA BERNAL</v>
          </cell>
          <cell r="F61" t="str">
            <v>SEDE 1 - MANZANA LIEVANO - ALCALDÍA MAYOR</v>
          </cell>
          <cell r="G61" t="str">
            <v>21/10/2025</v>
          </cell>
          <cell r="H61" t="str">
            <v>OK</v>
          </cell>
          <cell r="I61" t="str">
            <v>D</v>
          </cell>
          <cell r="J61" t="str">
            <v>D</v>
          </cell>
          <cell r="K61" t="str">
            <v>OK</v>
          </cell>
          <cell r="L61" t="str">
            <v>D</v>
          </cell>
          <cell r="M61" t="str">
            <v>OK</v>
          </cell>
          <cell r="N61" t="str">
            <v>OK</v>
          </cell>
          <cell r="O61" t="str">
            <v>OK</v>
          </cell>
          <cell r="P61" t="str">
            <v>OK</v>
          </cell>
          <cell r="Q61" t="str">
            <v>OK</v>
          </cell>
          <cell r="R61" t="str">
            <v>OK</v>
          </cell>
          <cell r="S61" t="str">
            <v>D</v>
          </cell>
          <cell r="T61" t="str">
            <v>OK</v>
          </cell>
          <cell r="U61" t="str">
            <v>OK</v>
          </cell>
          <cell r="V61" t="str">
            <v>OK</v>
          </cell>
          <cell r="W61" t="str">
            <v>OK</v>
          </cell>
          <cell r="X61" t="str">
            <v>OK</v>
          </cell>
          <cell r="Y61" t="str">
            <v>OK</v>
          </cell>
          <cell r="Z61" t="str">
            <v>D</v>
          </cell>
          <cell r="AA61" t="str">
            <v>OK</v>
          </cell>
          <cell r="AB61" t="str">
            <v>INC</v>
          </cell>
          <cell r="AC61" t="str">
            <v>INC</v>
          </cell>
          <cell r="AD61" t="str">
            <v>INC</v>
          </cell>
          <cell r="AE61" t="str">
            <v>INC</v>
          </cell>
          <cell r="AF61" t="str">
            <v>INC</v>
          </cell>
          <cell r="AG61">
            <v>0</v>
          </cell>
          <cell r="AH61">
            <v>0</v>
          </cell>
          <cell r="AI61">
            <v>0</v>
          </cell>
          <cell r="AJ61">
            <v>0</v>
          </cell>
          <cell r="AK61">
            <v>0</v>
          </cell>
          <cell r="AM61">
            <v>0</v>
          </cell>
          <cell r="AN61">
            <v>0</v>
          </cell>
          <cell r="AO61">
            <v>5</v>
          </cell>
          <cell r="AP61">
            <v>5</v>
          </cell>
          <cell r="AQ61">
            <v>0</v>
          </cell>
          <cell r="AR61">
            <v>0</v>
          </cell>
          <cell r="AS61">
            <v>0</v>
          </cell>
          <cell r="AT61">
            <v>0</v>
          </cell>
          <cell r="AU61">
            <v>0</v>
          </cell>
          <cell r="AV61">
            <v>0</v>
          </cell>
          <cell r="AW61">
            <v>0</v>
          </cell>
          <cell r="AX61">
            <v>15</v>
          </cell>
          <cell r="AY61">
            <v>20</v>
          </cell>
        </row>
        <row r="62">
          <cell r="C62">
            <v>63508533</v>
          </cell>
          <cell r="D62" t="str">
            <v xml:space="preserve">CELIS SANDRA VICTORIA  </v>
          </cell>
          <cell r="E62" t="str">
            <v>EDNA BERNAL</v>
          </cell>
          <cell r="F62" t="str">
            <v>SEDE 1 - MANZANA LIEVANO - ALCALDÍA MAYOR</v>
          </cell>
          <cell r="G62" t="str">
            <v>21/10/2025</v>
          </cell>
          <cell r="H62" t="str">
            <v>OK</v>
          </cell>
          <cell r="I62" t="str">
            <v>D</v>
          </cell>
          <cell r="J62" t="str">
            <v>D</v>
          </cell>
          <cell r="K62" t="str">
            <v>OK</v>
          </cell>
          <cell r="L62" t="str">
            <v>D</v>
          </cell>
          <cell r="M62" t="str">
            <v>OK</v>
          </cell>
          <cell r="N62" t="str">
            <v>OK</v>
          </cell>
          <cell r="O62" t="str">
            <v>OK</v>
          </cell>
          <cell r="P62" t="str">
            <v>OK</v>
          </cell>
          <cell r="Q62" t="str">
            <v>OK</v>
          </cell>
          <cell r="R62" t="str">
            <v>OK</v>
          </cell>
          <cell r="S62" t="str">
            <v>D</v>
          </cell>
          <cell r="T62" t="str">
            <v>OK</v>
          </cell>
          <cell r="U62" t="str">
            <v>OK</v>
          </cell>
          <cell r="V62" t="str">
            <v>OK</v>
          </cell>
          <cell r="W62" t="str">
            <v>OK</v>
          </cell>
          <cell r="X62" t="str">
            <v>OK</v>
          </cell>
          <cell r="Y62" t="str">
            <v>OK</v>
          </cell>
          <cell r="Z62" t="str">
            <v>D</v>
          </cell>
          <cell r="AA62" t="str">
            <v>OK</v>
          </cell>
          <cell r="AB62" t="str">
            <v>OK</v>
          </cell>
          <cell r="AC62" t="str">
            <v>OK</v>
          </cell>
          <cell r="AD62">
            <v>0</v>
          </cell>
          <cell r="AE62">
            <v>0</v>
          </cell>
          <cell r="AF62">
            <v>0</v>
          </cell>
          <cell r="AG62">
            <v>0</v>
          </cell>
          <cell r="AH62">
            <v>0</v>
          </cell>
          <cell r="AI62">
            <v>0</v>
          </cell>
          <cell r="AJ62">
            <v>0</v>
          </cell>
          <cell r="AK62">
            <v>0</v>
          </cell>
          <cell r="AM62">
            <v>0</v>
          </cell>
          <cell r="AN62">
            <v>0</v>
          </cell>
          <cell r="AO62">
            <v>5</v>
          </cell>
          <cell r="AP62">
            <v>0</v>
          </cell>
          <cell r="AQ62">
            <v>0</v>
          </cell>
          <cell r="AR62">
            <v>0</v>
          </cell>
          <cell r="AS62">
            <v>0</v>
          </cell>
          <cell r="AT62">
            <v>0</v>
          </cell>
          <cell r="AU62">
            <v>0</v>
          </cell>
          <cell r="AV62">
            <v>0</v>
          </cell>
          <cell r="AW62">
            <v>0</v>
          </cell>
          <cell r="AX62">
            <v>17</v>
          </cell>
          <cell r="AY62">
            <v>22</v>
          </cell>
        </row>
        <row r="63">
          <cell r="C63">
            <v>52431371</v>
          </cell>
          <cell r="D63" t="str">
            <v xml:space="preserve">MARIN SANCHEZ LINA CLEMENCIA </v>
          </cell>
          <cell r="E63" t="str">
            <v>EDNA BERNAL</v>
          </cell>
          <cell r="F63" t="str">
            <v>SEDE 1 - MANZANA LIEVANO - ALCALDÍA MAYOR</v>
          </cell>
          <cell r="G63" t="str">
            <v>22/10/2025</v>
          </cell>
          <cell r="H63" t="str">
            <v>OK</v>
          </cell>
          <cell r="I63" t="str">
            <v>D</v>
          </cell>
          <cell r="J63" t="str">
            <v>D</v>
          </cell>
          <cell r="K63" t="str">
            <v>OK</v>
          </cell>
          <cell r="L63" t="str">
            <v>D</v>
          </cell>
          <cell r="M63" t="str">
            <v>OK</v>
          </cell>
          <cell r="N63" t="str">
            <v>OK</v>
          </cell>
          <cell r="O63" t="str">
            <v>OK</v>
          </cell>
          <cell r="P63" t="str">
            <v>OK</v>
          </cell>
          <cell r="Q63" t="str">
            <v>OK</v>
          </cell>
          <cell r="R63" t="str">
            <v>OK</v>
          </cell>
          <cell r="S63" t="str">
            <v>D</v>
          </cell>
          <cell r="T63" t="str">
            <v>OK</v>
          </cell>
          <cell r="U63" t="str">
            <v>OK</v>
          </cell>
          <cell r="V63" t="str">
            <v>OK</v>
          </cell>
          <cell r="W63" t="str">
            <v>OK</v>
          </cell>
          <cell r="X63" t="str">
            <v>OK</v>
          </cell>
          <cell r="Y63" t="str">
            <v>OK</v>
          </cell>
          <cell r="Z63" t="str">
            <v>D</v>
          </cell>
          <cell r="AA63" t="str">
            <v>OK</v>
          </cell>
          <cell r="AB63" t="str">
            <v>OK</v>
          </cell>
          <cell r="AC63" t="str">
            <v>OK</v>
          </cell>
          <cell r="AD63">
            <v>0</v>
          </cell>
          <cell r="AE63">
            <v>0</v>
          </cell>
          <cell r="AF63">
            <v>0</v>
          </cell>
          <cell r="AG63">
            <v>0</v>
          </cell>
          <cell r="AH63">
            <v>0</v>
          </cell>
          <cell r="AI63">
            <v>0</v>
          </cell>
          <cell r="AJ63">
            <v>0</v>
          </cell>
          <cell r="AK63">
            <v>0</v>
          </cell>
          <cell r="AM63">
            <v>0</v>
          </cell>
          <cell r="AN63">
            <v>0</v>
          </cell>
          <cell r="AO63">
            <v>5</v>
          </cell>
          <cell r="AP63">
            <v>0</v>
          </cell>
          <cell r="AQ63">
            <v>0</v>
          </cell>
          <cell r="AR63">
            <v>0</v>
          </cell>
          <cell r="AS63">
            <v>0</v>
          </cell>
          <cell r="AT63">
            <v>0</v>
          </cell>
          <cell r="AU63">
            <v>0</v>
          </cell>
          <cell r="AV63">
            <v>0</v>
          </cell>
          <cell r="AW63">
            <v>0</v>
          </cell>
          <cell r="AX63">
            <v>17</v>
          </cell>
          <cell r="AY63">
            <v>22</v>
          </cell>
        </row>
        <row r="64">
          <cell r="C64">
            <v>1024487831</v>
          </cell>
          <cell r="D64" t="str">
            <v xml:space="preserve">RODRIGUEZ DELGADO DIEGO ALEXANDER </v>
          </cell>
          <cell r="E64" t="str">
            <v>EDNA BERNAL</v>
          </cell>
          <cell r="F64" t="str">
            <v xml:space="preserve">SEDE 2- DIRECCIÓN DISTRITAL DE ARCHIVO DE  BOGOTA </v>
          </cell>
          <cell r="G64" t="str">
            <v>22/10/2025</v>
          </cell>
          <cell r="H64" t="str">
            <v>OK</v>
          </cell>
          <cell r="I64" t="str">
            <v>D</v>
          </cell>
          <cell r="J64" t="str">
            <v>D</v>
          </cell>
          <cell r="K64" t="str">
            <v>OK</v>
          </cell>
          <cell r="L64" t="str">
            <v>D</v>
          </cell>
          <cell r="M64" t="str">
            <v>OK</v>
          </cell>
          <cell r="N64" t="str">
            <v>OK</v>
          </cell>
          <cell r="O64" t="str">
            <v>OK</v>
          </cell>
          <cell r="P64" t="str">
            <v>OK</v>
          </cell>
          <cell r="Q64" t="str">
            <v>OK</v>
          </cell>
          <cell r="R64" t="str">
            <v>OK</v>
          </cell>
          <cell r="S64" t="str">
            <v>D</v>
          </cell>
          <cell r="T64" t="str">
            <v>OK</v>
          </cell>
          <cell r="U64" t="str">
            <v>OK</v>
          </cell>
          <cell r="V64" t="str">
            <v>OK</v>
          </cell>
          <cell r="W64" t="str">
            <v>OK</v>
          </cell>
          <cell r="X64" t="str">
            <v>OK</v>
          </cell>
          <cell r="Y64" t="str">
            <v>OK</v>
          </cell>
          <cell r="Z64" t="str">
            <v>D</v>
          </cell>
          <cell r="AA64" t="str">
            <v>OK</v>
          </cell>
          <cell r="AB64" t="str">
            <v>OK</v>
          </cell>
          <cell r="AC64" t="str">
            <v>OK</v>
          </cell>
          <cell r="AD64">
            <v>0</v>
          </cell>
          <cell r="AE64">
            <v>0</v>
          </cell>
          <cell r="AF64">
            <v>0</v>
          </cell>
          <cell r="AG64">
            <v>0</v>
          </cell>
          <cell r="AH64">
            <v>0</v>
          </cell>
          <cell r="AI64">
            <v>0</v>
          </cell>
          <cell r="AJ64">
            <v>0</v>
          </cell>
          <cell r="AK64">
            <v>0</v>
          </cell>
          <cell r="AM64">
            <v>0</v>
          </cell>
          <cell r="AN64">
            <v>0</v>
          </cell>
          <cell r="AO64">
            <v>5</v>
          </cell>
          <cell r="AP64">
            <v>0</v>
          </cell>
          <cell r="AQ64">
            <v>0</v>
          </cell>
          <cell r="AR64">
            <v>0</v>
          </cell>
          <cell r="AS64">
            <v>0</v>
          </cell>
          <cell r="AT64">
            <v>0</v>
          </cell>
          <cell r="AU64">
            <v>0</v>
          </cell>
          <cell r="AV64">
            <v>0</v>
          </cell>
          <cell r="AW64">
            <v>0</v>
          </cell>
          <cell r="AX64">
            <v>17</v>
          </cell>
          <cell r="AY64">
            <v>22</v>
          </cell>
        </row>
        <row r="65">
          <cell r="C65">
            <v>80443614</v>
          </cell>
          <cell r="D65" t="str">
            <v xml:space="preserve">LARA TELLEZ YESID  </v>
          </cell>
          <cell r="E65" t="str">
            <v>EDNA BERNAL</v>
          </cell>
          <cell r="F65" t="str">
            <v>SEDE 1 - MANZANA LIEVANO - ALCALDÍA MAYOR</v>
          </cell>
          <cell r="G65" t="str">
            <v>22/10/2025</v>
          </cell>
          <cell r="H65" t="str">
            <v>OK</v>
          </cell>
          <cell r="I65" t="str">
            <v>D</v>
          </cell>
          <cell r="J65" t="str">
            <v>D</v>
          </cell>
          <cell r="K65" t="str">
            <v>OK</v>
          </cell>
          <cell r="L65" t="str">
            <v>D</v>
          </cell>
          <cell r="M65" t="str">
            <v>OK</v>
          </cell>
          <cell r="N65" t="str">
            <v>OK</v>
          </cell>
          <cell r="O65" t="str">
            <v>OK</v>
          </cell>
          <cell r="P65" t="str">
            <v>OK</v>
          </cell>
          <cell r="Q65" t="str">
            <v>OK</v>
          </cell>
          <cell r="R65" t="str">
            <v>OK</v>
          </cell>
          <cell r="S65" t="str">
            <v>D</v>
          </cell>
          <cell r="T65" t="str">
            <v>OK</v>
          </cell>
          <cell r="U65" t="str">
            <v>OK</v>
          </cell>
          <cell r="V65" t="str">
            <v>OK</v>
          </cell>
          <cell r="W65" t="str">
            <v>OK</v>
          </cell>
          <cell r="X65" t="str">
            <v>OK</v>
          </cell>
          <cell r="Y65" t="str">
            <v>TS</v>
          </cell>
          <cell r="Z65" t="str">
            <v>TS</v>
          </cell>
          <cell r="AA65" t="str">
            <v>TS</v>
          </cell>
          <cell r="AB65" t="str">
            <v>TS</v>
          </cell>
          <cell r="AC65" t="str">
            <v>TS</v>
          </cell>
          <cell r="AD65" t="str">
            <v>TS</v>
          </cell>
          <cell r="AE65" t="str">
            <v>TS</v>
          </cell>
          <cell r="AF65" t="str">
            <v>TS</v>
          </cell>
          <cell r="AG65" t="str">
            <v>TS</v>
          </cell>
          <cell r="AH65" t="str">
            <v>TS</v>
          </cell>
          <cell r="AI65" t="str">
            <v>TS</v>
          </cell>
          <cell r="AJ65" t="str">
            <v>TS</v>
          </cell>
          <cell r="AK65" t="str">
            <v>TS</v>
          </cell>
          <cell r="AM65">
            <v>0</v>
          </cell>
          <cell r="AN65">
            <v>0</v>
          </cell>
          <cell r="AO65">
            <v>4</v>
          </cell>
          <cell r="AP65">
            <v>0</v>
          </cell>
          <cell r="AQ65">
            <v>0</v>
          </cell>
          <cell r="AR65">
            <v>0</v>
          </cell>
          <cell r="AS65">
            <v>0</v>
          </cell>
          <cell r="AT65">
            <v>0</v>
          </cell>
          <cell r="AU65">
            <v>0</v>
          </cell>
          <cell r="AV65">
            <v>0</v>
          </cell>
          <cell r="AW65">
            <v>0</v>
          </cell>
          <cell r="AX65">
            <v>13</v>
          </cell>
          <cell r="AY65">
            <v>17</v>
          </cell>
        </row>
        <row r="66">
          <cell r="C66">
            <v>42778107</v>
          </cell>
          <cell r="D66" t="str">
            <v xml:space="preserve">ORTIZ RESTREPO NANCY JANET </v>
          </cell>
          <cell r="E66" t="str">
            <v>EDNA BERNAL</v>
          </cell>
          <cell r="F66" t="str">
            <v>SEDE 1 - MANZANA LIEVANO - ALCALDÍA MAYOR</v>
          </cell>
          <cell r="G66" t="str">
            <v>23/10/2025</v>
          </cell>
          <cell r="H66" t="str">
            <v>OK</v>
          </cell>
          <cell r="I66" t="str">
            <v>D</v>
          </cell>
          <cell r="J66" t="str">
            <v>D</v>
          </cell>
          <cell r="K66" t="str">
            <v>OK</v>
          </cell>
          <cell r="L66" t="str">
            <v>D</v>
          </cell>
          <cell r="M66" t="str">
            <v>OK</v>
          </cell>
          <cell r="N66" t="str">
            <v>OK</v>
          </cell>
          <cell r="O66" t="str">
            <v>OK</v>
          </cell>
          <cell r="P66" t="str">
            <v>OK</v>
          </cell>
          <cell r="Q66" t="str">
            <v>OK</v>
          </cell>
          <cell r="R66" t="str">
            <v>OK</v>
          </cell>
          <cell r="S66" t="str">
            <v>D</v>
          </cell>
          <cell r="T66" t="str">
            <v>OK</v>
          </cell>
          <cell r="U66" t="str">
            <v>OK</v>
          </cell>
          <cell r="V66" t="str">
            <v>OK</v>
          </cell>
          <cell r="W66" t="str">
            <v>OK</v>
          </cell>
          <cell r="X66" t="str">
            <v>OK</v>
          </cell>
          <cell r="Y66" t="str">
            <v>OK</v>
          </cell>
          <cell r="Z66" t="str">
            <v>D</v>
          </cell>
          <cell r="AA66" t="str">
            <v>OK</v>
          </cell>
          <cell r="AB66" t="str">
            <v>OK</v>
          </cell>
          <cell r="AC66" t="str">
            <v>OK</v>
          </cell>
          <cell r="AD66">
            <v>0</v>
          </cell>
          <cell r="AE66">
            <v>0</v>
          </cell>
          <cell r="AF66">
            <v>0</v>
          </cell>
          <cell r="AG66">
            <v>0</v>
          </cell>
          <cell r="AH66">
            <v>0</v>
          </cell>
          <cell r="AI66">
            <v>0</v>
          </cell>
          <cell r="AJ66">
            <v>0</v>
          </cell>
          <cell r="AK66">
            <v>0</v>
          </cell>
          <cell r="AM66">
            <v>0</v>
          </cell>
          <cell r="AN66">
            <v>0</v>
          </cell>
          <cell r="AO66">
            <v>5</v>
          </cell>
          <cell r="AP66">
            <v>0</v>
          </cell>
          <cell r="AQ66">
            <v>0</v>
          </cell>
          <cell r="AR66">
            <v>0</v>
          </cell>
          <cell r="AS66">
            <v>0</v>
          </cell>
          <cell r="AT66">
            <v>0</v>
          </cell>
          <cell r="AU66">
            <v>0</v>
          </cell>
          <cell r="AV66">
            <v>0</v>
          </cell>
          <cell r="AW66">
            <v>0</v>
          </cell>
          <cell r="AX66">
            <v>17</v>
          </cell>
          <cell r="AY66">
            <v>22</v>
          </cell>
        </row>
        <row r="67">
          <cell r="C67">
            <v>52064995</v>
          </cell>
          <cell r="D67" t="str">
            <v xml:space="preserve">ECHEVERRI VARGAS ELSA YOLANDA </v>
          </cell>
          <cell r="E67" t="str">
            <v>EDNA BERNAL</v>
          </cell>
          <cell r="F67" t="str">
            <v xml:space="preserve">SEDE 2- DIRECCIÓN DISTRITAL DE ARCHIVO DE  BOGOTA </v>
          </cell>
          <cell r="G67" t="str">
            <v>23/10/2025</v>
          </cell>
          <cell r="H67" t="str">
            <v>OK</v>
          </cell>
          <cell r="I67" t="str">
            <v>D</v>
          </cell>
          <cell r="J67" t="str">
            <v>D</v>
          </cell>
          <cell r="K67" t="str">
            <v>OK</v>
          </cell>
          <cell r="L67" t="str">
            <v>D</v>
          </cell>
          <cell r="M67" t="str">
            <v>OK</v>
          </cell>
          <cell r="N67" t="str">
            <v>OK</v>
          </cell>
          <cell r="O67" t="str">
            <v>OK</v>
          </cell>
          <cell r="P67" t="str">
            <v>OK</v>
          </cell>
          <cell r="Q67" t="str">
            <v>OK</v>
          </cell>
          <cell r="R67" t="str">
            <v>OK</v>
          </cell>
          <cell r="S67" t="str">
            <v>D</v>
          </cell>
          <cell r="T67" t="str">
            <v>OK</v>
          </cell>
          <cell r="U67" t="str">
            <v>OK</v>
          </cell>
          <cell r="V67" t="str">
            <v>OK</v>
          </cell>
          <cell r="W67" t="str">
            <v>OK</v>
          </cell>
          <cell r="X67" t="str">
            <v>INC</v>
          </cell>
          <cell r="Y67" t="str">
            <v>INC</v>
          </cell>
          <cell r="Z67" t="str">
            <v>D</v>
          </cell>
          <cell r="AA67" t="str">
            <v>OK</v>
          </cell>
          <cell r="AB67" t="str">
            <v>OK</v>
          </cell>
          <cell r="AC67" t="str">
            <v>OK</v>
          </cell>
          <cell r="AD67">
            <v>0</v>
          </cell>
          <cell r="AE67">
            <v>0</v>
          </cell>
          <cell r="AF67">
            <v>0</v>
          </cell>
          <cell r="AG67">
            <v>0</v>
          </cell>
          <cell r="AH67">
            <v>0</v>
          </cell>
          <cell r="AI67">
            <v>0</v>
          </cell>
          <cell r="AJ67">
            <v>0</v>
          </cell>
          <cell r="AK67">
            <v>0</v>
          </cell>
          <cell r="AM67">
            <v>0</v>
          </cell>
          <cell r="AN67">
            <v>0</v>
          </cell>
          <cell r="AO67">
            <v>5</v>
          </cell>
          <cell r="AP67">
            <v>2</v>
          </cell>
          <cell r="AQ67">
            <v>0</v>
          </cell>
          <cell r="AR67">
            <v>0</v>
          </cell>
          <cell r="AS67">
            <v>0</v>
          </cell>
          <cell r="AT67">
            <v>0</v>
          </cell>
          <cell r="AU67">
            <v>0</v>
          </cell>
          <cell r="AV67">
            <v>0</v>
          </cell>
          <cell r="AW67">
            <v>0</v>
          </cell>
          <cell r="AX67">
            <v>15</v>
          </cell>
          <cell r="AY67">
            <v>20</v>
          </cell>
        </row>
        <row r="68">
          <cell r="C68">
            <v>52776596</v>
          </cell>
          <cell r="D68" t="str">
            <v xml:space="preserve">CASTRO POSADA DORIS CAROLINA </v>
          </cell>
          <cell r="E68" t="str">
            <v>EDNA BERNAL</v>
          </cell>
          <cell r="F68" t="str">
            <v>SEDE 3 - IMPRENTA DISTRITAL</v>
          </cell>
          <cell r="G68" t="str">
            <v>09/12/2025</v>
          </cell>
          <cell r="H68" t="str">
            <v>OK</v>
          </cell>
          <cell r="I68" t="str">
            <v>D</v>
          </cell>
          <cell r="J68" t="str">
            <v>D</v>
          </cell>
          <cell r="K68" t="str">
            <v>OK</v>
          </cell>
          <cell r="L68" t="str">
            <v>D</v>
          </cell>
          <cell r="M68" t="str">
            <v>OK</v>
          </cell>
          <cell r="N68" t="str">
            <v>OK</v>
          </cell>
          <cell r="O68" t="str">
            <v>OK</v>
          </cell>
          <cell r="P68" t="str">
            <v>OK</v>
          </cell>
          <cell r="Q68" t="str">
            <v>OK</v>
          </cell>
          <cell r="R68" t="str">
            <v>OK</v>
          </cell>
          <cell r="S68" t="str">
            <v>D</v>
          </cell>
          <cell r="T68" t="str">
            <v>CD</v>
          </cell>
          <cell r="U68" t="str">
            <v>CD</v>
          </cell>
          <cell r="V68" t="str">
            <v xml:space="preserve">CD </v>
          </cell>
          <cell r="W68" t="str">
            <v>OK</v>
          </cell>
          <cell r="X68" t="str">
            <v>OK</v>
          </cell>
          <cell r="Y68" t="str">
            <v>OK</v>
          </cell>
          <cell r="Z68" t="str">
            <v>D</v>
          </cell>
          <cell r="AA68" t="str">
            <v>OK</v>
          </cell>
          <cell r="AB68" t="str">
            <v>OK</v>
          </cell>
          <cell r="AC68" t="str">
            <v>OK</v>
          </cell>
          <cell r="AD68">
            <v>0</v>
          </cell>
          <cell r="AE68">
            <v>0</v>
          </cell>
          <cell r="AF68">
            <v>0</v>
          </cell>
          <cell r="AG68">
            <v>0</v>
          </cell>
          <cell r="AH68">
            <v>0</v>
          </cell>
          <cell r="AI68">
            <v>0</v>
          </cell>
          <cell r="AJ68">
            <v>0</v>
          </cell>
          <cell r="AK68">
            <v>0</v>
          </cell>
          <cell r="AM68">
            <v>0</v>
          </cell>
          <cell r="AN68">
            <v>0</v>
          </cell>
          <cell r="AO68">
            <v>5</v>
          </cell>
          <cell r="AP68">
            <v>0</v>
          </cell>
          <cell r="AQ68">
            <v>0</v>
          </cell>
          <cell r="AR68">
            <v>0</v>
          </cell>
          <cell r="AS68">
            <v>0</v>
          </cell>
          <cell r="AT68">
            <v>2</v>
          </cell>
          <cell r="AU68">
            <v>0</v>
          </cell>
          <cell r="AV68">
            <v>0</v>
          </cell>
          <cell r="AW68">
            <v>0</v>
          </cell>
          <cell r="AX68">
            <v>14</v>
          </cell>
          <cell r="AY68">
            <v>19</v>
          </cell>
        </row>
        <row r="69">
          <cell r="C69">
            <v>1004501396</v>
          </cell>
          <cell r="D69" t="str">
            <v xml:space="preserve">AMARIS MARTINEZ MARYURIS TATIANA </v>
          </cell>
          <cell r="E69" t="str">
            <v>EDNA BERNAL</v>
          </cell>
          <cell r="F69" t="str">
            <v>SEDE 1 - MANZANA LIEVANO - ALCALDÍA MAYOR</v>
          </cell>
          <cell r="G69" t="str">
            <v>15/12/2025</v>
          </cell>
          <cell r="H69" t="str">
            <v>OK</v>
          </cell>
          <cell r="I69" t="str">
            <v>D</v>
          </cell>
          <cell r="J69" t="str">
            <v>D</v>
          </cell>
          <cell r="K69" t="str">
            <v>OK</v>
          </cell>
          <cell r="L69" t="str">
            <v>D</v>
          </cell>
          <cell r="M69" t="str">
            <v>OK</v>
          </cell>
          <cell r="N69" t="str">
            <v>OK</v>
          </cell>
          <cell r="O69" t="str">
            <v>OK</v>
          </cell>
          <cell r="P69" t="str">
            <v>OK</v>
          </cell>
          <cell r="Q69" t="str">
            <v>OK</v>
          </cell>
          <cell r="R69" t="str">
            <v>OK</v>
          </cell>
          <cell r="S69" t="str">
            <v>D</v>
          </cell>
          <cell r="T69" t="str">
            <v>OK</v>
          </cell>
          <cell r="U69" t="str">
            <v>OK</v>
          </cell>
          <cell r="V69" t="str">
            <v>OK</v>
          </cell>
          <cell r="W69" t="str">
            <v>OK</v>
          </cell>
          <cell r="X69" t="str">
            <v>OK</v>
          </cell>
          <cell r="Y69" t="str">
            <v>OK</v>
          </cell>
          <cell r="Z69" t="str">
            <v>D</v>
          </cell>
          <cell r="AA69" t="str">
            <v>OK</v>
          </cell>
          <cell r="AB69" t="str">
            <v>OK</v>
          </cell>
          <cell r="AC69" t="str">
            <v>OK</v>
          </cell>
          <cell r="AD69">
            <v>0</v>
          </cell>
          <cell r="AE69">
            <v>0</v>
          </cell>
          <cell r="AF69">
            <v>0</v>
          </cell>
          <cell r="AG69">
            <v>0</v>
          </cell>
          <cell r="AH69">
            <v>0</v>
          </cell>
          <cell r="AI69">
            <v>0</v>
          </cell>
          <cell r="AJ69">
            <v>0</v>
          </cell>
          <cell r="AK69">
            <v>0</v>
          </cell>
          <cell r="AL69">
            <v>0</v>
          </cell>
          <cell r="AM69">
            <v>0</v>
          </cell>
          <cell r="AN69">
            <v>0</v>
          </cell>
          <cell r="AO69">
            <v>5</v>
          </cell>
          <cell r="AP69">
            <v>0</v>
          </cell>
          <cell r="AQ69">
            <v>0</v>
          </cell>
          <cell r="AR69">
            <v>0</v>
          </cell>
          <cell r="AS69">
            <v>0</v>
          </cell>
          <cell r="AT69">
            <v>0</v>
          </cell>
          <cell r="AU69">
            <v>0</v>
          </cell>
          <cell r="AV69">
            <v>0</v>
          </cell>
          <cell r="AW69">
            <v>0</v>
          </cell>
          <cell r="AX69">
            <v>17</v>
          </cell>
          <cell r="AY69">
            <v>22</v>
          </cell>
        </row>
        <row r="70">
          <cell r="C70">
            <v>53026098</v>
          </cell>
          <cell r="D70" t="str">
            <v xml:space="preserve">GUARIN TORRES LILIANA PAOLA </v>
          </cell>
          <cell r="E70" t="str">
            <v>EDNA BERNAL</v>
          </cell>
          <cell r="F70" t="str">
            <v>SEDE 1 - MANZANA LIEVANO - ALCALDÍA MAYOR</v>
          </cell>
          <cell r="G70" t="str">
            <v>02/01/2026</v>
          </cell>
          <cell r="H70" t="str">
            <v>OK</v>
          </cell>
          <cell r="I70" t="str">
            <v>D</v>
          </cell>
          <cell r="J70" t="str">
            <v>D</v>
          </cell>
          <cell r="K70" t="str">
            <v>OK</v>
          </cell>
          <cell r="L70" t="str">
            <v>D</v>
          </cell>
          <cell r="M70" t="str">
            <v>OK</v>
          </cell>
          <cell r="N70" t="str">
            <v>OK</v>
          </cell>
          <cell r="O70" t="str">
            <v>OK</v>
          </cell>
          <cell r="P70" t="str">
            <v>OK</v>
          </cell>
          <cell r="Q70" t="str">
            <v>OK</v>
          </cell>
          <cell r="R70" t="str">
            <v>OK</v>
          </cell>
          <cell r="S70" t="str">
            <v>D</v>
          </cell>
          <cell r="T70" t="str">
            <v>OK</v>
          </cell>
          <cell r="U70" t="str">
            <v>OK</v>
          </cell>
          <cell r="V70" t="str">
            <v>OK</v>
          </cell>
          <cell r="W70" t="str">
            <v>OK</v>
          </cell>
          <cell r="X70" t="str">
            <v>OK</v>
          </cell>
          <cell r="Y70" t="str">
            <v>OK</v>
          </cell>
          <cell r="Z70" t="str">
            <v>D</v>
          </cell>
          <cell r="AA70" t="str">
            <v>OK</v>
          </cell>
          <cell r="AB70" t="str">
            <v>OK</v>
          </cell>
          <cell r="AC70" t="str">
            <v>OK</v>
          </cell>
          <cell r="AD70">
            <v>0</v>
          </cell>
          <cell r="AE70">
            <v>0</v>
          </cell>
          <cell r="AF70">
            <v>0</v>
          </cell>
          <cell r="AG70">
            <v>0</v>
          </cell>
          <cell r="AH70">
            <v>0</v>
          </cell>
          <cell r="AI70">
            <v>0</v>
          </cell>
          <cell r="AJ70">
            <v>0</v>
          </cell>
          <cell r="AK70">
            <v>0</v>
          </cell>
          <cell r="AM70">
            <v>0</v>
          </cell>
          <cell r="AN70">
            <v>0</v>
          </cell>
          <cell r="AO70">
            <v>5</v>
          </cell>
          <cell r="AP70">
            <v>0</v>
          </cell>
          <cell r="AQ70">
            <v>0</v>
          </cell>
          <cell r="AR70">
            <v>0</v>
          </cell>
          <cell r="AS70">
            <v>0</v>
          </cell>
          <cell r="AT70">
            <v>0</v>
          </cell>
          <cell r="AU70">
            <v>0</v>
          </cell>
          <cell r="AV70">
            <v>0</v>
          </cell>
          <cell r="AW70">
            <v>0</v>
          </cell>
          <cell r="AX70">
            <v>17</v>
          </cell>
          <cell r="AY70">
            <v>22</v>
          </cell>
        </row>
        <row r="71">
          <cell r="C71">
            <v>1073510783</v>
          </cell>
          <cell r="D71" t="str">
            <v xml:space="preserve">PARRADO LEYTON EDWIN  </v>
          </cell>
          <cell r="E71" t="str">
            <v>EDNA BERNAL</v>
          </cell>
          <cell r="F71" t="str">
            <v xml:space="preserve">SEDE 2- DIRECCIÓN DISTRITAL DE ARCHIVO DE  BOGOTA </v>
          </cell>
          <cell r="G71" t="str">
            <v>02/01/2026</v>
          </cell>
          <cell r="H71" t="str">
            <v>OK</v>
          </cell>
          <cell r="I71" t="str">
            <v>D</v>
          </cell>
          <cell r="J71" t="str">
            <v>D</v>
          </cell>
          <cell r="K71" t="str">
            <v>OK</v>
          </cell>
          <cell r="L71" t="str">
            <v>D</v>
          </cell>
          <cell r="M71" t="str">
            <v>OK</v>
          </cell>
          <cell r="N71" t="str">
            <v>OK</v>
          </cell>
          <cell r="O71" t="str">
            <v>OK</v>
          </cell>
          <cell r="P71" t="str">
            <v>OK</v>
          </cell>
          <cell r="Q71" t="str">
            <v>OK</v>
          </cell>
          <cell r="R71" t="str">
            <v>OK</v>
          </cell>
          <cell r="S71" t="str">
            <v>D</v>
          </cell>
          <cell r="T71" t="str">
            <v>OK</v>
          </cell>
          <cell r="U71" t="str">
            <v>OK</v>
          </cell>
          <cell r="V71" t="str">
            <v>OK</v>
          </cell>
          <cell r="W71" t="str">
            <v>OK</v>
          </cell>
          <cell r="X71" t="str">
            <v>OK</v>
          </cell>
          <cell r="Y71" t="str">
            <v>OK</v>
          </cell>
          <cell r="Z71" t="str">
            <v>D</v>
          </cell>
          <cell r="AA71" t="str">
            <v>OK</v>
          </cell>
          <cell r="AB71" t="str">
            <v>OK</v>
          </cell>
          <cell r="AC71" t="str">
            <v>OK</v>
          </cell>
          <cell r="AD71">
            <v>0</v>
          </cell>
          <cell r="AE71">
            <v>0</v>
          </cell>
          <cell r="AF71">
            <v>0</v>
          </cell>
          <cell r="AG71">
            <v>0</v>
          </cell>
          <cell r="AH71">
            <v>0</v>
          </cell>
          <cell r="AI71">
            <v>0</v>
          </cell>
          <cell r="AJ71">
            <v>0</v>
          </cell>
          <cell r="AK71">
            <v>0</v>
          </cell>
          <cell r="AM71">
            <v>0</v>
          </cell>
          <cell r="AN71">
            <v>0</v>
          </cell>
          <cell r="AO71">
            <v>5</v>
          </cell>
          <cell r="AP71">
            <v>0</v>
          </cell>
          <cell r="AQ71">
            <v>0</v>
          </cell>
          <cell r="AR71">
            <v>0</v>
          </cell>
          <cell r="AS71">
            <v>0</v>
          </cell>
          <cell r="AT71">
            <v>0</v>
          </cell>
          <cell r="AU71">
            <v>0</v>
          </cell>
          <cell r="AV71">
            <v>0</v>
          </cell>
          <cell r="AW71">
            <v>0</v>
          </cell>
          <cell r="AX71">
            <v>17</v>
          </cell>
          <cell r="AY71">
            <v>22</v>
          </cell>
        </row>
        <row r="72">
          <cell r="C72">
            <v>91438948</v>
          </cell>
          <cell r="D72" t="str">
            <v xml:space="preserve">GIL RANGEL WILSON  </v>
          </cell>
          <cell r="E72" t="str">
            <v>EDNA BERNAL</v>
          </cell>
          <cell r="F72" t="str">
            <v>SEDE 1 - MANZANA LIEVANO - ALCALDÍA MAYOR</v>
          </cell>
          <cell r="G72" t="str">
            <v>06/01/2026</v>
          </cell>
          <cell r="H72" t="str">
            <v>OK</v>
          </cell>
          <cell r="I72" t="str">
            <v>D</v>
          </cell>
          <cell r="J72" t="str">
            <v>D</v>
          </cell>
          <cell r="K72" t="str">
            <v>OK</v>
          </cell>
          <cell r="L72" t="str">
            <v>D</v>
          </cell>
          <cell r="M72" t="str">
            <v>OK</v>
          </cell>
          <cell r="N72" t="str">
            <v>OK</v>
          </cell>
          <cell r="O72" t="str">
            <v>INC</v>
          </cell>
          <cell r="P72" t="str">
            <v>INC</v>
          </cell>
          <cell r="Q72" t="str">
            <v>OK</v>
          </cell>
          <cell r="R72" t="str">
            <v>OK</v>
          </cell>
          <cell r="S72" t="str">
            <v>D</v>
          </cell>
          <cell r="T72" t="str">
            <v>OK</v>
          </cell>
          <cell r="U72" t="str">
            <v>OK</v>
          </cell>
          <cell r="V72" t="str">
            <v>OK</v>
          </cell>
          <cell r="W72" t="str">
            <v>OK</v>
          </cell>
          <cell r="X72" t="str">
            <v>OK</v>
          </cell>
          <cell r="Y72" t="str">
            <v>OK</v>
          </cell>
          <cell r="Z72" t="str">
            <v>D</v>
          </cell>
          <cell r="AA72" t="str">
            <v>OK</v>
          </cell>
          <cell r="AB72" t="str">
            <v>OK</v>
          </cell>
          <cell r="AC72" t="str">
            <v>OK</v>
          </cell>
          <cell r="AD72">
            <v>0</v>
          </cell>
          <cell r="AE72">
            <v>0</v>
          </cell>
          <cell r="AF72">
            <v>0</v>
          </cell>
          <cell r="AG72">
            <v>0</v>
          </cell>
          <cell r="AH72">
            <v>0</v>
          </cell>
          <cell r="AI72">
            <v>0</v>
          </cell>
          <cell r="AJ72">
            <v>0</v>
          </cell>
          <cell r="AK72">
            <v>0</v>
          </cell>
          <cell r="AM72">
            <v>0</v>
          </cell>
          <cell r="AN72">
            <v>0</v>
          </cell>
          <cell r="AO72">
            <v>5</v>
          </cell>
          <cell r="AP72">
            <v>2</v>
          </cell>
          <cell r="AQ72">
            <v>0</v>
          </cell>
          <cell r="AR72">
            <v>0</v>
          </cell>
          <cell r="AS72">
            <v>0</v>
          </cell>
          <cell r="AT72">
            <v>0</v>
          </cell>
          <cell r="AU72">
            <v>0</v>
          </cell>
          <cell r="AV72">
            <v>0</v>
          </cell>
          <cell r="AW72">
            <v>0</v>
          </cell>
          <cell r="AX72">
            <v>15</v>
          </cell>
          <cell r="AY72">
            <v>20</v>
          </cell>
        </row>
        <row r="73">
          <cell r="C73">
            <v>1023934402</v>
          </cell>
          <cell r="D73" t="str">
            <v xml:space="preserve">TORRES SOTO MARIA TERESA </v>
          </cell>
          <cell r="E73" t="str">
            <v>EDNA BERNAL</v>
          </cell>
          <cell r="F73" t="str">
            <v xml:space="preserve">SEDE 2- DIRECCIÓN DISTRITAL DE ARCHIVO DE  BOGOTA </v>
          </cell>
          <cell r="G73" t="str">
            <v>06/01/2026</v>
          </cell>
          <cell r="H73" t="str">
            <v>OK</v>
          </cell>
          <cell r="I73" t="str">
            <v>D</v>
          </cell>
          <cell r="J73" t="str">
            <v>D</v>
          </cell>
          <cell r="K73" t="str">
            <v>OK</v>
          </cell>
          <cell r="L73" t="str">
            <v>D</v>
          </cell>
          <cell r="M73" t="str">
            <v>OK</v>
          </cell>
          <cell r="N73" t="str">
            <v>OK</v>
          </cell>
          <cell r="O73" t="str">
            <v>OK</v>
          </cell>
          <cell r="P73" t="str">
            <v>OK</v>
          </cell>
          <cell r="Q73" t="str">
            <v>OK</v>
          </cell>
          <cell r="R73" t="str">
            <v>OK</v>
          </cell>
          <cell r="S73" t="str">
            <v>D</v>
          </cell>
          <cell r="T73" t="str">
            <v>OK</v>
          </cell>
          <cell r="U73" t="str">
            <v>OK</v>
          </cell>
          <cell r="V73" t="str">
            <v>OK</v>
          </cell>
          <cell r="W73" t="str">
            <v>OK</v>
          </cell>
          <cell r="X73" t="str">
            <v>OK</v>
          </cell>
          <cell r="Y73" t="str">
            <v>OK</v>
          </cell>
          <cell r="Z73" t="str">
            <v>D</v>
          </cell>
          <cell r="AA73" t="str">
            <v>OK</v>
          </cell>
          <cell r="AB73" t="str">
            <v>OK</v>
          </cell>
          <cell r="AC73" t="str">
            <v>OK</v>
          </cell>
          <cell r="AD73">
            <v>0</v>
          </cell>
          <cell r="AE73">
            <v>0</v>
          </cell>
          <cell r="AF73">
            <v>0</v>
          </cell>
          <cell r="AG73">
            <v>0</v>
          </cell>
          <cell r="AH73">
            <v>0</v>
          </cell>
          <cell r="AI73">
            <v>0</v>
          </cell>
          <cell r="AJ73">
            <v>0</v>
          </cell>
          <cell r="AK73">
            <v>0</v>
          </cell>
          <cell r="AM73">
            <v>0</v>
          </cell>
          <cell r="AN73">
            <v>0</v>
          </cell>
          <cell r="AO73">
            <v>5</v>
          </cell>
          <cell r="AP73">
            <v>0</v>
          </cell>
          <cell r="AQ73">
            <v>0</v>
          </cell>
          <cell r="AR73">
            <v>0</v>
          </cell>
          <cell r="AS73">
            <v>0</v>
          </cell>
          <cell r="AT73">
            <v>0</v>
          </cell>
          <cell r="AU73">
            <v>0</v>
          </cell>
          <cell r="AV73">
            <v>0</v>
          </cell>
          <cell r="AW73">
            <v>0</v>
          </cell>
          <cell r="AX73">
            <v>17</v>
          </cell>
          <cell r="AY73">
            <v>22</v>
          </cell>
        </row>
        <row r="74">
          <cell r="C74">
            <v>53892166</v>
          </cell>
          <cell r="D74" t="str">
            <v xml:space="preserve">LOPEZ REINA YENNY ANDREA </v>
          </cell>
          <cell r="E74" t="str">
            <v>EDNA BERNAL</v>
          </cell>
          <cell r="F74" t="str">
            <v xml:space="preserve">SEDE 2- DIRECCIÓN DISTRITAL DE ARCHIVO DE  BOGOTA </v>
          </cell>
          <cell r="G74" t="str">
            <v>14/01/2026</v>
          </cell>
          <cell r="H74" t="str">
            <v>OK</v>
          </cell>
          <cell r="I74" t="str">
            <v>D</v>
          </cell>
          <cell r="J74" t="str">
            <v>D</v>
          </cell>
          <cell r="K74" t="str">
            <v>OK</v>
          </cell>
          <cell r="L74" t="str">
            <v>D</v>
          </cell>
          <cell r="M74" t="str">
            <v>OK</v>
          </cell>
          <cell r="N74" t="str">
            <v>OK</v>
          </cell>
          <cell r="O74" t="str">
            <v>OK</v>
          </cell>
          <cell r="P74" t="str">
            <v>OK</v>
          </cell>
          <cell r="Q74" t="str">
            <v>OK</v>
          </cell>
          <cell r="R74" t="str">
            <v>OK</v>
          </cell>
          <cell r="S74" t="str">
            <v>D</v>
          </cell>
          <cell r="T74" t="str">
            <v>OK</v>
          </cell>
          <cell r="U74" t="str">
            <v>OK</v>
          </cell>
          <cell r="V74" t="str">
            <v>OK</v>
          </cell>
          <cell r="W74" t="str">
            <v>OK</v>
          </cell>
          <cell r="X74" t="str">
            <v>OK</v>
          </cell>
          <cell r="Y74" t="str">
            <v>OK</v>
          </cell>
          <cell r="Z74" t="str">
            <v>D</v>
          </cell>
          <cell r="AA74" t="str">
            <v>OK</v>
          </cell>
          <cell r="AB74" t="str">
            <v>OK</v>
          </cell>
          <cell r="AC74" t="str">
            <v>OK</v>
          </cell>
          <cell r="AD74">
            <v>0</v>
          </cell>
          <cell r="AE74">
            <v>0</v>
          </cell>
          <cell r="AF74">
            <v>0</v>
          </cell>
          <cell r="AG74">
            <v>0</v>
          </cell>
          <cell r="AH74">
            <v>0</v>
          </cell>
          <cell r="AI74">
            <v>0</v>
          </cell>
          <cell r="AJ74">
            <v>0</v>
          </cell>
          <cell r="AK74">
            <v>0</v>
          </cell>
          <cell r="AM74">
            <v>0</v>
          </cell>
          <cell r="AN74">
            <v>0</v>
          </cell>
          <cell r="AO74">
            <v>5</v>
          </cell>
          <cell r="AP74">
            <v>0</v>
          </cell>
          <cell r="AQ74">
            <v>0</v>
          </cell>
          <cell r="AR74">
            <v>0</v>
          </cell>
          <cell r="AS74">
            <v>0</v>
          </cell>
          <cell r="AT74">
            <v>0</v>
          </cell>
          <cell r="AU74">
            <v>0</v>
          </cell>
          <cell r="AV74">
            <v>0</v>
          </cell>
          <cell r="AW74">
            <v>0</v>
          </cell>
          <cell r="AX74">
            <v>17</v>
          </cell>
          <cell r="AY74">
            <v>22</v>
          </cell>
        </row>
        <row r="75">
          <cell r="C75">
            <v>72428676</v>
          </cell>
          <cell r="D75" t="str">
            <v xml:space="preserve">MANOTAS SERNA DAVID ENRIQUE </v>
          </cell>
          <cell r="E75" t="str">
            <v>EDNA BERNAL</v>
          </cell>
          <cell r="F75" t="str">
            <v xml:space="preserve">SEDE 2- DIRECCIÓN DISTRITAL DE ARCHIVO DE  BOGOTA </v>
          </cell>
          <cell r="G75" t="str">
            <v>14/01/2026</v>
          </cell>
          <cell r="H75" t="str">
            <v>OK</v>
          </cell>
          <cell r="I75" t="str">
            <v>D</v>
          </cell>
          <cell r="J75" t="str">
            <v>D</v>
          </cell>
          <cell r="K75" t="str">
            <v>OK</v>
          </cell>
          <cell r="L75" t="str">
            <v>D</v>
          </cell>
          <cell r="M75" t="str">
            <v>OK</v>
          </cell>
          <cell r="N75" t="str">
            <v>OK</v>
          </cell>
          <cell r="O75" t="str">
            <v>AUS</v>
          </cell>
          <cell r="P75" t="str">
            <v>OK</v>
          </cell>
          <cell r="Q75" t="str">
            <v>OK</v>
          </cell>
          <cell r="R75" t="str">
            <v>OK</v>
          </cell>
          <cell r="S75" t="str">
            <v>D</v>
          </cell>
          <cell r="T75" t="str">
            <v>AUS</v>
          </cell>
          <cell r="U75" t="str">
            <v>TS</v>
          </cell>
          <cell r="V75" t="str">
            <v>TS</v>
          </cell>
          <cell r="W75" t="str">
            <v xml:space="preserve">TS </v>
          </cell>
          <cell r="X75" t="str">
            <v>TS</v>
          </cell>
          <cell r="Y75" t="str">
            <v>TS</v>
          </cell>
          <cell r="Z75" t="str">
            <v>TS</v>
          </cell>
          <cell r="AA75" t="str">
            <v>TS</v>
          </cell>
          <cell r="AB75" t="str">
            <v>TS</v>
          </cell>
          <cell r="AC75" t="str">
            <v>TS</v>
          </cell>
          <cell r="AD75" t="str">
            <v>TS</v>
          </cell>
          <cell r="AE75" t="str">
            <v>TS</v>
          </cell>
          <cell r="AF75" t="str">
            <v>TS</v>
          </cell>
          <cell r="AG75" t="str">
            <v>TS</v>
          </cell>
          <cell r="AH75" t="str">
            <v>TS</v>
          </cell>
          <cell r="AI75" t="str">
            <v>TS</v>
          </cell>
          <cell r="AJ75" t="str">
            <v>TS</v>
          </cell>
          <cell r="AK75" t="str">
            <v>TS</v>
          </cell>
          <cell r="AM75">
            <v>2</v>
          </cell>
          <cell r="AN75">
            <v>0</v>
          </cell>
          <cell r="AO75">
            <v>4</v>
          </cell>
          <cell r="AP75">
            <v>0</v>
          </cell>
          <cell r="AQ75">
            <v>0</v>
          </cell>
          <cell r="AR75">
            <v>0</v>
          </cell>
          <cell r="AS75">
            <v>0</v>
          </cell>
          <cell r="AT75">
            <v>0</v>
          </cell>
          <cell r="AU75">
            <v>0</v>
          </cell>
          <cell r="AV75">
            <v>0</v>
          </cell>
          <cell r="AW75">
            <v>0</v>
          </cell>
          <cell r="AX75">
            <v>7</v>
          </cell>
          <cell r="AY75">
            <v>11</v>
          </cell>
        </row>
        <row r="76">
          <cell r="C76">
            <v>52118270</v>
          </cell>
          <cell r="D76" t="str">
            <v xml:space="preserve">ROJAS MARTINEZ MARIA CONSUELO </v>
          </cell>
          <cell r="E76" t="str">
            <v>EDNA BERNAL</v>
          </cell>
          <cell r="F76" t="str">
            <v>SEDE 1 - MANZANA LIEVANO - ALCALDÍA MAYOR</v>
          </cell>
          <cell r="G76" t="str">
            <v>02/02/2026</v>
          </cell>
          <cell r="H76" t="str">
            <v>OK</v>
          </cell>
          <cell r="I76" t="str">
            <v>D</v>
          </cell>
          <cell r="J76" t="str">
            <v>D</v>
          </cell>
          <cell r="K76" t="str">
            <v>OK</v>
          </cell>
          <cell r="L76" t="str">
            <v>D</v>
          </cell>
          <cell r="M76" t="str">
            <v>OK</v>
          </cell>
          <cell r="N76" t="str">
            <v>OK</v>
          </cell>
          <cell r="O76" t="str">
            <v>OK</v>
          </cell>
          <cell r="P76" t="str">
            <v>OK</v>
          </cell>
          <cell r="Q76" t="str">
            <v>OK</v>
          </cell>
          <cell r="R76" t="str">
            <v>OK</v>
          </cell>
          <cell r="S76" t="str">
            <v>D</v>
          </cell>
          <cell r="T76" t="str">
            <v>OK</v>
          </cell>
          <cell r="U76" t="str">
            <v>OK</v>
          </cell>
          <cell r="V76" t="str">
            <v>OK</v>
          </cell>
          <cell r="W76" t="str">
            <v>OK</v>
          </cell>
          <cell r="X76" t="str">
            <v>OK</v>
          </cell>
          <cell r="Y76" t="str">
            <v>OK</v>
          </cell>
          <cell r="Z76" t="str">
            <v>D</v>
          </cell>
          <cell r="AA76" t="str">
            <v>OK</v>
          </cell>
          <cell r="AB76" t="str">
            <v>OK</v>
          </cell>
          <cell r="AC76" t="str">
            <v>OK</v>
          </cell>
          <cell r="AD76">
            <v>0</v>
          </cell>
          <cell r="AE76">
            <v>0</v>
          </cell>
          <cell r="AF76">
            <v>0</v>
          </cell>
          <cell r="AG76">
            <v>0</v>
          </cell>
          <cell r="AH76">
            <v>0</v>
          </cell>
          <cell r="AI76">
            <v>0</v>
          </cell>
          <cell r="AJ76">
            <v>0</v>
          </cell>
          <cell r="AK76">
            <v>0</v>
          </cell>
          <cell r="AM76">
            <v>0</v>
          </cell>
          <cell r="AN76">
            <v>0</v>
          </cell>
          <cell r="AO76">
            <v>5</v>
          </cell>
          <cell r="AP76">
            <v>0</v>
          </cell>
          <cell r="AQ76">
            <v>0</v>
          </cell>
          <cell r="AR76">
            <v>0</v>
          </cell>
          <cell r="AS76">
            <v>0</v>
          </cell>
          <cell r="AT76">
            <v>0</v>
          </cell>
          <cell r="AU76">
            <v>0</v>
          </cell>
          <cell r="AV76">
            <v>0</v>
          </cell>
          <cell r="AW76">
            <v>0</v>
          </cell>
          <cell r="AX76">
            <v>17</v>
          </cell>
          <cell r="AY76">
            <v>22</v>
          </cell>
        </row>
        <row r="77">
          <cell r="C77">
            <v>1023917280</v>
          </cell>
          <cell r="D77" t="str">
            <v xml:space="preserve">BERNAL HOYOS EDNA  </v>
          </cell>
          <cell r="E77" t="str">
            <v>EDNA BERNAL</v>
          </cell>
          <cell r="F77" t="str">
            <v>SEDE 1 - MANZANA LIEVANO - ALCALDÍA MAYOR</v>
          </cell>
          <cell r="G77" t="str">
            <v>02/02/2026</v>
          </cell>
          <cell r="H77" t="str">
            <v>OK</v>
          </cell>
          <cell r="I77" t="str">
            <v>D</v>
          </cell>
          <cell r="J77" t="str">
            <v>D</v>
          </cell>
          <cell r="K77" t="str">
            <v>OK</v>
          </cell>
          <cell r="L77" t="str">
            <v>D</v>
          </cell>
          <cell r="M77" t="str">
            <v>OK</v>
          </cell>
          <cell r="N77" t="str">
            <v>OK</v>
          </cell>
          <cell r="O77" t="str">
            <v>OK</v>
          </cell>
          <cell r="P77" t="str">
            <v>OK</v>
          </cell>
          <cell r="Q77" t="str">
            <v>OK</v>
          </cell>
          <cell r="R77" t="str">
            <v>OK</v>
          </cell>
          <cell r="S77" t="str">
            <v>D</v>
          </cell>
          <cell r="T77" t="str">
            <v>OK</v>
          </cell>
          <cell r="U77" t="str">
            <v>OK</v>
          </cell>
          <cell r="V77" t="str">
            <v>OK</v>
          </cell>
          <cell r="W77" t="str">
            <v>OK</v>
          </cell>
          <cell r="X77" t="str">
            <v>OK</v>
          </cell>
          <cell r="Y77" t="str">
            <v>OK</v>
          </cell>
          <cell r="Z77" t="str">
            <v>D</v>
          </cell>
          <cell r="AA77" t="str">
            <v>OK</v>
          </cell>
          <cell r="AB77" t="str">
            <v>OK</v>
          </cell>
          <cell r="AC77" t="str">
            <v>OK</v>
          </cell>
          <cell r="AD77">
            <v>0</v>
          </cell>
          <cell r="AE77">
            <v>0</v>
          </cell>
          <cell r="AF77">
            <v>0</v>
          </cell>
          <cell r="AG77">
            <v>0</v>
          </cell>
          <cell r="AH77">
            <v>0</v>
          </cell>
          <cell r="AI77">
            <v>0</v>
          </cell>
          <cell r="AJ77">
            <v>0</v>
          </cell>
          <cell r="AK77">
            <v>0</v>
          </cell>
          <cell r="AM77">
            <v>0</v>
          </cell>
          <cell r="AN77">
            <v>0</v>
          </cell>
          <cell r="AO77">
            <v>5</v>
          </cell>
          <cell r="AP77">
            <v>0</v>
          </cell>
          <cell r="AQ77">
            <v>0</v>
          </cell>
          <cell r="AR77">
            <v>0</v>
          </cell>
          <cell r="AS77">
            <v>0</v>
          </cell>
          <cell r="AT77">
            <v>0</v>
          </cell>
          <cell r="AU77">
            <v>0</v>
          </cell>
          <cell r="AV77">
            <v>0</v>
          </cell>
          <cell r="AW77">
            <v>0</v>
          </cell>
          <cell r="AX77">
            <v>17</v>
          </cell>
          <cell r="AY77">
            <v>22</v>
          </cell>
        </row>
        <row r="78">
          <cell r="C78">
            <v>1033773795</v>
          </cell>
          <cell r="D78" t="str">
            <v xml:space="preserve">BARRERA  INGRI  </v>
          </cell>
          <cell r="E78" t="str">
            <v>EDNA BERNAL</v>
          </cell>
          <cell r="F78" t="str">
            <v>SEDE 1 - MANZANA LIEVANO - ALCALDÍA MAYOR</v>
          </cell>
          <cell r="G78" t="str">
            <v>25/03/2026</v>
          </cell>
          <cell r="H78" t="str">
            <v>OK</v>
          </cell>
          <cell r="I78" t="str">
            <v>D</v>
          </cell>
          <cell r="J78" t="str">
            <v>D</v>
          </cell>
          <cell r="K78" t="str">
            <v>OK</v>
          </cell>
          <cell r="L78" t="str">
            <v>D</v>
          </cell>
          <cell r="M78" t="str">
            <v>OK</v>
          </cell>
          <cell r="N78" t="str">
            <v>OK</v>
          </cell>
          <cell r="O78" t="str">
            <v>OK</v>
          </cell>
          <cell r="P78" t="str">
            <v>OK</v>
          </cell>
          <cell r="Q78" t="str">
            <v>OK</v>
          </cell>
          <cell r="R78" t="str">
            <v>OK</v>
          </cell>
          <cell r="S78" t="str">
            <v>D</v>
          </cell>
          <cell r="T78" t="str">
            <v>OK</v>
          </cell>
          <cell r="U78" t="str">
            <v>OK</v>
          </cell>
          <cell r="V78" t="str">
            <v>OK</v>
          </cell>
          <cell r="W78" t="str">
            <v>OK</v>
          </cell>
          <cell r="X78" t="str">
            <v>OK</v>
          </cell>
          <cell r="Y78" t="str">
            <v>OK</v>
          </cell>
          <cell r="Z78" t="str">
            <v>D</v>
          </cell>
          <cell r="AA78" t="str">
            <v>OK</v>
          </cell>
          <cell r="AB78" t="str">
            <v>OK</v>
          </cell>
          <cell r="AC78" t="str">
            <v>OK</v>
          </cell>
          <cell r="AD78">
            <v>0</v>
          </cell>
          <cell r="AE78">
            <v>0</v>
          </cell>
          <cell r="AF78">
            <v>0</v>
          </cell>
          <cell r="AG78">
            <v>0</v>
          </cell>
          <cell r="AH78">
            <v>0</v>
          </cell>
          <cell r="AI78">
            <v>0</v>
          </cell>
          <cell r="AJ78">
            <v>0</v>
          </cell>
          <cell r="AK78">
            <v>0</v>
          </cell>
          <cell r="AM78">
            <v>0</v>
          </cell>
          <cell r="AN78">
            <v>0</v>
          </cell>
          <cell r="AO78">
            <v>5</v>
          </cell>
          <cell r="AP78">
            <v>0</v>
          </cell>
          <cell r="AQ78">
            <v>0</v>
          </cell>
          <cell r="AR78">
            <v>0</v>
          </cell>
          <cell r="AS78">
            <v>0</v>
          </cell>
          <cell r="AT78">
            <v>0</v>
          </cell>
          <cell r="AU78">
            <v>0</v>
          </cell>
          <cell r="AV78">
            <v>0</v>
          </cell>
          <cell r="AW78">
            <v>0</v>
          </cell>
          <cell r="AX78">
            <v>17</v>
          </cell>
          <cell r="AY78">
            <v>22</v>
          </cell>
        </row>
        <row r="79">
          <cell r="C79">
            <v>52582054</v>
          </cell>
          <cell r="D79" t="str">
            <v xml:space="preserve">RODRIGUEZ CASTILLO ELIZABETH  </v>
          </cell>
          <cell r="E79" t="str">
            <v>EDNA BERNAL</v>
          </cell>
          <cell r="F79" t="str">
            <v>SEDE 1 - MANZANA LIEVANO - ALCALDÍA MAYOR</v>
          </cell>
          <cell r="G79" t="str">
            <v>26/03/2026</v>
          </cell>
          <cell r="H79" t="str">
            <v>OK</v>
          </cell>
          <cell r="I79" t="str">
            <v>D</v>
          </cell>
          <cell r="J79" t="str">
            <v>D</v>
          </cell>
          <cell r="K79" t="str">
            <v>OK</v>
          </cell>
          <cell r="L79" t="str">
            <v>D</v>
          </cell>
          <cell r="M79" t="str">
            <v>OK</v>
          </cell>
          <cell r="N79" t="str">
            <v>OK</v>
          </cell>
          <cell r="O79" t="str">
            <v>OK</v>
          </cell>
          <cell r="P79" t="str">
            <v>OK</v>
          </cell>
          <cell r="Q79" t="str">
            <v>OK</v>
          </cell>
          <cell r="R79" t="str">
            <v>OK</v>
          </cell>
          <cell r="S79" t="str">
            <v>D</v>
          </cell>
          <cell r="T79" t="str">
            <v>OK</v>
          </cell>
          <cell r="U79" t="str">
            <v>OK</v>
          </cell>
          <cell r="V79" t="str">
            <v>OK</v>
          </cell>
          <cell r="W79" t="str">
            <v>OK</v>
          </cell>
          <cell r="X79" t="str">
            <v>OK</v>
          </cell>
          <cell r="Y79" t="str">
            <v>OK</v>
          </cell>
          <cell r="Z79" t="str">
            <v>D</v>
          </cell>
          <cell r="AA79" t="str">
            <v>OK</v>
          </cell>
          <cell r="AB79" t="str">
            <v>OK</v>
          </cell>
          <cell r="AC79" t="str">
            <v>OK</v>
          </cell>
          <cell r="AD79">
            <v>0</v>
          </cell>
          <cell r="AE79">
            <v>0</v>
          </cell>
          <cell r="AF79">
            <v>0</v>
          </cell>
          <cell r="AG79">
            <v>0</v>
          </cell>
          <cell r="AH79">
            <v>0</v>
          </cell>
          <cell r="AI79">
            <v>0</v>
          </cell>
          <cell r="AJ79">
            <v>0</v>
          </cell>
          <cell r="AK79">
            <v>0</v>
          </cell>
          <cell r="AM79">
            <v>0</v>
          </cell>
          <cell r="AN79">
            <v>0</v>
          </cell>
          <cell r="AO79">
            <v>5</v>
          </cell>
          <cell r="AP79">
            <v>0</v>
          </cell>
          <cell r="AQ79">
            <v>0</v>
          </cell>
          <cell r="AR79">
            <v>0</v>
          </cell>
          <cell r="AS79">
            <v>0</v>
          </cell>
          <cell r="AT79">
            <v>0</v>
          </cell>
          <cell r="AU79">
            <v>0</v>
          </cell>
          <cell r="AV79">
            <v>0</v>
          </cell>
          <cell r="AW79">
            <v>0</v>
          </cell>
          <cell r="AX79">
            <v>17</v>
          </cell>
          <cell r="AY79">
            <v>22</v>
          </cell>
        </row>
        <row r="80">
          <cell r="C80">
            <v>1010186612</v>
          </cell>
          <cell r="D80" t="str">
            <v xml:space="preserve">MESA ROZO GINETH MARCELA </v>
          </cell>
          <cell r="E80" t="str">
            <v>EDNA BERNAL</v>
          </cell>
          <cell r="F80" t="str">
            <v>SEDE 1 - MANZANA LIEVANO - ALCALDÍA MAYOR</v>
          </cell>
          <cell r="G80" t="str">
            <v>07/04/2026</v>
          </cell>
          <cell r="H80" t="str">
            <v>OK</v>
          </cell>
          <cell r="I80" t="str">
            <v>D</v>
          </cell>
          <cell r="J80" t="str">
            <v>D</v>
          </cell>
          <cell r="K80" t="str">
            <v>OK</v>
          </cell>
          <cell r="L80" t="str">
            <v>D</v>
          </cell>
          <cell r="M80" t="str">
            <v>OK</v>
          </cell>
          <cell r="N80" t="str">
            <v>OK</v>
          </cell>
          <cell r="O80" t="str">
            <v>OK</v>
          </cell>
          <cell r="P80" t="str">
            <v>OK</v>
          </cell>
          <cell r="Q80" t="str">
            <v>OK</v>
          </cell>
          <cell r="R80" t="str">
            <v>OK</v>
          </cell>
          <cell r="S80" t="str">
            <v>D</v>
          </cell>
          <cell r="T80" t="str">
            <v>OK</v>
          </cell>
          <cell r="U80" t="str">
            <v>OK</v>
          </cell>
          <cell r="V80" t="str">
            <v>OK</v>
          </cell>
          <cell r="W80" t="str">
            <v>OK</v>
          </cell>
          <cell r="X80" t="str">
            <v>OK</v>
          </cell>
          <cell r="Y80" t="str">
            <v>OK</v>
          </cell>
          <cell r="Z80" t="str">
            <v>D</v>
          </cell>
          <cell r="AA80" t="str">
            <v>OK</v>
          </cell>
          <cell r="AB80" t="str">
            <v>CD</v>
          </cell>
          <cell r="AC80" t="str">
            <v>OK</v>
          </cell>
          <cell r="AD80">
            <v>0</v>
          </cell>
          <cell r="AE80">
            <v>0</v>
          </cell>
          <cell r="AF80">
            <v>0</v>
          </cell>
          <cell r="AG80">
            <v>0</v>
          </cell>
          <cell r="AH80">
            <v>0</v>
          </cell>
          <cell r="AI80">
            <v>0</v>
          </cell>
          <cell r="AJ80">
            <v>0</v>
          </cell>
          <cell r="AK80">
            <v>0</v>
          </cell>
          <cell r="AM80">
            <v>0</v>
          </cell>
          <cell r="AN80">
            <v>0</v>
          </cell>
          <cell r="AO80">
            <v>5</v>
          </cell>
          <cell r="AP80">
            <v>0</v>
          </cell>
          <cell r="AQ80">
            <v>0</v>
          </cell>
          <cell r="AR80">
            <v>0</v>
          </cell>
          <cell r="AS80">
            <v>0</v>
          </cell>
          <cell r="AT80">
            <v>1</v>
          </cell>
          <cell r="AU80">
            <v>0</v>
          </cell>
          <cell r="AV80">
            <v>0</v>
          </cell>
          <cell r="AW80">
            <v>0</v>
          </cell>
          <cell r="AX80">
            <v>16</v>
          </cell>
          <cell r="AY80">
            <v>21</v>
          </cell>
        </row>
        <row r="81">
          <cell r="C81">
            <v>53047255</v>
          </cell>
          <cell r="D81" t="str">
            <v xml:space="preserve">ROJAS  YURY ESPERANZA </v>
          </cell>
          <cell r="E81" t="str">
            <v>EDNA BERNAL</v>
          </cell>
          <cell r="F81" t="str">
            <v>SEDE 1 - MANZANA LIEVANO - ALCALDÍA MAYOR</v>
          </cell>
          <cell r="G81" t="str">
            <v>05/11/2025</v>
          </cell>
          <cell r="H81" t="str">
            <v>OK</v>
          </cell>
          <cell r="I81" t="str">
            <v>D</v>
          </cell>
          <cell r="J81" t="str">
            <v>D</v>
          </cell>
          <cell r="K81" t="str">
            <v>OK</v>
          </cell>
          <cell r="L81" t="str">
            <v>D</v>
          </cell>
          <cell r="M81" t="str">
            <v>OK</v>
          </cell>
          <cell r="N81" t="str">
            <v>OK</v>
          </cell>
          <cell r="O81" t="str">
            <v>OK</v>
          </cell>
          <cell r="P81" t="str">
            <v>OK</v>
          </cell>
          <cell r="Q81" t="str">
            <v>OK</v>
          </cell>
          <cell r="R81" t="str">
            <v>OK</v>
          </cell>
          <cell r="S81" t="str">
            <v>D</v>
          </cell>
          <cell r="T81" t="str">
            <v>OK</v>
          </cell>
          <cell r="U81" t="str">
            <v>OK</v>
          </cell>
          <cell r="V81" t="str">
            <v>OK</v>
          </cell>
          <cell r="W81" t="str">
            <v>OK</v>
          </cell>
          <cell r="X81" t="str">
            <v>OK</v>
          </cell>
          <cell r="Y81" t="str">
            <v>OK</v>
          </cell>
          <cell r="Z81" t="str">
            <v>D</v>
          </cell>
          <cell r="AA81" t="str">
            <v>OK</v>
          </cell>
          <cell r="AB81" t="str">
            <v>OK</v>
          </cell>
          <cell r="AC81" t="str">
            <v>TS</v>
          </cell>
          <cell r="AD81" t="str">
            <v>TS</v>
          </cell>
          <cell r="AE81" t="str">
            <v>TS</v>
          </cell>
          <cell r="AF81" t="str">
            <v>TS</v>
          </cell>
          <cell r="AG81" t="str">
            <v>TS</v>
          </cell>
          <cell r="AH81" t="str">
            <v>TS</v>
          </cell>
          <cell r="AI81" t="str">
            <v>TS</v>
          </cell>
          <cell r="AJ81" t="str">
            <v>TS</v>
          </cell>
          <cell r="AK81" t="str">
            <v>TS</v>
          </cell>
          <cell r="AM81">
            <v>0</v>
          </cell>
          <cell r="AN81">
            <v>0</v>
          </cell>
          <cell r="AO81">
            <v>5</v>
          </cell>
          <cell r="AP81">
            <v>0</v>
          </cell>
          <cell r="AQ81">
            <v>0</v>
          </cell>
          <cell r="AR81">
            <v>0</v>
          </cell>
          <cell r="AS81">
            <v>0</v>
          </cell>
          <cell r="AT81">
            <v>0</v>
          </cell>
          <cell r="AU81">
            <v>0</v>
          </cell>
          <cell r="AV81">
            <v>0</v>
          </cell>
          <cell r="AW81">
            <v>0</v>
          </cell>
          <cell r="AX81">
            <v>16</v>
          </cell>
          <cell r="AY81">
            <v>21</v>
          </cell>
        </row>
        <row r="82">
          <cell r="C82">
            <v>1051954997</v>
          </cell>
          <cell r="D82" t="str">
            <v>HOYOS HERNANDEZ JASSIR IVONNE</v>
          </cell>
          <cell r="E82" t="str">
            <v>EDNA BERNAL</v>
          </cell>
          <cell r="F82" t="str">
            <v>SEDE 1 - MANZANA LIEVANO - ALCALDÍA MAYOR</v>
          </cell>
          <cell r="G82" t="str">
            <v/>
          </cell>
          <cell r="H82" t="str">
            <v>OK</v>
          </cell>
          <cell r="I82" t="str">
            <v>D</v>
          </cell>
          <cell r="J82" t="str">
            <v>D</v>
          </cell>
          <cell r="K82" t="str">
            <v>OK</v>
          </cell>
          <cell r="L82" t="str">
            <v>D</v>
          </cell>
          <cell r="M82" t="str">
            <v>OK</v>
          </cell>
          <cell r="N82" t="str">
            <v>OK</v>
          </cell>
          <cell r="O82" t="str">
            <v>OK</v>
          </cell>
          <cell r="P82" t="str">
            <v>OK</v>
          </cell>
          <cell r="Q82" t="str">
            <v>OK</v>
          </cell>
          <cell r="R82" t="str">
            <v>OK</v>
          </cell>
          <cell r="S82" t="str">
            <v>D</v>
          </cell>
          <cell r="T82" t="str">
            <v>OK</v>
          </cell>
          <cell r="U82" t="str">
            <v>OK</v>
          </cell>
          <cell r="V82" t="str">
            <v>REN</v>
          </cell>
          <cell r="W82" t="str">
            <v>REN</v>
          </cell>
          <cell r="X82" t="str">
            <v>REN</v>
          </cell>
          <cell r="Y82" t="str">
            <v>REN</v>
          </cell>
          <cell r="Z82" t="str">
            <v>REN</v>
          </cell>
          <cell r="AA82" t="str">
            <v>REN</v>
          </cell>
          <cell r="AB82" t="str">
            <v>REN</v>
          </cell>
          <cell r="AC82" t="str">
            <v>REN</v>
          </cell>
          <cell r="AD82" t="str">
            <v>REN</v>
          </cell>
          <cell r="AE82" t="str">
            <v>REN</v>
          </cell>
          <cell r="AF82" t="str">
            <v>REN</v>
          </cell>
          <cell r="AG82" t="str">
            <v>REN</v>
          </cell>
          <cell r="AH82" t="str">
            <v>REN</v>
          </cell>
          <cell r="AI82" t="str">
            <v>REN</v>
          </cell>
          <cell r="AJ82" t="str">
            <v>REN</v>
          </cell>
          <cell r="AK82" t="str">
            <v>REN</v>
          </cell>
          <cell r="AM82">
            <v>0</v>
          </cell>
          <cell r="AN82">
            <v>0</v>
          </cell>
          <cell r="AO82">
            <v>4</v>
          </cell>
          <cell r="AP82">
            <v>0</v>
          </cell>
          <cell r="AQ82">
            <v>0</v>
          </cell>
          <cell r="AR82">
            <v>0</v>
          </cell>
          <cell r="AS82">
            <v>0</v>
          </cell>
          <cell r="AT82">
            <v>0</v>
          </cell>
          <cell r="AU82">
            <v>16</v>
          </cell>
          <cell r="AV82">
            <v>0</v>
          </cell>
          <cell r="AW82">
            <v>0</v>
          </cell>
          <cell r="AX82">
            <v>10</v>
          </cell>
          <cell r="AY82">
            <v>14</v>
          </cell>
        </row>
        <row r="83">
          <cell r="C83">
            <v>1010014769</v>
          </cell>
          <cell r="D83" t="str">
            <v xml:space="preserve">EPINAYU ARIAS MARIA JOSE </v>
          </cell>
          <cell r="E83" t="str">
            <v>EDNA BERNAL</v>
          </cell>
          <cell r="F83" t="str">
            <v xml:space="preserve">SEDE 2- DIRECCIÓN DISTRITAL DE ARCHIVO DE  BOGOTA </v>
          </cell>
          <cell r="G83" t="str">
            <v>05/11/2025</v>
          </cell>
          <cell r="H83" t="str">
            <v>OK</v>
          </cell>
          <cell r="I83" t="str">
            <v>D</v>
          </cell>
          <cell r="J83" t="str">
            <v>D</v>
          </cell>
          <cell r="K83" t="str">
            <v>OK</v>
          </cell>
          <cell r="L83" t="str">
            <v>D</v>
          </cell>
          <cell r="M83" t="str">
            <v>OK</v>
          </cell>
          <cell r="N83" t="str">
            <v>OK</v>
          </cell>
          <cell r="O83" t="str">
            <v>OK</v>
          </cell>
          <cell r="P83" t="str">
            <v>OK</v>
          </cell>
          <cell r="Q83" t="str">
            <v>OK</v>
          </cell>
          <cell r="R83" t="str">
            <v>OK</v>
          </cell>
          <cell r="S83" t="str">
            <v>D</v>
          </cell>
          <cell r="T83" t="str">
            <v>OK</v>
          </cell>
          <cell r="U83" t="str">
            <v>OK</v>
          </cell>
          <cell r="V83" t="str">
            <v>OK</v>
          </cell>
          <cell r="W83" t="str">
            <v>OK</v>
          </cell>
          <cell r="X83" t="str">
            <v>OK</v>
          </cell>
          <cell r="Y83" t="str">
            <v>OK</v>
          </cell>
          <cell r="Z83" t="str">
            <v>D</v>
          </cell>
          <cell r="AA83" t="str">
            <v>OK</v>
          </cell>
          <cell r="AB83" t="str">
            <v>OK</v>
          </cell>
          <cell r="AC83" t="str">
            <v>TS</v>
          </cell>
          <cell r="AD83" t="str">
            <v>TS</v>
          </cell>
          <cell r="AE83" t="str">
            <v>TS</v>
          </cell>
          <cell r="AF83" t="str">
            <v>TS</v>
          </cell>
          <cell r="AG83" t="str">
            <v>TS</v>
          </cell>
          <cell r="AH83" t="str">
            <v>TS</v>
          </cell>
          <cell r="AI83" t="str">
            <v>TS</v>
          </cell>
          <cell r="AJ83" t="str">
            <v>TS</v>
          </cell>
          <cell r="AK83" t="str">
            <v>TS</v>
          </cell>
          <cell r="AM83">
            <v>0</v>
          </cell>
          <cell r="AN83">
            <v>0</v>
          </cell>
          <cell r="AO83">
            <v>5</v>
          </cell>
          <cell r="AP83">
            <v>0</v>
          </cell>
          <cell r="AQ83">
            <v>0</v>
          </cell>
          <cell r="AR83">
            <v>0</v>
          </cell>
          <cell r="AS83">
            <v>0</v>
          </cell>
          <cell r="AT83">
            <v>0</v>
          </cell>
          <cell r="AU83">
            <v>0</v>
          </cell>
          <cell r="AV83">
            <v>0</v>
          </cell>
          <cell r="AW83">
            <v>0</v>
          </cell>
          <cell r="AX83">
            <v>16</v>
          </cell>
          <cell r="AY83">
            <v>21</v>
          </cell>
        </row>
        <row r="84">
          <cell r="C84">
            <v>1031642480</v>
          </cell>
          <cell r="D84" t="str">
            <v xml:space="preserve">REYES DUITAMA BRAYAN DAVID </v>
          </cell>
          <cell r="E84" t="str">
            <v>EDNA BERNAL</v>
          </cell>
          <cell r="F84" t="str">
            <v>SEDE 1 - MANZANA LIEVANO - ALCALDÍA MAYOR</v>
          </cell>
          <cell r="G84" t="str">
            <v>16/04/2026</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t="str">
            <v>OK</v>
          </cell>
          <cell r="X84" t="str">
            <v>CD</v>
          </cell>
          <cell r="Y84" t="str">
            <v>AUS</v>
          </cell>
          <cell r="Z84" t="str">
            <v>D</v>
          </cell>
          <cell r="AA84" t="str">
            <v>AUS</v>
          </cell>
          <cell r="AB84" t="str">
            <v>OK</v>
          </cell>
          <cell r="AC84" t="str">
            <v>TC</v>
          </cell>
          <cell r="AD84" t="str">
            <v>TC</v>
          </cell>
          <cell r="AE84" t="str">
            <v>TC</v>
          </cell>
          <cell r="AF84" t="str">
            <v>TC</v>
          </cell>
          <cell r="AG84" t="str">
            <v>TC</v>
          </cell>
          <cell r="AH84" t="str">
            <v>TC</v>
          </cell>
          <cell r="AI84" t="str">
            <v>TC</v>
          </cell>
          <cell r="AJ84" t="str">
            <v>TC</v>
          </cell>
          <cell r="AK84" t="str">
            <v>TC</v>
          </cell>
          <cell r="AM84">
            <v>2</v>
          </cell>
          <cell r="AN84">
            <v>0</v>
          </cell>
          <cell r="AO84">
            <v>1</v>
          </cell>
          <cell r="AP84">
            <v>0</v>
          </cell>
          <cell r="AQ84">
            <v>0</v>
          </cell>
          <cell r="AR84">
            <v>0</v>
          </cell>
          <cell r="AS84">
            <v>0</v>
          </cell>
          <cell r="AT84">
            <v>1</v>
          </cell>
          <cell r="AU84">
            <v>0</v>
          </cell>
          <cell r="AV84">
            <v>9</v>
          </cell>
          <cell r="AW84">
            <v>0</v>
          </cell>
          <cell r="AX84">
            <v>2</v>
          </cell>
          <cell r="AY84">
            <v>3</v>
          </cell>
        </row>
        <row r="85">
          <cell r="C85">
            <v>1000255690</v>
          </cell>
          <cell r="D85" t="str">
            <v xml:space="preserve">MORENO CASTANEDA MELANY JULIETH </v>
          </cell>
          <cell r="E85" t="str">
            <v>EDNA BERNAL</v>
          </cell>
          <cell r="F85" t="str">
            <v>SEDE 1 - MANZANA LIEVANO - ALCALDÍA MAYOR</v>
          </cell>
          <cell r="G85" t="str">
            <v>11/12/2025</v>
          </cell>
          <cell r="H85" t="str">
            <v>TS</v>
          </cell>
          <cell r="I85" t="str">
            <v>TS</v>
          </cell>
          <cell r="J85" t="str">
            <v>TS</v>
          </cell>
          <cell r="K85" t="str">
            <v>TS</v>
          </cell>
          <cell r="L85" t="str">
            <v>TS</v>
          </cell>
          <cell r="M85" t="str">
            <v>TS</v>
          </cell>
          <cell r="N85" t="str">
            <v>TS</v>
          </cell>
          <cell r="O85" t="str">
            <v>TS</v>
          </cell>
          <cell r="P85" t="str">
            <v>TS</v>
          </cell>
          <cell r="Q85" t="str">
            <v>TS</v>
          </cell>
          <cell r="R85" t="str">
            <v>TS</v>
          </cell>
          <cell r="S85" t="str">
            <v>TS</v>
          </cell>
          <cell r="T85" t="str">
            <v>TS</v>
          </cell>
          <cell r="U85" t="str">
            <v>TS</v>
          </cell>
          <cell r="V85" t="str">
            <v>TS</v>
          </cell>
          <cell r="W85" t="str">
            <v>TS</v>
          </cell>
          <cell r="X85" t="str">
            <v>TS</v>
          </cell>
          <cell r="Y85" t="str">
            <v>TS</v>
          </cell>
          <cell r="Z85" t="str">
            <v>TS</v>
          </cell>
          <cell r="AA85" t="str">
            <v>OK</v>
          </cell>
          <cell r="AB85" t="str">
            <v>OK</v>
          </cell>
          <cell r="AC85" t="str">
            <v>OK</v>
          </cell>
          <cell r="AD85">
            <v>0</v>
          </cell>
          <cell r="AE85">
            <v>0</v>
          </cell>
          <cell r="AF85">
            <v>0</v>
          </cell>
          <cell r="AG85">
            <v>0</v>
          </cell>
          <cell r="AH85">
            <v>0</v>
          </cell>
          <cell r="AI85">
            <v>0</v>
          </cell>
          <cell r="AJ85">
            <v>0</v>
          </cell>
          <cell r="AK85">
            <v>0</v>
          </cell>
          <cell r="AM85">
            <v>0</v>
          </cell>
          <cell r="AN85">
            <v>0</v>
          </cell>
          <cell r="AO85">
            <v>0</v>
          </cell>
          <cell r="AP85">
            <v>0</v>
          </cell>
          <cell r="AQ85">
            <v>0</v>
          </cell>
          <cell r="AR85">
            <v>0</v>
          </cell>
          <cell r="AS85">
            <v>0</v>
          </cell>
          <cell r="AT85">
            <v>0</v>
          </cell>
          <cell r="AU85">
            <v>0</v>
          </cell>
          <cell r="AV85">
            <v>0</v>
          </cell>
          <cell r="AW85">
            <v>0</v>
          </cell>
          <cell r="AX85">
            <v>3</v>
          </cell>
          <cell r="AY85">
            <v>3</v>
          </cell>
        </row>
        <row r="86">
          <cell r="C86">
            <v>66834181</v>
          </cell>
          <cell r="D86" t="str">
            <v xml:space="preserve">CHACON MIRIAN PATRICIA </v>
          </cell>
          <cell r="E86" t="str">
            <v>EDNA BERNAL</v>
          </cell>
          <cell r="F86" t="str">
            <v xml:space="preserve">SEDE 2- DIRECCIÓN DISTRITAL DE ARCHIVO DE  BOGOTA </v>
          </cell>
          <cell r="G86" t="str">
            <v/>
          </cell>
          <cell r="H86" t="str">
            <v>TS</v>
          </cell>
          <cell r="I86" t="str">
            <v>TS</v>
          </cell>
          <cell r="J86" t="str">
            <v>TS</v>
          </cell>
          <cell r="K86" t="str">
            <v>TS</v>
          </cell>
          <cell r="L86" t="str">
            <v>TS</v>
          </cell>
          <cell r="M86" t="str">
            <v>TS</v>
          </cell>
          <cell r="N86" t="str">
            <v>TS</v>
          </cell>
          <cell r="O86" t="str">
            <v>TS</v>
          </cell>
          <cell r="P86" t="str">
            <v>TS</v>
          </cell>
          <cell r="Q86" t="str">
            <v>TS</v>
          </cell>
          <cell r="R86" t="str">
            <v>TS</v>
          </cell>
          <cell r="S86" t="str">
            <v>TS</v>
          </cell>
          <cell r="T86" t="str">
            <v>TS</v>
          </cell>
          <cell r="U86" t="str">
            <v>TS</v>
          </cell>
          <cell r="V86" t="str">
            <v>TS</v>
          </cell>
          <cell r="W86" t="str">
            <v>TS</v>
          </cell>
          <cell r="X86" t="str">
            <v>OK</v>
          </cell>
          <cell r="Y86" t="str">
            <v>REN</v>
          </cell>
          <cell r="Z86" t="str">
            <v>REN</v>
          </cell>
          <cell r="AA86" t="str">
            <v>REN</v>
          </cell>
          <cell r="AB86" t="str">
            <v>REN</v>
          </cell>
          <cell r="AC86" t="str">
            <v>REN</v>
          </cell>
          <cell r="AD86" t="str">
            <v>REN</v>
          </cell>
          <cell r="AE86" t="str">
            <v>REN</v>
          </cell>
          <cell r="AF86" t="str">
            <v>REN</v>
          </cell>
          <cell r="AG86" t="str">
            <v>REN</v>
          </cell>
          <cell r="AH86" t="str">
            <v>REN</v>
          </cell>
          <cell r="AI86" t="str">
            <v>REN</v>
          </cell>
          <cell r="AJ86" t="str">
            <v>REN</v>
          </cell>
          <cell r="AK86" t="str">
            <v>REN</v>
          </cell>
          <cell r="AM86">
            <v>0</v>
          </cell>
          <cell r="AN86">
            <v>0</v>
          </cell>
          <cell r="AO86">
            <v>0</v>
          </cell>
          <cell r="AP86">
            <v>0</v>
          </cell>
          <cell r="AQ86">
            <v>0</v>
          </cell>
          <cell r="AR86">
            <v>0</v>
          </cell>
          <cell r="AS86">
            <v>0</v>
          </cell>
          <cell r="AT86">
            <v>0</v>
          </cell>
          <cell r="AU86">
            <v>13</v>
          </cell>
          <cell r="AV86">
            <v>0</v>
          </cell>
          <cell r="AW86">
            <v>0</v>
          </cell>
          <cell r="AX86">
            <v>1</v>
          </cell>
          <cell r="AY86">
            <v>1</v>
          </cell>
        </row>
        <row r="87">
          <cell r="C87">
            <v>1016049175</v>
          </cell>
          <cell r="D87" t="str">
            <v xml:space="preserve">TAO ULTENGO CESAR MAURICIO </v>
          </cell>
          <cell r="E87" t="str">
            <v>EDNA BERNAL</v>
          </cell>
          <cell r="F87" t="str">
            <v>SEDE 1 - MANZANA LIEVANO - ALCALDÍA MAYOR</v>
          </cell>
          <cell r="G87" t="str">
            <v>18/10/2025</v>
          </cell>
          <cell r="H87" t="str">
            <v>TS</v>
          </cell>
          <cell r="I87" t="str">
            <v>TS</v>
          </cell>
          <cell r="J87" t="str">
            <v>TS</v>
          </cell>
          <cell r="K87" t="str">
            <v>TS</v>
          </cell>
          <cell r="L87" t="str">
            <v>TS</v>
          </cell>
          <cell r="M87" t="str">
            <v>TS</v>
          </cell>
          <cell r="N87" t="str">
            <v>TS</v>
          </cell>
          <cell r="O87" t="str">
            <v>TS</v>
          </cell>
          <cell r="P87" t="str">
            <v>TS</v>
          </cell>
          <cell r="Q87" t="str">
            <v>TS</v>
          </cell>
          <cell r="R87" t="str">
            <v>TS</v>
          </cell>
          <cell r="S87" t="str">
            <v>TS</v>
          </cell>
          <cell r="T87" t="str">
            <v>TS</v>
          </cell>
          <cell r="U87" t="str">
            <v>TS</v>
          </cell>
          <cell r="V87" t="str">
            <v>TS</v>
          </cell>
          <cell r="W87" t="str">
            <v>TS</v>
          </cell>
          <cell r="X87" t="str">
            <v>TS</v>
          </cell>
          <cell r="Y87" t="str">
            <v>OK</v>
          </cell>
          <cell r="Z87" t="str">
            <v>D</v>
          </cell>
          <cell r="AA87" t="str">
            <v>OK</v>
          </cell>
          <cell r="AB87" t="str">
            <v>OK</v>
          </cell>
          <cell r="AC87" t="str">
            <v>OK</v>
          </cell>
          <cell r="AD87">
            <v>0</v>
          </cell>
          <cell r="AE87">
            <v>0</v>
          </cell>
          <cell r="AF87">
            <v>0</v>
          </cell>
          <cell r="AG87">
            <v>0</v>
          </cell>
          <cell r="AH87">
            <v>0</v>
          </cell>
          <cell r="AI87">
            <v>0</v>
          </cell>
          <cell r="AJ87">
            <v>0</v>
          </cell>
          <cell r="AK87">
            <v>0</v>
          </cell>
          <cell r="AM87">
            <v>0</v>
          </cell>
          <cell r="AN87">
            <v>0</v>
          </cell>
          <cell r="AO87">
            <v>1</v>
          </cell>
          <cell r="AP87">
            <v>0</v>
          </cell>
          <cell r="AQ87">
            <v>0</v>
          </cell>
          <cell r="AR87">
            <v>0</v>
          </cell>
          <cell r="AS87">
            <v>0</v>
          </cell>
          <cell r="AT87">
            <v>0</v>
          </cell>
          <cell r="AU87">
            <v>0</v>
          </cell>
          <cell r="AV87">
            <v>0</v>
          </cell>
          <cell r="AW87">
            <v>0</v>
          </cell>
          <cell r="AX87">
            <v>4</v>
          </cell>
          <cell r="AY87">
            <v>5</v>
          </cell>
        </row>
        <row r="88">
          <cell r="C88">
            <v>1028860401</v>
          </cell>
          <cell r="D88" t="str">
            <v xml:space="preserve">VEGA MANFULA YEYSON YOTSUA </v>
          </cell>
          <cell r="E88" t="str">
            <v>EDNA BERNAL</v>
          </cell>
          <cell r="F88" t="str">
            <v>SEDE 3 - IMPRENTA DISTRITAL</v>
          </cell>
          <cell r="G88" t="str">
            <v>18/10/2025</v>
          </cell>
          <cell r="H88" t="str">
            <v>TS</v>
          </cell>
          <cell r="I88" t="str">
            <v>TS</v>
          </cell>
          <cell r="J88" t="str">
            <v>TS</v>
          </cell>
          <cell r="K88" t="str">
            <v>TS</v>
          </cell>
          <cell r="L88" t="str">
            <v>TS</v>
          </cell>
          <cell r="M88" t="str">
            <v>TS</v>
          </cell>
          <cell r="N88" t="str">
            <v>TS</v>
          </cell>
          <cell r="O88" t="str">
            <v>TS</v>
          </cell>
          <cell r="P88" t="str">
            <v>TS</v>
          </cell>
          <cell r="Q88" t="str">
            <v>TS</v>
          </cell>
          <cell r="R88" t="str">
            <v>TS</v>
          </cell>
          <cell r="S88" t="str">
            <v>TS</v>
          </cell>
          <cell r="T88" t="str">
            <v>TS</v>
          </cell>
          <cell r="U88" t="str">
            <v>OK</v>
          </cell>
          <cell r="V88" t="str">
            <v>OK</v>
          </cell>
          <cell r="W88" t="str">
            <v>OK</v>
          </cell>
          <cell r="X88" t="str">
            <v>OK</v>
          </cell>
          <cell r="Y88" t="str">
            <v>OK</v>
          </cell>
          <cell r="Z88" t="str">
            <v>D</v>
          </cell>
          <cell r="AA88" t="str">
            <v>OK</v>
          </cell>
          <cell r="AB88" t="str">
            <v>OK</v>
          </cell>
          <cell r="AC88" t="str">
            <v>OK</v>
          </cell>
          <cell r="AD88">
            <v>0</v>
          </cell>
          <cell r="AE88">
            <v>0</v>
          </cell>
          <cell r="AF88">
            <v>0</v>
          </cell>
          <cell r="AG88">
            <v>0</v>
          </cell>
          <cell r="AH88">
            <v>0</v>
          </cell>
          <cell r="AI88">
            <v>0</v>
          </cell>
          <cell r="AJ88">
            <v>0</v>
          </cell>
          <cell r="AK88">
            <v>0</v>
          </cell>
          <cell r="AM88">
            <v>0</v>
          </cell>
          <cell r="AN88">
            <v>0</v>
          </cell>
          <cell r="AO88">
            <v>1</v>
          </cell>
          <cell r="AP88">
            <v>0</v>
          </cell>
          <cell r="AQ88">
            <v>0</v>
          </cell>
          <cell r="AR88">
            <v>0</v>
          </cell>
          <cell r="AS88">
            <v>0</v>
          </cell>
          <cell r="AT88">
            <v>0</v>
          </cell>
          <cell r="AU88">
            <v>0</v>
          </cell>
          <cell r="AV88">
            <v>0</v>
          </cell>
          <cell r="AW88">
            <v>0</v>
          </cell>
          <cell r="AX88">
            <v>8</v>
          </cell>
          <cell r="AY88">
            <v>9</v>
          </cell>
        </row>
        <row r="89">
          <cell r="C89">
            <v>1007538618</v>
          </cell>
          <cell r="D89" t="str">
            <v xml:space="preserve">PALACIOS SEVILLA SIRLEY  </v>
          </cell>
          <cell r="E89" t="str">
            <v>EDNA BERNAL</v>
          </cell>
          <cell r="F89" t="str">
            <v xml:space="preserve">SEDE 2- DIRECCIÓN DISTRITAL DE ARCHIVO DE  BOGOTA </v>
          </cell>
          <cell r="G89" t="str">
            <v>23/04/2026</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t="str">
            <v>OK</v>
          </cell>
          <cell r="AE89" t="str">
            <v>OK</v>
          </cell>
          <cell r="AF89" t="str">
            <v>OK</v>
          </cell>
          <cell r="AG89" t="str">
            <v>D</v>
          </cell>
          <cell r="AH89">
            <v>0</v>
          </cell>
          <cell r="AI89">
            <v>0</v>
          </cell>
          <cell r="AJ89">
            <v>0</v>
          </cell>
          <cell r="AK89">
            <v>0</v>
          </cell>
          <cell r="AM89">
            <v>0</v>
          </cell>
          <cell r="AN89">
            <v>0</v>
          </cell>
          <cell r="AO89">
            <v>1</v>
          </cell>
          <cell r="AP89">
            <v>0</v>
          </cell>
          <cell r="AQ89">
            <v>0</v>
          </cell>
          <cell r="AR89">
            <v>0</v>
          </cell>
          <cell r="AS89">
            <v>0</v>
          </cell>
          <cell r="AT89">
            <v>0</v>
          </cell>
          <cell r="AU89">
            <v>0</v>
          </cell>
          <cell r="AV89">
            <v>0</v>
          </cell>
          <cell r="AW89">
            <v>0</v>
          </cell>
          <cell r="AX89">
            <v>3</v>
          </cell>
          <cell r="AY89">
            <v>4</v>
          </cell>
        </row>
        <row r="90">
          <cell r="C90">
            <v>1010219099</v>
          </cell>
          <cell r="D90" t="str">
            <v xml:space="preserve">QUINTERO  YENNY KATHERINE </v>
          </cell>
          <cell r="E90" t="str">
            <v>EDNA BERNAL</v>
          </cell>
          <cell r="F90" t="str">
            <v>SEDE 1 - MANZANA LIEVANO - ALCALDÍA MAYOR</v>
          </cell>
          <cell r="G90" t="str">
            <v>18/10/2025</v>
          </cell>
          <cell r="H90" t="str">
            <v>TS</v>
          </cell>
          <cell r="I90" t="str">
            <v>TS</v>
          </cell>
          <cell r="J90" t="str">
            <v>TS</v>
          </cell>
          <cell r="K90" t="str">
            <v>TS</v>
          </cell>
          <cell r="L90" t="str">
            <v>TS</v>
          </cell>
          <cell r="M90" t="str">
            <v>TS</v>
          </cell>
          <cell r="N90" t="str">
            <v>TS</v>
          </cell>
          <cell r="O90" t="str">
            <v>TS</v>
          </cell>
          <cell r="P90" t="str">
            <v>TS</v>
          </cell>
          <cell r="Q90" t="str">
            <v>TS</v>
          </cell>
          <cell r="R90" t="str">
            <v>TS</v>
          </cell>
          <cell r="S90" t="str">
            <v>TS</v>
          </cell>
          <cell r="T90" t="str">
            <v>TS</v>
          </cell>
          <cell r="U90" t="str">
            <v>TS</v>
          </cell>
          <cell r="V90" t="str">
            <v>TS</v>
          </cell>
          <cell r="W90" t="str">
            <v>TS</v>
          </cell>
          <cell r="X90" t="str">
            <v>TS</v>
          </cell>
          <cell r="Y90" t="str">
            <v>TS</v>
          </cell>
          <cell r="Z90" t="str">
            <v>TS</v>
          </cell>
          <cell r="AA90" t="str">
            <v>TS</v>
          </cell>
          <cell r="AB90" t="str">
            <v>TS</v>
          </cell>
          <cell r="AC90" t="str">
            <v>TS</v>
          </cell>
          <cell r="AD90" t="str">
            <v>OK</v>
          </cell>
          <cell r="AE90" t="str">
            <v>OK</v>
          </cell>
          <cell r="AF90" t="str">
            <v>OK</v>
          </cell>
          <cell r="AG90" t="str">
            <v>D</v>
          </cell>
          <cell r="AH90">
            <v>0</v>
          </cell>
          <cell r="AI90">
            <v>0</v>
          </cell>
          <cell r="AJ90">
            <v>0</v>
          </cell>
          <cell r="AK90">
            <v>0</v>
          </cell>
          <cell r="AM90">
            <v>0</v>
          </cell>
          <cell r="AN90">
            <v>0</v>
          </cell>
          <cell r="AO90">
            <v>1</v>
          </cell>
          <cell r="AP90">
            <v>0</v>
          </cell>
          <cell r="AQ90">
            <v>0</v>
          </cell>
          <cell r="AR90">
            <v>0</v>
          </cell>
          <cell r="AS90">
            <v>0</v>
          </cell>
          <cell r="AT90">
            <v>0</v>
          </cell>
          <cell r="AU90">
            <v>0</v>
          </cell>
          <cell r="AV90">
            <v>0</v>
          </cell>
          <cell r="AW90">
            <v>0</v>
          </cell>
          <cell r="AX90">
            <v>3</v>
          </cell>
          <cell r="AY90">
            <v>4</v>
          </cell>
        </row>
        <row r="91">
          <cell r="C91">
            <v>1128053736</v>
          </cell>
          <cell r="D91" t="str">
            <v xml:space="preserve">PAJARO PANIZZA MARIANA DEJESUS </v>
          </cell>
          <cell r="E91" t="str">
            <v>EDNA BERNAL</v>
          </cell>
          <cell r="F91" t="str">
            <v>SEDE 1 - MANZANA LIEVANO - ALCALDÍA MAYOR</v>
          </cell>
          <cell r="G91" t="str">
            <v>18/10/2025</v>
          </cell>
          <cell r="H91" t="str">
            <v>TS</v>
          </cell>
          <cell r="I91" t="str">
            <v>TS</v>
          </cell>
          <cell r="J91" t="str">
            <v>TS</v>
          </cell>
          <cell r="K91" t="str">
            <v>TS</v>
          </cell>
          <cell r="L91" t="str">
            <v>TS</v>
          </cell>
          <cell r="M91" t="str">
            <v>TS</v>
          </cell>
          <cell r="N91" t="str">
            <v>TS</v>
          </cell>
          <cell r="O91" t="str">
            <v>TS</v>
          </cell>
          <cell r="P91" t="str">
            <v>TS</v>
          </cell>
          <cell r="Q91" t="str">
            <v>TS</v>
          </cell>
          <cell r="R91" t="str">
            <v>TS</v>
          </cell>
          <cell r="S91" t="str">
            <v>TS</v>
          </cell>
          <cell r="T91" t="str">
            <v>TS</v>
          </cell>
          <cell r="U91" t="str">
            <v>TS</v>
          </cell>
          <cell r="V91" t="str">
            <v>TS</v>
          </cell>
          <cell r="W91" t="str">
            <v>TS</v>
          </cell>
          <cell r="X91" t="str">
            <v>TS</v>
          </cell>
          <cell r="Y91" t="str">
            <v>TS</v>
          </cell>
          <cell r="Z91" t="str">
            <v>TS</v>
          </cell>
          <cell r="AA91" t="str">
            <v>TS</v>
          </cell>
          <cell r="AB91" t="str">
            <v>TS</v>
          </cell>
          <cell r="AC91" t="str">
            <v>TS</v>
          </cell>
          <cell r="AD91" t="str">
            <v>OK</v>
          </cell>
          <cell r="AE91" t="str">
            <v>OK</v>
          </cell>
          <cell r="AF91" t="str">
            <v>OK</v>
          </cell>
          <cell r="AG91" t="str">
            <v>D</v>
          </cell>
          <cell r="AH91">
            <v>0</v>
          </cell>
          <cell r="AI91">
            <v>0</v>
          </cell>
          <cell r="AJ91">
            <v>0</v>
          </cell>
          <cell r="AK91">
            <v>0</v>
          </cell>
          <cell r="AM91">
            <v>0</v>
          </cell>
          <cell r="AN91">
            <v>0</v>
          </cell>
          <cell r="AO91">
            <v>1</v>
          </cell>
          <cell r="AP91">
            <v>0</v>
          </cell>
          <cell r="AQ91">
            <v>0</v>
          </cell>
          <cell r="AR91">
            <v>0</v>
          </cell>
          <cell r="AS91">
            <v>0</v>
          </cell>
          <cell r="AT91">
            <v>0</v>
          </cell>
          <cell r="AU91">
            <v>0</v>
          </cell>
          <cell r="AV91">
            <v>0</v>
          </cell>
          <cell r="AW91">
            <v>0</v>
          </cell>
          <cell r="AX91">
            <v>3</v>
          </cell>
          <cell r="AY91">
            <v>4</v>
          </cell>
        </row>
        <row r="92">
          <cell r="C92">
            <v>1023882611</v>
          </cell>
          <cell r="D92" t="str">
            <v xml:space="preserve">RODRIGUEZ ZEA CINDY YAZMIN </v>
          </cell>
          <cell r="E92" t="str">
            <v>EDNA BERNAL</v>
          </cell>
          <cell r="F92" t="str">
            <v>SEDE 1 - MANZANA LIEVANO - ALCALDÍA MAYOR</v>
          </cell>
          <cell r="G92" t="str">
            <v>18/10/2025</v>
          </cell>
          <cell r="H92" t="str">
            <v>TS</v>
          </cell>
          <cell r="I92" t="str">
            <v>TS</v>
          </cell>
          <cell r="J92" t="str">
            <v>TS</v>
          </cell>
          <cell r="K92" t="str">
            <v>TS</v>
          </cell>
          <cell r="L92" t="str">
            <v>TS</v>
          </cell>
          <cell r="M92" t="str">
            <v>TS</v>
          </cell>
          <cell r="N92" t="str">
            <v>TS</v>
          </cell>
          <cell r="O92" t="str">
            <v>TS</v>
          </cell>
          <cell r="P92" t="str">
            <v>TS</v>
          </cell>
          <cell r="Q92" t="str">
            <v>TS</v>
          </cell>
          <cell r="R92" t="str">
            <v>TS</v>
          </cell>
          <cell r="S92" t="str">
            <v>TS</v>
          </cell>
          <cell r="T92" t="str">
            <v>TS</v>
          </cell>
          <cell r="U92" t="str">
            <v>TS</v>
          </cell>
          <cell r="V92" t="str">
            <v>TS</v>
          </cell>
          <cell r="W92" t="str">
            <v>TS</v>
          </cell>
          <cell r="X92" t="str">
            <v>TS</v>
          </cell>
          <cell r="Y92" t="str">
            <v>TS</v>
          </cell>
          <cell r="Z92" t="str">
            <v>TS</v>
          </cell>
          <cell r="AA92" t="str">
            <v>TS</v>
          </cell>
          <cell r="AB92" t="str">
            <v>TS</v>
          </cell>
          <cell r="AC92" t="str">
            <v>TS</v>
          </cell>
          <cell r="AD92" t="str">
            <v>OK</v>
          </cell>
          <cell r="AE92" t="str">
            <v>OK</v>
          </cell>
          <cell r="AF92" t="str">
            <v>OK</v>
          </cell>
          <cell r="AG92" t="str">
            <v>D</v>
          </cell>
          <cell r="AH92">
            <v>0</v>
          </cell>
          <cell r="AI92">
            <v>0</v>
          </cell>
          <cell r="AJ92">
            <v>0</v>
          </cell>
          <cell r="AK92">
            <v>0</v>
          </cell>
          <cell r="AM92">
            <v>0</v>
          </cell>
          <cell r="AN92">
            <v>0</v>
          </cell>
          <cell r="AO92">
            <v>1</v>
          </cell>
          <cell r="AP92">
            <v>0</v>
          </cell>
          <cell r="AQ92">
            <v>0</v>
          </cell>
          <cell r="AR92">
            <v>0</v>
          </cell>
          <cell r="AS92">
            <v>0</v>
          </cell>
          <cell r="AT92">
            <v>0</v>
          </cell>
          <cell r="AU92">
            <v>0</v>
          </cell>
          <cell r="AV92">
            <v>0</v>
          </cell>
          <cell r="AW92">
            <v>0</v>
          </cell>
          <cell r="AX92">
            <v>3</v>
          </cell>
          <cell r="AY92">
            <v>4</v>
          </cell>
        </row>
        <row r="93">
          <cell r="AM93">
            <v>5</v>
          </cell>
          <cell r="AN93">
            <v>0</v>
          </cell>
          <cell r="AO93">
            <v>378</v>
          </cell>
          <cell r="AP93">
            <v>27</v>
          </cell>
          <cell r="AQ93">
            <v>0</v>
          </cell>
          <cell r="AR93">
            <v>0</v>
          </cell>
          <cell r="AS93">
            <v>0</v>
          </cell>
          <cell r="AT93">
            <v>6</v>
          </cell>
          <cell r="AU93">
            <v>29</v>
          </cell>
          <cell r="AV93">
            <v>9</v>
          </cell>
          <cell r="AW93">
            <v>10</v>
          </cell>
          <cell r="AX93">
            <v>1238</v>
          </cell>
          <cell r="AY93">
            <v>1616</v>
          </cell>
        </row>
      </sheetData>
      <sheetData sheetId="19">
        <row r="9">
          <cell r="C9">
            <v>28115434</v>
          </cell>
          <cell r="D9" t="str">
            <v xml:space="preserve">CAMACHO TORRES MARIA EDILIA </v>
          </cell>
          <cell r="E9">
            <v>0</v>
          </cell>
          <cell r="F9" t="str">
            <v xml:space="preserve">SUPERCADE 20 DE JULIO </v>
          </cell>
          <cell r="G9" t="str">
            <v>18/10/2025</v>
          </cell>
          <cell r="H9" t="str">
            <v>OK</v>
          </cell>
          <cell r="I9" t="str">
            <v>OK</v>
          </cell>
          <cell r="J9" t="str">
            <v>OK</v>
          </cell>
          <cell r="K9" t="str">
            <v>OK</v>
          </cell>
          <cell r="L9" t="str">
            <v>OK</v>
          </cell>
          <cell r="M9" t="str">
            <v>OK</v>
          </cell>
          <cell r="N9" t="str">
            <v>OK</v>
          </cell>
          <cell r="O9" t="str">
            <v>OK</v>
          </cell>
          <cell r="P9" t="str">
            <v>OK</v>
          </cell>
          <cell r="Q9" t="str">
            <v>ok</v>
          </cell>
          <cell r="R9" t="str">
            <v>OK</v>
          </cell>
          <cell r="S9" t="str">
            <v>OK</v>
          </cell>
          <cell r="T9" t="str">
            <v>OK</v>
          </cell>
          <cell r="U9" t="str">
            <v>OK</v>
          </cell>
          <cell r="V9" t="str">
            <v>OK</v>
          </cell>
          <cell r="W9" t="str">
            <v>OK</v>
          </cell>
          <cell r="X9" t="str">
            <v>OK</v>
          </cell>
          <cell r="Y9" t="str">
            <v>OK</v>
          </cell>
          <cell r="Z9" t="str">
            <v>OK</v>
          </cell>
          <cell r="AA9" t="str">
            <v>OK</v>
          </cell>
          <cell r="AB9" t="str">
            <v>OK</v>
          </cell>
          <cell r="AC9" t="str">
            <v>OK</v>
          </cell>
          <cell r="AD9">
            <v>0</v>
          </cell>
          <cell r="AE9">
            <v>0</v>
          </cell>
          <cell r="AF9">
            <v>0</v>
          </cell>
          <cell r="AG9">
            <v>0</v>
          </cell>
          <cell r="AH9">
            <v>0</v>
          </cell>
          <cell r="AI9">
            <v>0</v>
          </cell>
          <cell r="AJ9">
            <v>0</v>
          </cell>
          <cell r="AK9">
            <v>0</v>
          </cell>
          <cell r="AM9">
            <v>0</v>
          </cell>
          <cell r="AN9">
            <v>0</v>
          </cell>
          <cell r="AO9">
            <v>0</v>
          </cell>
          <cell r="AP9">
            <v>0</v>
          </cell>
          <cell r="AQ9">
            <v>0</v>
          </cell>
          <cell r="AR9">
            <v>0</v>
          </cell>
          <cell r="AS9">
            <v>0</v>
          </cell>
          <cell r="AT9">
            <v>0</v>
          </cell>
          <cell r="AU9">
            <v>0</v>
          </cell>
          <cell r="AV9">
            <v>0</v>
          </cell>
          <cell r="AW9">
            <v>0</v>
          </cell>
          <cell r="AX9">
            <v>22</v>
          </cell>
          <cell r="AY9">
            <v>22</v>
          </cell>
        </row>
        <row r="10">
          <cell r="C10">
            <v>52112939</v>
          </cell>
          <cell r="D10" t="str">
            <v xml:space="preserve">CHAPARRO MORA GLORIA ESPERANZA </v>
          </cell>
          <cell r="E10">
            <v>0</v>
          </cell>
          <cell r="F10" t="str">
            <v xml:space="preserve">SUPERCADE 20 DE JULIO </v>
          </cell>
          <cell r="G10" t="str">
            <v>18/10/2025</v>
          </cell>
          <cell r="H10" t="str">
            <v>OK</v>
          </cell>
          <cell r="I10" t="str">
            <v>OK</v>
          </cell>
          <cell r="J10" t="str">
            <v>OK</v>
          </cell>
          <cell r="K10" t="str">
            <v>OK</v>
          </cell>
          <cell r="L10" t="str">
            <v>OK</v>
          </cell>
          <cell r="M10" t="str">
            <v>OK</v>
          </cell>
          <cell r="N10" t="str">
            <v>OK</v>
          </cell>
          <cell r="O10" t="str">
            <v>OK</v>
          </cell>
          <cell r="P10" t="str">
            <v>OK</v>
          </cell>
          <cell r="Q10" t="str">
            <v>OK</v>
          </cell>
          <cell r="R10" t="str">
            <v>OK</v>
          </cell>
          <cell r="S10" t="str">
            <v>OK</v>
          </cell>
          <cell r="T10" t="str">
            <v>OK</v>
          </cell>
          <cell r="U10" t="str">
            <v>OK</v>
          </cell>
          <cell r="V10" t="str">
            <v>OK</v>
          </cell>
          <cell r="W10" t="str">
            <v>OK</v>
          </cell>
          <cell r="X10" t="str">
            <v>OK</v>
          </cell>
          <cell r="Y10" t="str">
            <v>OK</v>
          </cell>
          <cell r="Z10" t="str">
            <v>OK</v>
          </cell>
          <cell r="AA10" t="str">
            <v>OK</v>
          </cell>
          <cell r="AB10" t="str">
            <v>OK</v>
          </cell>
          <cell r="AC10" t="str">
            <v>OK</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22</v>
          </cell>
          <cell r="AY10">
            <v>22</v>
          </cell>
        </row>
        <row r="11">
          <cell r="C11">
            <v>1023016053</v>
          </cell>
          <cell r="D11" t="str">
            <v xml:space="preserve">CRISTANCHO ZUNIGA SANDRA JINETH </v>
          </cell>
          <cell r="E11">
            <v>0</v>
          </cell>
          <cell r="F11" t="str">
            <v xml:space="preserve">SUPERCADE 20 DE JULIO </v>
          </cell>
          <cell r="G11" t="str">
            <v>18/10/2025</v>
          </cell>
          <cell r="H11" t="str">
            <v>OK</v>
          </cell>
          <cell r="I11" t="str">
            <v>OK</v>
          </cell>
          <cell r="J11" t="str">
            <v>OK</v>
          </cell>
          <cell r="K11" t="str">
            <v>OK</v>
          </cell>
          <cell r="L11" t="str">
            <v>OK</v>
          </cell>
          <cell r="M11" t="str">
            <v>OK</v>
          </cell>
          <cell r="N11" t="str">
            <v>OK</v>
          </cell>
          <cell r="O11" t="str">
            <v>OK</v>
          </cell>
          <cell r="P11" t="str">
            <v>OK</v>
          </cell>
          <cell r="Q11" t="str">
            <v>OK</v>
          </cell>
          <cell r="R11" t="str">
            <v>OK</v>
          </cell>
          <cell r="S11" t="str">
            <v>OK</v>
          </cell>
          <cell r="T11" t="str">
            <v>OK</v>
          </cell>
          <cell r="U11" t="str">
            <v>OK</v>
          </cell>
          <cell r="V11" t="str">
            <v>OK</v>
          </cell>
          <cell r="W11" t="str">
            <v>OK</v>
          </cell>
          <cell r="X11" t="str">
            <v>OK</v>
          </cell>
          <cell r="Y11" t="str">
            <v>OK</v>
          </cell>
          <cell r="Z11" t="str">
            <v>OK</v>
          </cell>
          <cell r="AA11" t="str">
            <v>OK</v>
          </cell>
          <cell r="AB11" t="str">
            <v>OK</v>
          </cell>
          <cell r="AC11" t="str">
            <v>OK</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22</v>
          </cell>
          <cell r="AY11">
            <v>22</v>
          </cell>
        </row>
        <row r="12">
          <cell r="C12">
            <v>52122597</v>
          </cell>
          <cell r="D12" t="str">
            <v xml:space="preserve">ARAQUE SILVA MIRYAM  </v>
          </cell>
          <cell r="E12">
            <v>0</v>
          </cell>
          <cell r="F12" t="str">
            <v xml:space="preserve">SUPERCADE 20 DE JULIO </v>
          </cell>
          <cell r="G12" t="str">
            <v>18/10/2025</v>
          </cell>
          <cell r="H12" t="str">
            <v>OK</v>
          </cell>
          <cell r="I12" t="str">
            <v>OK</v>
          </cell>
          <cell r="J12" t="str">
            <v>OK</v>
          </cell>
          <cell r="K12" t="str">
            <v>OK</v>
          </cell>
          <cell r="L12" t="str">
            <v>OK</v>
          </cell>
          <cell r="M12" t="str">
            <v>OK</v>
          </cell>
          <cell r="N12" t="str">
            <v>OK</v>
          </cell>
          <cell r="O12" t="str">
            <v>OK</v>
          </cell>
          <cell r="P12" t="str">
            <v>OK</v>
          </cell>
          <cell r="Q12" t="str">
            <v>OK</v>
          </cell>
          <cell r="R12" t="str">
            <v>OK</v>
          </cell>
          <cell r="S12" t="str">
            <v>OK</v>
          </cell>
          <cell r="T12" t="str">
            <v>OK</v>
          </cell>
          <cell r="U12" t="str">
            <v>OK</v>
          </cell>
          <cell r="V12" t="str">
            <v>OK</v>
          </cell>
          <cell r="W12" t="str">
            <v>OK</v>
          </cell>
          <cell r="X12" t="str">
            <v>OK</v>
          </cell>
          <cell r="Y12" t="str">
            <v>OK</v>
          </cell>
          <cell r="Z12" t="str">
            <v>OK</v>
          </cell>
          <cell r="AA12" t="str">
            <v>OK</v>
          </cell>
          <cell r="AB12" t="str">
            <v>OK</v>
          </cell>
          <cell r="AC12" t="str">
            <v>OK</v>
          </cell>
          <cell r="AD12">
            <v>0</v>
          </cell>
          <cell r="AE12">
            <v>0</v>
          </cell>
          <cell r="AF12">
            <v>0</v>
          </cell>
          <cell r="AG12">
            <v>0</v>
          </cell>
          <cell r="AH12">
            <v>0</v>
          </cell>
          <cell r="AI12">
            <v>0</v>
          </cell>
          <cell r="AJ12">
            <v>0</v>
          </cell>
          <cell r="AK12">
            <v>0</v>
          </cell>
          <cell r="AM12">
            <v>0</v>
          </cell>
          <cell r="AN12">
            <v>0</v>
          </cell>
          <cell r="AO12">
            <v>0</v>
          </cell>
          <cell r="AP12">
            <v>0</v>
          </cell>
          <cell r="AQ12">
            <v>0</v>
          </cell>
          <cell r="AR12">
            <v>0</v>
          </cell>
          <cell r="AS12">
            <v>0</v>
          </cell>
          <cell r="AT12">
            <v>0</v>
          </cell>
          <cell r="AU12">
            <v>0</v>
          </cell>
          <cell r="AV12">
            <v>0</v>
          </cell>
          <cell r="AW12">
            <v>0</v>
          </cell>
          <cell r="AX12">
            <v>22</v>
          </cell>
          <cell r="AY12">
            <v>22</v>
          </cell>
        </row>
        <row r="13">
          <cell r="C13">
            <v>1023891887</v>
          </cell>
          <cell r="D13" t="str">
            <v xml:space="preserve">CRUZ DIAZ KAREN DAYANA </v>
          </cell>
          <cell r="E13">
            <v>0</v>
          </cell>
          <cell r="F13" t="str">
            <v xml:space="preserve">SUPERCADE 20 DE JULIO </v>
          </cell>
          <cell r="G13" t="str">
            <v>18/10/2025</v>
          </cell>
          <cell r="H13" t="str">
            <v>OK</v>
          </cell>
          <cell r="I13" t="str">
            <v>OK</v>
          </cell>
          <cell r="J13" t="str">
            <v>OK</v>
          </cell>
          <cell r="K13" t="str">
            <v>OK</v>
          </cell>
          <cell r="L13" t="str">
            <v>OK</v>
          </cell>
          <cell r="M13" t="str">
            <v>OK</v>
          </cell>
          <cell r="N13" t="str">
            <v>OK</v>
          </cell>
          <cell r="O13" t="str">
            <v>OK</v>
          </cell>
          <cell r="P13" t="str">
            <v>OK</v>
          </cell>
          <cell r="Q13" t="str">
            <v>OK</v>
          </cell>
          <cell r="R13" t="str">
            <v>OK</v>
          </cell>
          <cell r="S13" t="str">
            <v>OK</v>
          </cell>
          <cell r="T13" t="str">
            <v>OK</v>
          </cell>
          <cell r="U13" t="str">
            <v>OK</v>
          </cell>
          <cell r="V13" t="str">
            <v>OK</v>
          </cell>
          <cell r="W13" t="str">
            <v>OK</v>
          </cell>
          <cell r="X13" t="str">
            <v>OK</v>
          </cell>
          <cell r="Y13" t="str">
            <v>OK</v>
          </cell>
          <cell r="Z13" t="str">
            <v>OK</v>
          </cell>
          <cell r="AA13" t="str">
            <v>OK</v>
          </cell>
          <cell r="AB13" t="str">
            <v>OK</v>
          </cell>
          <cell r="AC13" t="str">
            <v>OK</v>
          </cell>
          <cell r="AD13">
            <v>0</v>
          </cell>
          <cell r="AE13">
            <v>0</v>
          </cell>
          <cell r="AF13">
            <v>0</v>
          </cell>
          <cell r="AG13">
            <v>0</v>
          </cell>
          <cell r="AH13">
            <v>0</v>
          </cell>
          <cell r="AI13">
            <v>0</v>
          </cell>
          <cell r="AJ13">
            <v>0</v>
          </cell>
          <cell r="AK13">
            <v>0</v>
          </cell>
          <cell r="AM13">
            <v>0</v>
          </cell>
          <cell r="AN13">
            <v>0</v>
          </cell>
          <cell r="AO13">
            <v>0</v>
          </cell>
          <cell r="AP13">
            <v>0</v>
          </cell>
          <cell r="AQ13">
            <v>0</v>
          </cell>
          <cell r="AR13">
            <v>0</v>
          </cell>
          <cell r="AS13">
            <v>0</v>
          </cell>
          <cell r="AT13">
            <v>0</v>
          </cell>
          <cell r="AU13">
            <v>0</v>
          </cell>
          <cell r="AV13">
            <v>0</v>
          </cell>
          <cell r="AW13">
            <v>0</v>
          </cell>
          <cell r="AX13">
            <v>22</v>
          </cell>
          <cell r="AY13">
            <v>22</v>
          </cell>
        </row>
        <row r="14">
          <cell r="C14">
            <v>1087206496</v>
          </cell>
          <cell r="D14" t="str">
            <v xml:space="preserve">CASTILLO GONZALEZ JENIFER TATIANA </v>
          </cell>
          <cell r="E14">
            <v>0</v>
          </cell>
          <cell r="F14" t="str">
            <v xml:space="preserve">SUPERCADE 20 DE JULIO </v>
          </cell>
          <cell r="G14" t="str">
            <v>12/02/2026</v>
          </cell>
          <cell r="H14" t="str">
            <v>OK</v>
          </cell>
          <cell r="I14" t="str">
            <v>OK</v>
          </cell>
          <cell r="J14" t="str">
            <v>OK</v>
          </cell>
          <cell r="K14" t="str">
            <v>OK</v>
          </cell>
          <cell r="L14" t="str">
            <v>OK</v>
          </cell>
          <cell r="M14" t="str">
            <v>OK</v>
          </cell>
          <cell r="N14" t="str">
            <v>OK</v>
          </cell>
          <cell r="O14" t="str">
            <v>OK</v>
          </cell>
          <cell r="P14" t="str">
            <v>OK</v>
          </cell>
          <cell r="Q14" t="str">
            <v>OK</v>
          </cell>
          <cell r="R14" t="str">
            <v>OK</v>
          </cell>
          <cell r="S14" t="str">
            <v>OK</v>
          </cell>
          <cell r="T14" t="str">
            <v>OK</v>
          </cell>
          <cell r="U14" t="str">
            <v>OK</v>
          </cell>
          <cell r="V14" t="str">
            <v>OK</v>
          </cell>
          <cell r="W14" t="str">
            <v>OK</v>
          </cell>
          <cell r="X14" t="str">
            <v>OK</v>
          </cell>
          <cell r="Y14" t="str">
            <v>OK</v>
          </cell>
          <cell r="Z14" t="str">
            <v>OK</v>
          </cell>
          <cell r="AA14" t="str">
            <v>OK</v>
          </cell>
          <cell r="AB14" t="str">
            <v>OK</v>
          </cell>
          <cell r="AC14" t="str">
            <v>OK</v>
          </cell>
          <cell r="AD14">
            <v>0</v>
          </cell>
          <cell r="AE14">
            <v>0</v>
          </cell>
          <cell r="AF14">
            <v>0</v>
          </cell>
          <cell r="AG14">
            <v>0</v>
          </cell>
          <cell r="AH14">
            <v>0</v>
          </cell>
          <cell r="AI14">
            <v>0</v>
          </cell>
          <cell r="AJ14">
            <v>0</v>
          </cell>
          <cell r="AK14">
            <v>0</v>
          </cell>
          <cell r="AM14">
            <v>0</v>
          </cell>
          <cell r="AN14">
            <v>0</v>
          </cell>
          <cell r="AO14">
            <v>0</v>
          </cell>
          <cell r="AP14">
            <v>0</v>
          </cell>
          <cell r="AQ14">
            <v>0</v>
          </cell>
          <cell r="AR14">
            <v>0</v>
          </cell>
          <cell r="AS14">
            <v>0</v>
          </cell>
          <cell r="AT14">
            <v>0</v>
          </cell>
          <cell r="AU14">
            <v>0</v>
          </cell>
          <cell r="AV14">
            <v>0</v>
          </cell>
          <cell r="AW14">
            <v>0</v>
          </cell>
          <cell r="AX14">
            <v>22</v>
          </cell>
          <cell r="AY14">
            <v>22</v>
          </cell>
        </row>
        <row r="15">
          <cell r="C15">
            <v>1023950293</v>
          </cell>
          <cell r="D15" t="str">
            <v xml:space="preserve">MADRIGAL DIAZ LUIS ENRIQUE </v>
          </cell>
          <cell r="E15">
            <v>0</v>
          </cell>
          <cell r="F15" t="str">
            <v xml:space="preserve">SUPERCADE 20 DE JULIO </v>
          </cell>
          <cell r="G15" t="str">
            <v>18/10/2025</v>
          </cell>
          <cell r="H15" t="str">
            <v>OK</v>
          </cell>
          <cell r="I15" t="str">
            <v>OK</v>
          </cell>
          <cell r="J15" t="str">
            <v>OK</v>
          </cell>
          <cell r="K15" t="str">
            <v>OK</v>
          </cell>
          <cell r="L15" t="str">
            <v>OK</v>
          </cell>
          <cell r="M15" t="str">
            <v>OK</v>
          </cell>
          <cell r="N15" t="str">
            <v>OK</v>
          </cell>
          <cell r="O15" t="str">
            <v>OK</v>
          </cell>
          <cell r="P15" t="str">
            <v>OK</v>
          </cell>
          <cell r="Q15" t="str">
            <v>OK</v>
          </cell>
          <cell r="R15" t="str">
            <v>OK</v>
          </cell>
          <cell r="S15" t="str">
            <v>OK</v>
          </cell>
          <cell r="T15" t="str">
            <v>OK</v>
          </cell>
          <cell r="U15" t="str">
            <v>OK</v>
          </cell>
          <cell r="V15" t="str">
            <v>OK</v>
          </cell>
          <cell r="W15" t="str">
            <v>OK</v>
          </cell>
          <cell r="X15" t="str">
            <v>OK</v>
          </cell>
          <cell r="Y15" t="str">
            <v>OK</v>
          </cell>
          <cell r="Z15" t="str">
            <v>OK</v>
          </cell>
          <cell r="AA15" t="str">
            <v>OK</v>
          </cell>
          <cell r="AB15" t="str">
            <v>OK</v>
          </cell>
          <cell r="AC15" t="str">
            <v>OK</v>
          </cell>
          <cell r="AD15">
            <v>0</v>
          </cell>
          <cell r="AE15">
            <v>0</v>
          </cell>
          <cell r="AF15">
            <v>0</v>
          </cell>
          <cell r="AG15">
            <v>0</v>
          </cell>
          <cell r="AH15">
            <v>0</v>
          </cell>
          <cell r="AI15">
            <v>0</v>
          </cell>
          <cell r="AJ15">
            <v>0</v>
          </cell>
          <cell r="AK15">
            <v>0</v>
          </cell>
          <cell r="AM15">
            <v>0</v>
          </cell>
          <cell r="AN15">
            <v>0</v>
          </cell>
          <cell r="AO15">
            <v>0</v>
          </cell>
          <cell r="AP15">
            <v>0</v>
          </cell>
          <cell r="AQ15">
            <v>0</v>
          </cell>
          <cell r="AR15">
            <v>0</v>
          </cell>
          <cell r="AS15">
            <v>0</v>
          </cell>
          <cell r="AT15">
            <v>0</v>
          </cell>
          <cell r="AU15">
            <v>0</v>
          </cell>
          <cell r="AV15">
            <v>0</v>
          </cell>
          <cell r="AW15">
            <v>0</v>
          </cell>
          <cell r="AX15">
            <v>22</v>
          </cell>
          <cell r="AY15">
            <v>22</v>
          </cell>
        </row>
        <row r="16">
          <cell r="C16">
            <v>1023943429</v>
          </cell>
          <cell r="D16" t="str">
            <v xml:space="preserve">AVILA SALINAS CARLOS ALBERTO </v>
          </cell>
          <cell r="E16">
            <v>0</v>
          </cell>
          <cell r="F16" t="str">
            <v xml:space="preserve">SUPERCADE 20 DE JULIO </v>
          </cell>
          <cell r="G16" t="str">
            <v>17/12/2025</v>
          </cell>
          <cell r="H16" t="str">
            <v>OK</v>
          </cell>
          <cell r="I16" t="str">
            <v>OK</v>
          </cell>
          <cell r="J16" t="str">
            <v>OK</v>
          </cell>
          <cell r="K16" t="str">
            <v>OK</v>
          </cell>
          <cell r="L16" t="str">
            <v>OK</v>
          </cell>
          <cell r="M16" t="str">
            <v>OK</v>
          </cell>
          <cell r="N16" t="str">
            <v>OK</v>
          </cell>
          <cell r="O16" t="str">
            <v>OK</v>
          </cell>
          <cell r="P16" t="str">
            <v>OK</v>
          </cell>
          <cell r="Q16" t="str">
            <v>OK</v>
          </cell>
          <cell r="R16" t="str">
            <v>OK</v>
          </cell>
          <cell r="S16" t="str">
            <v>OK</v>
          </cell>
          <cell r="T16" t="str">
            <v>OK</v>
          </cell>
          <cell r="U16" t="str">
            <v>OK</v>
          </cell>
          <cell r="V16" t="str">
            <v>OK</v>
          </cell>
          <cell r="W16" t="str">
            <v>OK</v>
          </cell>
          <cell r="X16" t="str">
            <v>OK</v>
          </cell>
          <cell r="Y16" t="str">
            <v>OK</v>
          </cell>
          <cell r="Z16" t="str">
            <v>OK</v>
          </cell>
          <cell r="AA16" t="str">
            <v>OK</v>
          </cell>
          <cell r="AB16" t="str">
            <v>OK</v>
          </cell>
          <cell r="AC16" t="str">
            <v>OK</v>
          </cell>
          <cell r="AD16">
            <v>0</v>
          </cell>
          <cell r="AE16">
            <v>0</v>
          </cell>
          <cell r="AF16">
            <v>0</v>
          </cell>
          <cell r="AG16">
            <v>0</v>
          </cell>
          <cell r="AH16">
            <v>0</v>
          </cell>
          <cell r="AI16">
            <v>0</v>
          </cell>
          <cell r="AJ16">
            <v>0</v>
          </cell>
          <cell r="AK16">
            <v>0</v>
          </cell>
          <cell r="AM16">
            <v>0</v>
          </cell>
          <cell r="AN16">
            <v>0</v>
          </cell>
          <cell r="AO16">
            <v>0</v>
          </cell>
          <cell r="AP16">
            <v>0</v>
          </cell>
          <cell r="AQ16">
            <v>0</v>
          </cell>
          <cell r="AR16">
            <v>0</v>
          </cell>
          <cell r="AS16">
            <v>0</v>
          </cell>
          <cell r="AT16">
            <v>0</v>
          </cell>
          <cell r="AU16">
            <v>0</v>
          </cell>
          <cell r="AV16">
            <v>0</v>
          </cell>
          <cell r="AW16">
            <v>0</v>
          </cell>
          <cell r="AX16">
            <v>22</v>
          </cell>
          <cell r="AY16">
            <v>22</v>
          </cell>
        </row>
        <row r="17">
          <cell r="C17">
            <v>1023940881</v>
          </cell>
          <cell r="D17" t="str">
            <v xml:space="preserve">VALENCIA PERILLA KAREN JOHANA </v>
          </cell>
          <cell r="E17">
            <v>0</v>
          </cell>
          <cell r="F17" t="str">
            <v xml:space="preserve">CENTRO DE ENCUENTRO RAFAEL URIBE URIBE </v>
          </cell>
          <cell r="G17" t="str">
            <v>18/10/2025</v>
          </cell>
          <cell r="H17" t="str">
            <v>OK</v>
          </cell>
          <cell r="I17" t="str">
            <v>OK</v>
          </cell>
          <cell r="J17" t="str">
            <v>OK</v>
          </cell>
          <cell r="K17" t="str">
            <v>OK</v>
          </cell>
          <cell r="L17" t="str">
            <v>OK</v>
          </cell>
          <cell r="M17" t="str">
            <v>OK</v>
          </cell>
          <cell r="N17" t="str">
            <v>OK</v>
          </cell>
          <cell r="O17" t="str">
            <v>OK</v>
          </cell>
          <cell r="P17" t="str">
            <v>OK</v>
          </cell>
          <cell r="Q17" t="str">
            <v>OK</v>
          </cell>
          <cell r="R17" t="str">
            <v>OK</v>
          </cell>
          <cell r="S17" t="str">
            <v>OK</v>
          </cell>
          <cell r="T17" t="str">
            <v>OK</v>
          </cell>
          <cell r="U17" t="str">
            <v>OK</v>
          </cell>
          <cell r="V17" t="str">
            <v>OK</v>
          </cell>
          <cell r="W17" t="str">
            <v>OK</v>
          </cell>
          <cell r="X17" t="str">
            <v>OK</v>
          </cell>
          <cell r="Y17" t="str">
            <v>OK</v>
          </cell>
          <cell r="Z17" t="str">
            <v>OK</v>
          </cell>
          <cell r="AA17" t="str">
            <v>OK</v>
          </cell>
          <cell r="AB17" t="str">
            <v>OK</v>
          </cell>
          <cell r="AC17" t="str">
            <v>OK</v>
          </cell>
          <cell r="AD17">
            <v>0</v>
          </cell>
          <cell r="AE17">
            <v>0</v>
          </cell>
          <cell r="AF17">
            <v>0</v>
          </cell>
          <cell r="AG17">
            <v>0</v>
          </cell>
          <cell r="AH17">
            <v>0</v>
          </cell>
          <cell r="AI17">
            <v>0</v>
          </cell>
          <cell r="AJ17">
            <v>0</v>
          </cell>
          <cell r="AK17">
            <v>0</v>
          </cell>
          <cell r="AM17">
            <v>0</v>
          </cell>
          <cell r="AN17">
            <v>0</v>
          </cell>
          <cell r="AO17">
            <v>0</v>
          </cell>
          <cell r="AP17">
            <v>0</v>
          </cell>
          <cell r="AQ17">
            <v>0</v>
          </cell>
          <cell r="AR17">
            <v>0</v>
          </cell>
          <cell r="AS17">
            <v>0</v>
          </cell>
          <cell r="AT17">
            <v>0</v>
          </cell>
          <cell r="AU17">
            <v>0</v>
          </cell>
          <cell r="AV17">
            <v>0</v>
          </cell>
          <cell r="AW17">
            <v>0</v>
          </cell>
          <cell r="AX17">
            <v>22</v>
          </cell>
          <cell r="AY17">
            <v>22</v>
          </cell>
        </row>
        <row r="18">
          <cell r="C18">
            <v>39799657</v>
          </cell>
          <cell r="D18" t="str">
            <v xml:space="preserve">CARO VARGAS MARIA YOLANDA </v>
          </cell>
          <cell r="E18">
            <v>0</v>
          </cell>
          <cell r="F18" t="str">
            <v xml:space="preserve">CENTRO DE ENCUENTRO RAFAEL URIBE URIBE </v>
          </cell>
          <cell r="G18" t="str">
            <v>18/10/2025</v>
          </cell>
          <cell r="H18" t="str">
            <v>OK</v>
          </cell>
          <cell r="I18" t="str">
            <v>OK</v>
          </cell>
          <cell r="J18" t="str">
            <v>OK</v>
          </cell>
          <cell r="K18" t="str">
            <v>OK</v>
          </cell>
          <cell r="L18" t="str">
            <v>OK</v>
          </cell>
          <cell r="M18" t="str">
            <v>OK</v>
          </cell>
          <cell r="N18" t="str">
            <v>OK</v>
          </cell>
          <cell r="O18" t="str">
            <v>OK</v>
          </cell>
          <cell r="P18" t="str">
            <v>OK</v>
          </cell>
          <cell r="Q18" t="str">
            <v>OK</v>
          </cell>
          <cell r="R18" t="str">
            <v>OK</v>
          </cell>
          <cell r="S18" t="str">
            <v>OK</v>
          </cell>
          <cell r="T18" t="str">
            <v>OK</v>
          </cell>
          <cell r="U18" t="str">
            <v>OK</v>
          </cell>
          <cell r="V18" t="str">
            <v>OK</v>
          </cell>
          <cell r="W18" t="str">
            <v>OK</v>
          </cell>
          <cell r="X18" t="str">
            <v>OK</v>
          </cell>
          <cell r="Y18" t="str">
            <v>OK</v>
          </cell>
          <cell r="Z18" t="str">
            <v>OK</v>
          </cell>
          <cell r="AA18" t="str">
            <v>OK</v>
          </cell>
          <cell r="AB18" t="str">
            <v>OK</v>
          </cell>
          <cell r="AC18" t="str">
            <v>OK</v>
          </cell>
          <cell r="AD18">
            <v>0</v>
          </cell>
          <cell r="AE18">
            <v>0</v>
          </cell>
          <cell r="AF18">
            <v>0</v>
          </cell>
          <cell r="AG18">
            <v>0</v>
          </cell>
          <cell r="AH18">
            <v>0</v>
          </cell>
          <cell r="AI18">
            <v>0</v>
          </cell>
          <cell r="AJ18">
            <v>0</v>
          </cell>
          <cell r="AK18">
            <v>0</v>
          </cell>
          <cell r="AM18">
            <v>0</v>
          </cell>
          <cell r="AN18">
            <v>0</v>
          </cell>
          <cell r="AO18">
            <v>0</v>
          </cell>
          <cell r="AP18">
            <v>0</v>
          </cell>
          <cell r="AQ18">
            <v>0</v>
          </cell>
          <cell r="AR18">
            <v>0</v>
          </cell>
          <cell r="AS18">
            <v>0</v>
          </cell>
          <cell r="AT18">
            <v>0</v>
          </cell>
          <cell r="AU18">
            <v>0</v>
          </cell>
          <cell r="AV18">
            <v>0</v>
          </cell>
          <cell r="AW18">
            <v>0</v>
          </cell>
          <cell r="AX18">
            <v>22</v>
          </cell>
          <cell r="AY18">
            <v>22</v>
          </cell>
        </row>
        <row r="19">
          <cell r="C19">
            <v>52239435</v>
          </cell>
          <cell r="D19" t="str">
            <v xml:space="preserve">RAMOS BUITRAGO DORIS JANNETH </v>
          </cell>
          <cell r="E19">
            <v>0</v>
          </cell>
          <cell r="F19" t="str">
            <v xml:space="preserve">CENTRO DE ENCUENTRO RAFAEL URIBE URIBE </v>
          </cell>
          <cell r="G19" t="str">
            <v>18/10/2025</v>
          </cell>
          <cell r="H19" t="str">
            <v>OK</v>
          </cell>
          <cell r="I19" t="str">
            <v>OK</v>
          </cell>
          <cell r="J19" t="str">
            <v>OK</v>
          </cell>
          <cell r="K19" t="str">
            <v>OK</v>
          </cell>
          <cell r="L19" t="str">
            <v>OK</v>
          </cell>
          <cell r="M19" t="str">
            <v>OK</v>
          </cell>
          <cell r="N19" t="str">
            <v>OK</v>
          </cell>
          <cell r="O19" t="str">
            <v>OK</v>
          </cell>
          <cell r="P19" t="str">
            <v>OK</v>
          </cell>
          <cell r="Q19" t="str">
            <v>OK</v>
          </cell>
          <cell r="R19" t="str">
            <v>OK</v>
          </cell>
          <cell r="S19" t="str">
            <v>OK</v>
          </cell>
          <cell r="T19" t="str">
            <v>OK</v>
          </cell>
          <cell r="U19" t="str">
            <v>OK</v>
          </cell>
          <cell r="V19" t="str">
            <v>OK</v>
          </cell>
          <cell r="W19" t="str">
            <v>OK</v>
          </cell>
          <cell r="X19" t="str">
            <v>OK</v>
          </cell>
          <cell r="Y19" t="str">
            <v>OK</v>
          </cell>
          <cell r="Z19" t="str">
            <v>OK</v>
          </cell>
          <cell r="AA19" t="str">
            <v>OK</v>
          </cell>
          <cell r="AB19" t="str">
            <v>OK</v>
          </cell>
          <cell r="AC19" t="str">
            <v>OK</v>
          </cell>
          <cell r="AD19">
            <v>0</v>
          </cell>
          <cell r="AE19">
            <v>0</v>
          </cell>
          <cell r="AF19">
            <v>0</v>
          </cell>
          <cell r="AG19">
            <v>0</v>
          </cell>
          <cell r="AH19">
            <v>0</v>
          </cell>
          <cell r="AI19">
            <v>0</v>
          </cell>
          <cell r="AJ19">
            <v>0</v>
          </cell>
          <cell r="AK19">
            <v>0</v>
          </cell>
          <cell r="AM19">
            <v>0</v>
          </cell>
          <cell r="AN19">
            <v>0</v>
          </cell>
          <cell r="AO19">
            <v>0</v>
          </cell>
          <cell r="AP19">
            <v>0</v>
          </cell>
          <cell r="AQ19">
            <v>0</v>
          </cell>
          <cell r="AR19">
            <v>0</v>
          </cell>
          <cell r="AS19">
            <v>0</v>
          </cell>
          <cell r="AT19">
            <v>0</v>
          </cell>
          <cell r="AU19">
            <v>0</v>
          </cell>
          <cell r="AV19">
            <v>0</v>
          </cell>
          <cell r="AW19">
            <v>0</v>
          </cell>
          <cell r="AX19">
            <v>22</v>
          </cell>
          <cell r="AY19">
            <v>22</v>
          </cell>
        </row>
        <row r="20">
          <cell r="C20">
            <v>5422081</v>
          </cell>
          <cell r="D20" t="str">
            <v xml:space="preserve">DELGADO ACANDO DALIERZON MIGUEL </v>
          </cell>
          <cell r="E20">
            <v>0</v>
          </cell>
          <cell r="F20" t="str">
            <v xml:space="preserve">CENTRO DE ENCUENTRO RAFAEL URIBE URIBE </v>
          </cell>
          <cell r="G20" t="str">
            <v>18/10/2025</v>
          </cell>
          <cell r="H20" t="str">
            <v>OK</v>
          </cell>
          <cell r="I20" t="str">
            <v>OK</v>
          </cell>
          <cell r="J20" t="str">
            <v>OK</v>
          </cell>
          <cell r="K20" t="str">
            <v>OK</v>
          </cell>
          <cell r="L20" t="str">
            <v>OK</v>
          </cell>
          <cell r="M20" t="str">
            <v>OK</v>
          </cell>
          <cell r="N20" t="str">
            <v>OK</v>
          </cell>
          <cell r="O20" t="str">
            <v>OK</v>
          </cell>
          <cell r="P20" t="str">
            <v>OK</v>
          </cell>
          <cell r="Q20" t="str">
            <v>OK</v>
          </cell>
          <cell r="R20" t="str">
            <v>OK</v>
          </cell>
          <cell r="S20" t="str">
            <v>OK</v>
          </cell>
          <cell r="T20" t="str">
            <v>OK</v>
          </cell>
          <cell r="U20" t="str">
            <v>OK</v>
          </cell>
          <cell r="V20" t="str">
            <v>OK</v>
          </cell>
          <cell r="W20" t="str">
            <v>OK</v>
          </cell>
          <cell r="X20" t="str">
            <v>OK</v>
          </cell>
          <cell r="Y20" t="str">
            <v>OK</v>
          </cell>
          <cell r="Z20" t="str">
            <v>OK</v>
          </cell>
          <cell r="AA20" t="str">
            <v>OK</v>
          </cell>
          <cell r="AB20" t="str">
            <v>OK</v>
          </cell>
          <cell r="AC20" t="str">
            <v>OK</v>
          </cell>
          <cell r="AD20">
            <v>0</v>
          </cell>
          <cell r="AE20">
            <v>0</v>
          </cell>
          <cell r="AF20">
            <v>0</v>
          </cell>
          <cell r="AG20">
            <v>0</v>
          </cell>
          <cell r="AH20">
            <v>0</v>
          </cell>
          <cell r="AI20">
            <v>0</v>
          </cell>
          <cell r="AJ20">
            <v>0</v>
          </cell>
          <cell r="AK20">
            <v>0</v>
          </cell>
          <cell r="AM20">
            <v>0</v>
          </cell>
          <cell r="AN20">
            <v>0</v>
          </cell>
          <cell r="AO20">
            <v>0</v>
          </cell>
          <cell r="AP20">
            <v>0</v>
          </cell>
          <cell r="AQ20">
            <v>0</v>
          </cell>
          <cell r="AR20">
            <v>0</v>
          </cell>
          <cell r="AS20">
            <v>0</v>
          </cell>
          <cell r="AT20">
            <v>0</v>
          </cell>
          <cell r="AU20">
            <v>0</v>
          </cell>
          <cell r="AV20">
            <v>0</v>
          </cell>
          <cell r="AW20">
            <v>0</v>
          </cell>
          <cell r="AX20">
            <v>22</v>
          </cell>
          <cell r="AY20">
            <v>22</v>
          </cell>
        </row>
        <row r="21">
          <cell r="C21">
            <v>52973150</v>
          </cell>
          <cell r="D21" t="str">
            <v xml:space="preserve">YANGUMA  NINI YOANA </v>
          </cell>
          <cell r="E21">
            <v>0</v>
          </cell>
          <cell r="F21" t="str">
            <v>SUPERCADE CALLE 13</v>
          </cell>
          <cell r="G21" t="str">
            <v>21/10/2025</v>
          </cell>
          <cell r="H21" t="str">
            <v>OK</v>
          </cell>
          <cell r="I21" t="str">
            <v>OK</v>
          </cell>
          <cell r="J21" t="str">
            <v>OK</v>
          </cell>
          <cell r="K21" t="str">
            <v>OK</v>
          </cell>
          <cell r="L21" t="str">
            <v>OK</v>
          </cell>
          <cell r="M21" t="str">
            <v>OK</v>
          </cell>
          <cell r="N21" t="str">
            <v>OK</v>
          </cell>
          <cell r="O21" t="str">
            <v>OK</v>
          </cell>
          <cell r="P21" t="str">
            <v>OK</v>
          </cell>
          <cell r="Q21" t="str">
            <v>OK</v>
          </cell>
          <cell r="R21" t="str">
            <v>OK</v>
          </cell>
          <cell r="S21" t="str">
            <v>OK</v>
          </cell>
          <cell r="T21" t="str">
            <v>OK</v>
          </cell>
          <cell r="U21" t="str">
            <v>OK</v>
          </cell>
          <cell r="V21" t="str">
            <v>OK</v>
          </cell>
          <cell r="W21" t="str">
            <v>OK</v>
          </cell>
          <cell r="X21" t="str">
            <v>OK</v>
          </cell>
          <cell r="Y21" t="str">
            <v>OK</v>
          </cell>
          <cell r="Z21" t="str">
            <v>OK</v>
          </cell>
          <cell r="AA21" t="str">
            <v>OK</v>
          </cell>
          <cell r="AB21" t="str">
            <v>OK</v>
          </cell>
          <cell r="AC21" t="str">
            <v>OK</v>
          </cell>
          <cell r="AD21">
            <v>0</v>
          </cell>
          <cell r="AE21">
            <v>0</v>
          </cell>
          <cell r="AF21">
            <v>0</v>
          </cell>
          <cell r="AG21">
            <v>0</v>
          </cell>
          <cell r="AH21">
            <v>0</v>
          </cell>
          <cell r="AI21">
            <v>0</v>
          </cell>
          <cell r="AJ21">
            <v>0</v>
          </cell>
          <cell r="AK21">
            <v>0</v>
          </cell>
          <cell r="AM21">
            <v>0</v>
          </cell>
          <cell r="AN21">
            <v>0</v>
          </cell>
          <cell r="AO21">
            <v>0</v>
          </cell>
          <cell r="AP21">
            <v>0</v>
          </cell>
          <cell r="AQ21">
            <v>0</v>
          </cell>
          <cell r="AR21">
            <v>0</v>
          </cell>
          <cell r="AS21">
            <v>0</v>
          </cell>
          <cell r="AT21">
            <v>0</v>
          </cell>
          <cell r="AU21">
            <v>0</v>
          </cell>
          <cell r="AV21">
            <v>0</v>
          </cell>
          <cell r="AW21">
            <v>0</v>
          </cell>
          <cell r="AX21">
            <v>22</v>
          </cell>
          <cell r="AY21">
            <v>22</v>
          </cell>
        </row>
        <row r="22">
          <cell r="C22">
            <v>1033786605</v>
          </cell>
          <cell r="D22" t="str">
            <v xml:space="preserve">QUIJANO RODRIGUEZ CARLOS ENRIQUE </v>
          </cell>
          <cell r="E22">
            <v>0</v>
          </cell>
          <cell r="F22" t="str">
            <v>SUPERCADE CALLE 13</v>
          </cell>
          <cell r="G22" t="str">
            <v>18/10/2025</v>
          </cell>
          <cell r="H22" t="str">
            <v>OK</v>
          </cell>
          <cell r="I22" t="str">
            <v>OK</v>
          </cell>
          <cell r="J22" t="str">
            <v>OK</v>
          </cell>
          <cell r="K22" t="str">
            <v>OK</v>
          </cell>
          <cell r="L22" t="str">
            <v>OK</v>
          </cell>
          <cell r="M22" t="str">
            <v>OK</v>
          </cell>
          <cell r="N22" t="str">
            <v>OK</v>
          </cell>
          <cell r="O22" t="str">
            <v>OK</v>
          </cell>
          <cell r="P22" t="str">
            <v>OK</v>
          </cell>
          <cell r="Q22" t="str">
            <v>OK</v>
          </cell>
          <cell r="R22" t="str">
            <v>OK</v>
          </cell>
          <cell r="S22" t="str">
            <v>OK</v>
          </cell>
          <cell r="T22" t="str">
            <v>OK</v>
          </cell>
          <cell r="U22" t="str">
            <v>OK</v>
          </cell>
          <cell r="V22" t="str">
            <v>OK</v>
          </cell>
          <cell r="W22" t="str">
            <v>OK</v>
          </cell>
          <cell r="X22" t="str">
            <v>OK</v>
          </cell>
          <cell r="Y22" t="str">
            <v>OK</v>
          </cell>
          <cell r="Z22" t="str">
            <v>OK</v>
          </cell>
          <cell r="AA22" t="str">
            <v>OK</v>
          </cell>
          <cell r="AB22" t="str">
            <v>OK</v>
          </cell>
          <cell r="AC22" t="str">
            <v>OK</v>
          </cell>
          <cell r="AD22">
            <v>0</v>
          </cell>
          <cell r="AE22">
            <v>0</v>
          </cell>
          <cell r="AF22">
            <v>0</v>
          </cell>
          <cell r="AG22">
            <v>0</v>
          </cell>
          <cell r="AH22">
            <v>0</v>
          </cell>
          <cell r="AI22">
            <v>0</v>
          </cell>
          <cell r="AJ22">
            <v>0</v>
          </cell>
          <cell r="AK22">
            <v>0</v>
          </cell>
          <cell r="AM22">
            <v>0</v>
          </cell>
          <cell r="AN22">
            <v>0</v>
          </cell>
          <cell r="AO22">
            <v>0</v>
          </cell>
          <cell r="AP22">
            <v>0</v>
          </cell>
          <cell r="AQ22">
            <v>0</v>
          </cell>
          <cell r="AR22">
            <v>0</v>
          </cell>
          <cell r="AS22">
            <v>0</v>
          </cell>
          <cell r="AT22">
            <v>0</v>
          </cell>
          <cell r="AU22">
            <v>0</v>
          </cell>
          <cell r="AV22">
            <v>0</v>
          </cell>
          <cell r="AW22">
            <v>0</v>
          </cell>
          <cell r="AX22">
            <v>22</v>
          </cell>
          <cell r="AY22">
            <v>22</v>
          </cell>
        </row>
        <row r="23">
          <cell r="C23">
            <v>1022344041</v>
          </cell>
          <cell r="D23" t="str">
            <v xml:space="preserve">BARBOSA HERRERA DIANA MILENA </v>
          </cell>
          <cell r="E23">
            <v>0</v>
          </cell>
          <cell r="F23" t="str">
            <v>SUPERCADE CALLE 13</v>
          </cell>
          <cell r="G23" t="str">
            <v>18/10/2025</v>
          </cell>
          <cell r="H23" t="str">
            <v>OK</v>
          </cell>
          <cell r="I23" t="str">
            <v>OK</v>
          </cell>
          <cell r="J23" t="str">
            <v>OK</v>
          </cell>
          <cell r="K23" t="str">
            <v>OK</v>
          </cell>
          <cell r="L23" t="str">
            <v>OK</v>
          </cell>
          <cell r="M23" t="str">
            <v>OK</v>
          </cell>
          <cell r="N23" t="str">
            <v>OK</v>
          </cell>
          <cell r="O23" t="str">
            <v>OK</v>
          </cell>
          <cell r="P23" t="str">
            <v>OK</v>
          </cell>
          <cell r="Q23" t="str">
            <v>OK</v>
          </cell>
          <cell r="R23" t="str">
            <v>OK</v>
          </cell>
          <cell r="S23" t="str">
            <v>OK</v>
          </cell>
          <cell r="T23" t="str">
            <v>OK</v>
          </cell>
          <cell r="U23" t="str">
            <v>OK</v>
          </cell>
          <cell r="V23" t="str">
            <v>OK</v>
          </cell>
          <cell r="W23" t="str">
            <v>OK</v>
          </cell>
          <cell r="X23" t="str">
            <v>OK</v>
          </cell>
          <cell r="Y23" t="str">
            <v>OK</v>
          </cell>
          <cell r="Z23" t="str">
            <v>OK</v>
          </cell>
          <cell r="AA23" t="str">
            <v>OK</v>
          </cell>
          <cell r="AB23" t="str">
            <v>OK</v>
          </cell>
          <cell r="AC23" t="str">
            <v>OK</v>
          </cell>
          <cell r="AD23">
            <v>0</v>
          </cell>
          <cell r="AE23">
            <v>0</v>
          </cell>
          <cell r="AF23">
            <v>0</v>
          </cell>
          <cell r="AG23">
            <v>0</v>
          </cell>
          <cell r="AH23">
            <v>0</v>
          </cell>
          <cell r="AI23">
            <v>0</v>
          </cell>
          <cell r="AJ23">
            <v>0</v>
          </cell>
          <cell r="AK23">
            <v>0</v>
          </cell>
          <cell r="AM23">
            <v>0</v>
          </cell>
          <cell r="AN23">
            <v>0</v>
          </cell>
          <cell r="AO23">
            <v>0</v>
          </cell>
          <cell r="AP23">
            <v>0</v>
          </cell>
          <cell r="AQ23">
            <v>0</v>
          </cell>
          <cell r="AR23">
            <v>0</v>
          </cell>
          <cell r="AS23">
            <v>0</v>
          </cell>
          <cell r="AT23">
            <v>0</v>
          </cell>
          <cell r="AU23">
            <v>0</v>
          </cell>
          <cell r="AV23">
            <v>0</v>
          </cell>
          <cell r="AW23">
            <v>0</v>
          </cell>
          <cell r="AX23">
            <v>22</v>
          </cell>
          <cell r="AY23">
            <v>22</v>
          </cell>
        </row>
        <row r="24">
          <cell r="C24">
            <v>1026595414</v>
          </cell>
          <cell r="D24" t="str">
            <v xml:space="preserve">SOTO PACHECO BRANDON  </v>
          </cell>
          <cell r="E24">
            <v>0</v>
          </cell>
          <cell r="F24" t="str">
            <v xml:space="preserve">CADE LA VICTORIA </v>
          </cell>
          <cell r="G24" t="str">
            <v>18/10/2025</v>
          </cell>
          <cell r="H24" t="str">
            <v>OK</v>
          </cell>
          <cell r="I24" t="str">
            <v>OK</v>
          </cell>
          <cell r="J24" t="str">
            <v>OK</v>
          </cell>
          <cell r="K24" t="str">
            <v>OK</v>
          </cell>
          <cell r="L24" t="str">
            <v>OK</v>
          </cell>
          <cell r="M24" t="str">
            <v>OK</v>
          </cell>
          <cell r="N24" t="str">
            <v>OK</v>
          </cell>
          <cell r="O24" t="str">
            <v>OK</v>
          </cell>
          <cell r="P24" t="str">
            <v>OK</v>
          </cell>
          <cell r="Q24" t="str">
            <v>OK</v>
          </cell>
          <cell r="R24" t="str">
            <v>OK</v>
          </cell>
          <cell r="S24" t="str">
            <v>OK</v>
          </cell>
          <cell r="T24" t="str">
            <v>OK</v>
          </cell>
          <cell r="U24" t="str">
            <v>OK</v>
          </cell>
          <cell r="V24" t="str">
            <v>OK</v>
          </cell>
          <cell r="W24" t="str">
            <v>OK</v>
          </cell>
          <cell r="X24" t="str">
            <v>OK</v>
          </cell>
          <cell r="Y24" t="str">
            <v>OK</v>
          </cell>
          <cell r="Z24" t="str">
            <v>OK</v>
          </cell>
          <cell r="AA24" t="str">
            <v>OK</v>
          </cell>
          <cell r="AB24" t="str">
            <v>OK</v>
          </cell>
          <cell r="AC24" t="str">
            <v>OK</v>
          </cell>
          <cell r="AD24">
            <v>0</v>
          </cell>
          <cell r="AE24">
            <v>0</v>
          </cell>
          <cell r="AF24">
            <v>0</v>
          </cell>
          <cell r="AG24">
            <v>0</v>
          </cell>
          <cell r="AH24">
            <v>0</v>
          </cell>
          <cell r="AI24">
            <v>0</v>
          </cell>
          <cell r="AJ24">
            <v>0</v>
          </cell>
          <cell r="AK24">
            <v>0</v>
          </cell>
          <cell r="AM24">
            <v>0</v>
          </cell>
          <cell r="AN24">
            <v>0</v>
          </cell>
          <cell r="AO24">
            <v>0</v>
          </cell>
          <cell r="AP24">
            <v>0</v>
          </cell>
          <cell r="AQ24">
            <v>0</v>
          </cell>
          <cell r="AR24">
            <v>0</v>
          </cell>
          <cell r="AS24">
            <v>0</v>
          </cell>
          <cell r="AT24">
            <v>0</v>
          </cell>
          <cell r="AU24">
            <v>0</v>
          </cell>
          <cell r="AV24">
            <v>0</v>
          </cell>
          <cell r="AW24">
            <v>0</v>
          </cell>
          <cell r="AX24">
            <v>22</v>
          </cell>
          <cell r="AY24">
            <v>22</v>
          </cell>
        </row>
        <row r="25">
          <cell r="C25">
            <v>1010053949</v>
          </cell>
          <cell r="D25" t="str">
            <v xml:space="preserve">SARMIENTO CORREDOR DORA MARCELA </v>
          </cell>
          <cell r="E25">
            <v>0</v>
          </cell>
          <cell r="F25" t="str">
            <v xml:space="preserve">CADE LA VICTORIA </v>
          </cell>
          <cell r="G25" t="str">
            <v>22/10/2025</v>
          </cell>
          <cell r="H25" t="str">
            <v>OK</v>
          </cell>
          <cell r="I25" t="str">
            <v>OK</v>
          </cell>
          <cell r="J25" t="str">
            <v>OK</v>
          </cell>
          <cell r="K25" t="str">
            <v>OK</v>
          </cell>
          <cell r="L25" t="str">
            <v>OK</v>
          </cell>
          <cell r="M25" t="str">
            <v>OK</v>
          </cell>
          <cell r="N25" t="str">
            <v>OK</v>
          </cell>
          <cell r="O25" t="str">
            <v>OK</v>
          </cell>
          <cell r="P25" t="str">
            <v>OK</v>
          </cell>
          <cell r="Q25" t="str">
            <v>OK</v>
          </cell>
          <cell r="R25" t="str">
            <v>OK</v>
          </cell>
          <cell r="S25" t="str">
            <v>OK</v>
          </cell>
          <cell r="T25" t="str">
            <v>OK</v>
          </cell>
          <cell r="U25" t="str">
            <v>OK</v>
          </cell>
          <cell r="V25" t="str">
            <v>OK</v>
          </cell>
          <cell r="W25" t="str">
            <v>OK</v>
          </cell>
          <cell r="X25" t="str">
            <v>OK</v>
          </cell>
          <cell r="Y25" t="str">
            <v>OK</v>
          </cell>
          <cell r="Z25" t="str">
            <v>OK</v>
          </cell>
          <cell r="AA25" t="str">
            <v>OK</v>
          </cell>
          <cell r="AB25" t="str">
            <v>OK</v>
          </cell>
          <cell r="AC25" t="str">
            <v>OK</v>
          </cell>
          <cell r="AD25">
            <v>0</v>
          </cell>
          <cell r="AE25">
            <v>0</v>
          </cell>
          <cell r="AF25">
            <v>0</v>
          </cell>
          <cell r="AG25">
            <v>0</v>
          </cell>
          <cell r="AH25">
            <v>0</v>
          </cell>
          <cell r="AI25">
            <v>0</v>
          </cell>
          <cell r="AJ25">
            <v>0</v>
          </cell>
          <cell r="AK25">
            <v>0</v>
          </cell>
          <cell r="AM25">
            <v>0</v>
          </cell>
          <cell r="AN25">
            <v>0</v>
          </cell>
          <cell r="AO25">
            <v>0</v>
          </cell>
          <cell r="AP25">
            <v>0</v>
          </cell>
          <cell r="AQ25">
            <v>0</v>
          </cell>
          <cell r="AR25">
            <v>0</v>
          </cell>
          <cell r="AS25">
            <v>0</v>
          </cell>
          <cell r="AT25">
            <v>0</v>
          </cell>
          <cell r="AU25">
            <v>0</v>
          </cell>
          <cell r="AV25">
            <v>0</v>
          </cell>
          <cell r="AW25">
            <v>0</v>
          </cell>
          <cell r="AX25">
            <v>22</v>
          </cell>
          <cell r="AY25">
            <v>22</v>
          </cell>
        </row>
        <row r="26">
          <cell r="C26">
            <v>51909861</v>
          </cell>
          <cell r="D26" t="str">
            <v xml:space="preserve">AREVALO  LUZ MIRELLA </v>
          </cell>
          <cell r="E26">
            <v>0</v>
          </cell>
          <cell r="F26" t="str">
            <v xml:space="preserve">CADE LA VICTORIA </v>
          </cell>
          <cell r="G26" t="str">
            <v>18/10/2025</v>
          </cell>
          <cell r="H26" t="str">
            <v>OK</v>
          </cell>
          <cell r="I26" t="str">
            <v>OK</v>
          </cell>
          <cell r="J26" t="str">
            <v>OK</v>
          </cell>
          <cell r="K26" t="str">
            <v>OK</v>
          </cell>
          <cell r="L26" t="str">
            <v>OK</v>
          </cell>
          <cell r="M26" t="str">
            <v>OK</v>
          </cell>
          <cell r="N26" t="str">
            <v>OK</v>
          </cell>
          <cell r="O26" t="str">
            <v>OK</v>
          </cell>
          <cell r="P26" t="str">
            <v>OK</v>
          </cell>
          <cell r="Q26" t="str">
            <v>OK</v>
          </cell>
          <cell r="R26" t="str">
            <v>OK</v>
          </cell>
          <cell r="S26" t="str">
            <v>OK</v>
          </cell>
          <cell r="T26" t="str">
            <v>OK</v>
          </cell>
          <cell r="U26" t="str">
            <v>OK</v>
          </cell>
          <cell r="V26" t="str">
            <v>OK</v>
          </cell>
          <cell r="W26" t="str">
            <v>OK</v>
          </cell>
          <cell r="X26" t="str">
            <v>OK</v>
          </cell>
          <cell r="Y26" t="str">
            <v>OK</v>
          </cell>
          <cell r="Z26" t="str">
            <v>OK</v>
          </cell>
          <cell r="AA26" t="str">
            <v>OK</v>
          </cell>
          <cell r="AB26" t="str">
            <v>OK</v>
          </cell>
          <cell r="AC26" t="str">
            <v>OK</v>
          </cell>
          <cell r="AD26">
            <v>0</v>
          </cell>
          <cell r="AE26">
            <v>0</v>
          </cell>
          <cell r="AF26">
            <v>0</v>
          </cell>
          <cell r="AG26">
            <v>0</v>
          </cell>
          <cell r="AH26">
            <v>0</v>
          </cell>
          <cell r="AI26">
            <v>0</v>
          </cell>
          <cell r="AJ26">
            <v>0</v>
          </cell>
          <cell r="AK26">
            <v>0</v>
          </cell>
          <cell r="AM26">
            <v>0</v>
          </cell>
          <cell r="AN26">
            <v>0</v>
          </cell>
          <cell r="AO26">
            <v>0</v>
          </cell>
          <cell r="AP26">
            <v>0</v>
          </cell>
          <cell r="AQ26">
            <v>0</v>
          </cell>
          <cell r="AR26">
            <v>0</v>
          </cell>
          <cell r="AS26">
            <v>0</v>
          </cell>
          <cell r="AT26">
            <v>0</v>
          </cell>
          <cell r="AU26">
            <v>0</v>
          </cell>
          <cell r="AV26">
            <v>0</v>
          </cell>
          <cell r="AW26">
            <v>0</v>
          </cell>
          <cell r="AX26">
            <v>22</v>
          </cell>
          <cell r="AY26">
            <v>22</v>
          </cell>
        </row>
        <row r="27">
          <cell r="C27">
            <v>80735722</v>
          </cell>
          <cell r="D27" t="str">
            <v xml:space="preserve">BELTRAN  ANGEL ANTONIO </v>
          </cell>
          <cell r="E27">
            <v>0</v>
          </cell>
          <cell r="F27" t="str">
            <v xml:space="preserve">SUPERCADE CARRERA 30 </v>
          </cell>
          <cell r="G27" t="str">
            <v>13/11/2025</v>
          </cell>
          <cell r="H27" t="str">
            <v>OK</v>
          </cell>
          <cell r="I27" t="str">
            <v>OK</v>
          </cell>
          <cell r="J27" t="str">
            <v>OK</v>
          </cell>
          <cell r="K27" t="str">
            <v>OK</v>
          </cell>
          <cell r="L27" t="str">
            <v>OK</v>
          </cell>
          <cell r="M27" t="str">
            <v>OK</v>
          </cell>
          <cell r="N27" t="str">
            <v>OK</v>
          </cell>
          <cell r="O27" t="str">
            <v>OK</v>
          </cell>
          <cell r="P27" t="str">
            <v>OK</v>
          </cell>
          <cell r="Q27" t="str">
            <v>OK</v>
          </cell>
          <cell r="R27" t="str">
            <v>OK</v>
          </cell>
          <cell r="S27" t="str">
            <v>OK</v>
          </cell>
          <cell r="T27" t="str">
            <v>OK</v>
          </cell>
          <cell r="U27" t="str">
            <v>OK</v>
          </cell>
          <cell r="V27" t="str">
            <v>OK</v>
          </cell>
          <cell r="W27" t="str">
            <v>OK</v>
          </cell>
          <cell r="X27" t="str">
            <v>OK</v>
          </cell>
          <cell r="Y27" t="str">
            <v>OK</v>
          </cell>
          <cell r="Z27" t="str">
            <v>OK</v>
          </cell>
          <cell r="AA27" t="str">
            <v>OK</v>
          </cell>
          <cell r="AB27" t="str">
            <v>OK</v>
          </cell>
          <cell r="AC27" t="str">
            <v>OK</v>
          </cell>
          <cell r="AD27">
            <v>0</v>
          </cell>
          <cell r="AE27">
            <v>0</v>
          </cell>
          <cell r="AF27">
            <v>0</v>
          </cell>
          <cell r="AG27">
            <v>0</v>
          </cell>
          <cell r="AH27">
            <v>0</v>
          </cell>
          <cell r="AI27">
            <v>0</v>
          </cell>
          <cell r="AJ27">
            <v>0</v>
          </cell>
          <cell r="AK27">
            <v>0</v>
          </cell>
          <cell r="AM27">
            <v>0</v>
          </cell>
          <cell r="AN27">
            <v>0</v>
          </cell>
          <cell r="AO27">
            <v>0</v>
          </cell>
          <cell r="AP27">
            <v>0</v>
          </cell>
          <cell r="AQ27">
            <v>0</v>
          </cell>
          <cell r="AR27">
            <v>0</v>
          </cell>
          <cell r="AS27">
            <v>0</v>
          </cell>
          <cell r="AT27">
            <v>0</v>
          </cell>
          <cell r="AU27">
            <v>0</v>
          </cell>
          <cell r="AV27">
            <v>0</v>
          </cell>
          <cell r="AW27">
            <v>0</v>
          </cell>
          <cell r="AX27">
            <v>22</v>
          </cell>
          <cell r="AY27">
            <v>22</v>
          </cell>
        </row>
        <row r="28">
          <cell r="C28">
            <v>1003310552</v>
          </cell>
          <cell r="D28" t="str">
            <v xml:space="preserve">HERNANDEZ POLO LINDA MARCELA </v>
          </cell>
          <cell r="E28">
            <v>0</v>
          </cell>
          <cell r="F28" t="str">
            <v xml:space="preserve">SUPERCADE CARRERA 30 </v>
          </cell>
          <cell r="G28" t="str">
            <v>18/10/2025</v>
          </cell>
          <cell r="H28" t="str">
            <v>OK</v>
          </cell>
          <cell r="I28" t="str">
            <v>OK</v>
          </cell>
          <cell r="J28" t="str">
            <v>OK</v>
          </cell>
          <cell r="K28" t="str">
            <v>OK</v>
          </cell>
          <cell r="L28" t="str">
            <v>OK</v>
          </cell>
          <cell r="M28" t="str">
            <v>OK</v>
          </cell>
          <cell r="N28" t="str">
            <v>OK</v>
          </cell>
          <cell r="O28" t="str">
            <v>OK</v>
          </cell>
          <cell r="P28" t="str">
            <v>OK</v>
          </cell>
          <cell r="Q28" t="str">
            <v>OK</v>
          </cell>
          <cell r="R28" t="str">
            <v>OK</v>
          </cell>
          <cell r="S28" t="str">
            <v>OK</v>
          </cell>
          <cell r="T28" t="str">
            <v>OK</v>
          </cell>
          <cell r="U28" t="str">
            <v>OK</v>
          </cell>
          <cell r="V28" t="str">
            <v>OK</v>
          </cell>
          <cell r="W28" t="str">
            <v>OK</v>
          </cell>
          <cell r="X28" t="str">
            <v>OK</v>
          </cell>
          <cell r="Y28" t="str">
            <v>OK</v>
          </cell>
          <cell r="Z28" t="str">
            <v>OK</v>
          </cell>
          <cell r="AA28" t="str">
            <v>OK</v>
          </cell>
          <cell r="AB28" t="str">
            <v>OK</v>
          </cell>
          <cell r="AC28" t="str">
            <v>OK</v>
          </cell>
          <cell r="AD28">
            <v>0</v>
          </cell>
          <cell r="AE28">
            <v>0</v>
          </cell>
          <cell r="AF28">
            <v>0</v>
          </cell>
          <cell r="AG28">
            <v>0</v>
          </cell>
          <cell r="AH28">
            <v>0</v>
          </cell>
          <cell r="AI28">
            <v>0</v>
          </cell>
          <cell r="AJ28">
            <v>0</v>
          </cell>
          <cell r="AK28">
            <v>0</v>
          </cell>
          <cell r="AM28">
            <v>0</v>
          </cell>
          <cell r="AN28">
            <v>0</v>
          </cell>
          <cell r="AO28">
            <v>0</v>
          </cell>
          <cell r="AP28">
            <v>0</v>
          </cell>
          <cell r="AQ28">
            <v>0</v>
          </cell>
          <cell r="AR28">
            <v>0</v>
          </cell>
          <cell r="AS28">
            <v>0</v>
          </cell>
          <cell r="AT28">
            <v>0</v>
          </cell>
          <cell r="AU28">
            <v>0</v>
          </cell>
          <cell r="AV28">
            <v>0</v>
          </cell>
          <cell r="AW28">
            <v>0</v>
          </cell>
          <cell r="AX28">
            <v>22</v>
          </cell>
          <cell r="AY28">
            <v>22</v>
          </cell>
        </row>
        <row r="29">
          <cell r="C29">
            <v>52463545</v>
          </cell>
          <cell r="D29" t="str">
            <v xml:space="preserve">ROJAS CAMACHO SONIA YEMILE </v>
          </cell>
          <cell r="E29">
            <v>0</v>
          </cell>
          <cell r="F29" t="str">
            <v xml:space="preserve">SUPERCADE CARRERA 30 </v>
          </cell>
          <cell r="G29" t="str">
            <v>21/10/2025</v>
          </cell>
          <cell r="H29" t="str">
            <v>OK</v>
          </cell>
          <cell r="I29" t="str">
            <v>OK</v>
          </cell>
          <cell r="J29" t="str">
            <v>OK</v>
          </cell>
          <cell r="K29" t="str">
            <v>OK</v>
          </cell>
          <cell r="L29" t="str">
            <v>OK</v>
          </cell>
          <cell r="M29" t="str">
            <v>OK</v>
          </cell>
          <cell r="N29" t="str">
            <v>OK</v>
          </cell>
          <cell r="O29" t="str">
            <v>OK</v>
          </cell>
          <cell r="P29" t="str">
            <v>OK</v>
          </cell>
          <cell r="Q29" t="str">
            <v>OK</v>
          </cell>
          <cell r="R29" t="str">
            <v>OK</v>
          </cell>
          <cell r="S29" t="str">
            <v>OK</v>
          </cell>
          <cell r="T29" t="str">
            <v>OK</v>
          </cell>
          <cell r="U29" t="str">
            <v>OK</v>
          </cell>
          <cell r="V29" t="str">
            <v>OK</v>
          </cell>
          <cell r="W29" t="str">
            <v>OK</v>
          </cell>
          <cell r="X29" t="str">
            <v>OK</v>
          </cell>
          <cell r="Y29" t="str">
            <v>OK</v>
          </cell>
          <cell r="Z29" t="str">
            <v>OK</v>
          </cell>
          <cell r="AA29" t="str">
            <v>OK</v>
          </cell>
          <cell r="AB29" t="str">
            <v>OK</v>
          </cell>
          <cell r="AC29" t="str">
            <v>OK</v>
          </cell>
          <cell r="AD29">
            <v>0</v>
          </cell>
          <cell r="AE29">
            <v>0</v>
          </cell>
          <cell r="AF29">
            <v>0</v>
          </cell>
          <cell r="AG29">
            <v>0</v>
          </cell>
          <cell r="AH29">
            <v>0</v>
          </cell>
          <cell r="AI29">
            <v>0</v>
          </cell>
          <cell r="AJ29">
            <v>0</v>
          </cell>
          <cell r="AK29">
            <v>0</v>
          </cell>
          <cell r="AM29">
            <v>0</v>
          </cell>
          <cell r="AN29">
            <v>0</v>
          </cell>
          <cell r="AO29">
            <v>0</v>
          </cell>
          <cell r="AP29">
            <v>0</v>
          </cell>
          <cell r="AQ29">
            <v>0</v>
          </cell>
          <cell r="AR29">
            <v>0</v>
          </cell>
          <cell r="AS29">
            <v>0</v>
          </cell>
          <cell r="AT29">
            <v>0</v>
          </cell>
          <cell r="AU29">
            <v>0</v>
          </cell>
          <cell r="AV29">
            <v>0</v>
          </cell>
          <cell r="AW29">
            <v>0</v>
          </cell>
          <cell r="AX29">
            <v>22</v>
          </cell>
          <cell r="AY29">
            <v>22</v>
          </cell>
        </row>
        <row r="30">
          <cell r="C30">
            <v>52038499</v>
          </cell>
          <cell r="D30" t="str">
            <v xml:space="preserve">GUERRERO RINCON ROSA MARIA </v>
          </cell>
          <cell r="E30">
            <v>0</v>
          </cell>
          <cell r="F30" t="str">
            <v xml:space="preserve">SUPERCADE CARRERA 30 </v>
          </cell>
          <cell r="G30" t="str">
            <v>18/10/2025</v>
          </cell>
          <cell r="H30" t="str">
            <v>OK</v>
          </cell>
          <cell r="I30" t="str">
            <v>OK</v>
          </cell>
          <cell r="J30" t="str">
            <v>OK</v>
          </cell>
          <cell r="K30" t="str">
            <v>OK</v>
          </cell>
          <cell r="L30" t="str">
            <v>OK</v>
          </cell>
          <cell r="M30" t="str">
            <v>OK</v>
          </cell>
          <cell r="N30" t="str">
            <v>OK</v>
          </cell>
          <cell r="O30" t="str">
            <v>OK</v>
          </cell>
          <cell r="P30" t="str">
            <v>OK</v>
          </cell>
          <cell r="Q30" t="str">
            <v>OK</v>
          </cell>
          <cell r="R30" t="str">
            <v>OK</v>
          </cell>
          <cell r="S30" t="str">
            <v>OK</v>
          </cell>
          <cell r="T30" t="str">
            <v>OK</v>
          </cell>
          <cell r="U30" t="str">
            <v>OK</v>
          </cell>
          <cell r="V30" t="str">
            <v>OK</v>
          </cell>
          <cell r="W30" t="str">
            <v>OK</v>
          </cell>
          <cell r="X30" t="str">
            <v>OK</v>
          </cell>
          <cell r="Y30" t="str">
            <v>OK</v>
          </cell>
          <cell r="Z30" t="str">
            <v>OK</v>
          </cell>
          <cell r="AA30" t="str">
            <v>OK</v>
          </cell>
          <cell r="AB30" t="str">
            <v>OK</v>
          </cell>
          <cell r="AC30" t="str">
            <v>OK</v>
          </cell>
          <cell r="AD30">
            <v>0</v>
          </cell>
          <cell r="AE30">
            <v>0</v>
          </cell>
          <cell r="AF30">
            <v>0</v>
          </cell>
          <cell r="AG30">
            <v>0</v>
          </cell>
          <cell r="AH30">
            <v>0</v>
          </cell>
          <cell r="AI30">
            <v>0</v>
          </cell>
          <cell r="AJ30">
            <v>0</v>
          </cell>
          <cell r="AK30">
            <v>0</v>
          </cell>
          <cell r="AM30">
            <v>0</v>
          </cell>
          <cell r="AN30">
            <v>0</v>
          </cell>
          <cell r="AO30">
            <v>0</v>
          </cell>
          <cell r="AP30">
            <v>0</v>
          </cell>
          <cell r="AQ30">
            <v>0</v>
          </cell>
          <cell r="AR30">
            <v>0</v>
          </cell>
          <cell r="AS30">
            <v>0</v>
          </cell>
          <cell r="AT30">
            <v>0</v>
          </cell>
          <cell r="AU30">
            <v>0</v>
          </cell>
          <cell r="AV30">
            <v>0</v>
          </cell>
          <cell r="AW30">
            <v>0</v>
          </cell>
          <cell r="AX30">
            <v>22</v>
          </cell>
          <cell r="AY30">
            <v>22</v>
          </cell>
        </row>
        <row r="31">
          <cell r="C31">
            <v>1000596462</v>
          </cell>
          <cell r="D31" t="str">
            <v xml:space="preserve">HERNANDEZ LUGO YADY ALEJANDRA </v>
          </cell>
          <cell r="E31">
            <v>0</v>
          </cell>
          <cell r="F31" t="str">
            <v xml:space="preserve">SUPERCADE CARRERA 30 </v>
          </cell>
          <cell r="G31" t="str">
            <v>14/01/2026</v>
          </cell>
          <cell r="H31" t="str">
            <v>OK</v>
          </cell>
          <cell r="I31" t="str">
            <v>OK</v>
          </cell>
          <cell r="J31" t="str">
            <v>OK</v>
          </cell>
          <cell r="K31" t="str">
            <v>OK</v>
          </cell>
          <cell r="L31" t="str">
            <v>OK</v>
          </cell>
          <cell r="M31" t="str">
            <v>OK</v>
          </cell>
          <cell r="N31" t="str">
            <v>OK</v>
          </cell>
          <cell r="O31" t="str">
            <v>OK</v>
          </cell>
          <cell r="P31" t="str">
            <v>OK</v>
          </cell>
          <cell r="Q31" t="str">
            <v>OK</v>
          </cell>
          <cell r="R31" t="str">
            <v>OK</v>
          </cell>
          <cell r="S31" t="str">
            <v>OK</v>
          </cell>
          <cell r="T31" t="str">
            <v>OK</v>
          </cell>
          <cell r="U31" t="str">
            <v>OK</v>
          </cell>
          <cell r="V31" t="str">
            <v>OK</v>
          </cell>
          <cell r="W31" t="str">
            <v>OK</v>
          </cell>
          <cell r="X31" t="str">
            <v>OK</v>
          </cell>
          <cell r="Y31" t="str">
            <v>OK</v>
          </cell>
          <cell r="Z31" t="str">
            <v>OK</v>
          </cell>
          <cell r="AA31" t="str">
            <v>OK</v>
          </cell>
          <cell r="AB31" t="str">
            <v>OK</v>
          </cell>
          <cell r="AC31" t="str">
            <v>OK</v>
          </cell>
          <cell r="AD31">
            <v>0</v>
          </cell>
          <cell r="AE31">
            <v>0</v>
          </cell>
          <cell r="AF31">
            <v>0</v>
          </cell>
          <cell r="AG31">
            <v>0</v>
          </cell>
          <cell r="AH31">
            <v>0</v>
          </cell>
          <cell r="AI31">
            <v>0</v>
          </cell>
          <cell r="AJ31">
            <v>0</v>
          </cell>
          <cell r="AK31">
            <v>0</v>
          </cell>
          <cell r="AM31">
            <v>0</v>
          </cell>
          <cell r="AN31">
            <v>0</v>
          </cell>
          <cell r="AO31">
            <v>0</v>
          </cell>
          <cell r="AP31">
            <v>0</v>
          </cell>
          <cell r="AQ31">
            <v>0</v>
          </cell>
          <cell r="AR31">
            <v>0</v>
          </cell>
          <cell r="AS31">
            <v>0</v>
          </cell>
          <cell r="AT31">
            <v>0</v>
          </cell>
          <cell r="AU31">
            <v>0</v>
          </cell>
          <cell r="AV31">
            <v>0</v>
          </cell>
          <cell r="AW31">
            <v>0</v>
          </cell>
          <cell r="AX31">
            <v>22</v>
          </cell>
          <cell r="AY31">
            <v>22</v>
          </cell>
        </row>
        <row r="32">
          <cell r="C32">
            <v>1024500166</v>
          </cell>
          <cell r="D32" t="str">
            <v xml:space="preserve">BOTIA AVILA MARIA CONSUELO </v>
          </cell>
          <cell r="E32">
            <v>0</v>
          </cell>
          <cell r="F32" t="str">
            <v xml:space="preserve">SUPERCADE CARRERA 30 </v>
          </cell>
          <cell r="G32" t="str">
            <v>18/10/2025</v>
          </cell>
          <cell r="H32" t="str">
            <v>OK</v>
          </cell>
          <cell r="I32" t="str">
            <v>OK</v>
          </cell>
          <cell r="J32" t="str">
            <v>OK</v>
          </cell>
          <cell r="K32" t="str">
            <v>OK</v>
          </cell>
          <cell r="L32" t="str">
            <v>OK</v>
          </cell>
          <cell r="M32" t="str">
            <v>OK</v>
          </cell>
          <cell r="N32" t="str">
            <v>OK</v>
          </cell>
          <cell r="O32" t="str">
            <v>OK</v>
          </cell>
          <cell r="P32" t="str">
            <v>OK</v>
          </cell>
          <cell r="Q32" t="str">
            <v>OK</v>
          </cell>
          <cell r="R32" t="str">
            <v>OK</v>
          </cell>
          <cell r="S32" t="str">
            <v>OK</v>
          </cell>
          <cell r="T32" t="str">
            <v>OK</v>
          </cell>
          <cell r="U32" t="str">
            <v>OK</v>
          </cell>
          <cell r="V32" t="str">
            <v>OK</v>
          </cell>
          <cell r="W32" t="str">
            <v>OK</v>
          </cell>
          <cell r="X32" t="str">
            <v>OK</v>
          </cell>
          <cell r="Y32" t="str">
            <v>OK</v>
          </cell>
          <cell r="Z32" t="str">
            <v>OK</v>
          </cell>
          <cell r="AA32" t="str">
            <v>OK</v>
          </cell>
          <cell r="AB32" t="str">
            <v>OK</v>
          </cell>
          <cell r="AC32" t="str">
            <v>OK</v>
          </cell>
          <cell r="AD32">
            <v>0</v>
          </cell>
          <cell r="AE32">
            <v>0</v>
          </cell>
          <cell r="AF32">
            <v>0</v>
          </cell>
          <cell r="AG32">
            <v>0</v>
          </cell>
          <cell r="AH32">
            <v>0</v>
          </cell>
          <cell r="AI32">
            <v>0</v>
          </cell>
          <cell r="AJ32">
            <v>0</v>
          </cell>
          <cell r="AK32">
            <v>0</v>
          </cell>
          <cell r="AM32">
            <v>0</v>
          </cell>
          <cell r="AN32">
            <v>0</v>
          </cell>
          <cell r="AO32">
            <v>0</v>
          </cell>
          <cell r="AP32">
            <v>0</v>
          </cell>
          <cell r="AQ32">
            <v>0</v>
          </cell>
          <cell r="AR32">
            <v>0</v>
          </cell>
          <cell r="AS32">
            <v>0</v>
          </cell>
          <cell r="AT32">
            <v>0</v>
          </cell>
          <cell r="AU32">
            <v>0</v>
          </cell>
          <cell r="AV32">
            <v>0</v>
          </cell>
          <cell r="AW32">
            <v>0</v>
          </cell>
          <cell r="AX32">
            <v>22</v>
          </cell>
          <cell r="AY32">
            <v>22</v>
          </cell>
        </row>
        <row r="33">
          <cell r="C33">
            <v>1032438600</v>
          </cell>
          <cell r="D33" t="str">
            <v xml:space="preserve">PATINO MONTANO ZULY MARCELA </v>
          </cell>
          <cell r="E33">
            <v>0</v>
          </cell>
          <cell r="F33" t="str">
            <v xml:space="preserve">SUPERCADE CARRERA 30 </v>
          </cell>
          <cell r="G33" t="str">
            <v>06/01/2026</v>
          </cell>
          <cell r="H33" t="str">
            <v>OK</v>
          </cell>
          <cell r="I33" t="str">
            <v>OK</v>
          </cell>
          <cell r="J33" t="str">
            <v>OK</v>
          </cell>
          <cell r="K33" t="str">
            <v>OK</v>
          </cell>
          <cell r="L33" t="str">
            <v>OK</v>
          </cell>
          <cell r="M33" t="str">
            <v>OK</v>
          </cell>
          <cell r="N33" t="str">
            <v>OK</v>
          </cell>
          <cell r="O33" t="str">
            <v>OK</v>
          </cell>
          <cell r="P33" t="str">
            <v>OK</v>
          </cell>
          <cell r="Q33" t="str">
            <v>OK</v>
          </cell>
          <cell r="R33" t="str">
            <v>OK</v>
          </cell>
          <cell r="S33" t="str">
            <v>OK</v>
          </cell>
          <cell r="T33" t="str">
            <v>OK</v>
          </cell>
          <cell r="U33" t="str">
            <v>OK</v>
          </cell>
          <cell r="V33" t="str">
            <v>OK</v>
          </cell>
          <cell r="W33" t="str">
            <v>OK</v>
          </cell>
          <cell r="X33" t="str">
            <v>OK</v>
          </cell>
          <cell r="Y33" t="str">
            <v>OK</v>
          </cell>
          <cell r="Z33" t="str">
            <v>OK</v>
          </cell>
          <cell r="AA33" t="str">
            <v>OK</v>
          </cell>
          <cell r="AB33" t="str">
            <v>OK</v>
          </cell>
          <cell r="AC33" t="str">
            <v>OK</v>
          </cell>
          <cell r="AD33">
            <v>0</v>
          </cell>
          <cell r="AE33">
            <v>0</v>
          </cell>
          <cell r="AF33">
            <v>0</v>
          </cell>
          <cell r="AG33">
            <v>0</v>
          </cell>
          <cell r="AH33">
            <v>0</v>
          </cell>
          <cell r="AI33">
            <v>0</v>
          </cell>
          <cell r="AJ33">
            <v>0</v>
          </cell>
          <cell r="AK33">
            <v>0</v>
          </cell>
          <cell r="AM33">
            <v>0</v>
          </cell>
          <cell r="AN33">
            <v>0</v>
          </cell>
          <cell r="AO33">
            <v>0</v>
          </cell>
          <cell r="AP33">
            <v>0</v>
          </cell>
          <cell r="AQ33">
            <v>0</v>
          </cell>
          <cell r="AR33">
            <v>0</v>
          </cell>
          <cell r="AS33">
            <v>0</v>
          </cell>
          <cell r="AT33">
            <v>0</v>
          </cell>
          <cell r="AU33">
            <v>0</v>
          </cell>
          <cell r="AV33">
            <v>0</v>
          </cell>
          <cell r="AW33">
            <v>0</v>
          </cell>
          <cell r="AX33">
            <v>22</v>
          </cell>
          <cell r="AY33">
            <v>22</v>
          </cell>
        </row>
        <row r="34">
          <cell r="C34">
            <v>52309477</v>
          </cell>
          <cell r="D34" t="str">
            <v xml:space="preserve">PINEDA MOYA MARIA VIRGINIA </v>
          </cell>
          <cell r="E34">
            <v>0</v>
          </cell>
          <cell r="F34" t="str">
            <v xml:space="preserve">SUPERCADE CARRERA 30 </v>
          </cell>
          <cell r="G34" t="str">
            <v>21/10/2025</v>
          </cell>
          <cell r="H34" t="str">
            <v>OK</v>
          </cell>
          <cell r="I34" t="str">
            <v>OK</v>
          </cell>
          <cell r="J34" t="str">
            <v>OK</v>
          </cell>
          <cell r="K34" t="str">
            <v>OK</v>
          </cell>
          <cell r="L34" t="str">
            <v>OK</v>
          </cell>
          <cell r="M34" t="str">
            <v>OK</v>
          </cell>
          <cell r="N34" t="str">
            <v>OK</v>
          </cell>
          <cell r="O34" t="str">
            <v>OK</v>
          </cell>
          <cell r="P34" t="str">
            <v>OK</v>
          </cell>
          <cell r="Q34" t="str">
            <v>OK</v>
          </cell>
          <cell r="R34" t="str">
            <v>OK</v>
          </cell>
          <cell r="S34" t="str">
            <v>OK</v>
          </cell>
          <cell r="T34" t="str">
            <v>OK</v>
          </cell>
          <cell r="U34" t="str">
            <v>OK</v>
          </cell>
          <cell r="V34" t="str">
            <v>OK</v>
          </cell>
          <cell r="W34" t="str">
            <v>OK</v>
          </cell>
          <cell r="X34" t="str">
            <v>OK</v>
          </cell>
          <cell r="Y34" t="str">
            <v>OK</v>
          </cell>
          <cell r="Z34" t="str">
            <v>OK</v>
          </cell>
          <cell r="AA34" t="str">
            <v>OK</v>
          </cell>
          <cell r="AB34" t="str">
            <v>OK</v>
          </cell>
          <cell r="AC34" t="str">
            <v>OK</v>
          </cell>
          <cell r="AD34">
            <v>0</v>
          </cell>
          <cell r="AE34">
            <v>0</v>
          </cell>
          <cell r="AF34">
            <v>0</v>
          </cell>
          <cell r="AG34">
            <v>0</v>
          </cell>
          <cell r="AH34">
            <v>0</v>
          </cell>
          <cell r="AI34">
            <v>0</v>
          </cell>
          <cell r="AJ34">
            <v>0</v>
          </cell>
          <cell r="AK34">
            <v>0</v>
          </cell>
          <cell r="AM34">
            <v>0</v>
          </cell>
          <cell r="AN34">
            <v>0</v>
          </cell>
          <cell r="AO34">
            <v>0</v>
          </cell>
          <cell r="AP34">
            <v>0</v>
          </cell>
          <cell r="AQ34">
            <v>0</v>
          </cell>
          <cell r="AR34">
            <v>0</v>
          </cell>
          <cell r="AS34">
            <v>0</v>
          </cell>
          <cell r="AT34">
            <v>0</v>
          </cell>
          <cell r="AU34">
            <v>0</v>
          </cell>
          <cell r="AV34">
            <v>0</v>
          </cell>
          <cell r="AW34">
            <v>0</v>
          </cell>
          <cell r="AX34">
            <v>22</v>
          </cell>
          <cell r="AY34">
            <v>22</v>
          </cell>
        </row>
        <row r="35">
          <cell r="C35">
            <v>52064334</v>
          </cell>
          <cell r="D35" t="str">
            <v xml:space="preserve">BELTRAN BELTRAN OLGA PATRICIA </v>
          </cell>
          <cell r="E35">
            <v>0</v>
          </cell>
          <cell r="F35" t="str">
            <v xml:space="preserve">SUPERCADE CARRERA 30 </v>
          </cell>
          <cell r="G35" t="str">
            <v>18/10/2025</v>
          </cell>
          <cell r="H35" t="str">
            <v>OK</v>
          </cell>
          <cell r="I35" t="str">
            <v>OK</v>
          </cell>
          <cell r="J35" t="str">
            <v>OK</v>
          </cell>
          <cell r="K35" t="str">
            <v>OK</v>
          </cell>
          <cell r="L35" t="str">
            <v>OK</v>
          </cell>
          <cell r="M35" t="str">
            <v>OK</v>
          </cell>
          <cell r="N35" t="str">
            <v>OK</v>
          </cell>
          <cell r="O35" t="str">
            <v>OK</v>
          </cell>
          <cell r="P35" t="str">
            <v>OK</v>
          </cell>
          <cell r="Q35" t="str">
            <v>OK</v>
          </cell>
          <cell r="R35" t="str">
            <v>OK</v>
          </cell>
          <cell r="S35" t="str">
            <v>OK</v>
          </cell>
          <cell r="T35" t="str">
            <v>OK</v>
          </cell>
          <cell r="U35" t="str">
            <v>OK</v>
          </cell>
          <cell r="V35" t="str">
            <v>OK</v>
          </cell>
          <cell r="W35" t="str">
            <v>OK</v>
          </cell>
          <cell r="X35" t="str">
            <v>OK</v>
          </cell>
          <cell r="Y35" t="str">
            <v>OK</v>
          </cell>
          <cell r="Z35" t="str">
            <v>OK</v>
          </cell>
          <cell r="AA35" t="str">
            <v>OK</v>
          </cell>
          <cell r="AB35" t="str">
            <v>OK</v>
          </cell>
          <cell r="AC35" t="str">
            <v>OK</v>
          </cell>
          <cell r="AD35">
            <v>0</v>
          </cell>
          <cell r="AE35">
            <v>0</v>
          </cell>
          <cell r="AF35">
            <v>0</v>
          </cell>
          <cell r="AG35">
            <v>0</v>
          </cell>
          <cell r="AH35">
            <v>0</v>
          </cell>
          <cell r="AI35">
            <v>0</v>
          </cell>
          <cell r="AJ35">
            <v>0</v>
          </cell>
          <cell r="AK35">
            <v>0</v>
          </cell>
          <cell r="AM35">
            <v>0</v>
          </cell>
          <cell r="AN35">
            <v>0</v>
          </cell>
          <cell r="AO35">
            <v>0</v>
          </cell>
          <cell r="AP35">
            <v>0</v>
          </cell>
          <cell r="AQ35">
            <v>0</v>
          </cell>
          <cell r="AR35">
            <v>0</v>
          </cell>
          <cell r="AS35">
            <v>0</v>
          </cell>
          <cell r="AT35">
            <v>0</v>
          </cell>
          <cell r="AU35">
            <v>0</v>
          </cell>
          <cell r="AV35">
            <v>0</v>
          </cell>
          <cell r="AW35">
            <v>0</v>
          </cell>
          <cell r="AX35">
            <v>22</v>
          </cell>
          <cell r="AY35">
            <v>22</v>
          </cell>
        </row>
        <row r="36">
          <cell r="C36">
            <v>52231175</v>
          </cell>
          <cell r="D36" t="str">
            <v xml:space="preserve">ABDO CORTES YANNA ZORAYA </v>
          </cell>
          <cell r="E36">
            <v>0</v>
          </cell>
          <cell r="F36" t="str">
            <v xml:space="preserve">SUPERCADE CARRERA 30 </v>
          </cell>
          <cell r="G36" t="str">
            <v>15/12/2025</v>
          </cell>
          <cell r="H36" t="str">
            <v>OK</v>
          </cell>
          <cell r="I36" t="str">
            <v>OK</v>
          </cell>
          <cell r="J36" t="str">
            <v>OK</v>
          </cell>
          <cell r="K36" t="str">
            <v>OK</v>
          </cell>
          <cell r="L36" t="str">
            <v>OK</v>
          </cell>
          <cell r="M36" t="str">
            <v>OK</v>
          </cell>
          <cell r="N36" t="str">
            <v>OK</v>
          </cell>
          <cell r="O36" t="str">
            <v>OK</v>
          </cell>
          <cell r="P36" t="str">
            <v>OK</v>
          </cell>
          <cell r="Q36" t="str">
            <v>OK</v>
          </cell>
          <cell r="R36" t="str">
            <v>OK</v>
          </cell>
          <cell r="S36" t="str">
            <v>OK</v>
          </cell>
          <cell r="T36" t="str">
            <v>OK</v>
          </cell>
          <cell r="U36" t="str">
            <v>OK</v>
          </cell>
          <cell r="V36" t="str">
            <v>OK</v>
          </cell>
          <cell r="W36" t="str">
            <v>OK</v>
          </cell>
          <cell r="X36" t="str">
            <v>OK</v>
          </cell>
          <cell r="Y36" t="str">
            <v>OK</v>
          </cell>
          <cell r="Z36" t="str">
            <v>OK</v>
          </cell>
          <cell r="AA36" t="str">
            <v>OK</v>
          </cell>
          <cell r="AB36" t="str">
            <v>OK</v>
          </cell>
          <cell r="AC36" t="str">
            <v>OK</v>
          </cell>
          <cell r="AD36">
            <v>0</v>
          </cell>
          <cell r="AE36">
            <v>0</v>
          </cell>
          <cell r="AF36">
            <v>0</v>
          </cell>
          <cell r="AG36">
            <v>0</v>
          </cell>
          <cell r="AH36">
            <v>0</v>
          </cell>
          <cell r="AI36">
            <v>0</v>
          </cell>
          <cell r="AJ36">
            <v>0</v>
          </cell>
          <cell r="AK36">
            <v>0</v>
          </cell>
          <cell r="AM36">
            <v>0</v>
          </cell>
          <cell r="AN36">
            <v>0</v>
          </cell>
          <cell r="AO36">
            <v>0</v>
          </cell>
          <cell r="AP36">
            <v>0</v>
          </cell>
          <cell r="AQ36">
            <v>0</v>
          </cell>
          <cell r="AR36">
            <v>0</v>
          </cell>
          <cell r="AS36">
            <v>0</v>
          </cell>
          <cell r="AT36">
            <v>0</v>
          </cell>
          <cell r="AU36">
            <v>0</v>
          </cell>
          <cell r="AV36">
            <v>0</v>
          </cell>
          <cell r="AW36">
            <v>0</v>
          </cell>
          <cell r="AX36">
            <v>22</v>
          </cell>
          <cell r="AY36">
            <v>22</v>
          </cell>
        </row>
        <row r="37">
          <cell r="C37">
            <v>52886419</v>
          </cell>
          <cell r="D37" t="str">
            <v xml:space="preserve">MONTEJO  LINA MARIA </v>
          </cell>
          <cell r="E37">
            <v>0</v>
          </cell>
          <cell r="F37" t="str">
            <v xml:space="preserve">SUPERCADE CARRERA 30 </v>
          </cell>
          <cell r="G37" t="str">
            <v>18/10/2025</v>
          </cell>
          <cell r="H37" t="str">
            <v>OK</v>
          </cell>
          <cell r="I37" t="str">
            <v>OK</v>
          </cell>
          <cell r="J37" t="str">
            <v>OK</v>
          </cell>
          <cell r="K37" t="str">
            <v>OK</v>
          </cell>
          <cell r="L37" t="str">
            <v>OK</v>
          </cell>
          <cell r="M37" t="str">
            <v>OK</v>
          </cell>
          <cell r="N37" t="str">
            <v>OK</v>
          </cell>
          <cell r="O37" t="str">
            <v>OK</v>
          </cell>
          <cell r="P37" t="str">
            <v>OK</v>
          </cell>
          <cell r="Q37" t="str">
            <v>OK</v>
          </cell>
          <cell r="R37" t="str">
            <v>OK</v>
          </cell>
          <cell r="S37" t="str">
            <v>OK</v>
          </cell>
          <cell r="T37" t="str">
            <v>OK</v>
          </cell>
          <cell r="U37" t="str">
            <v>OK</v>
          </cell>
          <cell r="V37" t="str">
            <v>OK</v>
          </cell>
          <cell r="W37" t="str">
            <v>OK</v>
          </cell>
          <cell r="X37" t="str">
            <v>OK</v>
          </cell>
          <cell r="Y37" t="str">
            <v>OK</v>
          </cell>
          <cell r="Z37" t="str">
            <v>OK</v>
          </cell>
          <cell r="AA37" t="str">
            <v>OK</v>
          </cell>
          <cell r="AB37" t="str">
            <v>OK</v>
          </cell>
          <cell r="AC37" t="str">
            <v>OK</v>
          </cell>
          <cell r="AD37">
            <v>0</v>
          </cell>
          <cell r="AE37">
            <v>0</v>
          </cell>
          <cell r="AF37">
            <v>0</v>
          </cell>
          <cell r="AG37">
            <v>0</v>
          </cell>
          <cell r="AH37">
            <v>0</v>
          </cell>
          <cell r="AI37">
            <v>0</v>
          </cell>
          <cell r="AJ37">
            <v>0</v>
          </cell>
          <cell r="AK37">
            <v>0</v>
          </cell>
          <cell r="AM37">
            <v>0</v>
          </cell>
          <cell r="AN37">
            <v>0</v>
          </cell>
          <cell r="AO37">
            <v>0</v>
          </cell>
          <cell r="AP37">
            <v>0</v>
          </cell>
          <cell r="AQ37">
            <v>0</v>
          </cell>
          <cell r="AR37">
            <v>0</v>
          </cell>
          <cell r="AS37">
            <v>0</v>
          </cell>
          <cell r="AT37">
            <v>0</v>
          </cell>
          <cell r="AU37">
            <v>0</v>
          </cell>
          <cell r="AV37">
            <v>0</v>
          </cell>
          <cell r="AW37">
            <v>0</v>
          </cell>
          <cell r="AX37">
            <v>22</v>
          </cell>
          <cell r="AY37">
            <v>22</v>
          </cell>
        </row>
        <row r="38">
          <cell r="C38">
            <v>79697226</v>
          </cell>
          <cell r="D38" t="str">
            <v xml:space="preserve">RIOS FRANCO HECTOR ALONSO </v>
          </cell>
          <cell r="E38">
            <v>0</v>
          </cell>
          <cell r="F38" t="str">
            <v xml:space="preserve">SUPERCADE CARRERA 30 </v>
          </cell>
          <cell r="G38" t="str">
            <v>10/12/2025</v>
          </cell>
          <cell r="H38" t="str">
            <v>OK</v>
          </cell>
          <cell r="I38" t="str">
            <v>OK</v>
          </cell>
          <cell r="J38" t="str">
            <v>OK</v>
          </cell>
          <cell r="K38" t="str">
            <v>OK</v>
          </cell>
          <cell r="L38" t="str">
            <v>OK</v>
          </cell>
          <cell r="M38" t="str">
            <v>OK</v>
          </cell>
          <cell r="N38" t="str">
            <v>OK</v>
          </cell>
          <cell r="O38" t="str">
            <v>OK</v>
          </cell>
          <cell r="P38" t="str">
            <v>OK</v>
          </cell>
          <cell r="Q38" t="str">
            <v>OK</v>
          </cell>
          <cell r="R38" t="str">
            <v>OK</v>
          </cell>
          <cell r="S38" t="str">
            <v>OK</v>
          </cell>
          <cell r="T38" t="str">
            <v>OK</v>
          </cell>
          <cell r="U38" t="str">
            <v>OK</v>
          </cell>
          <cell r="V38" t="str">
            <v>OK</v>
          </cell>
          <cell r="W38" t="str">
            <v>OK</v>
          </cell>
          <cell r="X38" t="str">
            <v>OK</v>
          </cell>
          <cell r="Y38" t="str">
            <v>OK</v>
          </cell>
          <cell r="Z38" t="str">
            <v>OK</v>
          </cell>
          <cell r="AA38" t="str">
            <v>OK</v>
          </cell>
          <cell r="AB38" t="str">
            <v>OK</v>
          </cell>
          <cell r="AC38" t="str">
            <v>OK</v>
          </cell>
          <cell r="AD38">
            <v>0</v>
          </cell>
          <cell r="AE38">
            <v>0</v>
          </cell>
          <cell r="AF38">
            <v>0</v>
          </cell>
          <cell r="AG38">
            <v>0</v>
          </cell>
          <cell r="AH38">
            <v>0</v>
          </cell>
          <cell r="AI38">
            <v>0</v>
          </cell>
          <cell r="AJ38">
            <v>0</v>
          </cell>
          <cell r="AK38">
            <v>0</v>
          </cell>
          <cell r="AM38">
            <v>0</v>
          </cell>
          <cell r="AN38">
            <v>0</v>
          </cell>
          <cell r="AO38">
            <v>0</v>
          </cell>
          <cell r="AP38">
            <v>0</v>
          </cell>
          <cell r="AQ38">
            <v>0</v>
          </cell>
          <cell r="AR38">
            <v>0</v>
          </cell>
          <cell r="AS38">
            <v>0</v>
          </cell>
          <cell r="AT38">
            <v>0</v>
          </cell>
          <cell r="AU38">
            <v>0</v>
          </cell>
          <cell r="AV38">
            <v>0</v>
          </cell>
          <cell r="AW38">
            <v>0</v>
          </cell>
          <cell r="AX38">
            <v>22</v>
          </cell>
          <cell r="AY38">
            <v>22</v>
          </cell>
        </row>
        <row r="39">
          <cell r="C39">
            <v>1028860401</v>
          </cell>
          <cell r="D39" t="str">
            <v xml:space="preserve">VEGA MANFULA YEYSON YOTSUA </v>
          </cell>
          <cell r="E39">
            <v>0</v>
          </cell>
          <cell r="F39" t="str">
            <v xml:space="preserve">CENTRO MEMORIA </v>
          </cell>
          <cell r="G39" t="str">
            <v>18/10/2025</v>
          </cell>
          <cell r="H39" t="str">
            <v>OK</v>
          </cell>
          <cell r="I39" t="str">
            <v>OK</v>
          </cell>
          <cell r="J39" t="str">
            <v>OK</v>
          </cell>
          <cell r="K39" t="str">
            <v>OK</v>
          </cell>
          <cell r="L39" t="str">
            <v>OK</v>
          </cell>
          <cell r="M39" t="str">
            <v>OK</v>
          </cell>
          <cell r="N39" t="str">
            <v>OK</v>
          </cell>
          <cell r="O39" t="str">
            <v>OK</v>
          </cell>
          <cell r="P39" t="str">
            <v>OK</v>
          </cell>
          <cell r="Q39" t="str">
            <v>OK</v>
          </cell>
          <cell r="R39" t="str">
            <v>OK</v>
          </cell>
          <cell r="S39" t="str">
            <v>OK</v>
          </cell>
          <cell r="T39" t="str">
            <v>OK</v>
          </cell>
          <cell r="U39" t="str">
            <v>OK</v>
          </cell>
          <cell r="V39" t="str">
            <v>OK</v>
          </cell>
          <cell r="W39" t="str">
            <v>OK</v>
          </cell>
          <cell r="X39" t="str">
            <v>OK</v>
          </cell>
          <cell r="Y39" t="str">
            <v>OK</v>
          </cell>
          <cell r="Z39" t="str">
            <v>OK</v>
          </cell>
          <cell r="AA39" t="str">
            <v>OK</v>
          </cell>
          <cell r="AB39" t="str">
            <v>OK</v>
          </cell>
          <cell r="AC39" t="str">
            <v>OK</v>
          </cell>
          <cell r="AD39">
            <v>0</v>
          </cell>
          <cell r="AE39">
            <v>0</v>
          </cell>
          <cell r="AF39">
            <v>0</v>
          </cell>
          <cell r="AG39">
            <v>0</v>
          </cell>
          <cell r="AH39">
            <v>0</v>
          </cell>
          <cell r="AI39">
            <v>0</v>
          </cell>
          <cell r="AJ39">
            <v>0</v>
          </cell>
          <cell r="AK39">
            <v>0</v>
          </cell>
          <cell r="AM39">
            <v>0</v>
          </cell>
          <cell r="AN39">
            <v>0</v>
          </cell>
          <cell r="AO39">
            <v>0</v>
          </cell>
          <cell r="AP39">
            <v>0</v>
          </cell>
          <cell r="AQ39">
            <v>0</v>
          </cell>
          <cell r="AR39">
            <v>0</v>
          </cell>
          <cell r="AS39">
            <v>0</v>
          </cell>
          <cell r="AT39">
            <v>0</v>
          </cell>
          <cell r="AU39">
            <v>0</v>
          </cell>
          <cell r="AV39">
            <v>0</v>
          </cell>
          <cell r="AW39">
            <v>0</v>
          </cell>
          <cell r="AX39">
            <v>22</v>
          </cell>
          <cell r="AY39">
            <v>22</v>
          </cell>
        </row>
        <row r="40">
          <cell r="C40">
            <v>52348638</v>
          </cell>
          <cell r="D40" t="str">
            <v xml:space="preserve">CASTRO GUTIERREZ RUTH MARINELA </v>
          </cell>
          <cell r="E40">
            <v>0</v>
          </cell>
          <cell r="F40" t="str">
            <v xml:space="preserve">CENTRO MEMORIA </v>
          </cell>
          <cell r="G40" t="str">
            <v>18/10/2025</v>
          </cell>
          <cell r="H40" t="str">
            <v>OK</v>
          </cell>
          <cell r="I40" t="str">
            <v>OK</v>
          </cell>
          <cell r="J40" t="str">
            <v>OK</v>
          </cell>
          <cell r="K40" t="str">
            <v>OK</v>
          </cell>
          <cell r="L40" t="str">
            <v>OK</v>
          </cell>
          <cell r="M40" t="str">
            <v>OK</v>
          </cell>
          <cell r="N40" t="str">
            <v>OK</v>
          </cell>
          <cell r="O40" t="str">
            <v>OK</v>
          </cell>
          <cell r="P40" t="str">
            <v>OK</v>
          </cell>
          <cell r="Q40" t="str">
            <v>OK</v>
          </cell>
          <cell r="R40" t="str">
            <v>OK</v>
          </cell>
          <cell r="S40" t="str">
            <v>OK</v>
          </cell>
          <cell r="T40" t="str">
            <v>OK</v>
          </cell>
          <cell r="U40" t="str">
            <v>OK</v>
          </cell>
          <cell r="V40" t="str">
            <v>OK</v>
          </cell>
          <cell r="W40" t="str">
            <v>OK</v>
          </cell>
          <cell r="X40" t="str">
            <v>OK</v>
          </cell>
          <cell r="Y40" t="str">
            <v>OK</v>
          </cell>
          <cell r="Z40" t="str">
            <v>OK</v>
          </cell>
          <cell r="AA40" t="str">
            <v>OK</v>
          </cell>
          <cell r="AB40" t="str">
            <v>OK</v>
          </cell>
          <cell r="AC40" t="str">
            <v>OK</v>
          </cell>
          <cell r="AD40">
            <v>0</v>
          </cell>
          <cell r="AE40">
            <v>0</v>
          </cell>
          <cell r="AF40">
            <v>0</v>
          </cell>
          <cell r="AG40">
            <v>0</v>
          </cell>
          <cell r="AH40">
            <v>0</v>
          </cell>
          <cell r="AI40">
            <v>0</v>
          </cell>
          <cell r="AJ40">
            <v>0</v>
          </cell>
          <cell r="AK40">
            <v>0</v>
          </cell>
          <cell r="AM40">
            <v>0</v>
          </cell>
          <cell r="AN40">
            <v>0</v>
          </cell>
          <cell r="AO40">
            <v>0</v>
          </cell>
          <cell r="AP40">
            <v>0</v>
          </cell>
          <cell r="AQ40">
            <v>0</v>
          </cell>
          <cell r="AR40">
            <v>0</v>
          </cell>
          <cell r="AS40">
            <v>0</v>
          </cell>
          <cell r="AT40">
            <v>0</v>
          </cell>
          <cell r="AU40">
            <v>0</v>
          </cell>
          <cell r="AV40">
            <v>0</v>
          </cell>
          <cell r="AW40">
            <v>0</v>
          </cell>
          <cell r="AX40">
            <v>22</v>
          </cell>
          <cell r="AY40">
            <v>22</v>
          </cell>
        </row>
        <row r="41">
          <cell r="C41">
            <v>1023031155</v>
          </cell>
          <cell r="D41" t="str">
            <v xml:space="preserve">CAMARGO HERNANDEZ LUISA FERNANDA </v>
          </cell>
          <cell r="E41">
            <v>0</v>
          </cell>
          <cell r="F41" t="str">
            <v xml:space="preserve">CENTRO MEMORIA </v>
          </cell>
          <cell r="G41" t="str">
            <v>18/10/2025</v>
          </cell>
          <cell r="H41" t="str">
            <v>OK</v>
          </cell>
          <cell r="I41" t="str">
            <v>OK</v>
          </cell>
          <cell r="J41" t="str">
            <v>OK</v>
          </cell>
          <cell r="K41" t="str">
            <v>OK</v>
          </cell>
          <cell r="L41" t="str">
            <v>OK</v>
          </cell>
          <cell r="M41" t="str">
            <v>OK</v>
          </cell>
          <cell r="N41" t="str">
            <v>OK</v>
          </cell>
          <cell r="O41" t="str">
            <v>OK</v>
          </cell>
          <cell r="P41" t="str">
            <v>OK</v>
          </cell>
          <cell r="Q41" t="str">
            <v>OK</v>
          </cell>
          <cell r="R41" t="str">
            <v>OK</v>
          </cell>
          <cell r="S41" t="str">
            <v>OK</v>
          </cell>
          <cell r="T41" t="str">
            <v>OK</v>
          </cell>
          <cell r="U41" t="str">
            <v>OK</v>
          </cell>
          <cell r="V41" t="str">
            <v>OK</v>
          </cell>
          <cell r="W41" t="str">
            <v>OK</v>
          </cell>
          <cell r="X41" t="str">
            <v>OK</v>
          </cell>
          <cell r="Y41" t="str">
            <v>OK</v>
          </cell>
          <cell r="Z41" t="str">
            <v>OK</v>
          </cell>
          <cell r="AA41" t="str">
            <v>OK</v>
          </cell>
          <cell r="AB41" t="str">
            <v>OK</v>
          </cell>
          <cell r="AC41" t="str">
            <v>OK</v>
          </cell>
          <cell r="AD41">
            <v>0</v>
          </cell>
          <cell r="AE41">
            <v>0</v>
          </cell>
          <cell r="AF41">
            <v>0</v>
          </cell>
          <cell r="AG41">
            <v>0</v>
          </cell>
          <cell r="AH41">
            <v>0</v>
          </cell>
          <cell r="AI41">
            <v>0</v>
          </cell>
          <cell r="AJ41">
            <v>0</v>
          </cell>
          <cell r="AK41">
            <v>0</v>
          </cell>
          <cell r="AM41">
            <v>0</v>
          </cell>
          <cell r="AN41">
            <v>0</v>
          </cell>
          <cell r="AO41">
            <v>0</v>
          </cell>
          <cell r="AP41">
            <v>0</v>
          </cell>
          <cell r="AQ41">
            <v>0</v>
          </cell>
          <cell r="AR41">
            <v>0</v>
          </cell>
          <cell r="AS41">
            <v>0</v>
          </cell>
          <cell r="AT41">
            <v>0</v>
          </cell>
          <cell r="AU41">
            <v>0</v>
          </cell>
          <cell r="AV41">
            <v>0</v>
          </cell>
          <cell r="AW41">
            <v>0</v>
          </cell>
          <cell r="AX41">
            <v>22</v>
          </cell>
          <cell r="AY41">
            <v>22</v>
          </cell>
        </row>
        <row r="42">
          <cell r="C42">
            <v>52704600</v>
          </cell>
          <cell r="D42" t="str">
            <v xml:space="preserve">TRIVINO SUAREZ LURY HEYDE </v>
          </cell>
          <cell r="E42">
            <v>0</v>
          </cell>
          <cell r="F42" t="str">
            <v xml:space="preserve">CENTRO MEMORIA </v>
          </cell>
          <cell r="G42" t="str">
            <v>18/10/2025</v>
          </cell>
          <cell r="H42" t="str">
            <v>OK</v>
          </cell>
          <cell r="I42" t="str">
            <v>OK</v>
          </cell>
          <cell r="J42" t="str">
            <v>OK</v>
          </cell>
          <cell r="K42" t="str">
            <v>OK</v>
          </cell>
          <cell r="L42" t="str">
            <v>OK</v>
          </cell>
          <cell r="M42" t="str">
            <v>OK</v>
          </cell>
          <cell r="N42" t="str">
            <v>OK</v>
          </cell>
          <cell r="O42" t="str">
            <v>OK</v>
          </cell>
          <cell r="P42" t="str">
            <v>OK</v>
          </cell>
          <cell r="Q42" t="str">
            <v>OK</v>
          </cell>
          <cell r="R42" t="str">
            <v>OK</v>
          </cell>
          <cell r="S42" t="str">
            <v>OK</v>
          </cell>
          <cell r="T42" t="str">
            <v>OK</v>
          </cell>
          <cell r="U42" t="str">
            <v>INC</v>
          </cell>
          <cell r="V42" t="str">
            <v>INC</v>
          </cell>
          <cell r="W42" t="str">
            <v>OK</v>
          </cell>
          <cell r="X42" t="str">
            <v>OK</v>
          </cell>
          <cell r="Y42" t="str">
            <v>OK</v>
          </cell>
          <cell r="Z42" t="str">
            <v>OK</v>
          </cell>
          <cell r="AA42" t="str">
            <v>OK</v>
          </cell>
          <cell r="AB42" t="str">
            <v>TS</v>
          </cell>
          <cell r="AC42" t="str">
            <v>TS</v>
          </cell>
          <cell r="AD42" t="str">
            <v>TS</v>
          </cell>
          <cell r="AE42" t="str">
            <v>TS</v>
          </cell>
          <cell r="AF42" t="str">
            <v>TS</v>
          </cell>
          <cell r="AG42" t="str">
            <v>TS</v>
          </cell>
          <cell r="AH42" t="str">
            <v>TS</v>
          </cell>
          <cell r="AI42" t="str">
            <v>TS</v>
          </cell>
          <cell r="AJ42" t="str">
            <v>TS</v>
          </cell>
          <cell r="AK42" t="str">
            <v>TS</v>
          </cell>
          <cell r="AM42">
            <v>0</v>
          </cell>
          <cell r="AN42">
            <v>0</v>
          </cell>
          <cell r="AO42">
            <v>0</v>
          </cell>
          <cell r="AP42">
            <v>2</v>
          </cell>
          <cell r="AQ42">
            <v>0</v>
          </cell>
          <cell r="AR42">
            <v>0</v>
          </cell>
          <cell r="AS42">
            <v>0</v>
          </cell>
          <cell r="AT42">
            <v>0</v>
          </cell>
          <cell r="AU42">
            <v>0</v>
          </cell>
          <cell r="AV42">
            <v>0</v>
          </cell>
          <cell r="AW42">
            <v>0</v>
          </cell>
          <cell r="AX42">
            <v>18</v>
          </cell>
          <cell r="AY42">
            <v>18</v>
          </cell>
        </row>
        <row r="43">
          <cell r="C43">
            <v>1016049175</v>
          </cell>
          <cell r="D43" t="str">
            <v xml:space="preserve">TAO ULTENGO CESAR MAURICIO </v>
          </cell>
          <cell r="E43">
            <v>0</v>
          </cell>
          <cell r="F43" t="str">
            <v xml:space="preserve">CENTRO MEMORIA </v>
          </cell>
          <cell r="G43" t="str">
            <v>18/10/2025</v>
          </cell>
          <cell r="H43" t="str">
            <v>OK</v>
          </cell>
          <cell r="I43" t="str">
            <v>OK</v>
          </cell>
          <cell r="J43" t="str">
            <v>OK</v>
          </cell>
          <cell r="K43" t="str">
            <v>OK</v>
          </cell>
          <cell r="L43" t="str">
            <v>OK</v>
          </cell>
          <cell r="M43" t="str">
            <v>OK</v>
          </cell>
          <cell r="N43" t="str">
            <v>OK</v>
          </cell>
          <cell r="O43" t="str">
            <v>OK</v>
          </cell>
          <cell r="P43" t="str">
            <v>OK</v>
          </cell>
          <cell r="Q43" t="str">
            <v>OK</v>
          </cell>
          <cell r="R43" t="str">
            <v>OK</v>
          </cell>
          <cell r="S43" t="str">
            <v>OK</v>
          </cell>
          <cell r="T43" t="str">
            <v>OK</v>
          </cell>
          <cell r="U43" t="str">
            <v>OK</v>
          </cell>
          <cell r="V43" t="str">
            <v>OK</v>
          </cell>
          <cell r="W43" t="str">
            <v>OK</v>
          </cell>
          <cell r="X43" t="str">
            <v>OK</v>
          </cell>
          <cell r="Y43" t="str">
            <v>TS</v>
          </cell>
          <cell r="Z43" t="str">
            <v>TS</v>
          </cell>
          <cell r="AA43" t="str">
            <v>TS</v>
          </cell>
          <cell r="AB43" t="str">
            <v>TS</v>
          </cell>
          <cell r="AC43" t="str">
            <v>TS</v>
          </cell>
          <cell r="AD43" t="str">
            <v>TS</v>
          </cell>
          <cell r="AE43" t="str">
            <v>TS</v>
          </cell>
          <cell r="AF43" t="str">
            <v>TS</v>
          </cell>
          <cell r="AG43" t="str">
            <v>TS</v>
          </cell>
          <cell r="AH43" t="str">
            <v>TS</v>
          </cell>
          <cell r="AI43" t="str">
            <v>TS</v>
          </cell>
          <cell r="AJ43" t="str">
            <v>TS</v>
          </cell>
          <cell r="AK43" t="str">
            <v>TS</v>
          </cell>
          <cell r="AM43">
            <v>0</v>
          </cell>
          <cell r="AN43">
            <v>0</v>
          </cell>
          <cell r="AO43">
            <v>0</v>
          </cell>
          <cell r="AP43">
            <v>0</v>
          </cell>
          <cell r="AQ43">
            <v>0</v>
          </cell>
          <cell r="AR43">
            <v>0</v>
          </cell>
          <cell r="AS43">
            <v>0</v>
          </cell>
          <cell r="AT43">
            <v>0</v>
          </cell>
          <cell r="AU43">
            <v>0</v>
          </cell>
          <cell r="AV43">
            <v>0</v>
          </cell>
          <cell r="AW43">
            <v>0</v>
          </cell>
          <cell r="AX43">
            <v>17</v>
          </cell>
          <cell r="AY43">
            <v>17</v>
          </cell>
        </row>
        <row r="44">
          <cell r="C44">
            <v>1193109715</v>
          </cell>
          <cell r="D44" t="str">
            <v xml:space="preserve">RAMOS TORRES ARMANDO LUIS </v>
          </cell>
          <cell r="E44">
            <v>0</v>
          </cell>
          <cell r="F44" t="str">
            <v xml:space="preserve">CENTRO MEMORIA </v>
          </cell>
          <cell r="G44" t="str">
            <v>18/10/2025</v>
          </cell>
          <cell r="H44" t="str">
            <v>OK</v>
          </cell>
          <cell r="I44" t="str">
            <v>OK</v>
          </cell>
          <cell r="J44" t="str">
            <v>OK</v>
          </cell>
          <cell r="K44" t="str">
            <v>OK</v>
          </cell>
          <cell r="L44" t="str">
            <v>OK</v>
          </cell>
          <cell r="M44" t="str">
            <v>OK</v>
          </cell>
          <cell r="N44" t="str">
            <v>OK</v>
          </cell>
          <cell r="O44" t="str">
            <v>OK</v>
          </cell>
          <cell r="P44" t="str">
            <v>OK</v>
          </cell>
          <cell r="Q44" t="str">
            <v>OK</v>
          </cell>
          <cell r="R44" t="str">
            <v>OK</v>
          </cell>
          <cell r="S44" t="str">
            <v>OK</v>
          </cell>
          <cell r="T44" t="str">
            <v>OK</v>
          </cell>
          <cell r="U44" t="str">
            <v>OK</v>
          </cell>
          <cell r="V44" t="str">
            <v>OK</v>
          </cell>
          <cell r="W44" t="str">
            <v>OK</v>
          </cell>
          <cell r="X44" t="str">
            <v>OK</v>
          </cell>
          <cell r="Y44" t="str">
            <v>OK</v>
          </cell>
          <cell r="Z44" t="str">
            <v>OK</v>
          </cell>
          <cell r="AA44" t="str">
            <v>OK</v>
          </cell>
          <cell r="AB44" t="str">
            <v>OK</v>
          </cell>
          <cell r="AC44" t="str">
            <v>OK</v>
          </cell>
          <cell r="AD44">
            <v>0</v>
          </cell>
          <cell r="AE44">
            <v>0</v>
          </cell>
          <cell r="AF44">
            <v>0</v>
          </cell>
          <cell r="AG44">
            <v>0</v>
          </cell>
          <cell r="AH44">
            <v>0</v>
          </cell>
          <cell r="AI44">
            <v>0</v>
          </cell>
          <cell r="AJ44">
            <v>0</v>
          </cell>
          <cell r="AK44">
            <v>0</v>
          </cell>
          <cell r="AM44">
            <v>0</v>
          </cell>
          <cell r="AN44">
            <v>0</v>
          </cell>
          <cell r="AO44">
            <v>0</v>
          </cell>
          <cell r="AP44">
            <v>0</v>
          </cell>
          <cell r="AQ44">
            <v>0</v>
          </cell>
          <cell r="AR44">
            <v>0</v>
          </cell>
          <cell r="AS44">
            <v>0</v>
          </cell>
          <cell r="AT44">
            <v>0</v>
          </cell>
          <cell r="AU44">
            <v>0</v>
          </cell>
          <cell r="AV44">
            <v>0</v>
          </cell>
          <cell r="AW44">
            <v>0</v>
          </cell>
          <cell r="AX44">
            <v>22</v>
          </cell>
          <cell r="AY44">
            <v>22</v>
          </cell>
        </row>
        <row r="45">
          <cell r="C45">
            <v>53128765</v>
          </cell>
          <cell r="D45" t="str">
            <v xml:space="preserve">PULIDO PULIDO HEIDY ANDREA </v>
          </cell>
          <cell r="E45">
            <v>0</v>
          </cell>
          <cell r="F45" t="str">
            <v xml:space="preserve">CENTRO MEMORIA </v>
          </cell>
          <cell r="G45" t="str">
            <v>25/03/2026</v>
          </cell>
          <cell r="H45" t="str">
            <v>OK</v>
          </cell>
          <cell r="I45" t="str">
            <v>OK</v>
          </cell>
          <cell r="J45" t="str">
            <v>OK</v>
          </cell>
          <cell r="K45" t="str">
            <v>OK</v>
          </cell>
          <cell r="L45" t="str">
            <v>OK</v>
          </cell>
          <cell r="M45" t="str">
            <v>OK</v>
          </cell>
          <cell r="N45" t="str">
            <v>OK</v>
          </cell>
          <cell r="O45" t="str">
            <v>OK</v>
          </cell>
          <cell r="P45" t="str">
            <v>OK</v>
          </cell>
          <cell r="Q45" t="str">
            <v>OK</v>
          </cell>
          <cell r="R45" t="str">
            <v>OK</v>
          </cell>
          <cell r="S45" t="str">
            <v>OK</v>
          </cell>
          <cell r="T45" t="str">
            <v>OK</v>
          </cell>
          <cell r="U45" t="str">
            <v>OK</v>
          </cell>
          <cell r="V45" t="str">
            <v>OK</v>
          </cell>
          <cell r="W45" t="str">
            <v>OK</v>
          </cell>
          <cell r="X45" t="str">
            <v>OK</v>
          </cell>
          <cell r="Y45" t="str">
            <v>OK</v>
          </cell>
          <cell r="Z45" t="str">
            <v>OK</v>
          </cell>
          <cell r="AA45" t="str">
            <v>OK</v>
          </cell>
          <cell r="AB45" t="str">
            <v>OK</v>
          </cell>
          <cell r="AC45" t="str">
            <v>OK</v>
          </cell>
          <cell r="AD45">
            <v>0</v>
          </cell>
          <cell r="AE45">
            <v>0</v>
          </cell>
          <cell r="AF45">
            <v>0</v>
          </cell>
          <cell r="AG45">
            <v>0</v>
          </cell>
          <cell r="AH45">
            <v>0</v>
          </cell>
          <cell r="AI45">
            <v>0</v>
          </cell>
          <cell r="AJ45">
            <v>0</v>
          </cell>
          <cell r="AK45">
            <v>0</v>
          </cell>
          <cell r="AM45">
            <v>0</v>
          </cell>
          <cell r="AN45">
            <v>0</v>
          </cell>
          <cell r="AO45">
            <v>0</v>
          </cell>
          <cell r="AP45">
            <v>0</v>
          </cell>
          <cell r="AQ45">
            <v>0</v>
          </cell>
          <cell r="AR45">
            <v>0</v>
          </cell>
          <cell r="AS45">
            <v>0</v>
          </cell>
          <cell r="AT45">
            <v>0</v>
          </cell>
          <cell r="AU45">
            <v>0</v>
          </cell>
          <cell r="AV45">
            <v>0</v>
          </cell>
          <cell r="AW45">
            <v>0</v>
          </cell>
          <cell r="AX45">
            <v>22</v>
          </cell>
          <cell r="AY45">
            <v>22</v>
          </cell>
        </row>
        <row r="46">
          <cell r="C46">
            <v>1010176179</v>
          </cell>
          <cell r="D46" t="str">
            <v xml:space="preserve">HERNANDEZ  CINDY LORENA </v>
          </cell>
          <cell r="E46">
            <v>0</v>
          </cell>
          <cell r="F46" t="str">
            <v>SUPERNUMERARIA</v>
          </cell>
          <cell r="G46" t="str">
            <v>01/12/2025</v>
          </cell>
          <cell r="H46" t="str">
            <v>OK</v>
          </cell>
          <cell r="I46" t="str">
            <v>OK</v>
          </cell>
          <cell r="J46" t="str">
            <v>OK</v>
          </cell>
          <cell r="K46" t="str">
            <v>OK</v>
          </cell>
          <cell r="L46" t="str">
            <v>OK</v>
          </cell>
          <cell r="M46" t="str">
            <v>OK</v>
          </cell>
          <cell r="N46" t="str">
            <v>OK</v>
          </cell>
          <cell r="O46" t="str">
            <v>OK</v>
          </cell>
          <cell r="P46" t="str">
            <v>OK</v>
          </cell>
          <cell r="Q46" t="str">
            <v xml:space="preserve">INC </v>
          </cell>
          <cell r="R46" t="str">
            <v>INC</v>
          </cell>
          <cell r="S46" t="str">
            <v>OK</v>
          </cell>
          <cell r="T46" t="str">
            <v>OK</v>
          </cell>
          <cell r="U46" t="str">
            <v>OK</v>
          </cell>
          <cell r="V46" t="str">
            <v>OK</v>
          </cell>
          <cell r="W46" t="str">
            <v>OK</v>
          </cell>
          <cell r="X46" t="str">
            <v>OK</v>
          </cell>
          <cell r="Y46" t="str">
            <v>OK</v>
          </cell>
          <cell r="Z46" t="str">
            <v>OK</v>
          </cell>
          <cell r="AA46" t="str">
            <v>OK</v>
          </cell>
          <cell r="AB46" t="str">
            <v>OK</v>
          </cell>
          <cell r="AC46" t="str">
            <v>OK</v>
          </cell>
          <cell r="AD46">
            <v>0</v>
          </cell>
          <cell r="AE46">
            <v>0</v>
          </cell>
          <cell r="AF46">
            <v>0</v>
          </cell>
          <cell r="AG46">
            <v>0</v>
          </cell>
          <cell r="AH46">
            <v>0</v>
          </cell>
          <cell r="AI46">
            <v>0</v>
          </cell>
          <cell r="AJ46">
            <v>0</v>
          </cell>
          <cell r="AK46">
            <v>0</v>
          </cell>
          <cell r="AM46">
            <v>0</v>
          </cell>
          <cell r="AN46">
            <v>0</v>
          </cell>
          <cell r="AO46">
            <v>0</v>
          </cell>
          <cell r="AP46">
            <v>1</v>
          </cell>
          <cell r="AQ46">
            <v>0</v>
          </cell>
          <cell r="AR46">
            <v>0</v>
          </cell>
          <cell r="AS46">
            <v>0</v>
          </cell>
          <cell r="AT46">
            <v>0</v>
          </cell>
          <cell r="AU46">
            <v>0</v>
          </cell>
          <cell r="AV46">
            <v>0</v>
          </cell>
          <cell r="AW46">
            <v>0</v>
          </cell>
          <cell r="AX46">
            <v>20</v>
          </cell>
          <cell r="AY46">
            <v>20</v>
          </cell>
        </row>
        <row r="47">
          <cell r="C47">
            <v>1022936063</v>
          </cell>
          <cell r="D47" t="str">
            <v xml:space="preserve">FAGUA ROMERO JUAN ALEJANDRO </v>
          </cell>
          <cell r="E47">
            <v>0</v>
          </cell>
          <cell r="F47" t="str">
            <v xml:space="preserve">ZV SERVIASEAMOS </v>
          </cell>
          <cell r="G47" t="str">
            <v>18/10/2025</v>
          </cell>
          <cell r="H47" t="str">
            <v>OK</v>
          </cell>
          <cell r="I47" t="str">
            <v>OK</v>
          </cell>
          <cell r="J47" t="str">
            <v>OK</v>
          </cell>
          <cell r="K47" t="str">
            <v>OK</v>
          </cell>
          <cell r="L47" t="str">
            <v>OK</v>
          </cell>
          <cell r="M47" t="str">
            <v>OK</v>
          </cell>
          <cell r="N47" t="str">
            <v>OK</v>
          </cell>
          <cell r="O47" t="str">
            <v>OK</v>
          </cell>
          <cell r="P47" t="str">
            <v>OK</v>
          </cell>
          <cell r="Q47" t="str">
            <v>OK</v>
          </cell>
          <cell r="R47" t="str">
            <v>OK</v>
          </cell>
          <cell r="S47" t="str">
            <v>OK</v>
          </cell>
          <cell r="T47" t="str">
            <v>OK</v>
          </cell>
          <cell r="U47" t="str">
            <v>OK</v>
          </cell>
          <cell r="V47" t="str">
            <v>OK</v>
          </cell>
          <cell r="W47" t="str">
            <v>OK</v>
          </cell>
          <cell r="X47" t="str">
            <v>OK</v>
          </cell>
          <cell r="Y47" t="str">
            <v>OK</v>
          </cell>
          <cell r="Z47" t="str">
            <v>OK</v>
          </cell>
          <cell r="AA47" t="str">
            <v>OK</v>
          </cell>
          <cell r="AB47" t="str">
            <v>OK</v>
          </cell>
          <cell r="AC47" t="str">
            <v>OK</v>
          </cell>
          <cell r="AD47">
            <v>0</v>
          </cell>
          <cell r="AE47">
            <v>0</v>
          </cell>
          <cell r="AF47">
            <v>0</v>
          </cell>
          <cell r="AG47">
            <v>0</v>
          </cell>
          <cell r="AH47">
            <v>0</v>
          </cell>
          <cell r="AI47">
            <v>0</v>
          </cell>
          <cell r="AJ47">
            <v>0</v>
          </cell>
          <cell r="AK47">
            <v>0</v>
          </cell>
          <cell r="AM47">
            <v>0</v>
          </cell>
          <cell r="AN47">
            <v>0</v>
          </cell>
          <cell r="AO47">
            <v>0</v>
          </cell>
          <cell r="AP47">
            <v>0</v>
          </cell>
          <cell r="AQ47">
            <v>0</v>
          </cell>
          <cell r="AR47">
            <v>0</v>
          </cell>
          <cell r="AS47">
            <v>0</v>
          </cell>
          <cell r="AT47">
            <v>0</v>
          </cell>
          <cell r="AU47">
            <v>0</v>
          </cell>
          <cell r="AV47">
            <v>0</v>
          </cell>
          <cell r="AW47">
            <v>0</v>
          </cell>
          <cell r="AX47">
            <v>22</v>
          </cell>
          <cell r="AY47">
            <v>22</v>
          </cell>
        </row>
        <row r="48">
          <cell r="C48">
            <v>80443614</v>
          </cell>
          <cell r="D48" t="str">
            <v xml:space="preserve">LARA TELLEZ YESID  </v>
          </cell>
          <cell r="F48" t="str">
            <v xml:space="preserve">CENTRO MEMORIA </v>
          </cell>
          <cell r="G48" t="str">
            <v>22/10/2025</v>
          </cell>
          <cell r="H48" t="str">
            <v>TS</v>
          </cell>
          <cell r="I48" t="str">
            <v>TS</v>
          </cell>
          <cell r="J48" t="str">
            <v>TS</v>
          </cell>
          <cell r="K48" t="str">
            <v>TS</v>
          </cell>
          <cell r="L48" t="str">
            <v>TS</v>
          </cell>
          <cell r="M48" t="str">
            <v>TS</v>
          </cell>
          <cell r="N48" t="str">
            <v>TS</v>
          </cell>
          <cell r="O48" t="str">
            <v>TS</v>
          </cell>
          <cell r="P48" t="str">
            <v>TS</v>
          </cell>
          <cell r="Q48" t="str">
            <v>TS</v>
          </cell>
          <cell r="R48" t="str">
            <v>TS</v>
          </cell>
          <cell r="S48" t="str">
            <v>TS</v>
          </cell>
          <cell r="T48" t="str">
            <v>TS</v>
          </cell>
          <cell r="U48" t="str">
            <v>TS</v>
          </cell>
          <cell r="V48" t="str">
            <v>TS</v>
          </cell>
          <cell r="W48" t="str">
            <v>TS</v>
          </cell>
          <cell r="X48" t="str">
            <v>TS</v>
          </cell>
          <cell r="Y48" t="str">
            <v>OK</v>
          </cell>
          <cell r="Z48" t="str">
            <v>OK</v>
          </cell>
          <cell r="AA48" t="str">
            <v>OK</v>
          </cell>
          <cell r="AB48" t="str">
            <v>OK</v>
          </cell>
          <cell r="AC48" t="str">
            <v>OK</v>
          </cell>
          <cell r="AD48">
            <v>0</v>
          </cell>
          <cell r="AE48">
            <v>0</v>
          </cell>
          <cell r="AF48">
            <v>0</v>
          </cell>
          <cell r="AG48">
            <v>0</v>
          </cell>
          <cell r="AH48">
            <v>0</v>
          </cell>
          <cell r="AI48">
            <v>0</v>
          </cell>
          <cell r="AJ48">
            <v>0</v>
          </cell>
          <cell r="AK48">
            <v>0</v>
          </cell>
          <cell r="AM48">
            <v>0</v>
          </cell>
          <cell r="AN48">
            <v>0</v>
          </cell>
          <cell r="AO48">
            <v>0</v>
          </cell>
          <cell r="AP48">
            <v>0</v>
          </cell>
          <cell r="AQ48">
            <v>0</v>
          </cell>
          <cell r="AR48">
            <v>0</v>
          </cell>
          <cell r="AS48">
            <v>0</v>
          </cell>
          <cell r="AT48">
            <v>0</v>
          </cell>
          <cell r="AU48">
            <v>0</v>
          </cell>
          <cell r="AV48">
            <v>0</v>
          </cell>
          <cell r="AW48">
            <v>0</v>
          </cell>
          <cell r="AX48">
            <v>5</v>
          </cell>
          <cell r="AY48">
            <v>5</v>
          </cell>
        </row>
        <row r="49">
          <cell r="C49">
            <v>1024583299</v>
          </cell>
          <cell r="D49" t="str">
            <v xml:space="preserve">SIERRA BOTERO JENNIFER  </v>
          </cell>
          <cell r="F49" t="str">
            <v xml:space="preserve">CENTRO MEMORIA </v>
          </cell>
          <cell r="G49" t="str">
            <v>18/10/2025</v>
          </cell>
          <cell r="H49" t="str">
            <v>TS</v>
          </cell>
          <cell r="I49" t="str">
            <v>TS</v>
          </cell>
          <cell r="J49" t="str">
            <v>TS</v>
          </cell>
          <cell r="K49" t="str">
            <v>TS</v>
          </cell>
          <cell r="L49" t="str">
            <v>TS</v>
          </cell>
          <cell r="M49" t="str">
            <v>TS</v>
          </cell>
          <cell r="N49" t="str">
            <v>TS</v>
          </cell>
          <cell r="O49" t="str">
            <v>TS</v>
          </cell>
          <cell r="P49" t="str">
            <v>TS</v>
          </cell>
          <cell r="Q49" t="str">
            <v>TS</v>
          </cell>
          <cell r="R49" t="str">
            <v>TS</v>
          </cell>
          <cell r="S49" t="str">
            <v>TS</v>
          </cell>
          <cell r="T49" t="str">
            <v>TS</v>
          </cell>
          <cell r="U49" t="str">
            <v>TS</v>
          </cell>
          <cell r="V49" t="str">
            <v>TS</v>
          </cell>
          <cell r="W49" t="str">
            <v>TS</v>
          </cell>
          <cell r="X49" t="str">
            <v>TS</v>
          </cell>
          <cell r="Y49" t="str">
            <v>TS</v>
          </cell>
          <cell r="Z49" t="str">
            <v>TS</v>
          </cell>
          <cell r="AA49" t="str">
            <v>TS</v>
          </cell>
          <cell r="AB49" t="str">
            <v>AUS</v>
          </cell>
          <cell r="AC49" t="str">
            <v>OK</v>
          </cell>
          <cell r="AD49">
            <v>0</v>
          </cell>
          <cell r="AE49">
            <v>0</v>
          </cell>
          <cell r="AF49">
            <v>0</v>
          </cell>
          <cell r="AG49">
            <v>0</v>
          </cell>
          <cell r="AH49">
            <v>0</v>
          </cell>
          <cell r="AI49">
            <v>0</v>
          </cell>
          <cell r="AJ49">
            <v>0</v>
          </cell>
          <cell r="AK49">
            <v>0</v>
          </cell>
          <cell r="AM49">
            <v>1</v>
          </cell>
          <cell r="AN49">
            <v>0</v>
          </cell>
          <cell r="AO49">
            <v>0</v>
          </cell>
          <cell r="AP49">
            <v>0</v>
          </cell>
          <cell r="AQ49">
            <v>0</v>
          </cell>
          <cell r="AR49">
            <v>0</v>
          </cell>
          <cell r="AS49">
            <v>0</v>
          </cell>
          <cell r="AT49">
            <v>0</v>
          </cell>
          <cell r="AU49">
            <v>0</v>
          </cell>
          <cell r="AV49">
            <v>0</v>
          </cell>
          <cell r="AW49">
            <v>0</v>
          </cell>
          <cell r="AX49">
            <v>1</v>
          </cell>
          <cell r="AY49">
            <v>1</v>
          </cell>
        </row>
        <row r="50">
          <cell r="G50" t="str">
            <v/>
          </cell>
        </row>
        <row r="51">
          <cell r="AM51">
            <v>1</v>
          </cell>
          <cell r="AN51">
            <v>0</v>
          </cell>
          <cell r="AO51">
            <v>0</v>
          </cell>
          <cell r="AP51">
            <v>3</v>
          </cell>
          <cell r="AQ51">
            <v>0</v>
          </cell>
          <cell r="AR51">
            <v>0</v>
          </cell>
          <cell r="AS51">
            <v>0</v>
          </cell>
          <cell r="AT51">
            <v>0</v>
          </cell>
          <cell r="AU51">
            <v>0</v>
          </cell>
          <cell r="AV51">
            <v>0</v>
          </cell>
          <cell r="AW51">
            <v>0</v>
          </cell>
          <cell r="AX51">
            <v>853</v>
          </cell>
          <cell r="AY51">
            <v>853</v>
          </cell>
        </row>
      </sheetData>
      <sheetData sheetId="20">
        <row r="9">
          <cell r="C9">
            <v>1032395283</v>
          </cell>
          <cell r="D9" t="str">
            <v xml:space="preserve">RUIZ VALERO CAROLINA  </v>
          </cell>
          <cell r="E9" t="str">
            <v xml:space="preserve">RODRIGO VELOZA GALINDO </v>
          </cell>
          <cell r="F9" t="str">
            <v xml:space="preserve">SEDE 11 - SUPERCADE SUBA </v>
          </cell>
          <cell r="G9" t="str">
            <v>21/10/2025</v>
          </cell>
          <cell r="H9" t="str">
            <v>OK</v>
          </cell>
          <cell r="I9" t="str">
            <v>OK</v>
          </cell>
          <cell r="J9" t="str">
            <v>OK</v>
          </cell>
          <cell r="K9" t="str">
            <v>OK</v>
          </cell>
          <cell r="L9" t="str">
            <v>OK</v>
          </cell>
          <cell r="M9" t="str">
            <v>OK</v>
          </cell>
          <cell r="N9" t="str">
            <v>OK</v>
          </cell>
          <cell r="O9" t="str">
            <v>OK</v>
          </cell>
          <cell r="P9" t="str">
            <v>OK</v>
          </cell>
          <cell r="Q9" t="str">
            <v>OK</v>
          </cell>
          <cell r="R9" t="str">
            <v>OK</v>
          </cell>
          <cell r="S9" t="str">
            <v>OK</v>
          </cell>
          <cell r="T9" t="str">
            <v>OK</v>
          </cell>
          <cell r="U9" t="str">
            <v>OK</v>
          </cell>
          <cell r="V9" t="str">
            <v>OK</v>
          </cell>
          <cell r="W9" t="str">
            <v>OK</v>
          </cell>
          <cell r="X9" t="str">
            <v>OK</v>
          </cell>
          <cell r="Y9" t="str">
            <v>OK</v>
          </cell>
          <cell r="Z9" t="str">
            <v>OK</v>
          </cell>
          <cell r="AA9" t="str">
            <v>OK</v>
          </cell>
          <cell r="AB9" t="str">
            <v>OK</v>
          </cell>
          <cell r="AC9">
            <v>0</v>
          </cell>
          <cell r="AD9">
            <v>0</v>
          </cell>
          <cell r="AE9">
            <v>0</v>
          </cell>
          <cell r="AF9">
            <v>0</v>
          </cell>
          <cell r="AG9">
            <v>0</v>
          </cell>
          <cell r="AH9">
            <v>0</v>
          </cell>
          <cell r="AI9">
            <v>0</v>
          </cell>
          <cell r="AJ9">
            <v>0</v>
          </cell>
          <cell r="AK9">
            <v>0</v>
          </cell>
          <cell r="AM9">
            <v>0</v>
          </cell>
          <cell r="AN9">
            <v>0</v>
          </cell>
          <cell r="AO9">
            <v>0</v>
          </cell>
          <cell r="AP9">
            <v>0</v>
          </cell>
          <cell r="AQ9">
            <v>0</v>
          </cell>
          <cell r="AR9">
            <v>0</v>
          </cell>
          <cell r="AS9">
            <v>0</v>
          </cell>
          <cell r="AT9">
            <v>0</v>
          </cell>
          <cell r="AU9">
            <v>0</v>
          </cell>
          <cell r="AV9">
            <v>0</v>
          </cell>
          <cell r="AW9">
            <v>0</v>
          </cell>
          <cell r="AX9">
            <v>21</v>
          </cell>
          <cell r="AY9">
            <v>21</v>
          </cell>
        </row>
        <row r="10">
          <cell r="C10">
            <v>1233899199</v>
          </cell>
          <cell r="D10" t="str">
            <v xml:space="preserve">MATIZ CANTOR ERIKA PAMELA </v>
          </cell>
          <cell r="E10" t="str">
            <v xml:space="preserve">RODRIGO VELOZA GALINDO </v>
          </cell>
          <cell r="F10" t="str">
            <v xml:space="preserve">SEDE 15 - CADE LA GAITANA </v>
          </cell>
          <cell r="G10" t="str">
            <v>19/01/2026</v>
          </cell>
          <cell r="H10" t="str">
            <v>OK</v>
          </cell>
          <cell r="I10" t="str">
            <v>OK</v>
          </cell>
          <cell r="J10" t="str">
            <v>OK</v>
          </cell>
          <cell r="K10" t="str">
            <v>OK</v>
          </cell>
          <cell r="L10" t="str">
            <v>OK</v>
          </cell>
          <cell r="M10" t="str">
            <v>OK</v>
          </cell>
          <cell r="N10" t="str">
            <v>OK</v>
          </cell>
          <cell r="O10" t="str">
            <v>OK</v>
          </cell>
          <cell r="P10" t="str">
            <v>OK</v>
          </cell>
          <cell r="Q10" t="str">
            <v>OK</v>
          </cell>
          <cell r="R10" t="str">
            <v>OK</v>
          </cell>
          <cell r="S10" t="str">
            <v>OK</v>
          </cell>
          <cell r="T10" t="str">
            <v>OK</v>
          </cell>
          <cell r="U10" t="str">
            <v>AUS</v>
          </cell>
          <cell r="V10" t="str">
            <v>OK</v>
          </cell>
          <cell r="W10" t="str">
            <v>OK</v>
          </cell>
          <cell r="X10" t="str">
            <v>OK</v>
          </cell>
          <cell r="Y10" t="str">
            <v>OK</v>
          </cell>
          <cell r="Z10" t="str">
            <v>OK</v>
          </cell>
          <cell r="AA10" t="str">
            <v>OK</v>
          </cell>
          <cell r="AB10" t="str">
            <v>OK</v>
          </cell>
          <cell r="AC10">
            <v>0</v>
          </cell>
          <cell r="AD10">
            <v>0</v>
          </cell>
          <cell r="AE10">
            <v>0</v>
          </cell>
          <cell r="AF10">
            <v>0</v>
          </cell>
          <cell r="AG10">
            <v>0</v>
          </cell>
          <cell r="AH10">
            <v>0</v>
          </cell>
          <cell r="AI10">
            <v>0</v>
          </cell>
          <cell r="AJ10">
            <v>0</v>
          </cell>
          <cell r="AK10">
            <v>0</v>
          </cell>
          <cell r="AM10">
            <v>1</v>
          </cell>
          <cell r="AN10">
            <v>0</v>
          </cell>
          <cell r="AO10">
            <v>0</v>
          </cell>
          <cell r="AP10">
            <v>0</v>
          </cell>
          <cell r="AQ10">
            <v>0</v>
          </cell>
          <cell r="AR10">
            <v>0</v>
          </cell>
          <cell r="AS10">
            <v>0</v>
          </cell>
          <cell r="AT10">
            <v>0</v>
          </cell>
          <cell r="AU10">
            <v>0</v>
          </cell>
          <cell r="AV10">
            <v>0</v>
          </cell>
          <cell r="AW10">
            <v>0</v>
          </cell>
          <cell r="AX10">
            <v>20</v>
          </cell>
          <cell r="AY10">
            <v>20</v>
          </cell>
        </row>
        <row r="11">
          <cell r="C11">
            <v>1043030599</v>
          </cell>
          <cell r="D11" t="str">
            <v xml:space="preserve">ZABALA BERDUGO EMILCE ISABEL </v>
          </cell>
          <cell r="E11" t="str">
            <v xml:space="preserve">RODRIGO VELOZA GALINDO </v>
          </cell>
          <cell r="F11" t="str">
            <v xml:space="preserve">SEDE 16 - SUPERCADE ENGATIVA </v>
          </cell>
          <cell r="G11" t="str">
            <v>18/10/2025</v>
          </cell>
          <cell r="H11" t="str">
            <v>OK</v>
          </cell>
          <cell r="I11" t="str">
            <v>OK</v>
          </cell>
          <cell r="J11" t="str">
            <v>OK</v>
          </cell>
          <cell r="K11" t="str">
            <v>OK</v>
          </cell>
          <cell r="L11" t="str">
            <v>OK</v>
          </cell>
          <cell r="M11" t="str">
            <v>OK</v>
          </cell>
          <cell r="N11" t="str">
            <v>OK</v>
          </cell>
          <cell r="O11" t="str">
            <v>OK</v>
          </cell>
          <cell r="P11" t="str">
            <v>OK</v>
          </cell>
          <cell r="Q11" t="str">
            <v>OK</v>
          </cell>
          <cell r="R11" t="str">
            <v>OK</v>
          </cell>
          <cell r="S11" t="str">
            <v>OK</v>
          </cell>
          <cell r="T11" t="str">
            <v>OK</v>
          </cell>
          <cell r="U11" t="str">
            <v>OK</v>
          </cell>
          <cell r="V11" t="str">
            <v>OK</v>
          </cell>
          <cell r="W11" t="str">
            <v>OK</v>
          </cell>
          <cell r="X11" t="str">
            <v>OK</v>
          </cell>
          <cell r="Y11" t="str">
            <v>OK</v>
          </cell>
          <cell r="Z11" t="str">
            <v>OK</v>
          </cell>
          <cell r="AA11" t="str">
            <v>OK</v>
          </cell>
          <cell r="AB11" t="str">
            <v>OK</v>
          </cell>
          <cell r="AC11">
            <v>0</v>
          </cell>
          <cell r="AD11">
            <v>0</v>
          </cell>
          <cell r="AE11">
            <v>0</v>
          </cell>
          <cell r="AF11">
            <v>0</v>
          </cell>
          <cell r="AG11">
            <v>0</v>
          </cell>
          <cell r="AH11">
            <v>0</v>
          </cell>
          <cell r="AI11">
            <v>0</v>
          </cell>
          <cell r="AJ11">
            <v>0</v>
          </cell>
          <cell r="AK11">
            <v>0</v>
          </cell>
          <cell r="AM11">
            <v>0</v>
          </cell>
          <cell r="AN11">
            <v>0</v>
          </cell>
          <cell r="AO11">
            <v>0</v>
          </cell>
          <cell r="AP11">
            <v>0</v>
          </cell>
          <cell r="AQ11">
            <v>0</v>
          </cell>
          <cell r="AR11">
            <v>0</v>
          </cell>
          <cell r="AS11">
            <v>0</v>
          </cell>
          <cell r="AT11">
            <v>0</v>
          </cell>
          <cell r="AU11">
            <v>0</v>
          </cell>
          <cell r="AV11">
            <v>0</v>
          </cell>
          <cell r="AW11">
            <v>0</v>
          </cell>
          <cell r="AX11">
            <v>21</v>
          </cell>
          <cell r="AY11">
            <v>21</v>
          </cell>
        </row>
        <row r="12">
          <cell r="C12">
            <v>1032483405</v>
          </cell>
          <cell r="D12" t="str">
            <v xml:space="preserve">AYALA HERMOSA YURANY ALEJANDRA </v>
          </cell>
          <cell r="E12" t="str">
            <v xml:space="preserve">RODRIGO VELOZA GALINDO </v>
          </cell>
          <cell r="F12" t="str">
            <v>SEDE 12 - SUPERCADE SOCIAL</v>
          </cell>
          <cell r="G12" t="str">
            <v>18/10/2025</v>
          </cell>
          <cell r="H12" t="str">
            <v>OK</v>
          </cell>
          <cell r="I12" t="str">
            <v>OK</v>
          </cell>
          <cell r="J12" t="str">
            <v>OK</v>
          </cell>
          <cell r="K12" t="str">
            <v>OK</v>
          </cell>
          <cell r="L12" t="str">
            <v>OK</v>
          </cell>
          <cell r="M12" t="str">
            <v>OK</v>
          </cell>
          <cell r="N12" t="str">
            <v>OK</v>
          </cell>
          <cell r="O12" t="str">
            <v>OK</v>
          </cell>
          <cell r="P12" t="str">
            <v>OK</v>
          </cell>
          <cell r="Q12" t="str">
            <v>OK</v>
          </cell>
          <cell r="R12" t="str">
            <v>OK</v>
          </cell>
          <cell r="S12" t="str">
            <v>OK</v>
          </cell>
          <cell r="T12" t="str">
            <v>OK</v>
          </cell>
          <cell r="U12" t="str">
            <v>OK</v>
          </cell>
          <cell r="V12" t="str">
            <v>OK</v>
          </cell>
          <cell r="W12" t="str">
            <v>OK</v>
          </cell>
          <cell r="X12" t="str">
            <v>OK</v>
          </cell>
          <cell r="Y12" t="str">
            <v>OK</v>
          </cell>
          <cell r="Z12" t="str">
            <v>OK</v>
          </cell>
          <cell r="AA12" t="str">
            <v>OK</v>
          </cell>
          <cell r="AB12" t="str">
            <v>OK</v>
          </cell>
          <cell r="AC12">
            <v>0</v>
          </cell>
          <cell r="AD12">
            <v>0</v>
          </cell>
          <cell r="AE12">
            <v>0</v>
          </cell>
          <cell r="AF12">
            <v>0</v>
          </cell>
          <cell r="AG12">
            <v>0</v>
          </cell>
          <cell r="AH12">
            <v>0</v>
          </cell>
          <cell r="AI12">
            <v>0</v>
          </cell>
          <cell r="AJ12">
            <v>0</v>
          </cell>
          <cell r="AK12">
            <v>0</v>
          </cell>
          <cell r="AM12">
            <v>0</v>
          </cell>
          <cell r="AN12">
            <v>0</v>
          </cell>
          <cell r="AO12">
            <v>0</v>
          </cell>
          <cell r="AP12">
            <v>0</v>
          </cell>
          <cell r="AQ12">
            <v>0</v>
          </cell>
          <cell r="AR12">
            <v>0</v>
          </cell>
          <cell r="AS12">
            <v>0</v>
          </cell>
          <cell r="AT12">
            <v>0</v>
          </cell>
          <cell r="AU12">
            <v>0</v>
          </cell>
          <cell r="AV12">
            <v>0</v>
          </cell>
          <cell r="AW12">
            <v>0</v>
          </cell>
          <cell r="AX12">
            <v>21</v>
          </cell>
          <cell r="AY12">
            <v>21</v>
          </cell>
        </row>
        <row r="13">
          <cell r="C13">
            <v>1020727061</v>
          </cell>
          <cell r="D13" t="str">
            <v xml:space="preserve">GIRALDO LOPEZ LUZ ESTELLA </v>
          </cell>
          <cell r="E13" t="str">
            <v xml:space="preserve">RODRIGO VELOZA GALINDO </v>
          </cell>
          <cell r="F13" t="str">
            <v xml:space="preserve">SEDE 11 - SUPERCADE SUBA </v>
          </cell>
          <cell r="G13" t="str">
            <v>18/10/2025</v>
          </cell>
          <cell r="H13" t="str">
            <v>OK</v>
          </cell>
          <cell r="I13" t="str">
            <v>OK</v>
          </cell>
          <cell r="J13" t="str">
            <v>OK</v>
          </cell>
          <cell r="K13" t="str">
            <v>OK</v>
          </cell>
          <cell r="L13" t="str">
            <v>OK</v>
          </cell>
          <cell r="M13" t="str">
            <v>OK</v>
          </cell>
          <cell r="N13" t="str">
            <v>OK</v>
          </cell>
          <cell r="O13" t="str">
            <v>OK</v>
          </cell>
          <cell r="P13" t="str">
            <v>OK</v>
          </cell>
          <cell r="Q13" t="str">
            <v>OK</v>
          </cell>
          <cell r="R13" t="str">
            <v>OK</v>
          </cell>
          <cell r="S13" t="str">
            <v>OK</v>
          </cell>
          <cell r="T13" t="str">
            <v>OK</v>
          </cell>
          <cell r="U13" t="str">
            <v>OK</v>
          </cell>
          <cell r="V13" t="str">
            <v>OK</v>
          </cell>
          <cell r="W13" t="str">
            <v>OK</v>
          </cell>
          <cell r="X13" t="str">
            <v>OK</v>
          </cell>
          <cell r="Y13" t="str">
            <v>OK</v>
          </cell>
          <cell r="Z13" t="str">
            <v>OK</v>
          </cell>
          <cell r="AA13" t="str">
            <v>OK</v>
          </cell>
          <cell r="AB13" t="str">
            <v>OK</v>
          </cell>
          <cell r="AC13">
            <v>0</v>
          </cell>
          <cell r="AD13">
            <v>0</v>
          </cell>
          <cell r="AE13">
            <v>0</v>
          </cell>
          <cell r="AF13">
            <v>0</v>
          </cell>
          <cell r="AG13">
            <v>0</v>
          </cell>
          <cell r="AH13">
            <v>0</v>
          </cell>
          <cell r="AI13">
            <v>0</v>
          </cell>
          <cell r="AJ13">
            <v>0</v>
          </cell>
          <cell r="AK13">
            <v>0</v>
          </cell>
          <cell r="AM13">
            <v>0</v>
          </cell>
          <cell r="AN13">
            <v>0</v>
          </cell>
          <cell r="AO13">
            <v>0</v>
          </cell>
          <cell r="AP13">
            <v>0</v>
          </cell>
          <cell r="AQ13">
            <v>0</v>
          </cell>
          <cell r="AR13">
            <v>0</v>
          </cell>
          <cell r="AS13">
            <v>0</v>
          </cell>
          <cell r="AT13">
            <v>0</v>
          </cell>
          <cell r="AU13">
            <v>0</v>
          </cell>
          <cell r="AV13">
            <v>0</v>
          </cell>
          <cell r="AW13">
            <v>0</v>
          </cell>
          <cell r="AX13">
            <v>21</v>
          </cell>
          <cell r="AY13">
            <v>21</v>
          </cell>
        </row>
        <row r="14">
          <cell r="C14">
            <v>1118854040</v>
          </cell>
          <cell r="D14" t="str">
            <v xml:space="preserve">CHAMORRO OSPINO EMILI PAOLA </v>
          </cell>
          <cell r="E14" t="str">
            <v xml:space="preserve">RODRIGO VELOZA GALINDO </v>
          </cell>
          <cell r="F14" t="str">
            <v>SEDE 12 - SUPERCADE SOCIAL</v>
          </cell>
          <cell r="G14" t="str">
            <v>18/10/2025</v>
          </cell>
          <cell r="H14" t="str">
            <v>OK</v>
          </cell>
          <cell r="I14" t="str">
            <v>OK</v>
          </cell>
          <cell r="J14" t="str">
            <v>OK</v>
          </cell>
          <cell r="K14" t="str">
            <v>OK</v>
          </cell>
          <cell r="L14" t="str">
            <v>OK</v>
          </cell>
          <cell r="M14" t="str">
            <v>OK</v>
          </cell>
          <cell r="N14" t="str">
            <v>OK</v>
          </cell>
          <cell r="O14" t="str">
            <v>OK</v>
          </cell>
          <cell r="P14" t="str">
            <v>OK</v>
          </cell>
          <cell r="Q14" t="str">
            <v>OK</v>
          </cell>
          <cell r="R14" t="str">
            <v>OK</v>
          </cell>
          <cell r="S14" t="str">
            <v>OK</v>
          </cell>
          <cell r="T14" t="str">
            <v>OK</v>
          </cell>
          <cell r="U14" t="str">
            <v>OK</v>
          </cell>
          <cell r="V14" t="str">
            <v>OK</v>
          </cell>
          <cell r="W14" t="str">
            <v>OK</v>
          </cell>
          <cell r="X14" t="str">
            <v>OK</v>
          </cell>
          <cell r="Y14" t="str">
            <v>OK</v>
          </cell>
          <cell r="Z14" t="str">
            <v>OK</v>
          </cell>
          <cell r="AA14" t="str">
            <v>OK</v>
          </cell>
          <cell r="AB14" t="str">
            <v>OK</v>
          </cell>
          <cell r="AC14">
            <v>0</v>
          </cell>
          <cell r="AD14">
            <v>0</v>
          </cell>
          <cell r="AE14">
            <v>0</v>
          </cell>
          <cell r="AF14">
            <v>0</v>
          </cell>
          <cell r="AG14">
            <v>0</v>
          </cell>
          <cell r="AH14">
            <v>0</v>
          </cell>
          <cell r="AI14">
            <v>0</v>
          </cell>
          <cell r="AJ14">
            <v>0</v>
          </cell>
          <cell r="AK14">
            <v>0</v>
          </cell>
          <cell r="AM14">
            <v>0</v>
          </cell>
          <cell r="AN14">
            <v>0</v>
          </cell>
          <cell r="AO14">
            <v>0</v>
          </cell>
          <cell r="AP14">
            <v>0</v>
          </cell>
          <cell r="AQ14">
            <v>0</v>
          </cell>
          <cell r="AR14">
            <v>0</v>
          </cell>
          <cell r="AS14">
            <v>0</v>
          </cell>
          <cell r="AT14">
            <v>0</v>
          </cell>
          <cell r="AU14">
            <v>0</v>
          </cell>
          <cell r="AV14">
            <v>0</v>
          </cell>
          <cell r="AW14">
            <v>0</v>
          </cell>
          <cell r="AX14">
            <v>21</v>
          </cell>
          <cell r="AY14">
            <v>21</v>
          </cell>
        </row>
        <row r="15">
          <cell r="C15">
            <v>64577288</v>
          </cell>
          <cell r="D15" t="str">
            <v xml:space="preserve">DIAZ RIVERA LORENA PATRICIA </v>
          </cell>
          <cell r="E15" t="str">
            <v xml:space="preserve">RODRIGO VELOZA GALINDO </v>
          </cell>
          <cell r="F15" t="str">
            <v xml:space="preserve">SEDE 20 - CENTRO DE ENCUENTRO CHAPINERO </v>
          </cell>
          <cell r="G15" t="str">
            <v>18/10/2025</v>
          </cell>
          <cell r="H15" t="str">
            <v>OK</v>
          </cell>
          <cell r="I15" t="str">
            <v>OK</v>
          </cell>
          <cell r="J15" t="str">
            <v>OK</v>
          </cell>
          <cell r="K15" t="str">
            <v>OK</v>
          </cell>
          <cell r="L15" t="str">
            <v>OK</v>
          </cell>
          <cell r="M15" t="str">
            <v>OK</v>
          </cell>
          <cell r="N15" t="str">
            <v>OK</v>
          </cell>
          <cell r="O15" t="str">
            <v>OK</v>
          </cell>
          <cell r="P15" t="str">
            <v>OK</v>
          </cell>
          <cell r="Q15" t="str">
            <v>OK</v>
          </cell>
          <cell r="R15" t="str">
            <v>OK</v>
          </cell>
          <cell r="S15" t="str">
            <v>OK</v>
          </cell>
          <cell r="T15" t="str">
            <v>OK</v>
          </cell>
          <cell r="U15" t="str">
            <v>OK</v>
          </cell>
          <cell r="V15" t="str">
            <v>OK</v>
          </cell>
          <cell r="W15" t="str">
            <v>OK</v>
          </cell>
          <cell r="X15" t="str">
            <v>OK</v>
          </cell>
          <cell r="Y15" t="str">
            <v>OK</v>
          </cell>
          <cell r="Z15" t="str">
            <v>OK</v>
          </cell>
          <cell r="AA15" t="str">
            <v>OK</v>
          </cell>
          <cell r="AB15" t="str">
            <v>OK</v>
          </cell>
          <cell r="AC15">
            <v>0</v>
          </cell>
          <cell r="AD15">
            <v>0</v>
          </cell>
          <cell r="AE15">
            <v>0</v>
          </cell>
          <cell r="AF15">
            <v>0</v>
          </cell>
          <cell r="AG15">
            <v>0</v>
          </cell>
          <cell r="AH15">
            <v>0</v>
          </cell>
          <cell r="AI15">
            <v>0</v>
          </cell>
          <cell r="AJ15">
            <v>0</v>
          </cell>
          <cell r="AK15">
            <v>0</v>
          </cell>
          <cell r="AM15">
            <v>0</v>
          </cell>
          <cell r="AN15">
            <v>0</v>
          </cell>
          <cell r="AO15">
            <v>0</v>
          </cell>
          <cell r="AP15">
            <v>0</v>
          </cell>
          <cell r="AQ15">
            <v>0</v>
          </cell>
          <cell r="AR15">
            <v>0</v>
          </cell>
          <cell r="AS15">
            <v>0</v>
          </cell>
          <cell r="AT15">
            <v>0</v>
          </cell>
          <cell r="AU15">
            <v>0</v>
          </cell>
          <cell r="AV15">
            <v>0</v>
          </cell>
          <cell r="AW15">
            <v>0</v>
          </cell>
          <cell r="AX15">
            <v>21</v>
          </cell>
          <cell r="AY15">
            <v>21</v>
          </cell>
        </row>
        <row r="16">
          <cell r="C16">
            <v>39019862</v>
          </cell>
          <cell r="D16" t="str">
            <v xml:space="preserve">FLORIAN ZAMBRANO NILDA ROSA </v>
          </cell>
          <cell r="E16" t="str">
            <v xml:space="preserve">RODRIGO VELOZA GALINDO </v>
          </cell>
          <cell r="F16" t="str">
            <v xml:space="preserve">SEDE 13 - CADE SERVITA </v>
          </cell>
          <cell r="G16" t="str">
            <v>18/10/2025</v>
          </cell>
          <cell r="H16" t="str">
            <v>OK</v>
          </cell>
          <cell r="I16" t="str">
            <v>OK</v>
          </cell>
          <cell r="J16" t="str">
            <v>OK</v>
          </cell>
          <cell r="K16" t="str">
            <v>OK</v>
          </cell>
          <cell r="L16" t="str">
            <v>OK</v>
          </cell>
          <cell r="M16" t="str">
            <v>OK</v>
          </cell>
          <cell r="N16" t="str">
            <v>OK</v>
          </cell>
          <cell r="O16" t="str">
            <v>OK</v>
          </cell>
          <cell r="P16" t="str">
            <v>OK</v>
          </cell>
          <cell r="Q16" t="str">
            <v>OK</v>
          </cell>
          <cell r="R16" t="str">
            <v>OK</v>
          </cell>
          <cell r="S16" t="str">
            <v>OK</v>
          </cell>
          <cell r="T16" t="str">
            <v>OK</v>
          </cell>
          <cell r="U16" t="str">
            <v>OK</v>
          </cell>
          <cell r="V16" t="str">
            <v>OK</v>
          </cell>
          <cell r="W16" t="str">
            <v>OK</v>
          </cell>
          <cell r="X16" t="str">
            <v>OK</v>
          </cell>
          <cell r="Y16" t="str">
            <v>OK</v>
          </cell>
          <cell r="Z16" t="str">
            <v>OK</v>
          </cell>
          <cell r="AA16" t="str">
            <v>OK</v>
          </cell>
          <cell r="AB16" t="str">
            <v>OK</v>
          </cell>
          <cell r="AC16">
            <v>0</v>
          </cell>
          <cell r="AD16">
            <v>0</v>
          </cell>
          <cell r="AE16">
            <v>0</v>
          </cell>
          <cell r="AF16">
            <v>0</v>
          </cell>
          <cell r="AG16">
            <v>0</v>
          </cell>
          <cell r="AH16">
            <v>0</v>
          </cell>
          <cell r="AI16">
            <v>0</v>
          </cell>
          <cell r="AJ16">
            <v>0</v>
          </cell>
          <cell r="AK16">
            <v>0</v>
          </cell>
          <cell r="AM16">
            <v>0</v>
          </cell>
          <cell r="AN16">
            <v>0</v>
          </cell>
          <cell r="AO16">
            <v>0</v>
          </cell>
          <cell r="AP16">
            <v>0</v>
          </cell>
          <cell r="AQ16">
            <v>0</v>
          </cell>
          <cell r="AR16">
            <v>0</v>
          </cell>
          <cell r="AS16">
            <v>0</v>
          </cell>
          <cell r="AT16">
            <v>0</v>
          </cell>
          <cell r="AU16">
            <v>0</v>
          </cell>
          <cell r="AV16">
            <v>0</v>
          </cell>
          <cell r="AW16">
            <v>0</v>
          </cell>
          <cell r="AX16">
            <v>21</v>
          </cell>
          <cell r="AY16">
            <v>21</v>
          </cell>
        </row>
        <row r="17">
          <cell r="C17">
            <v>52035420</v>
          </cell>
          <cell r="D17" t="str">
            <v xml:space="preserve">PUERTO ROA ANGELICA MERCEDES </v>
          </cell>
          <cell r="E17" t="str">
            <v xml:space="preserve">RODRIGO VELOZA GALINDO </v>
          </cell>
          <cell r="F17" t="str">
            <v xml:space="preserve">SEDE 24 - CENTRO DE ENCUENTRO SUBA </v>
          </cell>
          <cell r="G17" t="str">
            <v>18/10/2025</v>
          </cell>
          <cell r="H17" t="str">
            <v>OK</v>
          </cell>
          <cell r="I17" t="str">
            <v>OK</v>
          </cell>
          <cell r="J17" t="str">
            <v>OK</v>
          </cell>
          <cell r="K17" t="str">
            <v>OK</v>
          </cell>
          <cell r="L17" t="str">
            <v>OK</v>
          </cell>
          <cell r="M17" t="str">
            <v>OK</v>
          </cell>
          <cell r="N17" t="str">
            <v>OK</v>
          </cell>
          <cell r="O17" t="str">
            <v>OK</v>
          </cell>
          <cell r="P17" t="str">
            <v>OK</v>
          </cell>
          <cell r="Q17" t="str">
            <v>OK</v>
          </cell>
          <cell r="R17" t="str">
            <v>OK</v>
          </cell>
          <cell r="S17" t="str">
            <v>OK</v>
          </cell>
          <cell r="T17" t="str">
            <v>OK</v>
          </cell>
          <cell r="U17" t="str">
            <v>OK</v>
          </cell>
          <cell r="V17" t="str">
            <v>OK</v>
          </cell>
          <cell r="W17" t="str">
            <v>OK</v>
          </cell>
          <cell r="X17" t="str">
            <v>OK</v>
          </cell>
          <cell r="Y17" t="str">
            <v>OK</v>
          </cell>
          <cell r="Z17" t="str">
            <v>OK</v>
          </cell>
          <cell r="AA17" t="str">
            <v>OK</v>
          </cell>
          <cell r="AB17" t="str">
            <v>OK</v>
          </cell>
          <cell r="AC17">
            <v>0</v>
          </cell>
          <cell r="AD17">
            <v>0</v>
          </cell>
          <cell r="AE17">
            <v>0</v>
          </cell>
          <cell r="AF17">
            <v>0</v>
          </cell>
          <cell r="AG17">
            <v>0</v>
          </cell>
          <cell r="AH17">
            <v>0</v>
          </cell>
          <cell r="AI17">
            <v>0</v>
          </cell>
          <cell r="AJ17">
            <v>0</v>
          </cell>
          <cell r="AK17">
            <v>0</v>
          </cell>
          <cell r="AM17">
            <v>0</v>
          </cell>
          <cell r="AN17">
            <v>0</v>
          </cell>
          <cell r="AO17">
            <v>0</v>
          </cell>
          <cell r="AP17">
            <v>0</v>
          </cell>
          <cell r="AQ17">
            <v>0</v>
          </cell>
          <cell r="AR17">
            <v>0</v>
          </cell>
          <cell r="AS17">
            <v>0</v>
          </cell>
          <cell r="AT17">
            <v>0</v>
          </cell>
          <cell r="AU17">
            <v>0</v>
          </cell>
          <cell r="AV17">
            <v>0</v>
          </cell>
          <cell r="AW17">
            <v>0</v>
          </cell>
          <cell r="AX17">
            <v>21</v>
          </cell>
          <cell r="AY17">
            <v>21</v>
          </cell>
        </row>
        <row r="18">
          <cell r="C18">
            <v>1020805845</v>
          </cell>
          <cell r="D18" t="str">
            <v xml:space="preserve">GOMEZ SANCHEZ ANDERSON ALEXANDER </v>
          </cell>
          <cell r="E18" t="str">
            <v xml:space="preserve">RODRIGO VELOZA GALINDO </v>
          </cell>
          <cell r="F18" t="str">
            <v xml:space="preserve">SEDE 11 - SUPERCADE SUBA </v>
          </cell>
          <cell r="G18" t="str">
            <v>18/10/2025</v>
          </cell>
          <cell r="H18" t="str">
            <v>OK</v>
          </cell>
          <cell r="I18" t="str">
            <v>OK</v>
          </cell>
          <cell r="J18" t="str">
            <v>OK</v>
          </cell>
          <cell r="K18" t="str">
            <v>OK</v>
          </cell>
          <cell r="L18" t="str">
            <v>OK</v>
          </cell>
          <cell r="M18" t="str">
            <v>OK</v>
          </cell>
          <cell r="N18" t="str">
            <v>OK</v>
          </cell>
          <cell r="O18" t="str">
            <v>OK</v>
          </cell>
          <cell r="P18" t="str">
            <v>OK</v>
          </cell>
          <cell r="Q18" t="str">
            <v>OK</v>
          </cell>
          <cell r="R18" t="str">
            <v>OK</v>
          </cell>
          <cell r="S18" t="str">
            <v>OK</v>
          </cell>
          <cell r="T18" t="str">
            <v>OK</v>
          </cell>
          <cell r="U18" t="str">
            <v>OK</v>
          </cell>
          <cell r="V18" t="str">
            <v>OK</v>
          </cell>
          <cell r="W18" t="str">
            <v>OK</v>
          </cell>
          <cell r="X18" t="str">
            <v>OK</v>
          </cell>
          <cell r="Y18" t="str">
            <v>OK</v>
          </cell>
          <cell r="Z18" t="str">
            <v>OK</v>
          </cell>
          <cell r="AA18" t="str">
            <v>OK</v>
          </cell>
          <cell r="AB18" t="str">
            <v>OK</v>
          </cell>
          <cell r="AC18">
            <v>0</v>
          </cell>
          <cell r="AD18">
            <v>0</v>
          </cell>
          <cell r="AE18">
            <v>0</v>
          </cell>
          <cell r="AF18">
            <v>0</v>
          </cell>
          <cell r="AG18">
            <v>0</v>
          </cell>
          <cell r="AH18">
            <v>0</v>
          </cell>
          <cell r="AI18">
            <v>0</v>
          </cell>
          <cell r="AJ18">
            <v>0</v>
          </cell>
          <cell r="AK18">
            <v>0</v>
          </cell>
          <cell r="AM18">
            <v>0</v>
          </cell>
          <cell r="AN18">
            <v>0</v>
          </cell>
          <cell r="AO18">
            <v>0</v>
          </cell>
          <cell r="AP18">
            <v>0</v>
          </cell>
          <cell r="AQ18">
            <v>0</v>
          </cell>
          <cell r="AR18">
            <v>0</v>
          </cell>
          <cell r="AS18">
            <v>0</v>
          </cell>
          <cell r="AT18">
            <v>0</v>
          </cell>
          <cell r="AU18">
            <v>0</v>
          </cell>
          <cell r="AV18">
            <v>0</v>
          </cell>
          <cell r="AW18">
            <v>0</v>
          </cell>
          <cell r="AX18">
            <v>21</v>
          </cell>
          <cell r="AY18">
            <v>21</v>
          </cell>
        </row>
        <row r="19">
          <cell r="C19">
            <v>1049454439</v>
          </cell>
          <cell r="D19" t="str">
            <v xml:space="preserve">POLO DIAZ QUINTY JUNIOR </v>
          </cell>
          <cell r="E19" t="str">
            <v xml:space="preserve">RODRIGO VELOZA GALINDO </v>
          </cell>
          <cell r="F19" t="str">
            <v xml:space="preserve">SEDE 16 - SUPERCADE ENGATIVA </v>
          </cell>
          <cell r="G19" t="str">
            <v>18/10/2025</v>
          </cell>
          <cell r="H19" t="str">
            <v>OK</v>
          </cell>
          <cell r="I19" t="str">
            <v>OK</v>
          </cell>
          <cell r="J19" t="str">
            <v>OK</v>
          </cell>
          <cell r="K19" t="str">
            <v>OK</v>
          </cell>
          <cell r="L19" t="str">
            <v>OK</v>
          </cell>
          <cell r="M19" t="str">
            <v>OK</v>
          </cell>
          <cell r="N19" t="str">
            <v>OK</v>
          </cell>
          <cell r="O19" t="str">
            <v>OK</v>
          </cell>
          <cell r="P19" t="str">
            <v>OK</v>
          </cell>
          <cell r="Q19" t="str">
            <v>OK</v>
          </cell>
          <cell r="R19" t="str">
            <v>OK</v>
          </cell>
          <cell r="S19" t="str">
            <v>OK</v>
          </cell>
          <cell r="T19" t="str">
            <v>OK</v>
          </cell>
          <cell r="U19" t="str">
            <v>OK</v>
          </cell>
          <cell r="V19" t="str">
            <v>OK</v>
          </cell>
          <cell r="W19" t="str">
            <v>OK</v>
          </cell>
          <cell r="X19" t="str">
            <v>OK</v>
          </cell>
          <cell r="Y19" t="str">
            <v>OK</v>
          </cell>
          <cell r="Z19" t="str">
            <v>OK</v>
          </cell>
          <cell r="AA19" t="str">
            <v>OK</v>
          </cell>
          <cell r="AB19" t="str">
            <v>OK</v>
          </cell>
          <cell r="AC19">
            <v>0</v>
          </cell>
          <cell r="AD19">
            <v>0</v>
          </cell>
          <cell r="AE19">
            <v>0</v>
          </cell>
          <cell r="AF19">
            <v>0</v>
          </cell>
          <cell r="AG19">
            <v>0</v>
          </cell>
          <cell r="AH19">
            <v>0</v>
          </cell>
          <cell r="AI19">
            <v>0</v>
          </cell>
          <cell r="AJ19">
            <v>0</v>
          </cell>
          <cell r="AK19">
            <v>0</v>
          </cell>
          <cell r="AM19">
            <v>0</v>
          </cell>
          <cell r="AN19">
            <v>0</v>
          </cell>
          <cell r="AO19">
            <v>0</v>
          </cell>
          <cell r="AP19">
            <v>0</v>
          </cell>
          <cell r="AQ19">
            <v>0</v>
          </cell>
          <cell r="AR19">
            <v>0</v>
          </cell>
          <cell r="AS19">
            <v>0</v>
          </cell>
          <cell r="AT19">
            <v>0</v>
          </cell>
          <cell r="AU19">
            <v>0</v>
          </cell>
          <cell r="AV19">
            <v>0</v>
          </cell>
          <cell r="AW19">
            <v>0</v>
          </cell>
          <cell r="AX19">
            <v>21</v>
          </cell>
          <cell r="AY19">
            <v>21</v>
          </cell>
        </row>
        <row r="20">
          <cell r="C20">
            <v>52919244</v>
          </cell>
          <cell r="D20" t="str">
            <v xml:space="preserve">DUARTE FORERO ANA JULIA </v>
          </cell>
          <cell r="E20" t="str">
            <v xml:space="preserve">RODRIGO VELOZA GALINDO </v>
          </cell>
          <cell r="F20" t="str">
            <v xml:space="preserve">SEDE 11 - SUPERCADE SUBA </v>
          </cell>
          <cell r="G20" t="str">
            <v>18/10/2025</v>
          </cell>
          <cell r="H20" t="str">
            <v>OK</v>
          </cell>
          <cell r="I20" t="str">
            <v>OK</v>
          </cell>
          <cell r="J20" t="str">
            <v>OK</v>
          </cell>
          <cell r="K20" t="str">
            <v>OK</v>
          </cell>
          <cell r="L20" t="str">
            <v>OK</v>
          </cell>
          <cell r="M20" t="str">
            <v>OK</v>
          </cell>
          <cell r="N20" t="str">
            <v>OK</v>
          </cell>
          <cell r="O20" t="str">
            <v>OK</v>
          </cell>
          <cell r="P20" t="str">
            <v>OK</v>
          </cell>
          <cell r="Q20" t="str">
            <v>OK</v>
          </cell>
          <cell r="R20" t="str">
            <v>OK</v>
          </cell>
          <cell r="S20" t="str">
            <v>OK</v>
          </cell>
          <cell r="T20" t="str">
            <v>OK</v>
          </cell>
          <cell r="U20" t="str">
            <v>OK</v>
          </cell>
          <cell r="V20" t="str">
            <v>OK</v>
          </cell>
          <cell r="W20" t="str">
            <v>OK</v>
          </cell>
          <cell r="X20" t="str">
            <v>OK</v>
          </cell>
          <cell r="Y20" t="str">
            <v>OK</v>
          </cell>
          <cell r="Z20" t="str">
            <v>OK</v>
          </cell>
          <cell r="AA20" t="str">
            <v>OK</v>
          </cell>
          <cell r="AB20" t="str">
            <v>OK</v>
          </cell>
          <cell r="AC20">
            <v>0</v>
          </cell>
          <cell r="AD20">
            <v>0</v>
          </cell>
          <cell r="AE20">
            <v>0</v>
          </cell>
          <cell r="AF20">
            <v>0</v>
          </cell>
          <cell r="AG20">
            <v>0</v>
          </cell>
          <cell r="AH20">
            <v>0</v>
          </cell>
          <cell r="AI20">
            <v>0</v>
          </cell>
          <cell r="AJ20">
            <v>0</v>
          </cell>
          <cell r="AK20">
            <v>0</v>
          </cell>
          <cell r="AM20">
            <v>0</v>
          </cell>
          <cell r="AN20">
            <v>0</v>
          </cell>
          <cell r="AO20">
            <v>0</v>
          </cell>
          <cell r="AP20">
            <v>0</v>
          </cell>
          <cell r="AQ20">
            <v>0</v>
          </cell>
          <cell r="AR20">
            <v>0</v>
          </cell>
          <cell r="AS20">
            <v>0</v>
          </cell>
          <cell r="AT20">
            <v>0</v>
          </cell>
          <cell r="AU20">
            <v>0</v>
          </cell>
          <cell r="AV20">
            <v>0</v>
          </cell>
          <cell r="AW20">
            <v>0</v>
          </cell>
          <cell r="AX20">
            <v>21</v>
          </cell>
          <cell r="AY20">
            <v>21</v>
          </cell>
        </row>
        <row r="21">
          <cell r="C21">
            <v>22822421</v>
          </cell>
          <cell r="D21" t="str">
            <v xml:space="preserve">ROJAS TAFUR INDIALUZ  </v>
          </cell>
          <cell r="E21" t="str">
            <v xml:space="preserve">RODRIGO VELOZA GALINDO </v>
          </cell>
          <cell r="F21" t="str">
            <v xml:space="preserve">SEDE 16 - SUPERCADE ENGATIVA </v>
          </cell>
          <cell r="G21" t="str">
            <v>18/10/2025</v>
          </cell>
          <cell r="H21" t="str">
            <v>OK</v>
          </cell>
          <cell r="I21" t="str">
            <v>OK</v>
          </cell>
          <cell r="J21" t="str">
            <v>OK</v>
          </cell>
          <cell r="K21" t="str">
            <v>OK</v>
          </cell>
          <cell r="L21" t="str">
            <v>OK</v>
          </cell>
          <cell r="M21" t="str">
            <v>OK</v>
          </cell>
          <cell r="N21" t="str">
            <v>OK</v>
          </cell>
          <cell r="O21" t="str">
            <v>OK</v>
          </cell>
          <cell r="P21" t="str">
            <v>OK</v>
          </cell>
          <cell r="Q21" t="str">
            <v>OK</v>
          </cell>
          <cell r="R21" t="str">
            <v>OK</v>
          </cell>
          <cell r="S21" t="str">
            <v>OK</v>
          </cell>
          <cell r="T21" t="str">
            <v>OK</v>
          </cell>
          <cell r="U21" t="str">
            <v>OK</v>
          </cell>
          <cell r="V21" t="str">
            <v>OK</v>
          </cell>
          <cell r="W21" t="str">
            <v>OK</v>
          </cell>
          <cell r="X21" t="str">
            <v>OK</v>
          </cell>
          <cell r="Y21" t="str">
            <v>OK</v>
          </cell>
          <cell r="Z21" t="str">
            <v>OK</v>
          </cell>
          <cell r="AA21" t="str">
            <v>OK</v>
          </cell>
          <cell r="AB21" t="str">
            <v>OK</v>
          </cell>
          <cell r="AC21">
            <v>0</v>
          </cell>
          <cell r="AD21">
            <v>0</v>
          </cell>
          <cell r="AE21">
            <v>0</v>
          </cell>
          <cell r="AF21">
            <v>0</v>
          </cell>
          <cell r="AG21">
            <v>0</v>
          </cell>
          <cell r="AH21">
            <v>0</v>
          </cell>
          <cell r="AI21">
            <v>0</v>
          </cell>
          <cell r="AJ21">
            <v>0</v>
          </cell>
          <cell r="AK21">
            <v>0</v>
          </cell>
          <cell r="AM21">
            <v>0</v>
          </cell>
          <cell r="AN21">
            <v>0</v>
          </cell>
          <cell r="AO21">
            <v>0</v>
          </cell>
          <cell r="AP21">
            <v>0</v>
          </cell>
          <cell r="AQ21">
            <v>0</v>
          </cell>
          <cell r="AR21">
            <v>0</v>
          </cell>
          <cell r="AS21">
            <v>0</v>
          </cell>
          <cell r="AT21">
            <v>0</v>
          </cell>
          <cell r="AU21">
            <v>0</v>
          </cell>
          <cell r="AV21">
            <v>0</v>
          </cell>
          <cell r="AW21">
            <v>0</v>
          </cell>
          <cell r="AX21">
            <v>21</v>
          </cell>
          <cell r="AY21">
            <v>21</v>
          </cell>
        </row>
        <row r="22">
          <cell r="C22">
            <v>53153000</v>
          </cell>
          <cell r="D22" t="str">
            <v xml:space="preserve">ALVAREZ ALVAREZ YENI MARITZA </v>
          </cell>
          <cell r="E22" t="str">
            <v xml:space="preserve">RODRIGO VELOZA GALINDO </v>
          </cell>
          <cell r="F22" t="str">
            <v xml:space="preserve">SEDE 16 - SUPERCADE ENGATIVA </v>
          </cell>
          <cell r="G22" t="str">
            <v>18/10/2025</v>
          </cell>
          <cell r="H22" t="str">
            <v>OK</v>
          </cell>
          <cell r="I22" t="str">
            <v>OK</v>
          </cell>
          <cell r="J22" t="str">
            <v>OK</v>
          </cell>
          <cell r="K22" t="str">
            <v>OK</v>
          </cell>
          <cell r="L22" t="str">
            <v>OK</v>
          </cell>
          <cell r="M22" t="str">
            <v>OK</v>
          </cell>
          <cell r="N22" t="str">
            <v>OK</v>
          </cell>
          <cell r="O22" t="str">
            <v>OK</v>
          </cell>
          <cell r="P22" t="str">
            <v>OK</v>
          </cell>
          <cell r="Q22" t="str">
            <v>OK</v>
          </cell>
          <cell r="R22" t="str">
            <v>OK</v>
          </cell>
          <cell r="S22" t="str">
            <v>OK</v>
          </cell>
          <cell r="T22" t="str">
            <v>OK</v>
          </cell>
          <cell r="U22" t="str">
            <v>OK</v>
          </cell>
          <cell r="V22" t="str">
            <v>OK</v>
          </cell>
          <cell r="W22" t="str">
            <v>OK</v>
          </cell>
          <cell r="X22" t="str">
            <v>OK</v>
          </cell>
          <cell r="Y22" t="str">
            <v>OK</v>
          </cell>
          <cell r="Z22" t="str">
            <v>OK</v>
          </cell>
          <cell r="AA22" t="str">
            <v>OK</v>
          </cell>
          <cell r="AB22" t="str">
            <v>OK</v>
          </cell>
          <cell r="AC22">
            <v>0</v>
          </cell>
          <cell r="AD22">
            <v>0</v>
          </cell>
          <cell r="AE22">
            <v>0</v>
          </cell>
          <cell r="AF22">
            <v>0</v>
          </cell>
          <cell r="AG22">
            <v>0</v>
          </cell>
          <cell r="AH22">
            <v>0</v>
          </cell>
          <cell r="AI22">
            <v>0</v>
          </cell>
          <cell r="AJ22">
            <v>0</v>
          </cell>
          <cell r="AK22">
            <v>0</v>
          </cell>
          <cell r="AM22">
            <v>0</v>
          </cell>
          <cell r="AN22">
            <v>0</v>
          </cell>
          <cell r="AO22">
            <v>0</v>
          </cell>
          <cell r="AP22">
            <v>0</v>
          </cell>
          <cell r="AQ22">
            <v>0</v>
          </cell>
          <cell r="AR22">
            <v>0</v>
          </cell>
          <cell r="AS22">
            <v>0</v>
          </cell>
          <cell r="AT22">
            <v>0</v>
          </cell>
          <cell r="AU22">
            <v>0</v>
          </cell>
          <cell r="AV22">
            <v>0</v>
          </cell>
          <cell r="AW22">
            <v>0</v>
          </cell>
          <cell r="AX22">
            <v>21</v>
          </cell>
          <cell r="AY22">
            <v>21</v>
          </cell>
        </row>
        <row r="23">
          <cell r="C23">
            <v>1126122552</v>
          </cell>
          <cell r="D23" t="str">
            <v xml:space="preserve">VILLARREAL ROYER JULIO ABEL </v>
          </cell>
          <cell r="E23" t="str">
            <v xml:space="preserve">RODRIGO VELOZA GALINDO </v>
          </cell>
          <cell r="F23" t="str">
            <v xml:space="preserve">SEDE 16 - SUPERCADE ENGATIVA </v>
          </cell>
          <cell r="G23" t="str">
            <v>18/10/2025</v>
          </cell>
          <cell r="H23" t="str">
            <v>OK</v>
          </cell>
          <cell r="I23" t="str">
            <v>OK</v>
          </cell>
          <cell r="J23" t="str">
            <v>OK</v>
          </cell>
          <cell r="K23" t="str">
            <v>OK</v>
          </cell>
          <cell r="L23" t="str">
            <v>OK</v>
          </cell>
          <cell r="M23" t="str">
            <v>OK</v>
          </cell>
          <cell r="N23" t="str">
            <v>OK</v>
          </cell>
          <cell r="O23" t="str">
            <v>OK</v>
          </cell>
          <cell r="P23" t="str">
            <v>OK</v>
          </cell>
          <cell r="Q23" t="str">
            <v>OK</v>
          </cell>
          <cell r="R23" t="str">
            <v>OK</v>
          </cell>
          <cell r="S23" t="str">
            <v>OK</v>
          </cell>
          <cell r="T23" t="str">
            <v>OK</v>
          </cell>
          <cell r="U23" t="str">
            <v>OK</v>
          </cell>
          <cell r="V23" t="str">
            <v>OK</v>
          </cell>
          <cell r="W23" t="str">
            <v>OK</v>
          </cell>
          <cell r="X23" t="str">
            <v>OK</v>
          </cell>
          <cell r="Y23" t="str">
            <v>OK</v>
          </cell>
          <cell r="Z23" t="str">
            <v>OK</v>
          </cell>
          <cell r="AA23" t="str">
            <v>OK</v>
          </cell>
          <cell r="AB23" t="str">
            <v>OK</v>
          </cell>
          <cell r="AC23">
            <v>0</v>
          </cell>
          <cell r="AD23">
            <v>0</v>
          </cell>
          <cell r="AE23">
            <v>0</v>
          </cell>
          <cell r="AF23">
            <v>0</v>
          </cell>
          <cell r="AG23">
            <v>0</v>
          </cell>
          <cell r="AH23">
            <v>0</v>
          </cell>
          <cell r="AI23">
            <v>0</v>
          </cell>
          <cell r="AJ23">
            <v>0</v>
          </cell>
          <cell r="AK23">
            <v>0</v>
          </cell>
          <cell r="AM23">
            <v>0</v>
          </cell>
          <cell r="AN23">
            <v>0</v>
          </cell>
          <cell r="AO23">
            <v>0</v>
          </cell>
          <cell r="AP23">
            <v>0</v>
          </cell>
          <cell r="AQ23">
            <v>0</v>
          </cell>
          <cell r="AR23">
            <v>0</v>
          </cell>
          <cell r="AS23">
            <v>0</v>
          </cell>
          <cell r="AT23">
            <v>0</v>
          </cell>
          <cell r="AU23">
            <v>0</v>
          </cell>
          <cell r="AV23">
            <v>0</v>
          </cell>
          <cell r="AW23">
            <v>0</v>
          </cell>
          <cell r="AX23">
            <v>21</v>
          </cell>
          <cell r="AY23">
            <v>21</v>
          </cell>
        </row>
        <row r="24">
          <cell r="C24">
            <v>1019060189</v>
          </cell>
          <cell r="D24" t="str">
            <v xml:space="preserve">GUERRERO CHISABA ADRIANA ROCIO </v>
          </cell>
          <cell r="E24" t="str">
            <v xml:space="preserve">RODRIGO VELOZA GALINDO </v>
          </cell>
          <cell r="F24" t="str">
            <v xml:space="preserve">SEDE 15 - CADE LA GAITANA </v>
          </cell>
          <cell r="G24" t="str">
            <v>18/10/2025</v>
          </cell>
          <cell r="H24" t="str">
            <v>OK</v>
          </cell>
          <cell r="I24" t="str">
            <v>OK</v>
          </cell>
          <cell r="J24" t="str">
            <v>OK</v>
          </cell>
          <cell r="K24" t="str">
            <v>OK</v>
          </cell>
          <cell r="L24" t="str">
            <v>OK</v>
          </cell>
          <cell r="M24" t="str">
            <v>OK</v>
          </cell>
          <cell r="N24" t="str">
            <v>OK</v>
          </cell>
          <cell r="O24" t="str">
            <v>OK</v>
          </cell>
          <cell r="P24" t="str">
            <v>OK</v>
          </cell>
          <cell r="Q24" t="str">
            <v>OK</v>
          </cell>
          <cell r="R24" t="str">
            <v>OK</v>
          </cell>
          <cell r="S24" t="str">
            <v>OK</v>
          </cell>
          <cell r="T24" t="str">
            <v>OK</v>
          </cell>
          <cell r="U24" t="str">
            <v>OK</v>
          </cell>
          <cell r="V24" t="str">
            <v>OK</v>
          </cell>
          <cell r="W24" t="str">
            <v>OK</v>
          </cell>
          <cell r="X24" t="str">
            <v>OK</v>
          </cell>
          <cell r="Y24" t="str">
            <v>OK</v>
          </cell>
          <cell r="Z24" t="str">
            <v>OK</v>
          </cell>
          <cell r="AA24" t="str">
            <v>OK</v>
          </cell>
          <cell r="AB24" t="str">
            <v>OK</v>
          </cell>
          <cell r="AC24">
            <v>0</v>
          </cell>
          <cell r="AD24">
            <v>0</v>
          </cell>
          <cell r="AE24">
            <v>0</v>
          </cell>
          <cell r="AF24">
            <v>0</v>
          </cell>
          <cell r="AG24">
            <v>0</v>
          </cell>
          <cell r="AH24">
            <v>0</v>
          </cell>
          <cell r="AI24">
            <v>0</v>
          </cell>
          <cell r="AJ24">
            <v>0</v>
          </cell>
          <cell r="AK24">
            <v>0</v>
          </cell>
          <cell r="AM24">
            <v>0</v>
          </cell>
          <cell r="AN24">
            <v>0</v>
          </cell>
          <cell r="AO24">
            <v>0</v>
          </cell>
          <cell r="AP24">
            <v>0</v>
          </cell>
          <cell r="AQ24">
            <v>0</v>
          </cell>
          <cell r="AR24">
            <v>0</v>
          </cell>
          <cell r="AS24">
            <v>0</v>
          </cell>
          <cell r="AT24">
            <v>0</v>
          </cell>
          <cell r="AU24">
            <v>0</v>
          </cell>
          <cell r="AV24">
            <v>0</v>
          </cell>
          <cell r="AW24">
            <v>0</v>
          </cell>
          <cell r="AX24">
            <v>21</v>
          </cell>
          <cell r="AY24">
            <v>21</v>
          </cell>
        </row>
        <row r="25">
          <cell r="C25">
            <v>1233911895</v>
          </cell>
          <cell r="D25" t="str">
            <v xml:space="preserve">BAQUERO ORTIZ LUISA FERNANDA </v>
          </cell>
          <cell r="E25" t="str">
            <v xml:space="preserve">RODRIGO VELOZA GALINDO </v>
          </cell>
          <cell r="F25" t="str">
            <v xml:space="preserve">SEDE 11 - SUPERCADE SUBA </v>
          </cell>
          <cell r="G25" t="str">
            <v>02/01/2026</v>
          </cell>
          <cell r="H25" t="str">
            <v>OK</v>
          </cell>
          <cell r="I25" t="str">
            <v>OK</v>
          </cell>
          <cell r="J25" t="str">
            <v>OK</v>
          </cell>
          <cell r="K25" t="str">
            <v>OK</v>
          </cell>
          <cell r="L25" t="str">
            <v>OK</v>
          </cell>
          <cell r="M25" t="str">
            <v>OK</v>
          </cell>
          <cell r="N25" t="str">
            <v>OK</v>
          </cell>
          <cell r="O25" t="str">
            <v>OK</v>
          </cell>
          <cell r="P25" t="str">
            <v>OK</v>
          </cell>
          <cell r="Q25" t="str">
            <v>OK</v>
          </cell>
          <cell r="R25" t="str">
            <v>OK</v>
          </cell>
          <cell r="S25" t="str">
            <v>OK</v>
          </cell>
          <cell r="T25" t="str">
            <v>OK</v>
          </cell>
          <cell r="U25" t="str">
            <v>OK</v>
          </cell>
          <cell r="V25" t="str">
            <v>OK</v>
          </cell>
          <cell r="W25" t="str">
            <v>INC</v>
          </cell>
          <cell r="X25" t="str">
            <v>OK</v>
          </cell>
          <cell r="Y25" t="str">
            <v>OK</v>
          </cell>
          <cell r="Z25" t="str">
            <v>OK</v>
          </cell>
          <cell r="AA25" t="str">
            <v>OK</v>
          </cell>
          <cell r="AB25" t="str">
            <v>OK</v>
          </cell>
          <cell r="AC25">
            <v>0</v>
          </cell>
          <cell r="AD25">
            <v>0</v>
          </cell>
          <cell r="AE25">
            <v>0</v>
          </cell>
          <cell r="AF25">
            <v>0</v>
          </cell>
          <cell r="AG25">
            <v>0</v>
          </cell>
          <cell r="AH25">
            <v>0</v>
          </cell>
          <cell r="AI25">
            <v>0</v>
          </cell>
          <cell r="AJ25">
            <v>0</v>
          </cell>
          <cell r="AK25">
            <v>0</v>
          </cell>
          <cell r="AM25">
            <v>0</v>
          </cell>
          <cell r="AN25">
            <v>0</v>
          </cell>
          <cell r="AO25">
            <v>0</v>
          </cell>
          <cell r="AP25">
            <v>1</v>
          </cell>
          <cell r="AQ25">
            <v>0</v>
          </cell>
          <cell r="AR25">
            <v>0</v>
          </cell>
          <cell r="AS25">
            <v>0</v>
          </cell>
          <cell r="AT25">
            <v>0</v>
          </cell>
          <cell r="AU25">
            <v>0</v>
          </cell>
          <cell r="AV25">
            <v>0</v>
          </cell>
          <cell r="AW25">
            <v>0</v>
          </cell>
          <cell r="AX25">
            <v>20</v>
          </cell>
          <cell r="AY25">
            <v>20</v>
          </cell>
        </row>
        <row r="26">
          <cell r="C26">
            <v>1010219099</v>
          </cell>
          <cell r="D26" t="str">
            <v xml:space="preserve">QUINTERO  YENNY KATHERINE </v>
          </cell>
          <cell r="E26" t="str">
            <v xml:space="preserve">RODRIGO VELOZA GALINDO </v>
          </cell>
          <cell r="F26" t="str">
            <v xml:space="preserve">SEDE 20 - CENTRO DE ENCUENTRO CHAPINERO </v>
          </cell>
          <cell r="G26" t="str">
            <v>18/10/2025</v>
          </cell>
          <cell r="H26" t="str">
            <v>OK</v>
          </cell>
          <cell r="I26" t="str">
            <v>OK</v>
          </cell>
          <cell r="J26" t="str">
            <v>OK</v>
          </cell>
          <cell r="K26" t="str">
            <v>OK</v>
          </cell>
          <cell r="L26" t="str">
            <v>OK</v>
          </cell>
          <cell r="M26" t="str">
            <v>OK</v>
          </cell>
          <cell r="N26" t="str">
            <v>OK</v>
          </cell>
          <cell r="O26" t="str">
            <v>OK</v>
          </cell>
          <cell r="P26" t="str">
            <v>OK</v>
          </cell>
          <cell r="Q26" t="str">
            <v>OK</v>
          </cell>
          <cell r="R26" t="str">
            <v>OK</v>
          </cell>
          <cell r="S26" t="str">
            <v>OK</v>
          </cell>
          <cell r="T26" t="str">
            <v>OK</v>
          </cell>
          <cell r="U26" t="str">
            <v>OK</v>
          </cell>
          <cell r="V26" t="str">
            <v>OK</v>
          </cell>
          <cell r="W26" t="str">
            <v>OK</v>
          </cell>
          <cell r="X26" t="str">
            <v>OK</v>
          </cell>
          <cell r="Y26" t="str">
            <v>OK</v>
          </cell>
          <cell r="Z26" t="str">
            <v>OK</v>
          </cell>
          <cell r="AA26" t="str">
            <v>OK</v>
          </cell>
          <cell r="AB26" t="str">
            <v>OK</v>
          </cell>
          <cell r="AC26">
            <v>0</v>
          </cell>
          <cell r="AD26">
            <v>0</v>
          </cell>
          <cell r="AE26">
            <v>0</v>
          </cell>
          <cell r="AF26">
            <v>0</v>
          </cell>
          <cell r="AG26">
            <v>0</v>
          </cell>
          <cell r="AH26">
            <v>0</v>
          </cell>
          <cell r="AI26">
            <v>0</v>
          </cell>
          <cell r="AJ26">
            <v>0</v>
          </cell>
          <cell r="AK26">
            <v>0</v>
          </cell>
          <cell r="AM26">
            <v>0</v>
          </cell>
          <cell r="AN26">
            <v>0</v>
          </cell>
          <cell r="AO26">
            <v>0</v>
          </cell>
          <cell r="AP26">
            <v>0</v>
          </cell>
          <cell r="AQ26">
            <v>0</v>
          </cell>
          <cell r="AR26">
            <v>0</v>
          </cell>
          <cell r="AS26">
            <v>0</v>
          </cell>
          <cell r="AT26">
            <v>0</v>
          </cell>
          <cell r="AU26">
            <v>0</v>
          </cell>
          <cell r="AV26">
            <v>0</v>
          </cell>
          <cell r="AW26">
            <v>0</v>
          </cell>
          <cell r="AX26">
            <v>21</v>
          </cell>
          <cell r="AY26">
            <v>21</v>
          </cell>
        </row>
        <row r="27">
          <cell r="C27">
            <v>1002296084</v>
          </cell>
          <cell r="D27" t="str">
            <v xml:space="preserve">TORRES AREVALO SEBASTIAN  </v>
          </cell>
          <cell r="E27" t="str">
            <v xml:space="preserve">RODRIGO VELOZA GALINDO </v>
          </cell>
          <cell r="F27" t="str">
            <v xml:space="preserve">SEDE 11 - SUPERCADE SUBA </v>
          </cell>
          <cell r="G27" t="str">
            <v>15/12/2025</v>
          </cell>
          <cell r="H27" t="str">
            <v>OK</v>
          </cell>
          <cell r="I27" t="str">
            <v>OK</v>
          </cell>
          <cell r="J27" t="str">
            <v>OK</v>
          </cell>
          <cell r="K27" t="str">
            <v>OK</v>
          </cell>
          <cell r="L27" t="str">
            <v>OK</v>
          </cell>
          <cell r="M27" t="str">
            <v>OK</v>
          </cell>
          <cell r="N27" t="str">
            <v>OK</v>
          </cell>
          <cell r="O27" t="str">
            <v>OK</v>
          </cell>
          <cell r="P27" t="str">
            <v>OK</v>
          </cell>
          <cell r="Q27" t="str">
            <v>OK</v>
          </cell>
          <cell r="R27" t="str">
            <v>OK</v>
          </cell>
          <cell r="S27" t="str">
            <v>OK</v>
          </cell>
          <cell r="T27" t="str">
            <v>OK</v>
          </cell>
          <cell r="U27" t="str">
            <v>OK</v>
          </cell>
          <cell r="V27" t="str">
            <v>OK</v>
          </cell>
          <cell r="W27" t="str">
            <v>OK</v>
          </cell>
          <cell r="X27" t="str">
            <v>OK</v>
          </cell>
          <cell r="Y27" t="str">
            <v>OK</v>
          </cell>
          <cell r="Z27" t="str">
            <v>OK</v>
          </cell>
          <cell r="AA27" t="str">
            <v>OK</v>
          </cell>
          <cell r="AB27" t="str">
            <v>OK</v>
          </cell>
          <cell r="AC27">
            <v>0</v>
          </cell>
          <cell r="AD27">
            <v>0</v>
          </cell>
          <cell r="AE27">
            <v>0</v>
          </cell>
          <cell r="AF27">
            <v>0</v>
          </cell>
          <cell r="AG27">
            <v>0</v>
          </cell>
          <cell r="AH27">
            <v>0</v>
          </cell>
          <cell r="AI27">
            <v>0</v>
          </cell>
          <cell r="AJ27">
            <v>0</v>
          </cell>
          <cell r="AK27">
            <v>0</v>
          </cell>
          <cell r="AM27">
            <v>0</v>
          </cell>
          <cell r="AN27">
            <v>0</v>
          </cell>
          <cell r="AO27">
            <v>0</v>
          </cell>
          <cell r="AP27">
            <v>0</v>
          </cell>
          <cell r="AQ27">
            <v>0</v>
          </cell>
          <cell r="AR27">
            <v>0</v>
          </cell>
          <cell r="AS27">
            <v>0</v>
          </cell>
          <cell r="AT27">
            <v>0</v>
          </cell>
          <cell r="AU27">
            <v>0</v>
          </cell>
          <cell r="AV27">
            <v>0</v>
          </cell>
          <cell r="AW27">
            <v>0</v>
          </cell>
          <cell r="AX27">
            <v>21</v>
          </cell>
          <cell r="AY27">
            <v>21</v>
          </cell>
        </row>
        <row r="28">
          <cell r="C28">
            <v>1052077081</v>
          </cell>
          <cell r="D28" t="str">
            <v xml:space="preserve">TORRES MONTES DIANA PAOLA </v>
          </cell>
          <cell r="E28" t="str">
            <v xml:space="preserve">RODRIGO VELOZA GALINDO </v>
          </cell>
          <cell r="F28" t="str">
            <v xml:space="preserve">SEDE 11 - SUPERCADE SUBA </v>
          </cell>
          <cell r="G28" t="str">
            <v>25/02/2026</v>
          </cell>
          <cell r="H28" t="str">
            <v>OK</v>
          </cell>
          <cell r="I28" t="str">
            <v>OK</v>
          </cell>
          <cell r="J28" t="str">
            <v>OK</v>
          </cell>
          <cell r="K28" t="str">
            <v>OK</v>
          </cell>
          <cell r="L28" t="str">
            <v>OK</v>
          </cell>
          <cell r="M28" t="str">
            <v>OK</v>
          </cell>
          <cell r="N28" t="str">
            <v>OK</v>
          </cell>
          <cell r="O28" t="str">
            <v>OK</v>
          </cell>
          <cell r="P28" t="str">
            <v>OK</v>
          </cell>
          <cell r="Q28" t="str">
            <v>OK</v>
          </cell>
          <cell r="R28" t="str">
            <v>OK</v>
          </cell>
          <cell r="S28" t="str">
            <v>OK</v>
          </cell>
          <cell r="T28" t="str">
            <v>OK</v>
          </cell>
          <cell r="U28" t="str">
            <v>OK</v>
          </cell>
          <cell r="V28" t="str">
            <v>OK</v>
          </cell>
          <cell r="W28" t="str">
            <v>OK</v>
          </cell>
          <cell r="X28" t="str">
            <v>OK</v>
          </cell>
          <cell r="Y28" t="str">
            <v>OK</v>
          </cell>
          <cell r="Z28" t="str">
            <v>OK</v>
          </cell>
          <cell r="AA28" t="str">
            <v>OK</v>
          </cell>
          <cell r="AB28" t="str">
            <v>OK</v>
          </cell>
          <cell r="AC28">
            <v>0</v>
          </cell>
          <cell r="AD28">
            <v>0</v>
          </cell>
          <cell r="AE28">
            <v>0</v>
          </cell>
          <cell r="AF28">
            <v>0</v>
          </cell>
          <cell r="AG28">
            <v>0</v>
          </cell>
          <cell r="AH28">
            <v>0</v>
          </cell>
          <cell r="AI28">
            <v>0</v>
          </cell>
          <cell r="AJ28">
            <v>0</v>
          </cell>
          <cell r="AK28">
            <v>0</v>
          </cell>
          <cell r="AM28">
            <v>0</v>
          </cell>
          <cell r="AN28">
            <v>0</v>
          </cell>
          <cell r="AO28">
            <v>0</v>
          </cell>
          <cell r="AP28">
            <v>0</v>
          </cell>
          <cell r="AQ28">
            <v>0</v>
          </cell>
          <cell r="AR28">
            <v>0</v>
          </cell>
          <cell r="AS28">
            <v>0</v>
          </cell>
          <cell r="AT28">
            <v>0</v>
          </cell>
          <cell r="AU28">
            <v>0</v>
          </cell>
          <cell r="AV28">
            <v>0</v>
          </cell>
          <cell r="AW28">
            <v>0</v>
          </cell>
          <cell r="AX28">
            <v>21</v>
          </cell>
          <cell r="AY28">
            <v>21</v>
          </cell>
        </row>
        <row r="29">
          <cell r="C29">
            <v>5070700</v>
          </cell>
          <cell r="D29" t="str">
            <v xml:space="preserve">MALAVE HERNANDEZ DIANA VALENTINA </v>
          </cell>
          <cell r="E29" t="str">
            <v xml:space="preserve">RODRIGO VELOZA GALINDO </v>
          </cell>
          <cell r="F29" t="str">
            <v>SUPERNUMERARIA</v>
          </cell>
          <cell r="G29" t="str">
            <v>12/12/2025</v>
          </cell>
          <cell r="H29" t="str">
            <v>OK</v>
          </cell>
          <cell r="I29" t="str">
            <v>OK</v>
          </cell>
          <cell r="J29" t="str">
            <v>OK</v>
          </cell>
          <cell r="K29" t="str">
            <v>OK</v>
          </cell>
          <cell r="L29" t="str">
            <v>OK</v>
          </cell>
          <cell r="M29" t="str">
            <v>OK</v>
          </cell>
          <cell r="N29" t="str">
            <v>OK</v>
          </cell>
          <cell r="O29" t="str">
            <v>OK</v>
          </cell>
          <cell r="P29" t="str">
            <v>OK</v>
          </cell>
          <cell r="Q29" t="str">
            <v>OK</v>
          </cell>
          <cell r="R29" t="str">
            <v>OK</v>
          </cell>
          <cell r="S29" t="str">
            <v>OK</v>
          </cell>
          <cell r="T29" t="str">
            <v>OK</v>
          </cell>
          <cell r="U29" t="str">
            <v>OK</v>
          </cell>
          <cell r="V29" t="str">
            <v>OK</v>
          </cell>
          <cell r="W29" t="str">
            <v>OK</v>
          </cell>
          <cell r="X29" t="str">
            <v>OK</v>
          </cell>
          <cell r="Y29" t="str">
            <v>OK</v>
          </cell>
          <cell r="Z29" t="str">
            <v>OK</v>
          </cell>
          <cell r="AA29" t="str">
            <v>OK</v>
          </cell>
          <cell r="AB29" t="str">
            <v>OK</v>
          </cell>
          <cell r="AC29">
            <v>0</v>
          </cell>
          <cell r="AD29">
            <v>0</v>
          </cell>
          <cell r="AE29">
            <v>0</v>
          </cell>
          <cell r="AF29">
            <v>0</v>
          </cell>
          <cell r="AG29">
            <v>0</v>
          </cell>
          <cell r="AH29">
            <v>0</v>
          </cell>
          <cell r="AI29">
            <v>0</v>
          </cell>
          <cell r="AJ29">
            <v>0</v>
          </cell>
          <cell r="AK29">
            <v>0</v>
          </cell>
          <cell r="AM29">
            <v>0</v>
          </cell>
          <cell r="AN29">
            <v>0</v>
          </cell>
          <cell r="AO29">
            <v>0</v>
          </cell>
          <cell r="AP29">
            <v>0</v>
          </cell>
          <cell r="AQ29">
            <v>0</v>
          </cell>
          <cell r="AR29">
            <v>0</v>
          </cell>
          <cell r="AS29">
            <v>0</v>
          </cell>
          <cell r="AT29">
            <v>0</v>
          </cell>
          <cell r="AU29">
            <v>0</v>
          </cell>
          <cell r="AV29">
            <v>0</v>
          </cell>
          <cell r="AW29">
            <v>0</v>
          </cell>
          <cell r="AX29">
            <v>21</v>
          </cell>
          <cell r="AY29">
            <v>21</v>
          </cell>
        </row>
        <row r="30">
          <cell r="C30">
            <v>53073073</v>
          </cell>
          <cell r="D30" t="str">
            <v xml:space="preserve">MURCIA CHICUE CONSUELO MATILDE </v>
          </cell>
          <cell r="E30" t="str">
            <v xml:space="preserve">RODRIGO VELOZA GALINDO </v>
          </cell>
          <cell r="F30" t="str">
            <v xml:space="preserve">SEDE 11 - SUPERCADE SUBA </v>
          </cell>
          <cell r="G30" t="str">
            <v>18/10/2025</v>
          </cell>
          <cell r="H30" t="str">
            <v>OK</v>
          </cell>
          <cell r="I30" t="str">
            <v>OK</v>
          </cell>
          <cell r="J30" t="str">
            <v>OK</v>
          </cell>
          <cell r="K30" t="str">
            <v>OK</v>
          </cell>
          <cell r="L30" t="str">
            <v>OK</v>
          </cell>
          <cell r="M30" t="str">
            <v>OK</v>
          </cell>
          <cell r="N30" t="str">
            <v>OK</v>
          </cell>
          <cell r="O30" t="str">
            <v>OK</v>
          </cell>
          <cell r="P30" t="str">
            <v>OK</v>
          </cell>
          <cell r="Q30" t="str">
            <v>OK</v>
          </cell>
          <cell r="R30" t="str">
            <v>OK</v>
          </cell>
          <cell r="S30" t="str">
            <v>OK</v>
          </cell>
          <cell r="T30" t="str">
            <v>AUS</v>
          </cell>
          <cell r="U30" t="str">
            <v>AUS</v>
          </cell>
          <cell r="V30" t="str">
            <v>OK</v>
          </cell>
          <cell r="W30" t="str">
            <v>OK</v>
          </cell>
          <cell r="X30" t="str">
            <v>OK</v>
          </cell>
          <cell r="Y30" t="str">
            <v>OK</v>
          </cell>
          <cell r="Z30" t="str">
            <v>OK</v>
          </cell>
          <cell r="AA30" t="str">
            <v>OK</v>
          </cell>
          <cell r="AB30" t="str">
            <v>OK</v>
          </cell>
          <cell r="AC30">
            <v>0</v>
          </cell>
          <cell r="AD30">
            <v>0</v>
          </cell>
          <cell r="AE30">
            <v>0</v>
          </cell>
          <cell r="AF30">
            <v>0</v>
          </cell>
          <cell r="AG30">
            <v>0</v>
          </cell>
          <cell r="AH30">
            <v>0</v>
          </cell>
          <cell r="AI30">
            <v>0</v>
          </cell>
          <cell r="AJ30">
            <v>0</v>
          </cell>
          <cell r="AK30">
            <v>0</v>
          </cell>
          <cell r="AM30">
            <v>2</v>
          </cell>
          <cell r="AN30">
            <v>0</v>
          </cell>
          <cell r="AO30">
            <v>0</v>
          </cell>
          <cell r="AP30">
            <v>0</v>
          </cell>
          <cell r="AQ30">
            <v>0</v>
          </cell>
          <cell r="AR30">
            <v>0</v>
          </cell>
          <cell r="AS30">
            <v>0</v>
          </cell>
          <cell r="AT30">
            <v>0</v>
          </cell>
          <cell r="AU30">
            <v>0</v>
          </cell>
          <cell r="AV30">
            <v>0</v>
          </cell>
          <cell r="AW30">
            <v>0</v>
          </cell>
          <cell r="AX30">
            <v>19</v>
          </cell>
          <cell r="AY30">
            <v>19</v>
          </cell>
        </row>
        <row r="31">
          <cell r="C31">
            <v>1073707145</v>
          </cell>
          <cell r="D31" t="str">
            <v xml:space="preserve">ALVARADO RAMIREZ WHITNEY GIANNINA </v>
          </cell>
          <cell r="E31" t="str">
            <v xml:space="preserve">RODRIGO VELOZA GALINDO </v>
          </cell>
          <cell r="F31" t="str">
            <v xml:space="preserve">SEDE 11 - SUPERCADE SUBA </v>
          </cell>
          <cell r="G31" t="str">
            <v>18/10/2025</v>
          </cell>
          <cell r="H31" t="str">
            <v>OK</v>
          </cell>
          <cell r="I31" t="str">
            <v>OK</v>
          </cell>
          <cell r="J31" t="str">
            <v>OK</v>
          </cell>
          <cell r="K31" t="str">
            <v>OK</v>
          </cell>
          <cell r="L31" t="str">
            <v>OK</v>
          </cell>
          <cell r="M31" t="str">
            <v>OK</v>
          </cell>
          <cell r="N31" t="str">
            <v>OK</v>
          </cell>
          <cell r="O31" t="str">
            <v>OK</v>
          </cell>
          <cell r="P31" t="str">
            <v>OK</v>
          </cell>
          <cell r="Q31" t="str">
            <v>OK</v>
          </cell>
          <cell r="R31" t="str">
            <v>OK</v>
          </cell>
          <cell r="S31" t="str">
            <v>OK</v>
          </cell>
          <cell r="T31" t="str">
            <v>OK</v>
          </cell>
          <cell r="U31" t="str">
            <v>OK</v>
          </cell>
          <cell r="V31" t="str">
            <v>OK</v>
          </cell>
          <cell r="W31" t="str">
            <v>OK</v>
          </cell>
          <cell r="X31" t="str">
            <v>OK</v>
          </cell>
          <cell r="Y31" t="str">
            <v>OK</v>
          </cell>
          <cell r="Z31" t="str">
            <v>OK</v>
          </cell>
          <cell r="AA31" t="str">
            <v>OK</v>
          </cell>
          <cell r="AB31" t="str">
            <v>OK</v>
          </cell>
          <cell r="AC31">
            <v>0</v>
          </cell>
          <cell r="AD31">
            <v>0</v>
          </cell>
          <cell r="AE31">
            <v>0</v>
          </cell>
          <cell r="AF31">
            <v>0</v>
          </cell>
          <cell r="AG31">
            <v>0</v>
          </cell>
          <cell r="AH31">
            <v>0</v>
          </cell>
          <cell r="AI31">
            <v>0</v>
          </cell>
          <cell r="AJ31">
            <v>0</v>
          </cell>
          <cell r="AK31">
            <v>0</v>
          </cell>
          <cell r="AM31">
            <v>0</v>
          </cell>
          <cell r="AN31">
            <v>0</v>
          </cell>
          <cell r="AO31">
            <v>0</v>
          </cell>
          <cell r="AP31">
            <v>0</v>
          </cell>
          <cell r="AQ31">
            <v>0</v>
          </cell>
          <cell r="AR31">
            <v>0</v>
          </cell>
          <cell r="AS31">
            <v>0</v>
          </cell>
          <cell r="AT31">
            <v>0</v>
          </cell>
          <cell r="AU31">
            <v>0</v>
          </cell>
          <cell r="AV31">
            <v>0</v>
          </cell>
          <cell r="AW31">
            <v>0</v>
          </cell>
          <cell r="AX31">
            <v>21</v>
          </cell>
          <cell r="AY31">
            <v>21</v>
          </cell>
        </row>
        <row r="32">
          <cell r="C32">
            <v>1020781448</v>
          </cell>
          <cell r="D32" t="str">
            <v xml:space="preserve">CALDERON MEDRANO MARIA ALEJANDRA </v>
          </cell>
          <cell r="E32" t="str">
            <v xml:space="preserve">RODRIGO VELOZA GALINDO </v>
          </cell>
          <cell r="F32" t="str">
            <v xml:space="preserve">SEDE 13 - CADE SERVITA </v>
          </cell>
          <cell r="G32" t="str">
            <v>06/01/2026</v>
          </cell>
          <cell r="H32" t="str">
            <v>OK</v>
          </cell>
          <cell r="I32" t="str">
            <v>OK</v>
          </cell>
          <cell r="J32" t="str">
            <v>OK</v>
          </cell>
          <cell r="K32" t="str">
            <v>OK</v>
          </cell>
          <cell r="L32" t="str">
            <v>OK</v>
          </cell>
          <cell r="M32" t="str">
            <v>OK</v>
          </cell>
          <cell r="N32" t="str">
            <v>OK</v>
          </cell>
          <cell r="O32" t="str">
            <v>OK</v>
          </cell>
          <cell r="P32" t="str">
            <v>OK</v>
          </cell>
          <cell r="Q32" t="str">
            <v>OK</v>
          </cell>
          <cell r="R32" t="str">
            <v>OK</v>
          </cell>
          <cell r="S32" t="str">
            <v>OK</v>
          </cell>
          <cell r="T32" t="str">
            <v>OK</v>
          </cell>
          <cell r="U32" t="str">
            <v>OK</v>
          </cell>
          <cell r="V32" t="str">
            <v>OK</v>
          </cell>
          <cell r="W32" t="str">
            <v>OK</v>
          </cell>
          <cell r="X32" t="str">
            <v>OK</v>
          </cell>
          <cell r="Y32" t="str">
            <v>OK</v>
          </cell>
          <cell r="Z32" t="str">
            <v>OK</v>
          </cell>
          <cell r="AA32" t="str">
            <v>OK</v>
          </cell>
          <cell r="AB32" t="str">
            <v>OK</v>
          </cell>
          <cell r="AC32">
            <v>0</v>
          </cell>
          <cell r="AD32">
            <v>0</v>
          </cell>
          <cell r="AE32">
            <v>0</v>
          </cell>
          <cell r="AF32">
            <v>0</v>
          </cell>
          <cell r="AG32">
            <v>0</v>
          </cell>
          <cell r="AH32">
            <v>0</v>
          </cell>
          <cell r="AI32">
            <v>0</v>
          </cell>
          <cell r="AJ32">
            <v>0</v>
          </cell>
          <cell r="AK32">
            <v>0</v>
          </cell>
          <cell r="AM32">
            <v>0</v>
          </cell>
          <cell r="AN32">
            <v>0</v>
          </cell>
          <cell r="AO32">
            <v>0</v>
          </cell>
          <cell r="AP32">
            <v>0</v>
          </cell>
          <cell r="AQ32">
            <v>0</v>
          </cell>
          <cell r="AR32">
            <v>0</v>
          </cell>
          <cell r="AS32">
            <v>0</v>
          </cell>
          <cell r="AT32">
            <v>0</v>
          </cell>
          <cell r="AU32">
            <v>0</v>
          </cell>
          <cell r="AV32">
            <v>0</v>
          </cell>
          <cell r="AW32">
            <v>0</v>
          </cell>
          <cell r="AX32">
            <v>21</v>
          </cell>
          <cell r="AY32">
            <v>21</v>
          </cell>
        </row>
        <row r="33">
          <cell r="C33">
            <v>1235250628</v>
          </cell>
          <cell r="D33" t="str">
            <v xml:space="preserve">JIMENEZ RIGOBERTO ANTONIO  </v>
          </cell>
          <cell r="E33" t="str">
            <v xml:space="preserve">RODRIGO VELOZA GALINDO </v>
          </cell>
          <cell r="F33" t="str">
            <v xml:space="preserve">SEDE 15 - CADE LA GAITANA </v>
          </cell>
          <cell r="G33" t="str">
            <v>18/10/2025</v>
          </cell>
          <cell r="H33" t="str">
            <v>OK</v>
          </cell>
          <cell r="I33" t="str">
            <v>OK</v>
          </cell>
          <cell r="J33" t="str">
            <v>OK</v>
          </cell>
          <cell r="K33" t="str">
            <v>OK</v>
          </cell>
          <cell r="L33" t="str">
            <v>OK</v>
          </cell>
          <cell r="M33" t="str">
            <v>OK</v>
          </cell>
          <cell r="N33" t="str">
            <v>OK</v>
          </cell>
          <cell r="O33" t="str">
            <v>OK</v>
          </cell>
          <cell r="P33" t="str">
            <v>OK</v>
          </cell>
          <cell r="Q33" t="str">
            <v>OK</v>
          </cell>
          <cell r="R33" t="str">
            <v>OK</v>
          </cell>
          <cell r="S33" t="str">
            <v>OK</v>
          </cell>
          <cell r="T33" t="str">
            <v>OK</v>
          </cell>
          <cell r="U33" t="str">
            <v>OK</v>
          </cell>
          <cell r="V33" t="str">
            <v>OK</v>
          </cell>
          <cell r="W33" t="str">
            <v>OK</v>
          </cell>
          <cell r="X33" t="str">
            <v>OK</v>
          </cell>
          <cell r="Y33" t="str">
            <v>OK</v>
          </cell>
          <cell r="Z33" t="str">
            <v>OK</v>
          </cell>
          <cell r="AA33" t="str">
            <v>OK</v>
          </cell>
          <cell r="AB33" t="str">
            <v>OK</v>
          </cell>
          <cell r="AC33">
            <v>0</v>
          </cell>
          <cell r="AD33">
            <v>0</v>
          </cell>
          <cell r="AE33">
            <v>0</v>
          </cell>
          <cell r="AF33">
            <v>0</v>
          </cell>
          <cell r="AG33">
            <v>0</v>
          </cell>
          <cell r="AH33">
            <v>0</v>
          </cell>
          <cell r="AI33">
            <v>0</v>
          </cell>
          <cell r="AJ33">
            <v>0</v>
          </cell>
          <cell r="AK33">
            <v>0</v>
          </cell>
          <cell r="AM33">
            <v>0</v>
          </cell>
          <cell r="AN33">
            <v>0</v>
          </cell>
          <cell r="AO33">
            <v>0</v>
          </cell>
          <cell r="AP33">
            <v>0</v>
          </cell>
          <cell r="AQ33">
            <v>0</v>
          </cell>
          <cell r="AR33">
            <v>0</v>
          </cell>
          <cell r="AS33">
            <v>0</v>
          </cell>
          <cell r="AT33">
            <v>0</v>
          </cell>
          <cell r="AU33">
            <v>0</v>
          </cell>
          <cell r="AV33">
            <v>0</v>
          </cell>
          <cell r="AW33">
            <v>0</v>
          </cell>
          <cell r="AX33">
            <v>21</v>
          </cell>
          <cell r="AY33">
            <v>21</v>
          </cell>
        </row>
        <row r="34">
          <cell r="C34">
            <v>1196963427</v>
          </cell>
          <cell r="D34" t="str">
            <v xml:space="preserve">VELASQUEZ ARIAS NATALIA ISABEL </v>
          </cell>
          <cell r="E34" t="str">
            <v xml:space="preserve">RODRIGO VELOZA GALINDO </v>
          </cell>
          <cell r="F34" t="str">
            <v xml:space="preserve">SEDE 24 - CENTRO DE ENCUENTRO SUBA </v>
          </cell>
          <cell r="G34" t="str">
            <v>25/02/2026</v>
          </cell>
          <cell r="H34" t="str">
            <v>OK</v>
          </cell>
          <cell r="I34" t="str">
            <v>OK</v>
          </cell>
          <cell r="J34" t="str">
            <v>OK</v>
          </cell>
          <cell r="K34" t="str">
            <v>OK</v>
          </cell>
          <cell r="L34" t="str">
            <v>OK</v>
          </cell>
          <cell r="M34" t="str">
            <v>OK</v>
          </cell>
          <cell r="N34" t="str">
            <v>OK</v>
          </cell>
          <cell r="O34" t="str">
            <v>OK</v>
          </cell>
          <cell r="P34" t="str">
            <v>INC</v>
          </cell>
          <cell r="Q34" t="str">
            <v>INC</v>
          </cell>
          <cell r="R34" t="str">
            <v>OK</v>
          </cell>
          <cell r="S34" t="str">
            <v>OK</v>
          </cell>
          <cell r="T34" t="str">
            <v>OK</v>
          </cell>
          <cell r="U34" t="str">
            <v>OK</v>
          </cell>
          <cell r="V34" t="str">
            <v>OK</v>
          </cell>
          <cell r="W34" t="str">
            <v>OK</v>
          </cell>
          <cell r="X34" t="str">
            <v>OK</v>
          </cell>
          <cell r="Y34" t="str">
            <v>OK</v>
          </cell>
          <cell r="Z34" t="str">
            <v>OK</v>
          </cell>
          <cell r="AA34" t="str">
            <v>OK</v>
          </cell>
          <cell r="AB34" t="str">
            <v>OK</v>
          </cell>
          <cell r="AC34">
            <v>0</v>
          </cell>
          <cell r="AD34">
            <v>0</v>
          </cell>
          <cell r="AE34">
            <v>0</v>
          </cell>
          <cell r="AF34">
            <v>0</v>
          </cell>
          <cell r="AG34">
            <v>0</v>
          </cell>
          <cell r="AH34">
            <v>0</v>
          </cell>
          <cell r="AI34">
            <v>0</v>
          </cell>
          <cell r="AJ34">
            <v>0</v>
          </cell>
          <cell r="AK34">
            <v>0</v>
          </cell>
          <cell r="AM34">
            <v>0</v>
          </cell>
          <cell r="AN34">
            <v>0</v>
          </cell>
          <cell r="AO34">
            <v>0</v>
          </cell>
          <cell r="AP34">
            <v>2</v>
          </cell>
          <cell r="AQ34">
            <v>0</v>
          </cell>
          <cell r="AR34">
            <v>0</v>
          </cell>
          <cell r="AS34">
            <v>0</v>
          </cell>
          <cell r="AT34">
            <v>0</v>
          </cell>
          <cell r="AU34">
            <v>0</v>
          </cell>
          <cell r="AV34">
            <v>0</v>
          </cell>
          <cell r="AW34">
            <v>0</v>
          </cell>
          <cell r="AX34">
            <v>19</v>
          </cell>
          <cell r="AY34">
            <v>19</v>
          </cell>
        </row>
        <row r="35">
          <cell r="C35">
            <v>52351391</v>
          </cell>
          <cell r="D35" t="str">
            <v xml:space="preserve">PEREZ  SANDRA MARCELA </v>
          </cell>
          <cell r="E35" t="str">
            <v xml:space="preserve">RODRIGO VELOZA GALINDO </v>
          </cell>
          <cell r="F35" t="str">
            <v xml:space="preserve">SEDE 11 - SUPERCADE SUBA </v>
          </cell>
          <cell r="G35" t="str">
            <v>18/10/2025</v>
          </cell>
          <cell r="H35" t="str">
            <v>OK</v>
          </cell>
          <cell r="I35" t="str">
            <v>OK</v>
          </cell>
          <cell r="J35" t="str">
            <v>OK</v>
          </cell>
          <cell r="K35" t="str">
            <v>OK</v>
          </cell>
          <cell r="L35" t="str">
            <v>OK</v>
          </cell>
          <cell r="M35" t="str">
            <v>OK</v>
          </cell>
          <cell r="N35" t="str">
            <v>OK</v>
          </cell>
          <cell r="O35" t="str">
            <v>OK</v>
          </cell>
          <cell r="P35" t="str">
            <v>OK</v>
          </cell>
          <cell r="Q35" t="str">
            <v>OK</v>
          </cell>
          <cell r="R35" t="str">
            <v>OK</v>
          </cell>
          <cell r="S35" t="str">
            <v>OK</v>
          </cell>
          <cell r="T35" t="str">
            <v>OK</v>
          </cell>
          <cell r="U35" t="str">
            <v>OK</v>
          </cell>
          <cell r="V35" t="str">
            <v>OK</v>
          </cell>
          <cell r="W35" t="str">
            <v>OK</v>
          </cell>
          <cell r="X35" t="str">
            <v>OK</v>
          </cell>
          <cell r="Y35" t="str">
            <v>OK</v>
          </cell>
          <cell r="Z35" t="str">
            <v>OK</v>
          </cell>
          <cell r="AA35" t="str">
            <v>OK</v>
          </cell>
          <cell r="AB35" t="str">
            <v>OK</v>
          </cell>
          <cell r="AC35">
            <v>0</v>
          </cell>
          <cell r="AD35">
            <v>0</v>
          </cell>
          <cell r="AE35">
            <v>0</v>
          </cell>
          <cell r="AF35">
            <v>0</v>
          </cell>
          <cell r="AG35">
            <v>0</v>
          </cell>
          <cell r="AH35">
            <v>0</v>
          </cell>
          <cell r="AI35">
            <v>0</v>
          </cell>
          <cell r="AJ35">
            <v>0</v>
          </cell>
          <cell r="AK35">
            <v>0</v>
          </cell>
          <cell r="AM35">
            <v>0</v>
          </cell>
          <cell r="AN35">
            <v>0</v>
          </cell>
          <cell r="AO35">
            <v>0</v>
          </cell>
          <cell r="AP35">
            <v>0</v>
          </cell>
          <cell r="AQ35">
            <v>0</v>
          </cell>
          <cell r="AR35">
            <v>0</v>
          </cell>
          <cell r="AS35">
            <v>0</v>
          </cell>
          <cell r="AT35">
            <v>0</v>
          </cell>
          <cell r="AU35">
            <v>0</v>
          </cell>
          <cell r="AV35">
            <v>0</v>
          </cell>
          <cell r="AW35">
            <v>0</v>
          </cell>
          <cell r="AX35">
            <v>21</v>
          </cell>
          <cell r="AY35">
            <v>21</v>
          </cell>
        </row>
        <row r="36">
          <cell r="C36">
            <v>52897266</v>
          </cell>
          <cell r="D36" t="str">
            <v xml:space="preserve">BERMUDEZ MARTINEZ JENNY KIMBERLY </v>
          </cell>
          <cell r="E36" t="str">
            <v xml:space="preserve">RODRIGO VELOZA GALINDO </v>
          </cell>
          <cell r="F36" t="str">
            <v xml:space="preserve">SEDE 11 - SUPERCADE SUBA </v>
          </cell>
          <cell r="G36" t="str">
            <v>18/10/2025</v>
          </cell>
          <cell r="H36" t="str">
            <v>OK</v>
          </cell>
          <cell r="I36" t="str">
            <v>OK</v>
          </cell>
          <cell r="J36" t="str">
            <v>OK</v>
          </cell>
          <cell r="K36" t="str">
            <v>OK</v>
          </cell>
          <cell r="L36" t="str">
            <v>OK</v>
          </cell>
          <cell r="M36" t="str">
            <v>OK</v>
          </cell>
          <cell r="N36" t="str">
            <v>OK</v>
          </cell>
          <cell r="O36" t="str">
            <v>OK</v>
          </cell>
          <cell r="P36" t="str">
            <v>OK</v>
          </cell>
          <cell r="Q36" t="str">
            <v>OK</v>
          </cell>
          <cell r="R36" t="str">
            <v>OK</v>
          </cell>
          <cell r="S36" t="str">
            <v>OK</v>
          </cell>
          <cell r="T36" t="str">
            <v>OK</v>
          </cell>
          <cell r="U36" t="str">
            <v>OK</v>
          </cell>
          <cell r="V36" t="str">
            <v>OK</v>
          </cell>
          <cell r="W36" t="str">
            <v>OK</v>
          </cell>
          <cell r="X36" t="str">
            <v>OK</v>
          </cell>
          <cell r="Y36" t="str">
            <v>OK</v>
          </cell>
          <cell r="Z36" t="str">
            <v>OK</v>
          </cell>
          <cell r="AA36" t="str">
            <v>OK</v>
          </cell>
          <cell r="AB36" t="str">
            <v>OK</v>
          </cell>
          <cell r="AC36">
            <v>0</v>
          </cell>
          <cell r="AD36">
            <v>0</v>
          </cell>
          <cell r="AE36">
            <v>0</v>
          </cell>
          <cell r="AF36">
            <v>0</v>
          </cell>
          <cell r="AG36">
            <v>0</v>
          </cell>
          <cell r="AH36">
            <v>0</v>
          </cell>
          <cell r="AI36">
            <v>0</v>
          </cell>
          <cell r="AJ36">
            <v>0</v>
          </cell>
          <cell r="AK36">
            <v>0</v>
          </cell>
          <cell r="AM36">
            <v>0</v>
          </cell>
          <cell r="AN36">
            <v>0</v>
          </cell>
          <cell r="AO36">
            <v>0</v>
          </cell>
          <cell r="AP36">
            <v>0</v>
          </cell>
          <cell r="AQ36">
            <v>0</v>
          </cell>
          <cell r="AR36">
            <v>0</v>
          </cell>
          <cell r="AS36">
            <v>0</v>
          </cell>
          <cell r="AT36">
            <v>0</v>
          </cell>
          <cell r="AU36">
            <v>0</v>
          </cell>
          <cell r="AV36">
            <v>0</v>
          </cell>
          <cell r="AW36">
            <v>0</v>
          </cell>
          <cell r="AX36">
            <v>21</v>
          </cell>
          <cell r="AY36">
            <v>21</v>
          </cell>
        </row>
        <row r="37">
          <cell r="C37">
            <v>1128053736</v>
          </cell>
          <cell r="D37" t="str">
            <v xml:space="preserve">PAJARO PANIZZA MARIANA DEJESUS </v>
          </cell>
          <cell r="E37" t="str">
            <v xml:space="preserve">RODRIGO VELOZA GALINDO </v>
          </cell>
          <cell r="F37" t="str">
            <v xml:space="preserve">SEDE 20 - CENTRO DE ENCUENTRO CHAPINERO </v>
          </cell>
          <cell r="G37" t="str">
            <v>18/10/2025</v>
          </cell>
          <cell r="H37" t="str">
            <v>OK</v>
          </cell>
          <cell r="I37" t="str">
            <v>OK</v>
          </cell>
          <cell r="J37" t="str">
            <v>OK</v>
          </cell>
          <cell r="K37" t="str">
            <v>OK</v>
          </cell>
          <cell r="L37" t="str">
            <v>OK</v>
          </cell>
          <cell r="M37" t="str">
            <v>OK</v>
          </cell>
          <cell r="N37" t="str">
            <v>OK</v>
          </cell>
          <cell r="O37" t="str">
            <v>OK</v>
          </cell>
          <cell r="P37" t="str">
            <v>OK</v>
          </cell>
          <cell r="Q37" t="str">
            <v>OK</v>
          </cell>
          <cell r="R37" t="str">
            <v>OK</v>
          </cell>
          <cell r="S37" t="str">
            <v>OK</v>
          </cell>
          <cell r="T37" t="str">
            <v>OK</v>
          </cell>
          <cell r="U37" t="str">
            <v>OK</v>
          </cell>
          <cell r="V37" t="str">
            <v>OK</v>
          </cell>
          <cell r="W37" t="str">
            <v>OK</v>
          </cell>
          <cell r="X37" t="str">
            <v>OK</v>
          </cell>
          <cell r="Y37" t="str">
            <v>OK</v>
          </cell>
          <cell r="Z37" t="str">
            <v>OK</v>
          </cell>
          <cell r="AA37" t="str">
            <v>OK</v>
          </cell>
          <cell r="AB37" t="str">
            <v>OK</v>
          </cell>
          <cell r="AC37">
            <v>0</v>
          </cell>
          <cell r="AD37">
            <v>0</v>
          </cell>
          <cell r="AE37">
            <v>0</v>
          </cell>
          <cell r="AF37">
            <v>0</v>
          </cell>
          <cell r="AG37">
            <v>0</v>
          </cell>
          <cell r="AH37">
            <v>0</v>
          </cell>
          <cell r="AI37">
            <v>0</v>
          </cell>
          <cell r="AJ37">
            <v>0</v>
          </cell>
          <cell r="AK37">
            <v>0</v>
          </cell>
          <cell r="AM37">
            <v>0</v>
          </cell>
          <cell r="AN37">
            <v>0</v>
          </cell>
          <cell r="AO37">
            <v>0</v>
          </cell>
          <cell r="AP37">
            <v>0</v>
          </cell>
          <cell r="AQ37">
            <v>0</v>
          </cell>
          <cell r="AR37">
            <v>0</v>
          </cell>
          <cell r="AS37">
            <v>0</v>
          </cell>
          <cell r="AT37">
            <v>0</v>
          </cell>
          <cell r="AU37">
            <v>0</v>
          </cell>
          <cell r="AV37">
            <v>0</v>
          </cell>
          <cell r="AW37">
            <v>0</v>
          </cell>
          <cell r="AX37">
            <v>21</v>
          </cell>
          <cell r="AY37">
            <v>21</v>
          </cell>
        </row>
        <row r="38">
          <cell r="C38">
            <v>1023882611</v>
          </cell>
          <cell r="D38" t="str">
            <v xml:space="preserve">RODRIGUEZ ZEA CINDY YAZMIN </v>
          </cell>
          <cell r="E38" t="str">
            <v xml:space="preserve">RODRIGO VELOZA GALINDO </v>
          </cell>
          <cell r="F38" t="str">
            <v xml:space="preserve">SEDE 20 - CENTRO DE ENCUENTRO CHAPINERO </v>
          </cell>
          <cell r="G38" t="str">
            <v>18/10/2025</v>
          </cell>
          <cell r="H38" t="str">
            <v>OK</v>
          </cell>
          <cell r="I38" t="str">
            <v>OK</v>
          </cell>
          <cell r="J38" t="str">
            <v>OK</v>
          </cell>
          <cell r="K38" t="str">
            <v>OK</v>
          </cell>
          <cell r="L38" t="str">
            <v>OK</v>
          </cell>
          <cell r="M38" t="str">
            <v>OK</v>
          </cell>
          <cell r="N38" t="str">
            <v>OK</v>
          </cell>
          <cell r="O38" t="str">
            <v>OK</v>
          </cell>
          <cell r="P38" t="str">
            <v>OK</v>
          </cell>
          <cell r="Q38" t="str">
            <v>OK</v>
          </cell>
          <cell r="R38" t="str">
            <v>OK</v>
          </cell>
          <cell r="S38" t="str">
            <v>OK</v>
          </cell>
          <cell r="T38" t="str">
            <v>OK</v>
          </cell>
          <cell r="U38" t="str">
            <v>OK</v>
          </cell>
          <cell r="V38" t="str">
            <v>OK</v>
          </cell>
          <cell r="W38" t="str">
            <v>OK</v>
          </cell>
          <cell r="X38" t="str">
            <v>OK</v>
          </cell>
          <cell r="Y38" t="str">
            <v>OK</v>
          </cell>
          <cell r="Z38" t="str">
            <v>OK</v>
          </cell>
          <cell r="AA38" t="str">
            <v>OK</v>
          </cell>
          <cell r="AB38" t="str">
            <v>OK</v>
          </cell>
          <cell r="AC38">
            <v>0</v>
          </cell>
          <cell r="AD38">
            <v>0</v>
          </cell>
          <cell r="AE38">
            <v>0</v>
          </cell>
          <cell r="AF38">
            <v>0</v>
          </cell>
          <cell r="AG38">
            <v>0</v>
          </cell>
          <cell r="AH38">
            <v>0</v>
          </cell>
          <cell r="AI38">
            <v>0</v>
          </cell>
          <cell r="AJ38">
            <v>0</v>
          </cell>
          <cell r="AK38">
            <v>0</v>
          </cell>
          <cell r="AM38">
            <v>0</v>
          </cell>
          <cell r="AN38">
            <v>0</v>
          </cell>
          <cell r="AO38">
            <v>0</v>
          </cell>
          <cell r="AP38">
            <v>0</v>
          </cell>
          <cell r="AQ38">
            <v>0</v>
          </cell>
          <cell r="AR38">
            <v>0</v>
          </cell>
          <cell r="AS38">
            <v>0</v>
          </cell>
          <cell r="AT38">
            <v>0</v>
          </cell>
          <cell r="AU38">
            <v>0</v>
          </cell>
          <cell r="AV38">
            <v>0</v>
          </cell>
          <cell r="AW38">
            <v>0</v>
          </cell>
          <cell r="AX38">
            <v>21</v>
          </cell>
          <cell r="AY38">
            <v>21</v>
          </cell>
        </row>
        <row r="39">
          <cell r="C39">
            <v>80166999</v>
          </cell>
          <cell r="D39" t="str">
            <v xml:space="preserve">VELOZA GALINDO RODRIGO  </v>
          </cell>
          <cell r="E39" t="str">
            <v xml:space="preserve">RODRIGO VELOZA GALINDO </v>
          </cell>
          <cell r="F39" t="str">
            <v xml:space="preserve">SEDE 11 - SUPERCADE SUBA </v>
          </cell>
          <cell r="G39" t="str">
            <v>22/01/2026</v>
          </cell>
          <cell r="H39" t="str">
            <v>OK</v>
          </cell>
          <cell r="I39" t="str">
            <v>OK</v>
          </cell>
          <cell r="J39" t="str">
            <v>OK</v>
          </cell>
          <cell r="K39" t="str">
            <v>OK</v>
          </cell>
          <cell r="L39" t="str">
            <v>OK</v>
          </cell>
          <cell r="M39" t="str">
            <v>OK</v>
          </cell>
          <cell r="N39" t="str">
            <v>OK</v>
          </cell>
          <cell r="O39" t="str">
            <v>OK</v>
          </cell>
          <cell r="P39" t="str">
            <v>OK</v>
          </cell>
          <cell r="Q39" t="str">
            <v>OK</v>
          </cell>
          <cell r="R39" t="str">
            <v>OK</v>
          </cell>
          <cell r="S39" t="str">
            <v>OK</v>
          </cell>
          <cell r="T39" t="str">
            <v>OK</v>
          </cell>
          <cell r="U39" t="str">
            <v>OK</v>
          </cell>
          <cell r="V39" t="str">
            <v>OK</v>
          </cell>
          <cell r="W39" t="str">
            <v>OK</v>
          </cell>
          <cell r="X39" t="str">
            <v>OK</v>
          </cell>
          <cell r="Y39" t="str">
            <v>OK</v>
          </cell>
          <cell r="Z39" t="str">
            <v>OK</v>
          </cell>
          <cell r="AA39" t="str">
            <v>OK</v>
          </cell>
          <cell r="AB39" t="str">
            <v>OK</v>
          </cell>
          <cell r="AC39">
            <v>0</v>
          </cell>
          <cell r="AD39">
            <v>0</v>
          </cell>
          <cell r="AE39">
            <v>0</v>
          </cell>
          <cell r="AF39">
            <v>0</v>
          </cell>
          <cell r="AG39">
            <v>0</v>
          </cell>
          <cell r="AH39">
            <v>0</v>
          </cell>
          <cell r="AI39">
            <v>0</v>
          </cell>
          <cell r="AJ39">
            <v>0</v>
          </cell>
          <cell r="AK39">
            <v>0</v>
          </cell>
          <cell r="AM39">
            <v>0</v>
          </cell>
          <cell r="AN39">
            <v>0</v>
          </cell>
          <cell r="AO39">
            <v>0</v>
          </cell>
          <cell r="AP39">
            <v>0</v>
          </cell>
          <cell r="AQ39">
            <v>0</v>
          </cell>
          <cell r="AR39">
            <v>0</v>
          </cell>
          <cell r="AS39">
            <v>0</v>
          </cell>
          <cell r="AT39">
            <v>0</v>
          </cell>
          <cell r="AU39">
            <v>0</v>
          </cell>
          <cell r="AV39">
            <v>0</v>
          </cell>
          <cell r="AW39">
            <v>0</v>
          </cell>
          <cell r="AX39">
            <v>21</v>
          </cell>
          <cell r="AY39">
            <v>21</v>
          </cell>
        </row>
        <row r="40">
          <cell r="AM40">
            <v>3</v>
          </cell>
          <cell r="AN40">
            <v>0</v>
          </cell>
          <cell r="AO40">
            <v>0</v>
          </cell>
          <cell r="AP40">
            <v>3</v>
          </cell>
          <cell r="AQ40">
            <v>0</v>
          </cell>
          <cell r="AR40">
            <v>0</v>
          </cell>
          <cell r="AS40">
            <v>0</v>
          </cell>
          <cell r="AT40">
            <v>0</v>
          </cell>
          <cell r="AU40">
            <v>0</v>
          </cell>
          <cell r="AV40">
            <v>0</v>
          </cell>
          <cell r="AW40">
            <v>0</v>
          </cell>
          <cell r="AX40">
            <v>645</v>
          </cell>
          <cell r="AY40">
            <v>645</v>
          </cell>
        </row>
        <row r="41">
          <cell r="C41">
            <v>0</v>
          </cell>
          <cell r="Q41">
            <v>0</v>
          </cell>
          <cell r="R41">
            <v>0</v>
          </cell>
          <cell r="S41">
            <v>0</v>
          </cell>
          <cell r="T41">
            <v>0</v>
          </cell>
          <cell r="U41">
            <v>0</v>
          </cell>
          <cell r="V41">
            <v>0</v>
          </cell>
          <cell r="W41">
            <v>0</v>
          </cell>
          <cell r="AA41">
            <v>0</v>
          </cell>
          <cell r="AB41">
            <v>0</v>
          </cell>
          <cell r="AC41">
            <v>0</v>
          </cell>
          <cell r="AD41">
            <v>0</v>
          </cell>
          <cell r="AL41">
            <v>0</v>
          </cell>
          <cell r="AM41">
            <v>0</v>
          </cell>
          <cell r="AN41">
            <v>0</v>
          </cell>
          <cell r="AO41">
            <v>0</v>
          </cell>
          <cell r="AP41">
            <v>0</v>
          </cell>
          <cell r="AQ41">
            <v>0</v>
          </cell>
          <cell r="AR41">
            <v>0</v>
          </cell>
          <cell r="AS41">
            <v>0</v>
          </cell>
          <cell r="AT41">
            <v>0</v>
          </cell>
          <cell r="AU41">
            <v>0</v>
          </cell>
          <cell r="AV41">
            <v>0</v>
          </cell>
          <cell r="AW41">
            <v>0</v>
          </cell>
        </row>
      </sheetData>
      <sheetData sheetId="21"/>
      <sheetData sheetId="22">
        <row r="3">
          <cell r="C3">
            <v>2026</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35"/>
  <sheetViews>
    <sheetView topLeftCell="A3" workbookViewId="0">
      <selection activeCell="E7" sqref="E7"/>
    </sheetView>
  </sheetViews>
  <sheetFormatPr baseColWidth="10" defaultColWidth="11.7109375" defaultRowHeight="13.5"/>
  <cols>
    <col min="1" max="1" width="5.5703125" style="1" customWidth="1"/>
    <col min="2" max="2" width="8.7109375" style="1" customWidth="1"/>
    <col min="3" max="3" width="29.42578125" style="1" customWidth="1"/>
    <col min="4" max="4" width="35.85546875" style="1" hidden="1" customWidth="1"/>
    <col min="5" max="5" width="79.5703125" style="1" customWidth="1"/>
    <col min="6" max="6" width="16.42578125" style="13" customWidth="1"/>
    <col min="7" max="8" width="17.42578125" style="15" customWidth="1"/>
    <col min="9" max="9" width="18.85546875" style="1" customWidth="1"/>
    <col min="10" max="10" width="15.42578125" style="1" customWidth="1"/>
    <col min="11" max="11" width="15.85546875" style="1" customWidth="1"/>
    <col min="12" max="12" width="18.85546875" style="1" customWidth="1"/>
    <col min="13" max="16384" width="11.7109375" style="1"/>
  </cols>
  <sheetData>
    <row r="1" spans="1:12">
      <c r="B1" s="26"/>
      <c r="F1" s="1"/>
    </row>
    <row r="2" spans="1:12">
      <c r="A2" s="1">
        <v>1</v>
      </c>
      <c r="B2" s="26"/>
      <c r="D2" s="1">
        <v>4</v>
      </c>
      <c r="E2" s="1">
        <v>5</v>
      </c>
      <c r="F2" s="1">
        <v>8</v>
      </c>
      <c r="G2" s="1">
        <v>9</v>
      </c>
      <c r="H2" s="1"/>
      <c r="I2" s="1">
        <v>10</v>
      </c>
    </row>
    <row r="3" spans="1:12">
      <c r="B3" s="26"/>
      <c r="F3" s="1"/>
    </row>
    <row r="4" spans="1:12" ht="19.5" customHeight="1">
      <c r="B4" s="26"/>
      <c r="F4" s="278" t="s">
        <v>0</v>
      </c>
      <c r="G4" s="279"/>
      <c r="H4" s="279"/>
      <c r="I4" s="280"/>
    </row>
    <row r="5" spans="1:12" s="2" customFormat="1" ht="25.5">
      <c r="A5" s="9" t="s">
        <v>1</v>
      </c>
      <c r="B5" s="9" t="s">
        <v>357</v>
      </c>
      <c r="C5" s="9" t="s">
        <v>2</v>
      </c>
      <c r="D5" s="9" t="s">
        <v>3</v>
      </c>
      <c r="E5" s="9" t="s">
        <v>119</v>
      </c>
      <c r="F5" s="10" t="s">
        <v>4</v>
      </c>
      <c r="G5" s="16" t="s">
        <v>708</v>
      </c>
      <c r="H5" s="16" t="s">
        <v>707</v>
      </c>
      <c r="I5" s="11" t="s">
        <v>121</v>
      </c>
      <c r="J5" s="20" t="s">
        <v>146</v>
      </c>
      <c r="K5" s="20" t="s">
        <v>147</v>
      </c>
      <c r="L5" s="20" t="s">
        <v>148</v>
      </c>
    </row>
    <row r="6" spans="1:12" ht="14.45" customHeight="1">
      <c r="A6" s="3">
        <v>1</v>
      </c>
      <c r="B6" s="26">
        <v>17</v>
      </c>
      <c r="C6" s="7" t="s">
        <v>155</v>
      </c>
      <c r="D6" s="4" t="s">
        <v>5</v>
      </c>
      <c r="E6" s="6" t="s">
        <v>161</v>
      </c>
      <c r="F6" s="12">
        <f>INDEX('PEDIDO JULIO'!A10:AF32,1,8)</f>
        <v>0</v>
      </c>
      <c r="G6" s="8">
        <f>IFERROR(VLOOKUP($B6,'[1]INSUMO POR SEDES MARZO PRUEBA'!$B$6:$CD$109,8,0),"NO BD")</f>
        <v>5647.0229999999992</v>
      </c>
      <c r="H6" s="8">
        <f>IFERROR(VLOOKUP($B6,'[1]INSUMO POR SEDES MARZO PRUEBA'!$B$6:$CD$109,8,0),"NO BD")</f>
        <v>5647.0229999999992</v>
      </c>
      <c r="I6" s="8">
        <f t="shared" ref="I6:I69" si="0">+F6*G6</f>
        <v>0</v>
      </c>
      <c r="J6" s="14">
        <f>+I6*10%</f>
        <v>0</v>
      </c>
      <c r="K6" s="14">
        <f>+J6*19%</f>
        <v>0</v>
      </c>
      <c r="L6" s="14">
        <f>SUM(I6:K6)</f>
        <v>0</v>
      </c>
    </row>
    <row r="7" spans="1:12" ht="17.100000000000001" customHeight="1">
      <c r="A7" s="3">
        <v>2</v>
      </c>
      <c r="B7" s="31">
        <v>20</v>
      </c>
      <c r="C7" s="7" t="s">
        <v>6</v>
      </c>
      <c r="D7" s="4" t="s">
        <v>7</v>
      </c>
      <c r="E7" s="6" t="s">
        <v>120</v>
      </c>
      <c r="F7" s="12">
        <f>INDEX('PEDIDO JULIO'!A10:AF32,1,8)</f>
        <v>0</v>
      </c>
      <c r="G7" s="8">
        <f>IFERROR(VLOOKUP($B7,'[1]INSUMO POR SEDES MARZO PRUEBA'!$B$6:$CD$109,8,0),"NO BD")</f>
        <v>0</v>
      </c>
      <c r="H7" s="8"/>
      <c r="I7" s="8">
        <f t="shared" si="0"/>
        <v>0</v>
      </c>
      <c r="J7" s="14">
        <f t="shared" ref="J7:J70" si="1">+I7*10%</f>
        <v>0</v>
      </c>
      <c r="K7" s="14">
        <f t="shared" ref="K7:K70" si="2">+J7*19%</f>
        <v>0</v>
      </c>
      <c r="L7" s="14">
        <f t="shared" ref="L7:L70" si="3">SUM(I7:K7)</f>
        <v>0</v>
      </c>
    </row>
    <row r="8" spans="1:12" ht="12.6" customHeight="1">
      <c r="A8" s="3">
        <v>3</v>
      </c>
      <c r="B8" s="26">
        <v>21</v>
      </c>
      <c r="C8" s="7" t="s">
        <v>6</v>
      </c>
      <c r="D8" s="4" t="s">
        <v>8</v>
      </c>
      <c r="E8" s="6" t="s">
        <v>120</v>
      </c>
      <c r="F8" s="12">
        <f>INDEX('PEDIDO JULIO'!A10:AF33,1,8)</f>
        <v>0</v>
      </c>
      <c r="G8" s="8">
        <f>IFERROR(VLOOKUP($B8,'[1]INSUMO POR SEDES MARZO PRUEBA'!$B$6:$CD$109,8,0),"NO BD")</f>
        <v>5932.8950000000013</v>
      </c>
      <c r="H8" s="8"/>
      <c r="I8" s="8">
        <f t="shared" si="0"/>
        <v>0</v>
      </c>
      <c r="J8" s="14">
        <f t="shared" si="1"/>
        <v>0</v>
      </c>
      <c r="K8" s="14">
        <f t="shared" si="2"/>
        <v>0</v>
      </c>
      <c r="L8" s="14">
        <f t="shared" si="3"/>
        <v>0</v>
      </c>
    </row>
    <row r="9" spans="1:12" ht="12.6" customHeight="1">
      <c r="A9" s="3">
        <v>4</v>
      </c>
      <c r="B9" s="26">
        <v>28</v>
      </c>
      <c r="C9" s="7" t="s">
        <v>9</v>
      </c>
      <c r="D9" s="4" t="s">
        <v>10</v>
      </c>
      <c r="E9" s="6" t="s">
        <v>120</v>
      </c>
      <c r="F9" s="12">
        <f>INDEX('PEDIDO JULIO'!A10:AF33,1,8)</f>
        <v>0</v>
      </c>
      <c r="G9" s="8">
        <f>IFERROR(VLOOKUP($B9,'[1]INSUMO POR SEDES MARZO PRUEBA'!$B$6:$CD$109,8,0),"NO BD")</f>
        <v>2764.13</v>
      </c>
      <c r="H9" s="8"/>
      <c r="I9" s="8">
        <f t="shared" si="0"/>
        <v>0</v>
      </c>
      <c r="J9" s="14">
        <f t="shared" si="1"/>
        <v>0</v>
      </c>
      <c r="K9" s="14">
        <f t="shared" si="2"/>
        <v>0</v>
      </c>
      <c r="L9" s="14">
        <f t="shared" si="3"/>
        <v>0</v>
      </c>
    </row>
    <row r="10" spans="1:12" ht="12.6" customHeight="1">
      <c r="A10" s="3">
        <v>5</v>
      </c>
      <c r="B10" s="26">
        <v>29</v>
      </c>
      <c r="C10" s="7" t="s">
        <v>156</v>
      </c>
      <c r="D10" s="5" t="s">
        <v>11</v>
      </c>
      <c r="E10" s="6" t="s">
        <v>120</v>
      </c>
      <c r="F10" s="12">
        <f>INDEX('PEDIDO JULIO'!A11:AF33,1,8)</f>
        <v>0</v>
      </c>
      <c r="G10" s="8">
        <f>IFERROR(VLOOKUP($B10,'[1]INSUMO POR SEDES MARZO PRUEBA'!$B$6:$CD$109,8,0),"NO BD")</f>
        <v>4829.3450000000012</v>
      </c>
      <c r="H10" s="8"/>
      <c r="I10" s="8">
        <f t="shared" si="0"/>
        <v>0</v>
      </c>
      <c r="J10" s="14">
        <f t="shared" si="1"/>
        <v>0</v>
      </c>
      <c r="K10" s="14">
        <f t="shared" si="2"/>
        <v>0</v>
      </c>
      <c r="L10" s="14">
        <f t="shared" si="3"/>
        <v>0</v>
      </c>
    </row>
    <row r="11" spans="1:12" ht="12.6" customHeight="1">
      <c r="A11" s="3">
        <v>6</v>
      </c>
      <c r="B11" s="26">
        <v>32</v>
      </c>
      <c r="C11" s="7" t="s">
        <v>157</v>
      </c>
      <c r="D11" s="4" t="s">
        <v>12</v>
      </c>
      <c r="E11" s="6" t="s">
        <v>120</v>
      </c>
      <c r="F11" s="12">
        <f>INDEX('PEDIDO JULIO'!A12:AF33,1,8)</f>
        <v>20</v>
      </c>
      <c r="G11" s="8">
        <f>IFERROR(VLOOKUP($B11,'[1]INSUMO POR SEDES MARZO PRUEBA'!$B$6:$CD$109,8,0),"NO BD")</f>
        <v>4115.7160000000003</v>
      </c>
      <c r="H11" s="8"/>
      <c r="I11" s="8">
        <f t="shared" si="0"/>
        <v>82314.320000000007</v>
      </c>
      <c r="J11" s="14">
        <f t="shared" si="1"/>
        <v>8231.4320000000007</v>
      </c>
      <c r="K11" s="14">
        <f t="shared" si="2"/>
        <v>1563.9720800000002</v>
      </c>
      <c r="L11" s="14">
        <f t="shared" si="3"/>
        <v>92109.724080000015</v>
      </c>
    </row>
    <row r="12" spans="1:12" ht="12.6" customHeight="1">
      <c r="A12" s="3">
        <v>7</v>
      </c>
      <c r="B12" s="26">
        <v>38</v>
      </c>
      <c r="C12" s="7" t="s">
        <v>13</v>
      </c>
      <c r="D12" s="4" t="s">
        <v>14</v>
      </c>
      <c r="E12" s="6" t="s">
        <v>120</v>
      </c>
      <c r="F12" s="12">
        <f>INDEX('PEDIDO JULIO'!A12:AF33,1,8)</f>
        <v>20</v>
      </c>
      <c r="G12" s="8">
        <f>IFERROR(VLOOKUP($B12,'[1]INSUMO POR SEDES MARZO PRUEBA'!$B$6:$CD$109,8,0),"NO BD")</f>
        <v>11100.662</v>
      </c>
      <c r="H12" s="8"/>
      <c r="I12" s="8">
        <f t="shared" si="0"/>
        <v>222013.24</v>
      </c>
      <c r="J12" s="14">
        <f t="shared" si="1"/>
        <v>22201.324000000001</v>
      </c>
      <c r="K12" s="14">
        <f t="shared" si="2"/>
        <v>4218.2515599999997</v>
      </c>
      <c r="L12" s="14">
        <f t="shared" si="3"/>
        <v>248432.81555999999</v>
      </c>
    </row>
    <row r="13" spans="1:12" ht="12.6" customHeight="1">
      <c r="A13" s="3">
        <v>8</v>
      </c>
      <c r="B13" s="26">
        <v>44</v>
      </c>
      <c r="C13" s="7" t="s">
        <v>13</v>
      </c>
      <c r="D13" s="4" t="s">
        <v>15</v>
      </c>
      <c r="E13" s="6" t="s">
        <v>120</v>
      </c>
      <c r="F13" s="12">
        <f>INDEX('PEDIDO JULIO'!A13:AF34,1,8)</f>
        <v>10</v>
      </c>
      <c r="G13" s="8">
        <f>IFERROR(VLOOKUP($B13,'[1]INSUMO POR SEDES MARZO PRUEBA'!$B$6:$CD$109,8,0),"NO BD")</f>
        <v>2787.2520000000004</v>
      </c>
      <c r="H13" s="8"/>
      <c r="I13" s="8">
        <f t="shared" si="0"/>
        <v>27872.520000000004</v>
      </c>
      <c r="J13" s="14">
        <f t="shared" si="1"/>
        <v>2787.2520000000004</v>
      </c>
      <c r="K13" s="14">
        <f t="shared" si="2"/>
        <v>529.57788000000005</v>
      </c>
      <c r="L13" s="14">
        <f t="shared" si="3"/>
        <v>31189.349880000005</v>
      </c>
    </row>
    <row r="14" spans="1:12" ht="12.6" customHeight="1">
      <c r="A14" s="3">
        <v>9</v>
      </c>
      <c r="B14" s="26">
        <v>50</v>
      </c>
      <c r="C14" s="7" t="s">
        <v>16</v>
      </c>
      <c r="D14" s="4" t="s">
        <v>17</v>
      </c>
      <c r="E14" s="6" t="s">
        <v>120</v>
      </c>
      <c r="F14" s="12">
        <f>INDEX('PEDIDO JULIO'!A14:AF34,1,8)</f>
        <v>0</v>
      </c>
      <c r="G14" s="8">
        <f>IFERROR(VLOOKUP($B14,'[1]INSUMO POR SEDES MARZO PRUEBA'!$B$6:$CD$109,8,0),"NO BD")</f>
        <v>38567.495999999999</v>
      </c>
      <c r="H14" s="8"/>
      <c r="I14" s="8">
        <f t="shared" si="0"/>
        <v>0</v>
      </c>
      <c r="J14" s="14">
        <f t="shared" si="1"/>
        <v>0</v>
      </c>
      <c r="K14" s="14">
        <f t="shared" si="2"/>
        <v>0</v>
      </c>
      <c r="L14" s="14">
        <f t="shared" si="3"/>
        <v>0</v>
      </c>
    </row>
    <row r="15" spans="1:12" ht="12.6" customHeight="1">
      <c r="A15" s="3">
        <v>10</v>
      </c>
      <c r="B15" s="26">
        <v>52</v>
      </c>
      <c r="C15" s="7" t="s">
        <v>18</v>
      </c>
      <c r="D15" s="4" t="s">
        <v>19</v>
      </c>
      <c r="E15" s="6" t="s">
        <v>120</v>
      </c>
      <c r="F15" s="12">
        <f>INDEX('PEDIDO JULIO'!A15:AF34,1,8)</f>
        <v>0</v>
      </c>
      <c r="G15" s="8">
        <f>IFERROR(VLOOKUP($B15,'[1]INSUMO POR SEDES MARZO PRUEBA'!$B$6:$CD$109,8,0),"NO BD")</f>
        <v>6412.1509999999998</v>
      </c>
      <c r="H15" s="8"/>
      <c r="I15" s="8">
        <f t="shared" si="0"/>
        <v>0</v>
      </c>
      <c r="J15" s="14">
        <f>+I15*10%</f>
        <v>0</v>
      </c>
      <c r="K15" s="14">
        <f>+J15*19%</f>
        <v>0</v>
      </c>
      <c r="L15" s="14">
        <f>SUM(I15:K15)</f>
        <v>0</v>
      </c>
    </row>
    <row r="16" spans="1:12" ht="12.6" customHeight="1">
      <c r="A16" s="3">
        <v>11</v>
      </c>
      <c r="B16" s="26">
        <v>57</v>
      </c>
      <c r="C16" s="7" t="s">
        <v>20</v>
      </c>
      <c r="D16" s="4" t="s">
        <v>21</v>
      </c>
      <c r="E16" s="6" t="s">
        <v>120</v>
      </c>
      <c r="F16" s="12">
        <f>INDEX('PEDIDO JULIO'!A16:AF34,1,8)</f>
        <v>0</v>
      </c>
      <c r="G16" s="8">
        <f>IFERROR(VLOOKUP($B16,'[1]INSUMO POR SEDES MARZO PRUEBA'!$B$6:$CD$109,8,0),"NO BD")</f>
        <v>12823.251000000004</v>
      </c>
      <c r="H16" s="8"/>
      <c r="I16" s="8">
        <f t="shared" si="0"/>
        <v>0</v>
      </c>
      <c r="J16" s="14">
        <f t="shared" si="1"/>
        <v>0</v>
      </c>
      <c r="K16" s="14">
        <f t="shared" si="2"/>
        <v>0</v>
      </c>
      <c r="L16" s="14">
        <f t="shared" si="3"/>
        <v>0</v>
      </c>
    </row>
    <row r="17" spans="1:12" ht="12.6" customHeight="1">
      <c r="A17" s="3">
        <v>12</v>
      </c>
      <c r="B17" s="26">
        <v>59</v>
      </c>
      <c r="C17" s="7" t="s">
        <v>22</v>
      </c>
      <c r="D17" s="4" t="s">
        <v>23</v>
      </c>
      <c r="E17" s="6" t="s">
        <v>120</v>
      </c>
      <c r="F17" s="12">
        <f>INDEX('PEDIDO JULIO'!A17:AF34,1,8)</f>
        <v>60</v>
      </c>
      <c r="G17" s="8">
        <f>IFERROR(VLOOKUP($B17,'[1]INSUMO POR SEDES MARZO PRUEBA'!$B$6:$CD$109,8,0),"NO BD")</f>
        <v>5528.260000000002</v>
      </c>
      <c r="H17" s="8"/>
      <c r="I17" s="8">
        <f t="shared" si="0"/>
        <v>331695.60000000009</v>
      </c>
      <c r="J17" s="14">
        <f t="shared" si="1"/>
        <v>33169.560000000012</v>
      </c>
      <c r="K17" s="14">
        <f t="shared" si="2"/>
        <v>6302.2164000000021</v>
      </c>
      <c r="L17" s="14">
        <f t="shared" si="3"/>
        <v>371167.37640000007</v>
      </c>
    </row>
    <row r="18" spans="1:12" ht="14.45" customHeight="1">
      <c r="A18" s="3">
        <v>13</v>
      </c>
      <c r="B18" s="26">
        <v>62</v>
      </c>
      <c r="C18" s="7" t="s">
        <v>18</v>
      </c>
      <c r="D18" s="4" t="s">
        <v>24</v>
      </c>
      <c r="E18" s="6" t="s">
        <v>120</v>
      </c>
      <c r="F18" s="12">
        <f>INDEX('PEDIDO JULIO'!A17:AF34,1,8)</f>
        <v>60</v>
      </c>
      <c r="G18" s="8">
        <f>IFERROR(VLOOKUP($B18,'[1]INSUMO POR SEDES MARZO PRUEBA'!$B$6:$CD$109,8,0),"NO BD")</f>
        <v>5167.7669999999998</v>
      </c>
      <c r="H18" s="8"/>
      <c r="I18" s="8">
        <f t="shared" si="0"/>
        <v>310066.02</v>
      </c>
      <c r="J18" s="14">
        <f t="shared" si="1"/>
        <v>31006.602000000003</v>
      </c>
      <c r="K18" s="14">
        <f t="shared" si="2"/>
        <v>5891.2543800000003</v>
      </c>
      <c r="L18" s="14">
        <f t="shared" si="3"/>
        <v>346963.87638000003</v>
      </c>
    </row>
    <row r="19" spans="1:12" ht="14.45" customHeight="1">
      <c r="A19" s="3">
        <v>14</v>
      </c>
      <c r="B19" s="26">
        <v>63</v>
      </c>
      <c r="C19" s="7" t="s">
        <v>155</v>
      </c>
      <c r="D19" s="4" t="s">
        <v>25</v>
      </c>
      <c r="E19" s="6" t="s">
        <v>120</v>
      </c>
      <c r="F19" s="12">
        <f>INDEX('PEDIDO JULIO'!A18:AF35,1,8)</f>
        <v>0</v>
      </c>
      <c r="G19" s="8">
        <f>IFERROR(VLOOKUP($B19,'[1]INSUMO POR SEDES MARZO PRUEBA'!$B$6:$CD$109,8,0),"NO BD")</f>
        <v>8292.39</v>
      </c>
      <c r="H19" s="8"/>
      <c r="I19" s="8">
        <f t="shared" si="0"/>
        <v>0</v>
      </c>
      <c r="J19" s="14">
        <f t="shared" si="1"/>
        <v>0</v>
      </c>
      <c r="K19" s="14">
        <f t="shared" si="2"/>
        <v>0</v>
      </c>
      <c r="L19" s="14">
        <f t="shared" si="3"/>
        <v>0</v>
      </c>
    </row>
    <row r="20" spans="1:12" ht="12.6" customHeight="1">
      <c r="A20" s="3">
        <v>15</v>
      </c>
      <c r="B20" s="26">
        <v>64</v>
      </c>
      <c r="C20" s="7" t="s">
        <v>16</v>
      </c>
      <c r="D20" s="4" t="s">
        <v>26</v>
      </c>
      <c r="E20" s="6" t="s">
        <v>120</v>
      </c>
      <c r="F20" s="12">
        <f>INDEX('PEDIDO JULIO'!A18:AF35,1,8)</f>
        <v>0</v>
      </c>
      <c r="G20" s="8">
        <f>IFERROR(VLOOKUP($B20,'[1]INSUMO POR SEDES MARZO PRUEBA'!$B$6:$CD$109,8,0),"NO BD")</f>
        <v>13820.650000000001</v>
      </c>
      <c r="H20" s="8"/>
      <c r="I20" s="8">
        <f t="shared" si="0"/>
        <v>0</v>
      </c>
      <c r="J20" s="14">
        <f t="shared" si="1"/>
        <v>0</v>
      </c>
      <c r="K20" s="14">
        <f t="shared" si="2"/>
        <v>0</v>
      </c>
      <c r="L20" s="14">
        <f t="shared" si="3"/>
        <v>0</v>
      </c>
    </row>
    <row r="21" spans="1:12" ht="14.45" customHeight="1">
      <c r="A21" s="3">
        <v>16</v>
      </c>
      <c r="B21" s="26">
        <v>65</v>
      </c>
      <c r="C21" s="7" t="s">
        <v>27</v>
      </c>
      <c r="D21" s="4" t="s">
        <v>28</v>
      </c>
      <c r="E21" s="6" t="s">
        <v>120</v>
      </c>
      <c r="F21" s="12">
        <f>INDEX('PEDIDO JULIO'!A18:AF35,1,8)</f>
        <v>0</v>
      </c>
      <c r="G21" s="8">
        <f>IFERROR(VLOOKUP($B21,'[1]INSUMO POR SEDES MARZO PRUEBA'!$B$6:$CD$109,8,0),"NO BD")</f>
        <v>13820.650000000001</v>
      </c>
      <c r="H21" s="8"/>
      <c r="I21" s="8">
        <f t="shared" si="0"/>
        <v>0</v>
      </c>
      <c r="J21" s="14">
        <f t="shared" si="1"/>
        <v>0</v>
      </c>
      <c r="K21" s="14">
        <f t="shared" si="2"/>
        <v>0</v>
      </c>
      <c r="L21" s="14">
        <f t="shared" si="3"/>
        <v>0</v>
      </c>
    </row>
    <row r="22" spans="1:12" ht="12.6" customHeight="1">
      <c r="A22" s="3">
        <v>17</v>
      </c>
      <c r="B22" s="26">
        <v>66</v>
      </c>
      <c r="C22" s="7" t="s">
        <v>13</v>
      </c>
      <c r="D22" s="4" t="s">
        <v>29</v>
      </c>
      <c r="E22" s="6" t="s">
        <v>120</v>
      </c>
      <c r="F22" s="12">
        <f>INDEX('PEDIDO JULIO'!A19:AF35,1,8)</f>
        <v>0</v>
      </c>
      <c r="G22" s="8">
        <f>IFERROR(VLOOKUP($B22,'[1]INSUMO POR SEDES MARZO PRUEBA'!$B$6:$CD$109,8,0),"NO BD")</f>
        <v>4178.9862000000003</v>
      </c>
      <c r="H22" s="8"/>
      <c r="I22" s="8">
        <f t="shared" si="0"/>
        <v>0</v>
      </c>
      <c r="J22" s="14">
        <f t="shared" si="1"/>
        <v>0</v>
      </c>
      <c r="K22" s="14">
        <f t="shared" si="2"/>
        <v>0</v>
      </c>
      <c r="L22" s="14">
        <f t="shared" si="3"/>
        <v>0</v>
      </c>
    </row>
    <row r="23" spans="1:12" ht="12.6" customHeight="1">
      <c r="A23" s="3">
        <v>18</v>
      </c>
      <c r="B23" s="26">
        <v>71</v>
      </c>
      <c r="C23" s="7" t="s">
        <v>13</v>
      </c>
      <c r="D23" s="4" t="s">
        <v>30</v>
      </c>
      <c r="E23" s="6" t="s">
        <v>120</v>
      </c>
      <c r="F23" s="12">
        <f>INDEX('PEDIDO JULIO'!A19:AF35,1,8)</f>
        <v>0</v>
      </c>
      <c r="G23" s="8">
        <f>IFERROR(VLOOKUP($B23,'[1]INSUMO POR SEDES MARZO PRUEBA'!$B$6:$CD$109,8,0),"NO BD")</f>
        <v>7960.6944000000003</v>
      </c>
      <c r="H23" s="8"/>
      <c r="I23" s="8">
        <f t="shared" si="0"/>
        <v>0</v>
      </c>
      <c r="J23" s="14">
        <f t="shared" si="1"/>
        <v>0</v>
      </c>
      <c r="K23" s="14">
        <f t="shared" si="2"/>
        <v>0</v>
      </c>
      <c r="L23" s="14">
        <f t="shared" si="3"/>
        <v>0</v>
      </c>
    </row>
    <row r="24" spans="1:12" ht="12.6" customHeight="1">
      <c r="A24" s="3">
        <v>19</v>
      </c>
      <c r="B24" s="26">
        <v>72</v>
      </c>
      <c r="C24" s="7" t="s">
        <v>13</v>
      </c>
      <c r="D24" s="4" t="s">
        <v>31</v>
      </c>
      <c r="E24" s="6" t="s">
        <v>120</v>
      </c>
      <c r="F24" s="12">
        <f>INDEX('PEDIDO JULIO'!A20:AF35,1,8)</f>
        <v>20</v>
      </c>
      <c r="G24" s="8">
        <f>IFERROR(VLOOKUP($B24,'[1]INSUMO POR SEDES MARZO PRUEBA'!$B$6:$CD$109,8,0),"NO BD")</f>
        <v>5196.1440000000002</v>
      </c>
      <c r="H24" s="8"/>
      <c r="I24" s="8">
        <f t="shared" si="0"/>
        <v>103922.88</v>
      </c>
      <c r="J24" s="14">
        <f t="shared" si="1"/>
        <v>10392.288</v>
      </c>
      <c r="K24" s="14">
        <f t="shared" si="2"/>
        <v>1974.5347200000001</v>
      </c>
      <c r="L24" s="14">
        <f t="shared" si="3"/>
        <v>116289.70272</v>
      </c>
    </row>
    <row r="25" spans="1:12" ht="12.6" customHeight="1">
      <c r="A25" s="3">
        <v>20</v>
      </c>
      <c r="B25" s="26">
        <v>73</v>
      </c>
      <c r="C25" s="7" t="s">
        <v>13</v>
      </c>
      <c r="D25" s="4" t="s">
        <v>32</v>
      </c>
      <c r="E25" s="6" t="s">
        <v>120</v>
      </c>
      <c r="F25" s="12">
        <f>INDEX('PEDIDO JULIO'!A20:AF35,1,8)</f>
        <v>20</v>
      </c>
      <c r="G25" s="8">
        <f>IFERROR(VLOOKUP($B25,'[1]INSUMO POR SEDES MARZO PRUEBA'!$B$6:$CD$109,8,0),"NO BD")</f>
        <v>4975.4340000000011</v>
      </c>
      <c r="H25" s="8"/>
      <c r="I25" s="8">
        <f t="shared" si="0"/>
        <v>99508.680000000022</v>
      </c>
      <c r="J25" s="14">
        <f t="shared" si="1"/>
        <v>9950.8680000000022</v>
      </c>
      <c r="K25" s="14">
        <f t="shared" si="2"/>
        <v>1890.6649200000004</v>
      </c>
      <c r="L25" s="14">
        <f t="shared" si="3"/>
        <v>111350.21292000002</v>
      </c>
    </row>
    <row r="26" spans="1:12" ht="12.6" customHeight="1">
      <c r="A26" s="3">
        <v>21</v>
      </c>
      <c r="B26" s="26">
        <v>74</v>
      </c>
      <c r="C26" s="7" t="s">
        <v>33</v>
      </c>
      <c r="D26" s="4" t="s">
        <v>34</v>
      </c>
      <c r="E26" s="6" t="s">
        <v>120</v>
      </c>
      <c r="F26" s="12">
        <f>INDEX('PEDIDO JULIO'!A21:AF35,1,8)</f>
        <v>0</v>
      </c>
      <c r="G26" s="8">
        <f>IFERROR(VLOOKUP($B26,'[1]INSUMO POR SEDES MARZO PRUEBA'!$B$6:$CD$109,8,0),"NO BD")</f>
        <v>3261.2529999999997</v>
      </c>
      <c r="H26" s="8"/>
      <c r="I26" s="8">
        <f t="shared" si="0"/>
        <v>0</v>
      </c>
      <c r="J26" s="14">
        <f t="shared" si="1"/>
        <v>0</v>
      </c>
      <c r="K26" s="14">
        <f t="shared" si="2"/>
        <v>0</v>
      </c>
      <c r="L26" s="14">
        <f t="shared" si="3"/>
        <v>0</v>
      </c>
    </row>
    <row r="27" spans="1:12" ht="12.6" customHeight="1">
      <c r="A27" s="3">
        <v>22</v>
      </c>
      <c r="B27" s="26">
        <v>79</v>
      </c>
      <c r="C27" s="7" t="s">
        <v>16</v>
      </c>
      <c r="D27" s="4" t="s">
        <v>35</v>
      </c>
      <c r="E27" s="6" t="s">
        <v>120</v>
      </c>
      <c r="F27" s="12">
        <f>INDEX('PEDIDO JULIO'!A22:AF35,1,8)</f>
        <v>0</v>
      </c>
      <c r="G27" s="8">
        <f>IFERROR(VLOOKUP($B27,'[1]INSUMO POR SEDES MARZO PRUEBA'!$B$6:$CD$109,8,0),"NO BD")</f>
        <v>541.2650000000001</v>
      </c>
      <c r="H27" s="8"/>
      <c r="I27" s="8">
        <f t="shared" si="0"/>
        <v>0</v>
      </c>
      <c r="J27" s="14">
        <f t="shared" si="1"/>
        <v>0</v>
      </c>
      <c r="K27" s="14">
        <f t="shared" si="2"/>
        <v>0</v>
      </c>
      <c r="L27" s="14">
        <f t="shared" si="3"/>
        <v>0</v>
      </c>
    </row>
    <row r="28" spans="1:12" ht="12.6" customHeight="1">
      <c r="A28" s="3">
        <v>23</v>
      </c>
      <c r="B28" s="26">
        <v>80</v>
      </c>
      <c r="C28" s="7" t="s">
        <v>36</v>
      </c>
      <c r="D28" s="4" t="s">
        <v>37</v>
      </c>
      <c r="E28" s="6" t="s">
        <v>120</v>
      </c>
      <c r="F28" s="12">
        <f>INDEX('PEDIDO JULIO'!A23:AF36,1,8)</f>
        <v>20</v>
      </c>
      <c r="G28" s="8">
        <f>IFERROR(VLOOKUP($B28,'[1]INSUMO POR SEDES MARZO PRUEBA'!$B$6:$CD$109,8,0),"NO BD")</f>
        <v>433.01199999999994</v>
      </c>
      <c r="H28" s="8"/>
      <c r="I28" s="8">
        <f t="shared" si="0"/>
        <v>8660.239999999998</v>
      </c>
      <c r="J28" s="14">
        <f t="shared" si="1"/>
        <v>866.02399999999989</v>
      </c>
      <c r="K28" s="14">
        <f t="shared" si="2"/>
        <v>164.54455999999999</v>
      </c>
      <c r="L28" s="14">
        <f t="shared" si="3"/>
        <v>9690.8085599999977</v>
      </c>
    </row>
    <row r="29" spans="1:12" ht="14.45" customHeight="1">
      <c r="A29" s="3">
        <v>24</v>
      </c>
      <c r="B29" s="26">
        <v>81</v>
      </c>
      <c r="C29" s="7" t="s">
        <v>36</v>
      </c>
      <c r="D29" s="4" t="s">
        <v>38</v>
      </c>
      <c r="E29" s="6" t="s">
        <v>120</v>
      </c>
      <c r="F29" s="12">
        <f>INDEX('PEDIDO JULIO'!A23:AF37,1,8)</f>
        <v>20</v>
      </c>
      <c r="G29" s="8">
        <f>IFERROR(VLOOKUP($B29,'[1]INSUMO POR SEDES MARZO PRUEBA'!$B$6:$CD$109,8,0),"NO BD")</f>
        <v>211.251</v>
      </c>
      <c r="H29" s="8"/>
      <c r="I29" s="8">
        <f t="shared" si="0"/>
        <v>4225.0200000000004</v>
      </c>
      <c r="J29" s="14">
        <f t="shared" si="1"/>
        <v>422.50200000000007</v>
      </c>
      <c r="K29" s="14">
        <f t="shared" si="2"/>
        <v>80.275380000000013</v>
      </c>
      <c r="L29" s="14">
        <f t="shared" si="3"/>
        <v>4727.7973800000009</v>
      </c>
    </row>
    <row r="30" spans="1:12" ht="14.1" customHeight="1">
      <c r="A30" s="3">
        <v>25</v>
      </c>
      <c r="B30" s="26">
        <v>82</v>
      </c>
      <c r="C30" s="7" t="s">
        <v>39</v>
      </c>
      <c r="D30" s="4" t="s">
        <v>40</v>
      </c>
      <c r="E30" s="6" t="s">
        <v>120</v>
      </c>
      <c r="F30" s="12">
        <f>INDEX('PEDIDO JULIO'!A24:AF37,1,8)</f>
        <v>40</v>
      </c>
      <c r="G30" s="8">
        <f>IFERROR(VLOOKUP($B30,'[1]INSUMO POR SEDES MARZO PRUEBA'!$B$6:$CD$109,8,0),"NO BD")</f>
        <v>1003.7049999999999</v>
      </c>
      <c r="H30" s="8"/>
      <c r="I30" s="8">
        <f t="shared" si="0"/>
        <v>40148.199999999997</v>
      </c>
      <c r="J30" s="14">
        <f t="shared" si="1"/>
        <v>4014.8199999999997</v>
      </c>
      <c r="K30" s="14">
        <f t="shared" si="2"/>
        <v>762.81579999999997</v>
      </c>
      <c r="L30" s="14">
        <f t="shared" si="3"/>
        <v>44925.835799999993</v>
      </c>
    </row>
    <row r="31" spans="1:12" ht="14.1" customHeight="1">
      <c r="A31" s="3">
        <v>26</v>
      </c>
      <c r="B31" s="26">
        <v>83</v>
      </c>
      <c r="C31" s="7" t="s">
        <v>39</v>
      </c>
      <c r="D31" s="4" t="s">
        <v>41</v>
      </c>
      <c r="E31" s="6" t="s">
        <v>120</v>
      </c>
      <c r="F31" s="12">
        <f>INDEX('PEDIDO JULIO'!A25:AF37,1,8)</f>
        <v>0</v>
      </c>
      <c r="G31" s="8">
        <f>IFERROR(VLOOKUP($B31,'[1]INSUMO POR SEDES MARZO PRUEBA'!$B$6:$CD$109,8,0),"NO BD")</f>
        <v>336.32</v>
      </c>
      <c r="H31" s="8"/>
      <c r="I31" s="8">
        <f t="shared" si="0"/>
        <v>0</v>
      </c>
      <c r="J31" s="14">
        <f t="shared" si="1"/>
        <v>0</v>
      </c>
      <c r="K31" s="14">
        <f t="shared" si="2"/>
        <v>0</v>
      </c>
      <c r="L31" s="14">
        <f t="shared" si="3"/>
        <v>0</v>
      </c>
    </row>
    <row r="32" spans="1:12" ht="14.1" customHeight="1">
      <c r="A32" s="3">
        <v>27</v>
      </c>
      <c r="B32" s="26">
        <v>88</v>
      </c>
      <c r="C32" s="7" t="s">
        <v>151</v>
      </c>
      <c r="D32" s="4" t="s">
        <v>42</v>
      </c>
      <c r="E32" s="6" t="s">
        <v>120</v>
      </c>
      <c r="F32" s="12">
        <f>INDEX('PEDIDO JULIO'!A26:AF37,1,8)</f>
        <v>0</v>
      </c>
      <c r="G32" s="8">
        <f>IFERROR(VLOOKUP($B32,'[1]INSUMO POR SEDES MARZO PRUEBA'!$B$6:$CD$109,8,0),"NO BD")</f>
        <v>2717.886</v>
      </c>
      <c r="H32" s="8"/>
      <c r="I32" s="8">
        <f t="shared" si="0"/>
        <v>0</v>
      </c>
      <c r="J32" s="14">
        <f t="shared" si="1"/>
        <v>0</v>
      </c>
      <c r="K32" s="14">
        <f t="shared" si="2"/>
        <v>0</v>
      </c>
      <c r="L32" s="14">
        <f t="shared" si="3"/>
        <v>0</v>
      </c>
    </row>
    <row r="33" spans="1:12" ht="14.1" customHeight="1">
      <c r="A33" s="3">
        <v>28</v>
      </c>
      <c r="B33" s="26">
        <v>92</v>
      </c>
      <c r="C33" s="7" t="s">
        <v>151</v>
      </c>
      <c r="D33" s="4" t="s">
        <v>43</v>
      </c>
      <c r="E33" s="6" t="s">
        <v>120</v>
      </c>
      <c r="F33" s="12">
        <f>INDEX('PEDIDO JULIO'!A27:AF37,1,8)</f>
        <v>30</v>
      </c>
      <c r="G33" s="8">
        <f>IFERROR(VLOOKUP($B33,'[1]INSUMO POR SEDES MARZO PRUEBA'!$B$6:$CD$109,8,0),"NO BD")</f>
        <v>2380.5149999999999</v>
      </c>
      <c r="H33" s="8"/>
      <c r="I33" s="8">
        <f t="shared" si="0"/>
        <v>71415.45</v>
      </c>
      <c r="J33" s="14">
        <f t="shared" si="1"/>
        <v>7141.5450000000001</v>
      </c>
      <c r="K33" s="14">
        <f t="shared" si="2"/>
        <v>1356.89355</v>
      </c>
      <c r="L33" s="14">
        <f t="shared" si="3"/>
        <v>79913.888549999989</v>
      </c>
    </row>
    <row r="34" spans="1:12" ht="14.1" customHeight="1">
      <c r="A34" s="3">
        <v>29</v>
      </c>
      <c r="B34" s="26">
        <v>94</v>
      </c>
      <c r="C34" s="7" t="s">
        <v>151</v>
      </c>
      <c r="D34" s="4" t="s">
        <v>44</v>
      </c>
      <c r="E34" s="6" t="s">
        <v>120</v>
      </c>
      <c r="F34" s="12">
        <f>INDEX('PEDIDO JULIO'!A28:AF37,1,8)</f>
        <v>30</v>
      </c>
      <c r="G34" s="8">
        <f>IFERROR(VLOOKUP($B34,'[1]INSUMO POR SEDES MARZO PRUEBA'!$B$6:$CD$109,8,0),"NO BD")</f>
        <v>3316.9560000000001</v>
      </c>
      <c r="H34" s="8"/>
      <c r="I34" s="8">
        <f t="shared" si="0"/>
        <v>99508.680000000008</v>
      </c>
      <c r="J34" s="14">
        <f t="shared" si="1"/>
        <v>9950.8680000000022</v>
      </c>
      <c r="K34" s="14">
        <f t="shared" si="2"/>
        <v>1890.6649200000004</v>
      </c>
      <c r="L34" s="14">
        <f t="shared" si="3"/>
        <v>111350.21292000001</v>
      </c>
    </row>
    <row r="35" spans="1:12" ht="24.95" customHeight="1">
      <c r="A35" s="3">
        <v>30</v>
      </c>
      <c r="B35" s="26">
        <v>98</v>
      </c>
      <c r="C35" s="7" t="s">
        <v>151</v>
      </c>
      <c r="D35" s="4" t="s">
        <v>45</v>
      </c>
      <c r="E35" s="6" t="s">
        <v>120</v>
      </c>
      <c r="F35" s="12">
        <f>INDEX('PEDIDO JULIO'!A28:AF37,1,8)</f>
        <v>30</v>
      </c>
      <c r="G35" s="8">
        <f>IFERROR(VLOOKUP($B35,'[1]INSUMO POR SEDES MARZO PRUEBA'!$B$6:$CD$109,8,0),"NO BD")</f>
        <v>6633.9120000000003</v>
      </c>
      <c r="H35" s="8"/>
      <c r="I35" s="8">
        <f t="shared" si="0"/>
        <v>199017.36000000002</v>
      </c>
      <c r="J35" s="14">
        <f t="shared" si="1"/>
        <v>19901.736000000004</v>
      </c>
      <c r="K35" s="14">
        <f t="shared" si="2"/>
        <v>3781.3298400000008</v>
      </c>
      <c r="L35" s="14">
        <f t="shared" si="3"/>
        <v>222700.42584000001</v>
      </c>
    </row>
    <row r="36" spans="1:12" ht="14.1" customHeight="1">
      <c r="A36" s="3">
        <v>31</v>
      </c>
      <c r="B36" s="26">
        <v>100</v>
      </c>
      <c r="C36" s="7" t="s">
        <v>46</v>
      </c>
      <c r="D36" s="4" t="s">
        <v>47</v>
      </c>
      <c r="E36" s="6" t="s">
        <v>120</v>
      </c>
      <c r="F36" s="12">
        <f>INDEX('PEDIDO JULIO'!A29:AF37,1,8)</f>
        <v>20</v>
      </c>
      <c r="G36" s="8">
        <f>IFERROR(VLOOKUP($B36,'[1]INSUMO POR SEDES MARZO PRUEBA'!$B$6:$CD$109,8,0),"NO BD")</f>
        <v>4364.8029999999999</v>
      </c>
      <c r="H36" s="8"/>
      <c r="I36" s="8">
        <f t="shared" si="0"/>
        <v>87296.06</v>
      </c>
      <c r="J36" s="14">
        <f t="shared" si="1"/>
        <v>8729.6059999999998</v>
      </c>
      <c r="K36" s="14">
        <f t="shared" si="2"/>
        <v>1658.6251399999999</v>
      </c>
      <c r="L36" s="14">
        <f t="shared" si="3"/>
        <v>97684.291140000001</v>
      </c>
    </row>
    <row r="37" spans="1:12" ht="14.1" customHeight="1">
      <c r="A37" s="3">
        <v>32</v>
      </c>
      <c r="B37" s="26">
        <v>102</v>
      </c>
      <c r="C37" s="7" t="s">
        <v>159</v>
      </c>
      <c r="D37" s="4" t="s">
        <v>48</v>
      </c>
      <c r="E37" s="6" t="s">
        <v>120</v>
      </c>
      <c r="F37" s="12">
        <f>INDEX('PEDIDO JULIO'!A30:AF37,1,8)</f>
        <v>0</v>
      </c>
      <c r="G37" s="8">
        <f>IFERROR(VLOOKUP($B37,'[1]INSUMO POR SEDES MARZO PRUEBA'!$B$6:$CD$109,8,0),"NO BD")</f>
        <v>3811.9770000000003</v>
      </c>
      <c r="H37" s="8"/>
      <c r="I37" s="8">
        <f t="shared" si="0"/>
        <v>0</v>
      </c>
      <c r="J37" s="14">
        <f t="shared" si="1"/>
        <v>0</v>
      </c>
      <c r="K37" s="14">
        <f t="shared" si="2"/>
        <v>0</v>
      </c>
      <c r="L37" s="14">
        <f t="shared" si="3"/>
        <v>0</v>
      </c>
    </row>
    <row r="38" spans="1:12" ht="14.1" customHeight="1">
      <c r="A38" s="3">
        <v>33</v>
      </c>
      <c r="B38" s="26">
        <v>110</v>
      </c>
      <c r="C38" s="7" t="s">
        <v>159</v>
      </c>
      <c r="D38" s="4" t="s">
        <v>49</v>
      </c>
      <c r="E38" s="6" t="s">
        <v>120</v>
      </c>
      <c r="F38" s="12">
        <f>INDEX('PEDIDO JULIO'!A31:AF37,1,8)</f>
        <v>0</v>
      </c>
      <c r="G38" s="8">
        <f>IFERROR(VLOOKUP($B38,'[1]INSUMO POR SEDES MARZO PRUEBA'!$B$6:$CD$109,8,0),"NO BD")</f>
        <v>470.84799999999996</v>
      </c>
      <c r="H38" s="8"/>
      <c r="I38" s="8">
        <f t="shared" si="0"/>
        <v>0</v>
      </c>
      <c r="J38" s="14">
        <f t="shared" si="1"/>
        <v>0</v>
      </c>
      <c r="K38" s="14">
        <f t="shared" si="2"/>
        <v>0</v>
      </c>
      <c r="L38" s="14">
        <f t="shared" si="3"/>
        <v>0</v>
      </c>
    </row>
    <row r="39" spans="1:12" ht="14.1" customHeight="1">
      <c r="A39" s="3">
        <v>34</v>
      </c>
      <c r="B39" s="26">
        <v>118</v>
      </c>
      <c r="C39" s="7" t="s">
        <v>159</v>
      </c>
      <c r="D39" s="4" t="s">
        <v>50</v>
      </c>
      <c r="E39" s="6" t="s">
        <v>120</v>
      </c>
      <c r="F39" s="12">
        <f>INDEX('PEDIDO JULIO'!A32:AF37,1,8)</f>
        <v>0</v>
      </c>
      <c r="G39" s="8">
        <f>IFERROR(VLOOKUP($B39,'[1]INSUMO POR SEDES MARZO PRUEBA'!$B$6:$CD$109,8,0),"NO BD")</f>
        <v>2455.136</v>
      </c>
      <c r="H39" s="8"/>
      <c r="I39" s="8">
        <f t="shared" si="0"/>
        <v>0</v>
      </c>
      <c r="J39" s="14">
        <f t="shared" si="1"/>
        <v>0</v>
      </c>
      <c r="K39" s="14">
        <f t="shared" si="2"/>
        <v>0</v>
      </c>
      <c r="L39" s="14">
        <f t="shared" si="3"/>
        <v>0</v>
      </c>
    </row>
    <row r="40" spans="1:12" ht="14.1" customHeight="1">
      <c r="A40" s="3">
        <v>35</v>
      </c>
      <c r="B40" s="26">
        <v>119</v>
      </c>
      <c r="C40" s="7" t="s">
        <v>159</v>
      </c>
      <c r="D40" s="4" t="s">
        <v>51</v>
      </c>
      <c r="E40" s="6" t="s">
        <v>120</v>
      </c>
      <c r="F40" s="12">
        <f>INDEX('PEDIDO JULIO'!A33:AF37,1,8)</f>
        <v>15</v>
      </c>
      <c r="G40" s="8">
        <f>IFERROR(VLOOKUP($B40,'[1]INSUMO POR SEDES MARZO PRUEBA'!$B$6:$CD$109,8,0),"NO BD")</f>
        <v>2821.9350000000004</v>
      </c>
      <c r="H40" s="8"/>
      <c r="I40" s="8">
        <f t="shared" si="0"/>
        <v>42329.025000000009</v>
      </c>
      <c r="J40" s="14">
        <f t="shared" si="1"/>
        <v>4232.9025000000011</v>
      </c>
      <c r="K40" s="14">
        <f t="shared" si="2"/>
        <v>804.25147500000026</v>
      </c>
      <c r="L40" s="14">
        <f t="shared" si="3"/>
        <v>47366.17897500001</v>
      </c>
    </row>
    <row r="41" spans="1:12" ht="14.1" customHeight="1">
      <c r="A41" s="3">
        <v>36</v>
      </c>
      <c r="B41" s="26">
        <v>120</v>
      </c>
      <c r="C41" s="7" t="s">
        <v>159</v>
      </c>
      <c r="D41" s="4" t="s">
        <v>52</v>
      </c>
      <c r="E41" s="6" t="s">
        <v>120</v>
      </c>
      <c r="F41" s="12">
        <f>INDEX('PEDIDO JULIO'!A33:AF38,1,8)</f>
        <v>15</v>
      </c>
      <c r="G41" s="8">
        <f>IFERROR(VLOOKUP($B41,'[1]INSUMO POR SEDES MARZO PRUEBA'!$B$6:$CD$109,8,0),"NO BD")</f>
        <v>2821.9350000000004</v>
      </c>
      <c r="H41" s="8"/>
      <c r="I41" s="8">
        <f t="shared" si="0"/>
        <v>42329.025000000009</v>
      </c>
      <c r="J41" s="14">
        <f t="shared" si="1"/>
        <v>4232.9025000000011</v>
      </c>
      <c r="K41" s="14">
        <f t="shared" si="2"/>
        <v>804.25147500000026</v>
      </c>
      <c r="L41" s="14">
        <f t="shared" si="3"/>
        <v>47366.17897500001</v>
      </c>
    </row>
    <row r="42" spans="1:12" ht="14.1" customHeight="1">
      <c r="A42" s="3">
        <v>37</v>
      </c>
      <c r="B42" s="26">
        <v>122</v>
      </c>
      <c r="C42" s="7" t="s">
        <v>53</v>
      </c>
      <c r="D42" s="4" t="s">
        <v>54</v>
      </c>
      <c r="E42" s="6" t="s">
        <v>120</v>
      </c>
      <c r="F42" s="12">
        <f>INDEX('PEDIDO JULIO'!A33:AF38,1,8)</f>
        <v>15</v>
      </c>
      <c r="G42" s="8">
        <f>IFERROR(VLOOKUP($B42,'[1]INSUMO POR SEDES MARZO PRUEBA'!$B$6:$CD$109,8,0),"NO BD")</f>
        <v>5223.4699999999993</v>
      </c>
      <c r="H42" s="8"/>
      <c r="I42" s="8">
        <f t="shared" si="0"/>
        <v>78352.049999999988</v>
      </c>
      <c r="J42" s="14">
        <f t="shared" si="1"/>
        <v>7835.204999999999</v>
      </c>
      <c r="K42" s="14">
        <f t="shared" si="2"/>
        <v>1488.6889499999997</v>
      </c>
      <c r="L42" s="14">
        <f t="shared" si="3"/>
        <v>87675.943949999986</v>
      </c>
    </row>
    <row r="43" spans="1:12" ht="14.1" customHeight="1">
      <c r="A43" s="3">
        <v>38</v>
      </c>
      <c r="B43" s="26">
        <v>123</v>
      </c>
      <c r="C43" s="7" t="s">
        <v>53</v>
      </c>
      <c r="D43" s="4" t="s">
        <v>55</v>
      </c>
      <c r="E43" s="6" t="s">
        <v>120</v>
      </c>
      <c r="F43" s="12">
        <f>INDEX('PEDIDO JULIO'!A33:AF39,1,8)</f>
        <v>15</v>
      </c>
      <c r="G43" s="8">
        <f>IFERROR(VLOOKUP($B43,'[1]INSUMO POR SEDES MARZO PRUEBA'!$B$6:$CD$109,8,0),"NO BD")</f>
        <v>5765.7860000000001</v>
      </c>
      <c r="H43" s="8"/>
      <c r="I43" s="8">
        <f t="shared" si="0"/>
        <v>86486.790000000008</v>
      </c>
      <c r="J43" s="14">
        <f t="shared" si="1"/>
        <v>8648.6790000000019</v>
      </c>
      <c r="K43" s="14">
        <f t="shared" si="2"/>
        <v>1643.2490100000005</v>
      </c>
      <c r="L43" s="14">
        <f t="shared" si="3"/>
        <v>96778.718010000011</v>
      </c>
    </row>
    <row r="44" spans="1:12" ht="14.1" customHeight="1">
      <c r="A44" s="3">
        <v>39</v>
      </c>
      <c r="B44" s="26">
        <v>124</v>
      </c>
      <c r="C44" s="7" t="s">
        <v>53</v>
      </c>
      <c r="D44" s="4" t="s">
        <v>56</v>
      </c>
      <c r="E44" s="6" t="s">
        <v>120</v>
      </c>
      <c r="F44" s="12">
        <f>INDEX('PEDIDO JULIO'!A33:AF40,1,8)</f>
        <v>15</v>
      </c>
      <c r="G44" s="8">
        <f>IFERROR(VLOOKUP($B44,'[1]INSUMO POR SEDES MARZO PRUEBA'!$B$6:$CD$109,8,0),"NO BD")</f>
        <v>5765.7860000000001</v>
      </c>
      <c r="H44" s="8"/>
      <c r="I44" s="8">
        <f t="shared" si="0"/>
        <v>86486.790000000008</v>
      </c>
      <c r="J44" s="14">
        <f t="shared" si="1"/>
        <v>8648.6790000000019</v>
      </c>
      <c r="K44" s="14">
        <f t="shared" si="2"/>
        <v>1643.2490100000005</v>
      </c>
      <c r="L44" s="14">
        <f t="shared" si="3"/>
        <v>96778.718010000011</v>
      </c>
    </row>
    <row r="45" spans="1:12" ht="14.1" customHeight="1">
      <c r="A45" s="3">
        <v>40</v>
      </c>
      <c r="B45" s="26">
        <v>137</v>
      </c>
      <c r="C45" s="7" t="s">
        <v>53</v>
      </c>
      <c r="D45" s="4" t="s">
        <v>57</v>
      </c>
      <c r="E45" s="6" t="s">
        <v>120</v>
      </c>
      <c r="F45" s="12">
        <f>INDEX('PEDIDO JULIO'!A33:AF40,1,8)</f>
        <v>15</v>
      </c>
      <c r="G45" s="8">
        <f>IFERROR(VLOOKUP($B45,'[1]INSUMO POR SEDES MARZO PRUEBA'!$B$6:$CD$109,8,0),"NO BD")</f>
        <v>1245.4349999999999</v>
      </c>
      <c r="H45" s="8"/>
      <c r="I45" s="8">
        <f t="shared" si="0"/>
        <v>18681.524999999998</v>
      </c>
      <c r="J45" s="14">
        <f t="shared" si="1"/>
        <v>1868.1524999999999</v>
      </c>
      <c r="K45" s="14">
        <f t="shared" si="2"/>
        <v>354.94897499999996</v>
      </c>
      <c r="L45" s="14">
        <f t="shared" si="3"/>
        <v>20904.626474999997</v>
      </c>
    </row>
    <row r="46" spans="1:12" ht="14.1" customHeight="1">
      <c r="A46" s="3">
        <v>41</v>
      </c>
      <c r="B46" s="26">
        <v>139</v>
      </c>
      <c r="C46" s="7" t="s">
        <v>160</v>
      </c>
      <c r="D46" s="4" t="s">
        <v>58</v>
      </c>
      <c r="E46" s="6" t="s">
        <v>120</v>
      </c>
      <c r="F46" s="12">
        <f>INDEX('PEDIDO JULIO'!A33:AF40,1,8)</f>
        <v>15</v>
      </c>
      <c r="G46" s="8">
        <f>IFERROR(VLOOKUP($B46,'[1]INSUMO POR SEDES MARZO PRUEBA'!$B$6:$CD$109,8,0),"NO BD")</f>
        <v>51246.970200000003</v>
      </c>
      <c r="H46" s="8"/>
      <c r="I46" s="8">
        <f t="shared" si="0"/>
        <v>768704.55300000007</v>
      </c>
      <c r="J46" s="14">
        <f t="shared" si="1"/>
        <v>76870.455300000016</v>
      </c>
      <c r="K46" s="14">
        <f t="shared" si="2"/>
        <v>14605.386507000003</v>
      </c>
      <c r="L46" s="14">
        <f t="shared" si="3"/>
        <v>860180.39480700006</v>
      </c>
    </row>
    <row r="47" spans="1:12" ht="14.1" customHeight="1">
      <c r="A47" s="3">
        <v>42</v>
      </c>
      <c r="B47" s="26">
        <v>151</v>
      </c>
      <c r="C47" s="7" t="s">
        <v>160</v>
      </c>
      <c r="D47" s="4" t="s">
        <v>59</v>
      </c>
      <c r="E47" s="6" t="s">
        <v>120</v>
      </c>
      <c r="F47" s="12">
        <f>INDEX('PEDIDO JULIO'!A33:AF41,1,8)</f>
        <v>15</v>
      </c>
      <c r="G47" s="8">
        <f>IFERROR(VLOOKUP($B47,'[1]INSUMO POR SEDES MARZO PRUEBA'!$B$6:$CD$109,8,0),"NO BD")</f>
        <v>7960.6944000000003</v>
      </c>
      <c r="H47" s="8"/>
      <c r="I47" s="8">
        <f t="shared" si="0"/>
        <v>119410.416</v>
      </c>
      <c r="J47" s="14">
        <f t="shared" si="1"/>
        <v>11941.0416</v>
      </c>
      <c r="K47" s="14">
        <f t="shared" si="2"/>
        <v>2268.797904</v>
      </c>
      <c r="L47" s="14">
        <f t="shared" si="3"/>
        <v>133620.255504</v>
      </c>
    </row>
    <row r="48" spans="1:12" ht="14.1" customHeight="1">
      <c r="A48" s="3">
        <v>43</v>
      </c>
      <c r="B48" s="26">
        <v>155</v>
      </c>
      <c r="C48" s="7" t="s">
        <v>60</v>
      </c>
      <c r="D48" s="4" t="s">
        <v>61</v>
      </c>
      <c r="E48" s="6" t="s">
        <v>120</v>
      </c>
      <c r="F48" s="12">
        <f>INDEX('PEDIDO JULIO'!A33:AF41,1,8)</f>
        <v>15</v>
      </c>
      <c r="G48" s="8">
        <f>IFERROR(VLOOKUP($B48,'[1]INSUMO POR SEDES MARZO PRUEBA'!$B$6:$CD$109,8,0),"NO BD")</f>
        <v>5005.7028</v>
      </c>
      <c r="H48" s="8"/>
      <c r="I48" s="8">
        <f t="shared" si="0"/>
        <v>75085.542000000001</v>
      </c>
      <c r="J48" s="14">
        <f t="shared" si="1"/>
        <v>7508.5542000000005</v>
      </c>
      <c r="K48" s="14">
        <f t="shared" si="2"/>
        <v>1426.6252980000002</v>
      </c>
      <c r="L48" s="14">
        <f t="shared" si="3"/>
        <v>84020.721497999999</v>
      </c>
    </row>
    <row r="49" spans="1:12" ht="14.1" customHeight="1">
      <c r="A49" s="3">
        <v>44</v>
      </c>
      <c r="B49" s="26">
        <v>156</v>
      </c>
      <c r="C49" s="7" t="s">
        <v>60</v>
      </c>
      <c r="D49" s="4" t="s">
        <v>62</v>
      </c>
      <c r="E49" s="6" t="s">
        <v>120</v>
      </c>
      <c r="F49" s="12">
        <f>INDEX('PEDIDO JULIO'!A33:AF42,1,8)</f>
        <v>15</v>
      </c>
      <c r="G49" s="8">
        <f>IFERROR(VLOOKUP($B49,'[1]INSUMO POR SEDES MARZO PRUEBA'!$B$6:$CD$109,8,0),"NO BD")</f>
        <v>4422.6080000000002</v>
      </c>
      <c r="H49" s="8"/>
      <c r="I49" s="8">
        <f t="shared" si="0"/>
        <v>66339.12</v>
      </c>
      <c r="J49" s="14">
        <f t="shared" si="1"/>
        <v>6633.9120000000003</v>
      </c>
      <c r="K49" s="14">
        <f t="shared" si="2"/>
        <v>1260.44328</v>
      </c>
      <c r="L49" s="14">
        <f t="shared" si="3"/>
        <v>74233.475279999999</v>
      </c>
    </row>
    <row r="50" spans="1:12" ht="14.1" customHeight="1">
      <c r="A50" s="3">
        <v>45</v>
      </c>
      <c r="B50" s="26">
        <v>157</v>
      </c>
      <c r="C50" s="7" t="s">
        <v>151</v>
      </c>
      <c r="D50" s="4" t="s">
        <v>63</v>
      </c>
      <c r="E50" s="6" t="s">
        <v>120</v>
      </c>
      <c r="F50" s="12">
        <f>INDEX('PEDIDO JULIO'!A33:AF42,1,8)</f>
        <v>15</v>
      </c>
      <c r="G50" s="8">
        <f>IFERROR(VLOOKUP($B50,'[1]INSUMO POR SEDES MARZO PRUEBA'!$B$6:$CD$109,8,0),"NO BD")</f>
        <v>5970.7309999999998</v>
      </c>
      <c r="H50" s="8"/>
      <c r="I50" s="8">
        <f t="shared" si="0"/>
        <v>89560.964999999997</v>
      </c>
      <c r="J50" s="14">
        <f t="shared" si="1"/>
        <v>8956.0964999999997</v>
      </c>
      <c r="K50" s="14">
        <f t="shared" si="2"/>
        <v>1701.6583349999999</v>
      </c>
      <c r="L50" s="14">
        <f t="shared" si="3"/>
        <v>100218.719835</v>
      </c>
    </row>
    <row r="51" spans="1:12" ht="14.1" customHeight="1">
      <c r="A51" s="3">
        <v>46</v>
      </c>
      <c r="B51" s="31">
        <v>159</v>
      </c>
      <c r="C51" s="7" t="s">
        <v>160</v>
      </c>
      <c r="D51" s="4" t="s">
        <v>64</v>
      </c>
      <c r="E51" s="6" t="s">
        <v>120</v>
      </c>
      <c r="F51" s="12">
        <f>INDEX('PEDIDO JULIO'!A33:AF42,1,8)</f>
        <v>15</v>
      </c>
      <c r="G51" s="8">
        <f>IFERROR(VLOOKUP($B51,'[1]INSUMO POR SEDES MARZO PRUEBA'!$B$6:$CD$109,8,0),"NO BD")</f>
        <v>6716.8359</v>
      </c>
      <c r="H51" s="8"/>
      <c r="I51" s="8">
        <f t="shared" si="0"/>
        <v>100752.5385</v>
      </c>
      <c r="J51" s="14">
        <f t="shared" si="1"/>
        <v>10075.253850000001</v>
      </c>
      <c r="K51" s="14">
        <f t="shared" si="2"/>
        <v>1914.2982315000002</v>
      </c>
      <c r="L51" s="14">
        <f t="shared" si="3"/>
        <v>112742.0905815</v>
      </c>
    </row>
    <row r="52" spans="1:12" ht="14.1" customHeight="1">
      <c r="A52" s="3">
        <v>47</v>
      </c>
      <c r="B52" s="26">
        <v>160</v>
      </c>
      <c r="C52" s="7" t="s">
        <v>60</v>
      </c>
      <c r="D52" s="4" t="s">
        <v>65</v>
      </c>
      <c r="E52" s="6" t="s">
        <v>120</v>
      </c>
      <c r="F52" s="12">
        <f>INDEX('PEDIDO JULIO'!A33:AF42,1,8)</f>
        <v>15</v>
      </c>
      <c r="G52" s="8">
        <f>IFERROR(VLOOKUP($B52,'[1]INSUMO POR SEDES MARZO PRUEBA'!$B$6:$CD$109,8,0),"NO BD")</f>
        <v>3035.3931000000002</v>
      </c>
      <c r="H52" s="8"/>
      <c r="I52" s="8">
        <f t="shared" si="0"/>
        <v>45530.896500000003</v>
      </c>
      <c r="J52" s="14">
        <f t="shared" si="1"/>
        <v>4553.0896500000008</v>
      </c>
      <c r="K52" s="14">
        <f t="shared" si="2"/>
        <v>865.08703350000019</v>
      </c>
      <c r="L52" s="14">
        <f t="shared" si="3"/>
        <v>50949.073183500004</v>
      </c>
    </row>
    <row r="53" spans="1:12" ht="14.1" customHeight="1">
      <c r="A53" s="3">
        <v>48</v>
      </c>
      <c r="B53" s="26">
        <v>162</v>
      </c>
      <c r="C53" s="7" t="s">
        <v>66</v>
      </c>
      <c r="D53" s="4" t="s">
        <v>67</v>
      </c>
      <c r="E53" s="6" t="s">
        <v>120</v>
      </c>
      <c r="F53" s="12">
        <f>INDEX('PEDIDO JULIO'!A33:AF43,1,8)</f>
        <v>15</v>
      </c>
      <c r="G53" s="8">
        <f>IFERROR(VLOOKUP($B53,'[1]INSUMO POR SEDES MARZO PRUEBA'!$B$6:$CD$109,8,0),"NO BD")</f>
        <v>2684.2539999999999</v>
      </c>
      <c r="H53" s="8"/>
      <c r="I53" s="8">
        <f t="shared" si="0"/>
        <v>40263.81</v>
      </c>
      <c r="J53" s="14">
        <f t="shared" si="1"/>
        <v>4026.3809999999999</v>
      </c>
      <c r="K53" s="14">
        <f t="shared" si="2"/>
        <v>765.01238999999998</v>
      </c>
      <c r="L53" s="14">
        <f t="shared" si="3"/>
        <v>45055.203390000002</v>
      </c>
    </row>
    <row r="54" spans="1:12" ht="14.1" customHeight="1">
      <c r="A54" s="3">
        <v>49</v>
      </c>
      <c r="B54" s="26">
        <v>164</v>
      </c>
      <c r="C54" s="7" t="s">
        <v>66</v>
      </c>
      <c r="D54" s="4" t="s">
        <v>68</v>
      </c>
      <c r="E54" s="6" t="s">
        <v>120</v>
      </c>
      <c r="F54" s="12">
        <f>INDEX('PEDIDO JULIO'!A33:AF43,1,8)</f>
        <v>15</v>
      </c>
      <c r="G54" s="8">
        <f>IFERROR(VLOOKUP($B54,'[1]INSUMO POR SEDES MARZO PRUEBA'!$B$6:$CD$109,8,0),"NO BD")</f>
        <v>1658.4780000000001</v>
      </c>
      <c r="H54" s="8"/>
      <c r="I54" s="8">
        <f t="shared" si="0"/>
        <v>24877.170000000002</v>
      </c>
      <c r="J54" s="14">
        <f t="shared" si="1"/>
        <v>2487.7170000000006</v>
      </c>
      <c r="K54" s="14">
        <f t="shared" si="2"/>
        <v>472.6662300000001</v>
      </c>
      <c r="L54" s="14">
        <f t="shared" si="3"/>
        <v>27837.553230000001</v>
      </c>
    </row>
    <row r="55" spans="1:12" ht="14.1" customHeight="1">
      <c r="A55" s="3">
        <v>50</v>
      </c>
      <c r="B55" s="26">
        <v>169</v>
      </c>
      <c r="C55" s="7" t="s">
        <v>66</v>
      </c>
      <c r="D55" s="4" t="s">
        <v>69</v>
      </c>
      <c r="E55" s="6" t="s">
        <v>120</v>
      </c>
      <c r="F55" s="12">
        <f>INDEX('PEDIDO JULIO'!A33:AF43,1,8)</f>
        <v>15</v>
      </c>
      <c r="G55" s="8">
        <f>IFERROR(VLOOKUP($B55,'[1]INSUMO POR SEDES MARZO PRUEBA'!$B$6:$CD$109,8,0),"NO BD")</f>
        <v>0</v>
      </c>
      <c r="H55" s="8"/>
      <c r="I55" s="8">
        <f t="shared" si="0"/>
        <v>0</v>
      </c>
      <c r="J55" s="14">
        <f t="shared" si="1"/>
        <v>0</v>
      </c>
      <c r="K55" s="14">
        <f t="shared" si="2"/>
        <v>0</v>
      </c>
      <c r="L55" s="14">
        <f t="shared" si="3"/>
        <v>0</v>
      </c>
    </row>
    <row r="56" spans="1:12" ht="14.1" customHeight="1">
      <c r="A56" s="3">
        <v>51</v>
      </c>
      <c r="B56" s="26">
        <v>170</v>
      </c>
      <c r="C56" s="7" t="s">
        <v>66</v>
      </c>
      <c r="D56" s="4" t="s">
        <v>70</v>
      </c>
      <c r="E56" s="6" t="s">
        <v>120</v>
      </c>
      <c r="F56" s="12">
        <f>INDEX('PEDIDO JULIO'!A33:AF44,1,8)</f>
        <v>15</v>
      </c>
      <c r="G56" s="8">
        <f>IFERROR(VLOOKUP($B56,'[1]INSUMO POR SEDES MARZO PRUEBA'!$B$6:$CD$109,8,0),"NO BD")</f>
        <v>19405.664000000001</v>
      </c>
      <c r="H56" s="8"/>
      <c r="I56" s="8">
        <f t="shared" si="0"/>
        <v>291084.96000000002</v>
      </c>
      <c r="J56" s="14">
        <f t="shared" si="1"/>
        <v>29108.496000000003</v>
      </c>
      <c r="K56" s="14">
        <f t="shared" si="2"/>
        <v>5530.6142400000008</v>
      </c>
      <c r="L56" s="14">
        <f t="shared" si="3"/>
        <v>325724.07024000003</v>
      </c>
    </row>
    <row r="57" spans="1:12" ht="14.1" customHeight="1">
      <c r="A57" s="3">
        <v>52</v>
      </c>
      <c r="B57" s="26">
        <v>174</v>
      </c>
      <c r="C57" s="7" t="s">
        <v>66</v>
      </c>
      <c r="D57" s="4" t="s">
        <v>71</v>
      </c>
      <c r="E57" s="6" t="s">
        <v>120</v>
      </c>
      <c r="F57" s="12">
        <f>INDEX('PEDIDO JULIO'!A33:AF44,1,8)</f>
        <v>15</v>
      </c>
      <c r="G57" s="8">
        <f>IFERROR(VLOOKUP($B57,'[1]INSUMO POR SEDES MARZO PRUEBA'!$B$6:$CD$109,8,0),"NO BD")</f>
        <v>6081.0860000000002</v>
      </c>
      <c r="H57" s="8"/>
      <c r="I57" s="8">
        <f t="shared" si="0"/>
        <v>91216.290000000008</v>
      </c>
      <c r="J57" s="14">
        <f t="shared" si="1"/>
        <v>9121.6290000000008</v>
      </c>
      <c r="K57" s="14">
        <f t="shared" si="2"/>
        <v>1733.1095100000002</v>
      </c>
      <c r="L57" s="14">
        <f t="shared" si="3"/>
        <v>102071.02851</v>
      </c>
    </row>
    <row r="58" spans="1:12" ht="14.1" customHeight="1">
      <c r="A58" s="3">
        <v>53</v>
      </c>
      <c r="B58" s="26">
        <v>192</v>
      </c>
      <c r="C58" s="7" t="s">
        <v>66</v>
      </c>
      <c r="D58" s="4" t="s">
        <v>72</v>
      </c>
      <c r="E58" s="6" t="s">
        <v>120</v>
      </c>
      <c r="F58" s="12">
        <f>INDEX('PEDIDO JULIO'!A33:AF44,1,8)</f>
        <v>15</v>
      </c>
      <c r="G58" s="8">
        <f>IFERROR(VLOOKUP($B58,'[1]INSUMO POR SEDES MARZO PRUEBA'!$B$6:$CD$109,8,0),"NO BD")</f>
        <v>6866.2880999999998</v>
      </c>
      <c r="H58" s="8"/>
      <c r="I58" s="8">
        <f t="shared" si="0"/>
        <v>102994.32149999999</v>
      </c>
      <c r="J58" s="14">
        <f t="shared" si="1"/>
        <v>10299.432150000001</v>
      </c>
      <c r="K58" s="14">
        <f t="shared" si="2"/>
        <v>1956.8921085000002</v>
      </c>
      <c r="L58" s="14">
        <f t="shared" si="3"/>
        <v>115250.6457585</v>
      </c>
    </row>
    <row r="59" spans="1:12" ht="14.1" customHeight="1">
      <c r="A59" s="3">
        <v>54</v>
      </c>
      <c r="B59" s="26">
        <v>195</v>
      </c>
      <c r="C59" s="7" t="s">
        <v>158</v>
      </c>
      <c r="D59" s="4" t="s">
        <v>73</v>
      </c>
      <c r="E59" s="6" t="s">
        <v>120</v>
      </c>
      <c r="F59" s="12">
        <f>INDEX('PEDIDO JULIO'!A33:AF44,1,8)</f>
        <v>15</v>
      </c>
      <c r="G59" s="8">
        <f>IFERROR(VLOOKUP($B59,'[1]INSUMO POR SEDES MARZO PRUEBA'!$B$6:$CD$109,8,0),"NO BD")</f>
        <v>10697.1831</v>
      </c>
      <c r="H59" s="8"/>
      <c r="I59" s="8">
        <f t="shared" si="0"/>
        <v>160457.74650000001</v>
      </c>
      <c r="J59" s="14">
        <f t="shared" si="1"/>
        <v>16045.774650000001</v>
      </c>
      <c r="K59" s="14">
        <f t="shared" si="2"/>
        <v>3048.6971835000004</v>
      </c>
      <c r="L59" s="14">
        <f t="shared" si="3"/>
        <v>179552.21833350003</v>
      </c>
    </row>
    <row r="60" spans="1:12" ht="14.1" customHeight="1">
      <c r="A60" s="3">
        <v>55</v>
      </c>
      <c r="B60" s="26">
        <v>204</v>
      </c>
      <c r="C60" s="7" t="s">
        <v>158</v>
      </c>
      <c r="D60" s="4" t="s">
        <v>74</v>
      </c>
      <c r="E60" s="6" t="s">
        <v>120</v>
      </c>
      <c r="F60" s="12">
        <f>INDEX('PEDIDO JULIO'!A33:AF45,1,8)</f>
        <v>15</v>
      </c>
      <c r="G60" s="8">
        <f>IFERROR(VLOOKUP($B60,'[1]INSUMO POR SEDES MARZO PRUEBA'!$B$6:$CD$109,8,0),"NO BD")</f>
        <v>25673.6178</v>
      </c>
      <c r="H60" s="8"/>
      <c r="I60" s="8">
        <f t="shared" si="0"/>
        <v>385104.26699999999</v>
      </c>
      <c r="J60" s="14">
        <f t="shared" si="1"/>
        <v>38510.426700000004</v>
      </c>
      <c r="K60" s="14">
        <f t="shared" si="2"/>
        <v>7316.9810730000008</v>
      </c>
      <c r="L60" s="14">
        <f t="shared" si="3"/>
        <v>430931.67477300001</v>
      </c>
    </row>
    <row r="61" spans="1:12" ht="14.1" customHeight="1">
      <c r="A61" s="3">
        <v>56</v>
      </c>
      <c r="B61" s="26">
        <v>205</v>
      </c>
      <c r="C61" s="7" t="s">
        <v>158</v>
      </c>
      <c r="D61" s="4" t="s">
        <v>75</v>
      </c>
      <c r="E61" s="6" t="s">
        <v>120</v>
      </c>
      <c r="F61" s="12">
        <f>INDEX('PEDIDO JULIO'!A33:AF46,1,8)</f>
        <v>15</v>
      </c>
      <c r="G61" s="8">
        <f>IFERROR(VLOOKUP($B61,'[1]INSUMO POR SEDES MARZO PRUEBA'!$B$6:$CD$109,8,0),"NO BD")</f>
        <v>32639.225399999996</v>
      </c>
      <c r="H61" s="8"/>
      <c r="I61" s="8">
        <f t="shared" si="0"/>
        <v>489588.38099999994</v>
      </c>
      <c r="J61" s="14">
        <f t="shared" si="1"/>
        <v>48958.838099999994</v>
      </c>
      <c r="K61" s="14">
        <f t="shared" si="2"/>
        <v>9302.1792389999991</v>
      </c>
      <c r="L61" s="14">
        <f t="shared" si="3"/>
        <v>547849.39833899983</v>
      </c>
    </row>
    <row r="62" spans="1:12" ht="14.1" customHeight="1">
      <c r="A62" s="3">
        <v>57</v>
      </c>
      <c r="B62" s="26">
        <v>207</v>
      </c>
      <c r="C62" s="7" t="s">
        <v>158</v>
      </c>
      <c r="D62" s="4" t="s">
        <v>76</v>
      </c>
      <c r="E62" s="6" t="s">
        <v>120</v>
      </c>
      <c r="F62" s="12">
        <f>INDEX('PEDIDO JULIO'!A33:AF47,1,8)</f>
        <v>15</v>
      </c>
      <c r="G62" s="8">
        <f>IFERROR(VLOOKUP($B62,'[1]INSUMO POR SEDES MARZO PRUEBA'!$B$6:$CD$109,8,0),"NO BD")</f>
        <v>7186.7380000000003</v>
      </c>
      <c r="H62" s="8"/>
      <c r="I62" s="8">
        <f t="shared" si="0"/>
        <v>107801.07</v>
      </c>
      <c r="J62" s="14">
        <f t="shared" si="1"/>
        <v>10780.107000000002</v>
      </c>
      <c r="K62" s="14">
        <f t="shared" si="2"/>
        <v>2048.2203300000006</v>
      </c>
      <c r="L62" s="14">
        <f t="shared" si="3"/>
        <v>120629.39733000001</v>
      </c>
    </row>
    <row r="63" spans="1:12" ht="14.1" customHeight="1">
      <c r="A63" s="3">
        <v>58</v>
      </c>
      <c r="B63" s="26">
        <v>212</v>
      </c>
      <c r="C63" s="7" t="s">
        <v>158</v>
      </c>
      <c r="D63" s="4" t="s">
        <v>77</v>
      </c>
      <c r="E63" s="6" t="s">
        <v>120</v>
      </c>
      <c r="F63" s="12">
        <f>INDEX('PEDIDO JULIO'!A33:AF47,1,8)</f>
        <v>15</v>
      </c>
      <c r="G63" s="8">
        <f>IFERROR(VLOOKUP($B63,'[1]INSUMO POR SEDES MARZO PRUEBA'!$B$6:$CD$109,8,0),"NO BD")</f>
        <v>2505.5839999999998</v>
      </c>
      <c r="H63" s="8"/>
      <c r="I63" s="8">
        <f t="shared" si="0"/>
        <v>37583.759999999995</v>
      </c>
      <c r="J63" s="14">
        <f t="shared" si="1"/>
        <v>3758.3759999999997</v>
      </c>
      <c r="K63" s="14">
        <f t="shared" si="2"/>
        <v>714.09143999999992</v>
      </c>
      <c r="L63" s="14">
        <f t="shared" si="3"/>
        <v>42056.227439999988</v>
      </c>
    </row>
    <row r="64" spans="1:12" ht="14.1" customHeight="1">
      <c r="A64" s="3">
        <v>59</v>
      </c>
      <c r="B64" s="26">
        <v>218</v>
      </c>
      <c r="C64" s="7" t="s">
        <v>158</v>
      </c>
      <c r="D64" s="4" t="s">
        <v>78</v>
      </c>
      <c r="E64" s="6" t="s">
        <v>120</v>
      </c>
      <c r="F64" s="12">
        <f>INDEX('PEDIDO JULIO'!A33:AF47,1,8)</f>
        <v>15</v>
      </c>
      <c r="G64" s="8">
        <f>IFERROR(VLOOKUP($B64,'[1]INSUMO POR SEDES MARZO PRUEBA'!$B$6:$CD$109,8,0),"NO BD")</f>
        <v>2587.0365000000002</v>
      </c>
      <c r="H64" s="8"/>
      <c r="I64" s="8">
        <f t="shared" si="0"/>
        <v>38805.547500000001</v>
      </c>
      <c r="J64" s="14">
        <f t="shared" si="1"/>
        <v>3880.5547500000002</v>
      </c>
      <c r="K64" s="14">
        <f t="shared" si="2"/>
        <v>737.30540250000001</v>
      </c>
      <c r="L64" s="14">
        <f t="shared" si="3"/>
        <v>43423.407652500005</v>
      </c>
    </row>
    <row r="65" spans="1:12" ht="14.1" customHeight="1">
      <c r="A65" s="3">
        <v>60</v>
      </c>
      <c r="B65" s="26">
        <v>251</v>
      </c>
      <c r="C65" s="7" t="s">
        <v>158</v>
      </c>
      <c r="D65" s="4" t="s">
        <v>79</v>
      </c>
      <c r="E65" s="6" t="s">
        <v>120</v>
      </c>
      <c r="F65" s="12">
        <f>INDEX('PEDIDO JULIO'!A33:AF47,1,8)</f>
        <v>15</v>
      </c>
      <c r="G65" s="8">
        <f>IFERROR(VLOOKUP($B65,'[1]INSUMO POR SEDES MARZO PRUEBA'!$B$6:$CD$109,8,0),"NO BD")</f>
        <v>16031.954000000002</v>
      </c>
      <c r="H65" s="8"/>
      <c r="I65" s="8">
        <f t="shared" si="0"/>
        <v>240479.31000000003</v>
      </c>
      <c r="J65" s="14">
        <f t="shared" si="1"/>
        <v>24047.931000000004</v>
      </c>
      <c r="K65" s="14">
        <f t="shared" si="2"/>
        <v>4569.1068900000009</v>
      </c>
      <c r="L65" s="14">
        <f t="shared" si="3"/>
        <v>269096.34789000003</v>
      </c>
    </row>
    <row r="66" spans="1:12" ht="14.1" customHeight="1">
      <c r="A66" s="3">
        <v>61</v>
      </c>
      <c r="B66" s="39">
        <v>205</v>
      </c>
      <c r="C66" s="7" t="s">
        <v>158</v>
      </c>
      <c r="D66" s="4" t="s">
        <v>80</v>
      </c>
      <c r="E66" s="6" t="s">
        <v>120</v>
      </c>
      <c r="F66" s="12">
        <f>INDEX('PEDIDO JULIO'!A33:AF47,1,8)</f>
        <v>15</v>
      </c>
      <c r="G66" s="8">
        <f>IFERROR(VLOOKUP($B66,'[1]INSUMO POR SEDES MARZO PRUEBA'!$B$6:$CD$109,8,0),"NO BD")</f>
        <v>32639.225399999996</v>
      </c>
      <c r="H66" s="8"/>
      <c r="I66" s="8">
        <f t="shared" si="0"/>
        <v>489588.38099999994</v>
      </c>
      <c r="J66" s="14">
        <f t="shared" si="1"/>
        <v>48958.838099999994</v>
      </c>
      <c r="K66" s="14">
        <f t="shared" si="2"/>
        <v>9302.1792389999991</v>
      </c>
      <c r="L66" s="14">
        <f t="shared" si="3"/>
        <v>547849.39833899983</v>
      </c>
    </row>
    <row r="67" spans="1:12" ht="14.1" customHeight="1">
      <c r="A67" s="3">
        <v>62</v>
      </c>
      <c r="B67" s="39">
        <v>207</v>
      </c>
      <c r="C67" s="7" t="s">
        <v>158</v>
      </c>
      <c r="D67" s="4" t="s">
        <v>81</v>
      </c>
      <c r="E67" s="6" t="s">
        <v>120</v>
      </c>
      <c r="F67" s="12">
        <f>INDEX('PEDIDO JULIO'!A33:AF47,1,8)</f>
        <v>15</v>
      </c>
      <c r="G67" s="8">
        <f>IFERROR(VLOOKUP($B67,'[1]INSUMO POR SEDES MARZO PRUEBA'!$B$6:$CD$109,8,0),"NO BD")</f>
        <v>7186.7380000000003</v>
      </c>
      <c r="H67" s="8"/>
      <c r="I67" s="8">
        <f t="shared" si="0"/>
        <v>107801.07</v>
      </c>
      <c r="J67" s="14">
        <f t="shared" si="1"/>
        <v>10780.107000000002</v>
      </c>
      <c r="K67" s="14">
        <f t="shared" si="2"/>
        <v>2048.2203300000006</v>
      </c>
      <c r="L67" s="14">
        <f t="shared" si="3"/>
        <v>120629.39733000001</v>
      </c>
    </row>
    <row r="68" spans="1:12" ht="14.1" customHeight="1">
      <c r="A68" s="3">
        <v>63</v>
      </c>
      <c r="B68" s="39">
        <v>212</v>
      </c>
      <c r="C68" s="7" t="s">
        <v>158</v>
      </c>
      <c r="D68" s="4" t="s">
        <v>82</v>
      </c>
      <c r="E68" s="6" t="s">
        <v>120</v>
      </c>
      <c r="F68" s="12">
        <f>INDEX('PEDIDO JULIO'!A33:AF47,1,8)</f>
        <v>15</v>
      </c>
      <c r="G68" s="8">
        <f>IFERROR(VLOOKUP($B68,'[1]INSUMO POR SEDES MARZO PRUEBA'!$B$6:$CD$109,8,0),"NO BD")</f>
        <v>2505.5839999999998</v>
      </c>
      <c r="H68" s="8"/>
      <c r="I68" s="8">
        <f t="shared" si="0"/>
        <v>37583.759999999995</v>
      </c>
      <c r="J68" s="14">
        <f t="shared" si="1"/>
        <v>3758.3759999999997</v>
      </c>
      <c r="K68" s="14">
        <f t="shared" si="2"/>
        <v>714.09143999999992</v>
      </c>
      <c r="L68" s="14">
        <f t="shared" si="3"/>
        <v>42056.227439999988</v>
      </c>
    </row>
    <row r="69" spans="1:12" ht="14.1" customHeight="1">
      <c r="A69" s="3">
        <v>64</v>
      </c>
      <c r="B69" s="39">
        <v>218</v>
      </c>
      <c r="C69" s="7" t="s">
        <v>158</v>
      </c>
      <c r="D69" s="4" t="s">
        <v>83</v>
      </c>
      <c r="E69" s="6" t="s">
        <v>120</v>
      </c>
      <c r="F69" s="12">
        <f>INDEX('PEDIDO JULIO'!A33:AF47,1,8)</f>
        <v>15</v>
      </c>
      <c r="G69" s="8">
        <f>IFERROR(VLOOKUP($B69,'[1]INSUMO POR SEDES MARZO PRUEBA'!$B$6:$CD$109,8,0),"NO BD")</f>
        <v>2587.0365000000002</v>
      </c>
      <c r="H69" s="8"/>
      <c r="I69" s="8">
        <f t="shared" si="0"/>
        <v>38805.547500000001</v>
      </c>
      <c r="J69" s="14">
        <f t="shared" si="1"/>
        <v>3880.5547500000002</v>
      </c>
      <c r="K69" s="14">
        <f t="shared" si="2"/>
        <v>737.30540250000001</v>
      </c>
      <c r="L69" s="14">
        <f t="shared" si="3"/>
        <v>43423.407652500005</v>
      </c>
    </row>
    <row r="70" spans="1:12" ht="14.1" customHeight="1">
      <c r="A70" s="3">
        <v>65</v>
      </c>
      <c r="B70" s="39">
        <v>251</v>
      </c>
      <c r="C70" s="7" t="s">
        <v>158</v>
      </c>
      <c r="D70" s="4" t="s">
        <v>84</v>
      </c>
      <c r="E70" s="6" t="s">
        <v>120</v>
      </c>
      <c r="F70" s="12">
        <f>INDEX('PEDIDO JULIO'!A33:AF47,1,8)</f>
        <v>15</v>
      </c>
      <c r="G70" s="8">
        <f>IFERROR(VLOOKUP($B70,'[1]INSUMO POR SEDES MARZO PRUEBA'!$B$6:$CD$109,8,0),"NO BD")</f>
        <v>16031.954000000002</v>
      </c>
      <c r="H70" s="8"/>
      <c r="I70" s="8">
        <f t="shared" ref="I70:I133" si="4">+F70*G70</f>
        <v>240479.31000000003</v>
      </c>
      <c r="J70" s="14">
        <f t="shared" si="1"/>
        <v>24047.931000000004</v>
      </c>
      <c r="K70" s="14">
        <f t="shared" si="2"/>
        <v>4569.1068900000009</v>
      </c>
      <c r="L70" s="14">
        <f t="shared" si="3"/>
        <v>269096.34789000003</v>
      </c>
    </row>
    <row r="71" spans="1:12" ht="15">
      <c r="A71" s="3">
        <v>108</v>
      </c>
      <c r="B71" s="39">
        <v>3</v>
      </c>
      <c r="C71" s="7" t="s">
        <v>9</v>
      </c>
      <c r="D71" s="4" t="s">
        <v>10</v>
      </c>
      <c r="E71" s="6" t="s">
        <v>122</v>
      </c>
      <c r="F71" s="12">
        <f>INDEX('PEDIDO JULIO'!A10:I32,1,9)</f>
        <v>0</v>
      </c>
      <c r="G71" s="8">
        <f>IFERROR(VLOOKUP($B71,'[1]INSUMO POR SEDES MARZO PRUEBA'!$B$6:$CD$109,11,0),"NO BD")</f>
        <v>7268.7160000000003</v>
      </c>
      <c r="H71" s="8"/>
      <c r="I71" s="8">
        <f t="shared" si="4"/>
        <v>0</v>
      </c>
      <c r="J71" s="14">
        <f t="shared" ref="J71:J92" si="5">+I71*10%</f>
        <v>0</v>
      </c>
      <c r="K71" s="14">
        <f t="shared" ref="K71:K92" si="6">+J71*19%</f>
        <v>0</v>
      </c>
      <c r="L71" s="14">
        <f t="shared" ref="L71:L92" si="7">SUM(I71:K71)</f>
        <v>0</v>
      </c>
    </row>
    <row r="72" spans="1:12" ht="15">
      <c r="A72" s="3">
        <v>109</v>
      </c>
      <c r="B72" s="39">
        <v>5</v>
      </c>
      <c r="C72" s="7" t="s">
        <v>156</v>
      </c>
      <c r="D72" s="5" t="s">
        <v>11</v>
      </c>
      <c r="E72" s="6" t="s">
        <v>122</v>
      </c>
      <c r="F72" s="12">
        <f>INDEX('PEDIDO JULIO'!A10:I32,1,9)</f>
        <v>0</v>
      </c>
      <c r="G72" s="8">
        <f>IFERROR(VLOOKUP($B72,'[1]INSUMO POR SEDES MARZO PRUEBA'!$B$6:$CD$109,11,0),"NO BD")</f>
        <v>6494.1289999999999</v>
      </c>
      <c r="H72" s="8"/>
      <c r="I72" s="8">
        <f t="shared" si="4"/>
        <v>0</v>
      </c>
      <c r="J72" s="14">
        <f t="shared" si="5"/>
        <v>0</v>
      </c>
      <c r="K72" s="14">
        <f t="shared" si="6"/>
        <v>0</v>
      </c>
      <c r="L72" s="14">
        <f t="shared" si="7"/>
        <v>0</v>
      </c>
    </row>
    <row r="73" spans="1:12" ht="27">
      <c r="A73" s="3">
        <v>110</v>
      </c>
      <c r="B73" s="39">
        <v>8</v>
      </c>
      <c r="C73" s="7" t="s">
        <v>157</v>
      </c>
      <c r="D73" s="4" t="s">
        <v>12</v>
      </c>
      <c r="E73" s="6" t="s">
        <v>122</v>
      </c>
      <c r="F73" s="12">
        <f>INDEX('PEDIDO JULIO'!A10:I33,1,9)</f>
        <v>0</v>
      </c>
      <c r="G73" s="8">
        <f>IFERROR(VLOOKUP($B73,'[1]INSUMO POR SEDES MARZO PRUEBA'!$B$6:$CD$109,11,0),"NO BD")</f>
        <v>2211.3040000000001</v>
      </c>
      <c r="H73" s="8"/>
      <c r="I73" s="8">
        <f t="shared" si="4"/>
        <v>0</v>
      </c>
      <c r="J73" s="14">
        <f t="shared" si="5"/>
        <v>0</v>
      </c>
      <c r="K73" s="14">
        <f t="shared" si="6"/>
        <v>0</v>
      </c>
      <c r="L73" s="14">
        <f t="shared" si="7"/>
        <v>0</v>
      </c>
    </row>
    <row r="74" spans="1:12" ht="15">
      <c r="A74" s="3">
        <v>111</v>
      </c>
      <c r="B74" s="39">
        <v>9</v>
      </c>
      <c r="C74" s="7" t="s">
        <v>13</v>
      </c>
      <c r="D74" s="4" t="s">
        <v>14</v>
      </c>
      <c r="E74" s="6" t="s">
        <v>122</v>
      </c>
      <c r="F74" s="12">
        <f>INDEX('PEDIDO JULIO'!A10:I33,1,9)</f>
        <v>0</v>
      </c>
      <c r="G74" s="8">
        <f>IFERROR(VLOOKUP($B74,'[1]INSUMO POR SEDES MARZO PRUEBA'!$B$6:$CD$109,11,0),"NO BD")</f>
        <v>3298.0379999999996</v>
      </c>
      <c r="H74" s="8"/>
      <c r="I74" s="8">
        <f t="shared" si="4"/>
        <v>0</v>
      </c>
      <c r="J74" s="14">
        <f t="shared" si="5"/>
        <v>0</v>
      </c>
      <c r="K74" s="14">
        <f t="shared" si="6"/>
        <v>0</v>
      </c>
      <c r="L74" s="14">
        <f t="shared" si="7"/>
        <v>0</v>
      </c>
    </row>
    <row r="75" spans="1:12" ht="27">
      <c r="A75" s="3">
        <v>112</v>
      </c>
      <c r="B75" s="39">
        <v>13</v>
      </c>
      <c r="C75" s="7" t="s">
        <v>13</v>
      </c>
      <c r="D75" s="4" t="s">
        <v>15</v>
      </c>
      <c r="E75" s="6" t="s">
        <v>122</v>
      </c>
      <c r="F75" s="12">
        <f>INDEX('PEDIDO JULIO'!A11:I33,1,9)</f>
        <v>0</v>
      </c>
      <c r="G75" s="8">
        <f>IFERROR(VLOOKUP($B75,'[1]INSUMO POR SEDES MARZO PRUEBA'!$B$6:$CD$109,11,0),"NO BD")</f>
        <v>6507.7919999999995</v>
      </c>
      <c r="H75" s="8"/>
      <c r="I75" s="8">
        <f t="shared" si="4"/>
        <v>0</v>
      </c>
      <c r="J75" s="14">
        <f t="shared" si="5"/>
        <v>0</v>
      </c>
      <c r="K75" s="14">
        <f t="shared" si="6"/>
        <v>0</v>
      </c>
      <c r="L75" s="14">
        <f t="shared" si="7"/>
        <v>0</v>
      </c>
    </row>
    <row r="76" spans="1:12" ht="15">
      <c r="A76" s="3">
        <v>113</v>
      </c>
      <c r="B76" s="39">
        <v>17</v>
      </c>
      <c r="C76" s="7" t="s">
        <v>16</v>
      </c>
      <c r="D76" s="4" t="s">
        <v>17</v>
      </c>
      <c r="E76" s="6" t="s">
        <v>122</v>
      </c>
      <c r="F76" s="12">
        <f>INDEX('PEDIDO JULIO'!A12:I33,1,9)</f>
        <v>0</v>
      </c>
      <c r="G76" s="8">
        <f>IFERROR(VLOOKUP($B76,'[1]INSUMO POR SEDES MARZO PRUEBA'!$B$6:$CD$109,11,0),"NO BD")</f>
        <v>5647.0229999999992</v>
      </c>
      <c r="H76" s="8"/>
      <c r="I76" s="8">
        <f t="shared" si="4"/>
        <v>0</v>
      </c>
      <c r="J76" s="14">
        <f t="shared" si="5"/>
        <v>0</v>
      </c>
      <c r="K76" s="14">
        <f t="shared" si="6"/>
        <v>0</v>
      </c>
      <c r="L76" s="14">
        <f t="shared" si="7"/>
        <v>0</v>
      </c>
    </row>
    <row r="77" spans="1:12" ht="27">
      <c r="A77" s="3">
        <v>114</v>
      </c>
      <c r="B77" s="39">
        <v>20</v>
      </c>
      <c r="C77" s="7" t="s">
        <v>18</v>
      </c>
      <c r="D77" s="4" t="s">
        <v>19</v>
      </c>
      <c r="E77" s="6" t="s">
        <v>122</v>
      </c>
      <c r="F77" s="12">
        <f>INDEX('PEDIDO JULIO'!A12:I33,1,9)</f>
        <v>0</v>
      </c>
      <c r="G77" s="8">
        <f>IFERROR(VLOOKUP($B77,'[1]INSUMO POR SEDES MARZO PRUEBA'!$B$6:$CD$109,11,0),"NO BD")</f>
        <v>0</v>
      </c>
      <c r="H77" s="8"/>
      <c r="I77" s="8">
        <f t="shared" si="4"/>
        <v>0</v>
      </c>
      <c r="J77" s="14">
        <f t="shared" si="5"/>
        <v>0</v>
      </c>
      <c r="K77" s="14">
        <f t="shared" si="6"/>
        <v>0</v>
      </c>
      <c r="L77" s="14">
        <f t="shared" si="7"/>
        <v>0</v>
      </c>
    </row>
    <row r="78" spans="1:12" ht="27">
      <c r="A78" s="3">
        <v>115</v>
      </c>
      <c r="B78" s="39">
        <v>21</v>
      </c>
      <c r="C78" s="7" t="s">
        <v>20</v>
      </c>
      <c r="D78" s="4" t="s">
        <v>21</v>
      </c>
      <c r="E78" s="6" t="s">
        <v>122</v>
      </c>
      <c r="F78" s="12">
        <f>INDEX('PEDIDO JULIO'!A13:I34,1,9)</f>
        <v>0</v>
      </c>
      <c r="G78" s="8">
        <f>IFERROR(VLOOKUP($B78,'[1]INSUMO POR SEDES MARZO PRUEBA'!$B$6:$CD$109,11,0),"NO BD")</f>
        <v>5932.8950000000013</v>
      </c>
      <c r="H78" s="8"/>
      <c r="I78" s="8">
        <f t="shared" si="4"/>
        <v>0</v>
      </c>
      <c r="J78" s="14">
        <f t="shared" si="5"/>
        <v>0</v>
      </c>
      <c r="K78" s="14">
        <f t="shared" si="6"/>
        <v>0</v>
      </c>
      <c r="L78" s="14">
        <f t="shared" si="7"/>
        <v>0</v>
      </c>
    </row>
    <row r="79" spans="1:12" ht="27">
      <c r="A79" s="3">
        <v>116</v>
      </c>
      <c r="B79" s="39">
        <v>28</v>
      </c>
      <c r="C79" s="7" t="s">
        <v>22</v>
      </c>
      <c r="D79" s="4" t="s">
        <v>23</v>
      </c>
      <c r="E79" s="6" t="s">
        <v>122</v>
      </c>
      <c r="F79" s="12">
        <f>INDEX('PEDIDO JULIO'!A14:I34,1,9)</f>
        <v>0</v>
      </c>
      <c r="G79" s="8">
        <f>IFERROR(VLOOKUP($B79,'[1]INSUMO POR SEDES MARZO PRUEBA'!$B$6:$CD$109,11,0),"NO BD")</f>
        <v>2764.13</v>
      </c>
      <c r="H79" s="8"/>
      <c r="I79" s="8">
        <f t="shared" si="4"/>
        <v>0</v>
      </c>
      <c r="J79" s="14">
        <f t="shared" si="5"/>
        <v>0</v>
      </c>
      <c r="K79" s="14">
        <f t="shared" si="6"/>
        <v>0</v>
      </c>
      <c r="L79" s="14">
        <f t="shared" si="7"/>
        <v>0</v>
      </c>
    </row>
    <row r="80" spans="1:12" ht="15">
      <c r="A80" s="3">
        <v>117</v>
      </c>
      <c r="B80" s="39">
        <v>29</v>
      </c>
      <c r="C80" s="7" t="s">
        <v>18</v>
      </c>
      <c r="D80" s="4" t="s">
        <v>24</v>
      </c>
      <c r="E80" s="6" t="s">
        <v>122</v>
      </c>
      <c r="F80" s="12">
        <f>INDEX('PEDIDO JULIO'!A15:I34,1,9)</f>
        <v>0</v>
      </c>
      <c r="G80" s="8">
        <f>IFERROR(VLOOKUP($B80,'[1]INSUMO POR SEDES MARZO PRUEBA'!$B$6:$CD$109,11,0),"NO BD")</f>
        <v>4829.3450000000012</v>
      </c>
      <c r="H80" s="8"/>
      <c r="I80" s="8">
        <f t="shared" si="4"/>
        <v>0</v>
      </c>
      <c r="J80" s="14">
        <f t="shared" si="5"/>
        <v>0</v>
      </c>
      <c r="K80" s="14">
        <f t="shared" si="6"/>
        <v>0</v>
      </c>
      <c r="L80" s="14">
        <f t="shared" si="7"/>
        <v>0</v>
      </c>
    </row>
    <row r="81" spans="1:12" ht="27">
      <c r="A81" s="3">
        <v>118</v>
      </c>
      <c r="B81" s="39">
        <v>32</v>
      </c>
      <c r="C81" s="7" t="s">
        <v>155</v>
      </c>
      <c r="D81" s="4" t="s">
        <v>25</v>
      </c>
      <c r="E81" s="6" t="s">
        <v>122</v>
      </c>
      <c r="F81" s="12">
        <f>INDEX('PEDIDO JULIO'!A16:I34,1,9)</f>
        <v>0</v>
      </c>
      <c r="G81" s="8">
        <f>IFERROR(VLOOKUP($B81,'[1]INSUMO POR SEDES MARZO PRUEBA'!$B$6:$CD$109,11,0),"NO BD")</f>
        <v>4115.7160000000003</v>
      </c>
      <c r="H81" s="8"/>
      <c r="I81" s="8">
        <f t="shared" si="4"/>
        <v>0</v>
      </c>
      <c r="J81" s="14">
        <f t="shared" si="5"/>
        <v>0</v>
      </c>
      <c r="K81" s="14">
        <f t="shared" si="6"/>
        <v>0</v>
      </c>
      <c r="L81" s="14">
        <f t="shared" si="7"/>
        <v>0</v>
      </c>
    </row>
    <row r="82" spans="1:12" ht="27">
      <c r="A82" s="3">
        <v>119</v>
      </c>
      <c r="B82" s="39">
        <v>38</v>
      </c>
      <c r="C82" s="7" t="s">
        <v>16</v>
      </c>
      <c r="D82" s="4" t="s">
        <v>26</v>
      </c>
      <c r="E82" s="6" t="s">
        <v>122</v>
      </c>
      <c r="F82" s="12">
        <f>INDEX('PEDIDO JULIO'!A17:I34,1,9)</f>
        <v>0</v>
      </c>
      <c r="G82" s="8">
        <f>IFERROR(VLOOKUP($B82,'[1]INSUMO POR SEDES MARZO PRUEBA'!$B$6:$CD$109,11,0),"NO BD")</f>
        <v>11100.662</v>
      </c>
      <c r="H82" s="8"/>
      <c r="I82" s="8">
        <f t="shared" si="4"/>
        <v>0</v>
      </c>
      <c r="J82" s="14">
        <f t="shared" si="5"/>
        <v>0</v>
      </c>
      <c r="K82" s="14">
        <f t="shared" si="6"/>
        <v>0</v>
      </c>
      <c r="L82" s="14">
        <f t="shared" si="7"/>
        <v>0</v>
      </c>
    </row>
    <row r="83" spans="1:12" ht="15">
      <c r="A83" s="3">
        <v>120</v>
      </c>
      <c r="B83" s="39">
        <v>44</v>
      </c>
      <c r="C83" s="7" t="s">
        <v>27</v>
      </c>
      <c r="D83" s="4" t="s">
        <v>28</v>
      </c>
      <c r="E83" s="6" t="s">
        <v>122</v>
      </c>
      <c r="F83" s="12">
        <f>INDEX('PEDIDO JULIO'!A17:I34,1,9)</f>
        <v>0</v>
      </c>
      <c r="G83" s="8">
        <f>IFERROR(VLOOKUP($B83,'[1]INSUMO POR SEDES MARZO PRUEBA'!$B$6:$CD$109,11,0),"NO BD")</f>
        <v>2787.2520000000004</v>
      </c>
      <c r="H83" s="8"/>
      <c r="I83" s="8">
        <f t="shared" si="4"/>
        <v>0</v>
      </c>
      <c r="J83" s="14">
        <f t="shared" si="5"/>
        <v>0</v>
      </c>
      <c r="K83" s="14">
        <f t="shared" si="6"/>
        <v>0</v>
      </c>
      <c r="L83" s="14">
        <f t="shared" si="7"/>
        <v>0</v>
      </c>
    </row>
    <row r="84" spans="1:12" ht="15">
      <c r="A84" s="3">
        <v>121</v>
      </c>
      <c r="B84" s="39">
        <v>50</v>
      </c>
      <c r="C84" s="7" t="s">
        <v>13</v>
      </c>
      <c r="D84" s="4" t="s">
        <v>29</v>
      </c>
      <c r="E84" s="6" t="s">
        <v>122</v>
      </c>
      <c r="F84" s="12">
        <f>INDEX('PEDIDO JULIO'!A18:I35,1,9)</f>
        <v>0</v>
      </c>
      <c r="G84" s="8">
        <f>IFERROR(VLOOKUP($B84,'[1]INSUMO POR SEDES MARZO PRUEBA'!$B$6:$CD$109,11,0),"NO BD")</f>
        <v>38567.495999999999</v>
      </c>
      <c r="H84" s="8"/>
      <c r="I84" s="8">
        <f t="shared" si="4"/>
        <v>0</v>
      </c>
      <c r="J84" s="14">
        <f t="shared" si="5"/>
        <v>0</v>
      </c>
      <c r="K84" s="14">
        <f t="shared" si="6"/>
        <v>0</v>
      </c>
      <c r="L84" s="14">
        <f t="shared" si="7"/>
        <v>0</v>
      </c>
    </row>
    <row r="85" spans="1:12" ht="15">
      <c r="A85" s="3">
        <v>122</v>
      </c>
      <c r="B85" s="39">
        <v>52</v>
      </c>
      <c r="C85" s="7" t="s">
        <v>13</v>
      </c>
      <c r="D85" s="4" t="s">
        <v>30</v>
      </c>
      <c r="E85" s="6" t="s">
        <v>122</v>
      </c>
      <c r="F85" s="12">
        <f>INDEX('PEDIDO JULIO'!A18:I35,1,9)</f>
        <v>0</v>
      </c>
      <c r="G85" s="8">
        <f>IFERROR(VLOOKUP($B85,'[1]INSUMO POR SEDES MARZO PRUEBA'!$B$6:$CD$109,11,0),"NO BD")</f>
        <v>6412.1509999999998</v>
      </c>
      <c r="H85" s="8"/>
      <c r="I85" s="8">
        <f t="shared" si="4"/>
        <v>0</v>
      </c>
      <c r="J85" s="14">
        <f t="shared" si="5"/>
        <v>0</v>
      </c>
      <c r="K85" s="14">
        <f t="shared" si="6"/>
        <v>0</v>
      </c>
      <c r="L85" s="14">
        <f t="shared" si="7"/>
        <v>0</v>
      </c>
    </row>
    <row r="86" spans="1:12" ht="15">
      <c r="A86" s="3">
        <v>123</v>
      </c>
      <c r="B86" s="39">
        <v>57</v>
      </c>
      <c r="C86" s="7" t="s">
        <v>13</v>
      </c>
      <c r="D86" s="4" t="s">
        <v>31</v>
      </c>
      <c r="E86" s="6" t="s">
        <v>122</v>
      </c>
      <c r="F86" s="12">
        <f>INDEX('PEDIDO JULIO'!A18:I35,1,9)</f>
        <v>0</v>
      </c>
      <c r="G86" s="8">
        <f>IFERROR(VLOOKUP($B86,'[1]INSUMO POR SEDES MARZO PRUEBA'!$B$6:$CD$109,11,0),"NO BD")</f>
        <v>12823.251000000004</v>
      </c>
      <c r="H86" s="8"/>
      <c r="I86" s="8">
        <f t="shared" si="4"/>
        <v>0</v>
      </c>
      <c r="J86" s="14">
        <f t="shared" si="5"/>
        <v>0</v>
      </c>
      <c r="K86" s="14">
        <f t="shared" si="6"/>
        <v>0</v>
      </c>
      <c r="L86" s="14">
        <f t="shared" si="7"/>
        <v>0</v>
      </c>
    </row>
    <row r="87" spans="1:12" ht="15">
      <c r="A87" s="3">
        <v>124</v>
      </c>
      <c r="B87" s="39">
        <v>59</v>
      </c>
      <c r="C87" s="7" t="s">
        <v>13</v>
      </c>
      <c r="D87" s="4" t="s">
        <v>32</v>
      </c>
      <c r="E87" s="6" t="s">
        <v>122</v>
      </c>
      <c r="F87" s="12">
        <f>INDEX('PEDIDO JULIO'!A19:I35,1,9)</f>
        <v>0</v>
      </c>
      <c r="G87" s="8">
        <f>IFERROR(VLOOKUP($B87,'[1]INSUMO POR SEDES MARZO PRUEBA'!$B$6:$CD$109,11,0),"NO BD")</f>
        <v>5528.260000000002</v>
      </c>
      <c r="H87" s="8"/>
      <c r="I87" s="8">
        <f t="shared" si="4"/>
        <v>0</v>
      </c>
      <c r="J87" s="14">
        <f t="shared" si="5"/>
        <v>0</v>
      </c>
      <c r="K87" s="14">
        <f t="shared" si="6"/>
        <v>0</v>
      </c>
      <c r="L87" s="14">
        <f t="shared" si="7"/>
        <v>0</v>
      </c>
    </row>
    <row r="88" spans="1:12" ht="15">
      <c r="A88" s="3">
        <v>125</v>
      </c>
      <c r="B88" s="39">
        <v>62</v>
      </c>
      <c r="C88" s="7" t="s">
        <v>33</v>
      </c>
      <c r="D88" s="4" t="s">
        <v>34</v>
      </c>
      <c r="E88" s="6" t="s">
        <v>122</v>
      </c>
      <c r="F88" s="12">
        <f>INDEX('PEDIDO JULIO'!A19:I35,1,9)</f>
        <v>0</v>
      </c>
      <c r="G88" s="8">
        <f>IFERROR(VLOOKUP($B88,'[1]INSUMO POR SEDES MARZO PRUEBA'!$B$6:$CD$109,11,0),"NO BD")</f>
        <v>10100.3202</v>
      </c>
      <c r="H88" s="8"/>
      <c r="I88" s="8">
        <f t="shared" si="4"/>
        <v>0</v>
      </c>
      <c r="J88" s="14">
        <f t="shared" si="5"/>
        <v>0</v>
      </c>
      <c r="K88" s="14">
        <f t="shared" si="6"/>
        <v>0</v>
      </c>
      <c r="L88" s="14">
        <f t="shared" si="7"/>
        <v>0</v>
      </c>
    </row>
    <row r="89" spans="1:12" ht="15">
      <c r="A89" s="3">
        <v>126</v>
      </c>
      <c r="B89" s="39">
        <v>63</v>
      </c>
      <c r="C89" s="7" t="s">
        <v>16</v>
      </c>
      <c r="D89" s="4" t="s">
        <v>35</v>
      </c>
      <c r="E89" s="6" t="s">
        <v>122</v>
      </c>
      <c r="F89" s="12">
        <f>INDEX('PEDIDO JULIO'!A20:I35,1,9)</f>
        <v>0</v>
      </c>
      <c r="G89" s="8">
        <f>IFERROR(VLOOKUP($B89,'[1]INSUMO POR SEDES MARZO PRUEBA'!$B$6:$CD$109,11,0),"NO BD")</f>
        <v>8292.39</v>
      </c>
      <c r="H89" s="8"/>
      <c r="I89" s="8">
        <f t="shared" si="4"/>
        <v>0</v>
      </c>
      <c r="J89" s="14">
        <f t="shared" si="5"/>
        <v>0</v>
      </c>
      <c r="K89" s="14">
        <f t="shared" si="6"/>
        <v>0</v>
      </c>
      <c r="L89" s="14">
        <f t="shared" si="7"/>
        <v>0</v>
      </c>
    </row>
    <row r="90" spans="1:12" ht="15">
      <c r="A90" s="3">
        <v>127</v>
      </c>
      <c r="B90" s="39">
        <v>64</v>
      </c>
      <c r="C90" s="7" t="s">
        <v>36</v>
      </c>
      <c r="D90" s="4" t="s">
        <v>37</v>
      </c>
      <c r="E90" s="6" t="s">
        <v>122</v>
      </c>
      <c r="F90" s="12">
        <f>INDEX('PEDIDO JULIO'!A20:I35,1,9)</f>
        <v>0</v>
      </c>
      <c r="G90" s="8">
        <f>IFERROR(VLOOKUP($B90,'[1]INSUMO POR SEDES MARZO PRUEBA'!$B$6:$CD$109,11,0),"NO BD")</f>
        <v>13820.650000000001</v>
      </c>
      <c r="H90" s="8"/>
      <c r="I90" s="8">
        <f t="shared" si="4"/>
        <v>0</v>
      </c>
      <c r="J90" s="14">
        <f t="shared" si="5"/>
        <v>0</v>
      </c>
      <c r="K90" s="14">
        <f t="shared" si="6"/>
        <v>0</v>
      </c>
      <c r="L90" s="14">
        <f t="shared" si="7"/>
        <v>0</v>
      </c>
    </row>
    <row r="91" spans="1:12" ht="15">
      <c r="A91" s="3">
        <v>128</v>
      </c>
      <c r="B91" s="39">
        <v>65</v>
      </c>
      <c r="C91" s="7" t="s">
        <v>36</v>
      </c>
      <c r="D91" s="4" t="s">
        <v>38</v>
      </c>
      <c r="E91" s="6" t="s">
        <v>122</v>
      </c>
      <c r="F91" s="12">
        <f>INDEX('PEDIDO JULIO'!A21:I35,1,9)</f>
        <v>0</v>
      </c>
      <c r="G91" s="8">
        <f>IFERROR(VLOOKUP($B91,'[1]INSUMO POR SEDES MARZO PRUEBA'!$B$6:$CD$109,11,0),"NO BD")</f>
        <v>13820.650000000001</v>
      </c>
      <c r="H91" s="8"/>
      <c r="I91" s="8">
        <f t="shared" si="4"/>
        <v>0</v>
      </c>
      <c r="J91" s="14">
        <f t="shared" si="5"/>
        <v>0</v>
      </c>
      <c r="K91" s="14">
        <f t="shared" si="6"/>
        <v>0</v>
      </c>
      <c r="L91" s="14">
        <f t="shared" si="7"/>
        <v>0</v>
      </c>
    </row>
    <row r="92" spans="1:12" ht="15">
      <c r="A92" s="3">
        <v>129</v>
      </c>
      <c r="B92" s="39">
        <v>66</v>
      </c>
      <c r="C92" s="7" t="s">
        <v>39</v>
      </c>
      <c r="D92" s="4" t="s">
        <v>40</v>
      </c>
      <c r="E92" s="6" t="s">
        <v>122</v>
      </c>
      <c r="F92" s="12">
        <f>INDEX('PEDIDO JULIO'!A22:I35,1,9)</f>
        <v>0</v>
      </c>
      <c r="G92" s="8">
        <f>IFERROR(VLOOKUP($B92,'[1]INSUMO POR SEDES MARZO PRUEBA'!$B$6:$CD$109,11,0),"NO BD")</f>
        <v>2887.0970000000002</v>
      </c>
      <c r="H92" s="8"/>
      <c r="I92" s="8">
        <f t="shared" si="4"/>
        <v>0</v>
      </c>
      <c r="J92" s="14">
        <f t="shared" si="5"/>
        <v>0</v>
      </c>
      <c r="K92" s="14">
        <f t="shared" si="6"/>
        <v>0</v>
      </c>
      <c r="L92" s="14">
        <f t="shared" si="7"/>
        <v>0</v>
      </c>
    </row>
    <row r="93" spans="1:12" ht="15">
      <c r="A93" s="3">
        <v>130</v>
      </c>
      <c r="B93" s="39">
        <v>71</v>
      </c>
      <c r="C93" s="7" t="s">
        <v>39</v>
      </c>
      <c r="D93" s="4" t="s">
        <v>41</v>
      </c>
      <c r="E93" s="6" t="s">
        <v>122</v>
      </c>
      <c r="F93" s="12">
        <f>INDEX('PEDIDO JULIO'!A23:I36,1,9)</f>
        <v>0</v>
      </c>
      <c r="G93" s="8">
        <f>IFERROR(VLOOKUP($B93,'[1]INSUMO POR SEDES MARZO PRUEBA'!$B$6:$CD$109,11,0),"NO BD")</f>
        <v>5196.1440000000002</v>
      </c>
      <c r="H93" s="8"/>
      <c r="I93" s="8">
        <f t="shared" si="4"/>
        <v>0</v>
      </c>
      <c r="J93" s="14">
        <f t="shared" ref="J93:J135" si="8">+I93*10%</f>
        <v>0</v>
      </c>
      <c r="K93" s="14">
        <f t="shared" ref="K93:K135" si="9">+J93*19%</f>
        <v>0</v>
      </c>
      <c r="L93" s="14">
        <f t="shared" ref="L93:L135" si="10">SUM(I93:K93)</f>
        <v>0</v>
      </c>
    </row>
    <row r="94" spans="1:12" ht="15">
      <c r="A94" s="3">
        <v>131</v>
      </c>
      <c r="B94" s="39">
        <v>72</v>
      </c>
      <c r="C94" s="7" t="s">
        <v>151</v>
      </c>
      <c r="D94" s="4" t="s">
        <v>42</v>
      </c>
      <c r="E94" s="6" t="s">
        <v>122</v>
      </c>
      <c r="F94" s="12">
        <f>INDEX('PEDIDO JULIO'!A23:I37,1,9)</f>
        <v>0</v>
      </c>
      <c r="G94" s="8">
        <f>IFERROR(VLOOKUP($B94,'[1]INSUMO POR SEDES MARZO PRUEBA'!$B$6:$CD$109,11,0),"NO BD")</f>
        <v>7861.3749000000007</v>
      </c>
      <c r="H94" s="8"/>
      <c r="I94" s="8">
        <f t="shared" si="4"/>
        <v>0</v>
      </c>
      <c r="J94" s="14">
        <f t="shared" si="8"/>
        <v>0</v>
      </c>
      <c r="K94" s="14">
        <f t="shared" si="9"/>
        <v>0</v>
      </c>
      <c r="L94" s="14">
        <f t="shared" si="10"/>
        <v>0</v>
      </c>
    </row>
    <row r="95" spans="1:12" ht="15">
      <c r="A95" s="3">
        <v>132</v>
      </c>
      <c r="B95" s="39">
        <v>73</v>
      </c>
      <c r="C95" s="7" t="s">
        <v>151</v>
      </c>
      <c r="D95" s="4" t="s">
        <v>43</v>
      </c>
      <c r="E95" s="6" t="s">
        <v>122</v>
      </c>
      <c r="F95" s="12">
        <f>INDEX('PEDIDO JULIO'!A24:I37,1,9)</f>
        <v>0</v>
      </c>
      <c r="G95" s="8">
        <f>IFERROR(VLOOKUP($B95,'[1]INSUMO POR SEDES MARZO PRUEBA'!$B$6:$CD$109,11,0),"NO BD")</f>
        <v>4975.4340000000011</v>
      </c>
      <c r="H95" s="8"/>
      <c r="I95" s="8">
        <f t="shared" si="4"/>
        <v>0</v>
      </c>
      <c r="J95" s="14">
        <f t="shared" si="8"/>
        <v>0</v>
      </c>
      <c r="K95" s="14">
        <f t="shared" si="9"/>
        <v>0</v>
      </c>
      <c r="L95" s="14">
        <f t="shared" si="10"/>
        <v>0</v>
      </c>
    </row>
    <row r="96" spans="1:12" ht="15">
      <c r="A96" s="3">
        <v>133</v>
      </c>
      <c r="B96" s="39">
        <v>74</v>
      </c>
      <c r="C96" s="7" t="s">
        <v>151</v>
      </c>
      <c r="D96" s="4" t="s">
        <v>44</v>
      </c>
      <c r="E96" s="6" t="s">
        <v>122</v>
      </c>
      <c r="F96" s="12">
        <f>INDEX('PEDIDO JULIO'!A25:I37,1,9)</f>
        <v>0</v>
      </c>
      <c r="G96" s="8">
        <f>IFERROR(VLOOKUP($B96,'[1]INSUMO POR SEDES MARZO PRUEBA'!$B$6:$CD$109,11,0),"NO BD")</f>
        <v>6915.4749000000002</v>
      </c>
      <c r="H96" s="8"/>
      <c r="I96" s="8">
        <f t="shared" si="4"/>
        <v>0</v>
      </c>
      <c r="J96" s="14">
        <f t="shared" si="8"/>
        <v>0</v>
      </c>
      <c r="K96" s="14">
        <f t="shared" si="9"/>
        <v>0</v>
      </c>
      <c r="L96" s="14">
        <f t="shared" si="10"/>
        <v>0</v>
      </c>
    </row>
    <row r="97" spans="1:12" ht="40.5">
      <c r="A97" s="3">
        <v>134</v>
      </c>
      <c r="B97" s="39">
        <v>79</v>
      </c>
      <c r="C97" s="7" t="s">
        <v>151</v>
      </c>
      <c r="D97" s="4" t="s">
        <v>45</v>
      </c>
      <c r="E97" s="6" t="s">
        <v>122</v>
      </c>
      <c r="F97" s="12">
        <f>INDEX('PEDIDO JULIO'!A26:I37,1,9)</f>
        <v>0</v>
      </c>
      <c r="G97" s="8">
        <f>IFERROR(VLOOKUP($B97,'[1]INSUMO POR SEDES MARZO PRUEBA'!$B$6:$CD$109,11,0),"NO BD")</f>
        <v>541.2650000000001</v>
      </c>
      <c r="H97" s="8"/>
      <c r="I97" s="8">
        <f t="shared" si="4"/>
        <v>0</v>
      </c>
      <c r="J97" s="14">
        <f t="shared" si="8"/>
        <v>0</v>
      </c>
      <c r="K97" s="14">
        <f t="shared" si="9"/>
        <v>0</v>
      </c>
      <c r="L97" s="14">
        <f t="shared" si="10"/>
        <v>0</v>
      </c>
    </row>
    <row r="98" spans="1:12" ht="27">
      <c r="A98" s="3">
        <v>135</v>
      </c>
      <c r="B98" s="39">
        <v>80</v>
      </c>
      <c r="C98" s="7" t="s">
        <v>46</v>
      </c>
      <c r="D98" s="4" t="s">
        <v>47</v>
      </c>
      <c r="E98" s="6" t="s">
        <v>122</v>
      </c>
      <c r="F98" s="12">
        <f>INDEX('PEDIDO JULIO'!A27:I37,1,9)</f>
        <v>0</v>
      </c>
      <c r="G98" s="8">
        <f>IFERROR(VLOOKUP($B98,'[1]INSUMO POR SEDES MARZO PRUEBA'!$B$6:$CD$109,11,0),"NO BD")</f>
        <v>433.01199999999994</v>
      </c>
      <c r="H98" s="8"/>
      <c r="I98" s="8">
        <f t="shared" si="4"/>
        <v>0</v>
      </c>
      <c r="J98" s="14">
        <f t="shared" si="8"/>
        <v>0</v>
      </c>
      <c r="K98" s="14">
        <f t="shared" si="9"/>
        <v>0</v>
      </c>
      <c r="L98" s="14">
        <f t="shared" si="10"/>
        <v>0</v>
      </c>
    </row>
    <row r="99" spans="1:12" ht="15">
      <c r="A99" s="3">
        <v>136</v>
      </c>
      <c r="B99" s="39">
        <v>81</v>
      </c>
      <c r="C99" s="7" t="s">
        <v>159</v>
      </c>
      <c r="D99" s="4" t="s">
        <v>48</v>
      </c>
      <c r="E99" s="6" t="s">
        <v>122</v>
      </c>
      <c r="F99" s="12">
        <f>INDEX('PEDIDO JULIO'!A28:I37,1,9)</f>
        <v>10</v>
      </c>
      <c r="G99" s="8">
        <f>IFERROR(VLOOKUP($B99,'[1]INSUMO POR SEDES MARZO PRUEBA'!$B$6:$CD$109,11,0),"NO BD")</f>
        <v>211.251</v>
      </c>
      <c r="H99" s="8"/>
      <c r="I99" s="8">
        <f t="shared" si="4"/>
        <v>2112.5100000000002</v>
      </c>
      <c r="J99" s="14">
        <f t="shared" si="8"/>
        <v>211.25100000000003</v>
      </c>
      <c r="K99" s="14">
        <f t="shared" si="9"/>
        <v>40.137690000000006</v>
      </c>
      <c r="L99" s="14">
        <f t="shared" si="10"/>
        <v>2363.8986900000004</v>
      </c>
    </row>
    <row r="100" spans="1:12" ht="15">
      <c r="A100" s="3">
        <v>137</v>
      </c>
      <c r="B100" s="39">
        <v>82</v>
      </c>
      <c r="C100" s="7" t="s">
        <v>159</v>
      </c>
      <c r="D100" s="4" t="s">
        <v>49</v>
      </c>
      <c r="E100" s="6" t="s">
        <v>122</v>
      </c>
      <c r="F100" s="12">
        <f>INDEX('PEDIDO JULIO'!A28:I37,1,9)</f>
        <v>10</v>
      </c>
      <c r="G100" s="8">
        <f>IFERROR(VLOOKUP($B100,'[1]INSUMO POR SEDES MARZO PRUEBA'!$B$6:$CD$109,11,0),"NO BD")</f>
        <v>1003.7049999999999</v>
      </c>
      <c r="H100" s="8"/>
      <c r="I100" s="8">
        <f t="shared" si="4"/>
        <v>10037.049999999999</v>
      </c>
      <c r="J100" s="14">
        <f t="shared" si="8"/>
        <v>1003.7049999999999</v>
      </c>
      <c r="K100" s="14">
        <f t="shared" si="9"/>
        <v>190.70394999999999</v>
      </c>
      <c r="L100" s="14">
        <f t="shared" si="10"/>
        <v>11231.458949999998</v>
      </c>
    </row>
    <row r="101" spans="1:12" ht="15">
      <c r="A101" s="3">
        <v>138</v>
      </c>
      <c r="B101" s="39">
        <v>83</v>
      </c>
      <c r="C101" s="7" t="s">
        <v>159</v>
      </c>
      <c r="D101" s="4" t="s">
        <v>50</v>
      </c>
      <c r="E101" s="6" t="s">
        <v>122</v>
      </c>
      <c r="F101" s="12">
        <f>INDEX('PEDIDO JULIO'!A29:I37,1,9)</f>
        <v>3</v>
      </c>
      <c r="G101" s="8">
        <f>IFERROR(VLOOKUP($B101,'[1]INSUMO POR SEDES MARZO PRUEBA'!$B$6:$CD$109,11,0),"NO BD")</f>
        <v>336.32</v>
      </c>
      <c r="H101" s="8"/>
      <c r="I101" s="8">
        <f t="shared" si="4"/>
        <v>1008.96</v>
      </c>
      <c r="J101" s="14">
        <f t="shared" si="8"/>
        <v>100.89600000000002</v>
      </c>
      <c r="K101" s="14">
        <f t="shared" si="9"/>
        <v>19.170240000000003</v>
      </c>
      <c r="L101" s="14">
        <f t="shared" si="10"/>
        <v>1129.0262399999999</v>
      </c>
    </row>
    <row r="102" spans="1:12" ht="15">
      <c r="A102" s="3">
        <v>139</v>
      </c>
      <c r="B102" s="39">
        <v>88</v>
      </c>
      <c r="C102" s="7" t="s">
        <v>159</v>
      </c>
      <c r="D102" s="4" t="s">
        <v>51</v>
      </c>
      <c r="E102" s="6" t="s">
        <v>122</v>
      </c>
      <c r="F102" s="12">
        <f>INDEX('PEDIDO JULIO'!A30:I37,1,9)</f>
        <v>2</v>
      </c>
      <c r="G102" s="8">
        <f>IFERROR(VLOOKUP($B102,'[1]INSUMO POR SEDES MARZO PRUEBA'!$B$6:$CD$109,11,0),"NO BD")</f>
        <v>2717.886</v>
      </c>
      <c r="H102" s="8"/>
      <c r="I102" s="8">
        <f t="shared" si="4"/>
        <v>5435.7719999999999</v>
      </c>
      <c r="J102" s="14">
        <f t="shared" si="8"/>
        <v>543.57720000000006</v>
      </c>
      <c r="K102" s="14">
        <f t="shared" si="9"/>
        <v>103.27966800000002</v>
      </c>
      <c r="L102" s="14">
        <f t="shared" si="10"/>
        <v>6082.6288679999998</v>
      </c>
    </row>
    <row r="103" spans="1:12" ht="15">
      <c r="A103" s="3">
        <v>140</v>
      </c>
      <c r="B103" s="39">
        <v>92</v>
      </c>
      <c r="C103" s="7" t="s">
        <v>159</v>
      </c>
      <c r="D103" s="4" t="s">
        <v>52</v>
      </c>
      <c r="E103" s="6" t="s">
        <v>122</v>
      </c>
      <c r="F103" s="12">
        <f>INDEX('PEDIDO JULIO'!A31:I37,1,9)</f>
        <v>0</v>
      </c>
      <c r="G103" s="8">
        <f>IFERROR(VLOOKUP($B103,'[1]INSUMO POR SEDES MARZO PRUEBA'!$B$6:$CD$109,11,0),"NO BD")</f>
        <v>2380.5149999999999</v>
      </c>
      <c r="H103" s="8"/>
      <c r="I103" s="8">
        <f t="shared" si="4"/>
        <v>0</v>
      </c>
      <c r="J103" s="14">
        <f t="shared" si="8"/>
        <v>0</v>
      </c>
      <c r="K103" s="14">
        <f t="shared" si="9"/>
        <v>0</v>
      </c>
      <c r="L103" s="14">
        <f t="shared" si="10"/>
        <v>0</v>
      </c>
    </row>
    <row r="104" spans="1:12" ht="15">
      <c r="A104" s="3">
        <v>141</v>
      </c>
      <c r="B104" s="39">
        <v>94</v>
      </c>
      <c r="C104" s="7" t="s">
        <v>53</v>
      </c>
      <c r="D104" s="4" t="s">
        <v>54</v>
      </c>
      <c r="E104" s="6" t="s">
        <v>122</v>
      </c>
      <c r="F104" s="12">
        <f>INDEX('PEDIDO JULIO'!A32:I37,1,9)</f>
        <v>0</v>
      </c>
      <c r="G104" s="8">
        <f>IFERROR(VLOOKUP($B104,'[1]INSUMO POR SEDES MARZO PRUEBA'!$B$6:$CD$109,11,0),"NO BD")</f>
        <v>3316.9560000000001</v>
      </c>
      <c r="H104" s="8"/>
      <c r="I104" s="8">
        <f t="shared" si="4"/>
        <v>0</v>
      </c>
      <c r="J104" s="14">
        <f t="shared" si="8"/>
        <v>0</v>
      </c>
      <c r="K104" s="14">
        <f t="shared" si="9"/>
        <v>0</v>
      </c>
      <c r="L104" s="14">
        <f t="shared" si="10"/>
        <v>0</v>
      </c>
    </row>
    <row r="105" spans="1:12" ht="15">
      <c r="A105" s="3">
        <v>142</v>
      </c>
      <c r="B105" s="39">
        <v>98</v>
      </c>
      <c r="C105" s="7" t="s">
        <v>53</v>
      </c>
      <c r="D105" s="4" t="s">
        <v>55</v>
      </c>
      <c r="E105" s="6" t="s">
        <v>122</v>
      </c>
      <c r="F105" s="12">
        <f>INDEX('PEDIDO JULIO'!A33:I37,1,9)</f>
        <v>0</v>
      </c>
      <c r="G105" s="8">
        <f>IFERROR(VLOOKUP($B105,'[1]INSUMO POR SEDES MARZO PRUEBA'!$B$6:$CD$109,11,0),"NO BD")</f>
        <v>9503.4573</v>
      </c>
      <c r="H105" s="8"/>
      <c r="I105" s="8">
        <f t="shared" si="4"/>
        <v>0</v>
      </c>
      <c r="J105" s="14">
        <f t="shared" si="8"/>
        <v>0</v>
      </c>
      <c r="K105" s="14">
        <f t="shared" si="9"/>
        <v>0</v>
      </c>
      <c r="L105" s="14">
        <f t="shared" si="10"/>
        <v>0</v>
      </c>
    </row>
    <row r="106" spans="1:12" ht="15">
      <c r="A106" s="3">
        <v>143</v>
      </c>
      <c r="B106" s="39">
        <v>100</v>
      </c>
      <c r="C106" s="7" t="s">
        <v>53</v>
      </c>
      <c r="D106" s="4" t="s">
        <v>56</v>
      </c>
      <c r="E106" s="6" t="s">
        <v>122</v>
      </c>
      <c r="F106" s="12">
        <f>INDEX('PEDIDO JULIO'!A33:I38,1,9)</f>
        <v>0</v>
      </c>
      <c r="G106" s="8">
        <f>IFERROR(VLOOKUP($B106,'[1]INSUMO POR SEDES MARZO PRUEBA'!$B$6:$CD$109,11,0),"NO BD")</f>
        <v>4364.8029999999999</v>
      </c>
      <c r="H106" s="8"/>
      <c r="I106" s="8">
        <f t="shared" si="4"/>
        <v>0</v>
      </c>
      <c r="J106" s="14">
        <f t="shared" si="8"/>
        <v>0</v>
      </c>
      <c r="K106" s="14">
        <f t="shared" si="9"/>
        <v>0</v>
      </c>
      <c r="L106" s="14">
        <f t="shared" si="10"/>
        <v>0</v>
      </c>
    </row>
    <row r="107" spans="1:12" ht="15">
      <c r="A107" s="3">
        <v>144</v>
      </c>
      <c r="B107" s="39">
        <v>102</v>
      </c>
      <c r="C107" s="7" t="s">
        <v>53</v>
      </c>
      <c r="D107" s="4" t="s">
        <v>57</v>
      </c>
      <c r="E107" s="6" t="s">
        <v>122</v>
      </c>
      <c r="F107" s="12">
        <f>INDEX('PEDIDO JULIO'!A33:I38,1,9)</f>
        <v>0</v>
      </c>
      <c r="G107" s="8">
        <f>IFERROR(VLOOKUP($B107,'[1]INSUMO POR SEDES MARZO PRUEBA'!$B$6:$CD$109,11,0),"NO BD")</f>
        <v>3811.9770000000003</v>
      </c>
      <c r="H107" s="8"/>
      <c r="I107" s="8">
        <f t="shared" si="4"/>
        <v>0</v>
      </c>
      <c r="J107" s="14">
        <f t="shared" si="8"/>
        <v>0</v>
      </c>
      <c r="K107" s="14">
        <f t="shared" si="9"/>
        <v>0</v>
      </c>
      <c r="L107" s="14">
        <f t="shared" si="10"/>
        <v>0</v>
      </c>
    </row>
    <row r="108" spans="1:12" ht="27">
      <c r="A108" s="3">
        <v>145</v>
      </c>
      <c r="B108" s="39">
        <v>110</v>
      </c>
      <c r="C108" s="7" t="s">
        <v>160</v>
      </c>
      <c r="D108" s="4" t="s">
        <v>58</v>
      </c>
      <c r="E108" s="6" t="s">
        <v>122</v>
      </c>
      <c r="F108" s="12">
        <f>INDEX('PEDIDO JULIO'!A33:I39,1,9)</f>
        <v>0</v>
      </c>
      <c r="G108" s="8">
        <f>IFERROR(VLOOKUP($B108,'[1]INSUMO POR SEDES MARZO PRUEBA'!$B$6:$CD$109,11,0),"NO BD")</f>
        <v>1442.4974999999999</v>
      </c>
      <c r="H108" s="8"/>
      <c r="I108" s="8">
        <f t="shared" si="4"/>
        <v>0</v>
      </c>
      <c r="J108" s="14">
        <f t="shared" si="8"/>
        <v>0</v>
      </c>
      <c r="K108" s="14">
        <f t="shared" si="9"/>
        <v>0</v>
      </c>
      <c r="L108" s="14">
        <f t="shared" si="10"/>
        <v>0</v>
      </c>
    </row>
    <row r="109" spans="1:12" ht="15">
      <c r="A109" s="3">
        <v>146</v>
      </c>
      <c r="B109" s="39">
        <v>118</v>
      </c>
      <c r="C109" s="7" t="s">
        <v>160</v>
      </c>
      <c r="D109" s="4" t="s">
        <v>59</v>
      </c>
      <c r="E109" s="6" t="s">
        <v>122</v>
      </c>
      <c r="F109" s="12">
        <f>INDEX('PEDIDO JULIO'!A33:I40,1,9)</f>
        <v>0</v>
      </c>
      <c r="G109" s="8">
        <f>IFERROR(VLOOKUP($B109,'[1]INSUMO POR SEDES MARZO PRUEBA'!$B$6:$CD$109,11,0),"NO BD")</f>
        <v>4129.7993999999999</v>
      </c>
      <c r="H109" s="8"/>
      <c r="I109" s="8">
        <f t="shared" si="4"/>
        <v>0</v>
      </c>
      <c r="J109" s="14">
        <f t="shared" si="8"/>
        <v>0</v>
      </c>
      <c r="K109" s="14">
        <f t="shared" si="9"/>
        <v>0</v>
      </c>
      <c r="L109" s="14">
        <f t="shared" si="10"/>
        <v>0</v>
      </c>
    </row>
    <row r="110" spans="1:12" ht="15">
      <c r="A110" s="3">
        <v>147</v>
      </c>
      <c r="B110" s="39">
        <v>119</v>
      </c>
      <c r="C110" s="7" t="s">
        <v>60</v>
      </c>
      <c r="D110" s="4" t="s">
        <v>61</v>
      </c>
      <c r="E110" s="6" t="s">
        <v>122</v>
      </c>
      <c r="F110" s="12">
        <f>INDEX('PEDIDO JULIO'!A33:I40,1,9)</f>
        <v>0</v>
      </c>
      <c r="G110" s="8">
        <f>IFERROR(VLOOKUP($B110,'[1]INSUMO POR SEDES MARZO PRUEBA'!$B$6:$CD$109,11,0),"NO BD")</f>
        <v>4259.3877000000002</v>
      </c>
      <c r="H110" s="8"/>
      <c r="I110" s="8">
        <f t="shared" si="4"/>
        <v>0</v>
      </c>
      <c r="J110" s="14">
        <f t="shared" si="8"/>
        <v>0</v>
      </c>
      <c r="K110" s="14">
        <f t="shared" si="9"/>
        <v>0</v>
      </c>
      <c r="L110" s="14">
        <f t="shared" si="10"/>
        <v>0</v>
      </c>
    </row>
    <row r="111" spans="1:12" ht="15">
      <c r="A111" s="3">
        <v>148</v>
      </c>
      <c r="B111" s="39">
        <v>120</v>
      </c>
      <c r="C111" s="7" t="s">
        <v>60</v>
      </c>
      <c r="D111" s="4" t="s">
        <v>62</v>
      </c>
      <c r="E111" s="6" t="s">
        <v>122</v>
      </c>
      <c r="F111" s="12">
        <f>INDEX('PEDIDO JULIO'!A33:I40,1,9)</f>
        <v>0</v>
      </c>
      <c r="G111" s="8">
        <f>IFERROR(VLOOKUP($B111,'[1]INSUMO POR SEDES MARZO PRUEBA'!$B$6:$CD$109,11,0),"NO BD")</f>
        <v>4259.3877000000002</v>
      </c>
      <c r="H111" s="8"/>
      <c r="I111" s="8">
        <f t="shared" si="4"/>
        <v>0</v>
      </c>
      <c r="J111" s="14">
        <f t="shared" si="8"/>
        <v>0</v>
      </c>
      <c r="K111" s="14">
        <f t="shared" si="9"/>
        <v>0</v>
      </c>
      <c r="L111" s="14">
        <f t="shared" si="10"/>
        <v>0</v>
      </c>
    </row>
    <row r="112" spans="1:12" ht="15">
      <c r="A112" s="3">
        <v>149</v>
      </c>
      <c r="B112" s="39">
        <v>122</v>
      </c>
      <c r="C112" s="7" t="s">
        <v>151</v>
      </c>
      <c r="D112" s="4" t="s">
        <v>63</v>
      </c>
      <c r="E112" s="6" t="s">
        <v>122</v>
      </c>
      <c r="F112" s="12">
        <f>INDEX('PEDIDO JULIO'!A33:I41,1,9)</f>
        <v>0</v>
      </c>
      <c r="G112" s="8">
        <f>IFERROR(VLOOKUP($B112,'[1]INSUMO POR SEDES MARZO PRUEBA'!$B$6:$CD$109,11,0),"NO BD")</f>
        <v>5920.3881000000001</v>
      </c>
      <c r="H112" s="8"/>
      <c r="I112" s="8">
        <f t="shared" si="4"/>
        <v>0</v>
      </c>
      <c r="J112" s="14">
        <f t="shared" si="8"/>
        <v>0</v>
      </c>
      <c r="K112" s="14">
        <f t="shared" si="9"/>
        <v>0</v>
      </c>
      <c r="L112" s="14">
        <f t="shared" si="10"/>
        <v>0</v>
      </c>
    </row>
    <row r="113" spans="1:12" ht="15">
      <c r="A113" s="3">
        <v>150</v>
      </c>
      <c r="B113" s="39">
        <v>123</v>
      </c>
      <c r="C113" s="7" t="s">
        <v>160</v>
      </c>
      <c r="D113" s="4" t="s">
        <v>64</v>
      </c>
      <c r="E113" s="6" t="s">
        <v>122</v>
      </c>
      <c r="F113" s="12">
        <f>INDEX('PEDIDO JULIO'!A33:I41,1,9)</f>
        <v>0</v>
      </c>
      <c r="G113" s="8">
        <f>IFERROR(VLOOKUP($B113,'[1]INSUMO POR SEDES MARZO PRUEBA'!$B$6:$CD$109,11,0),"NO BD")</f>
        <v>5765.7860000000001</v>
      </c>
      <c r="H113" s="8"/>
      <c r="I113" s="8">
        <f t="shared" si="4"/>
        <v>0</v>
      </c>
      <c r="J113" s="14">
        <f t="shared" si="8"/>
        <v>0</v>
      </c>
      <c r="K113" s="14">
        <f t="shared" si="9"/>
        <v>0</v>
      </c>
      <c r="L113" s="14">
        <f t="shared" si="10"/>
        <v>0</v>
      </c>
    </row>
    <row r="114" spans="1:12" ht="27">
      <c r="A114" s="3">
        <v>151</v>
      </c>
      <c r="B114" s="39">
        <v>124</v>
      </c>
      <c r="C114" s="7" t="s">
        <v>60</v>
      </c>
      <c r="D114" s="4" t="s">
        <v>65</v>
      </c>
      <c r="E114" s="6" t="s">
        <v>122</v>
      </c>
      <c r="F114" s="12">
        <f>INDEX('PEDIDO JULIO'!A33:I42,1,9)</f>
        <v>0</v>
      </c>
      <c r="G114" s="8">
        <f>IFERROR(VLOOKUP($B114,'[1]INSUMO POR SEDES MARZO PRUEBA'!$B$6:$CD$109,11,0),"NO BD")</f>
        <v>6169.1598000000004</v>
      </c>
      <c r="H114" s="8"/>
      <c r="I114" s="8">
        <f t="shared" si="4"/>
        <v>0</v>
      </c>
      <c r="J114" s="14">
        <f t="shared" si="8"/>
        <v>0</v>
      </c>
      <c r="K114" s="14">
        <f t="shared" si="9"/>
        <v>0</v>
      </c>
      <c r="L114" s="14">
        <f t="shared" si="10"/>
        <v>0</v>
      </c>
    </row>
    <row r="115" spans="1:12" ht="15">
      <c r="A115" s="3">
        <v>152</v>
      </c>
      <c r="B115" s="39">
        <v>137</v>
      </c>
      <c r="C115" s="7" t="s">
        <v>66</v>
      </c>
      <c r="D115" s="4" t="s">
        <v>67</v>
      </c>
      <c r="E115" s="6" t="s">
        <v>122</v>
      </c>
      <c r="F115" s="12">
        <f>INDEX('PEDIDO JULIO'!A33:I42,1,9)</f>
        <v>0</v>
      </c>
      <c r="G115" s="8">
        <f>IFERROR(VLOOKUP($B115,'[1]INSUMO POR SEDES MARZO PRUEBA'!$B$6:$CD$109,11,0),"NO BD")</f>
        <v>0</v>
      </c>
      <c r="H115" s="8"/>
      <c r="I115" s="8">
        <f t="shared" si="4"/>
        <v>0</v>
      </c>
      <c r="J115" s="14">
        <f t="shared" si="8"/>
        <v>0</v>
      </c>
      <c r="K115" s="14">
        <f t="shared" si="9"/>
        <v>0</v>
      </c>
      <c r="L115" s="14">
        <f t="shared" si="10"/>
        <v>0</v>
      </c>
    </row>
    <row r="116" spans="1:12" ht="15">
      <c r="A116" s="3">
        <v>153</v>
      </c>
      <c r="B116" s="39">
        <v>139</v>
      </c>
      <c r="C116" s="7" t="s">
        <v>66</v>
      </c>
      <c r="D116" s="4" t="s">
        <v>68</v>
      </c>
      <c r="E116" s="6" t="s">
        <v>122</v>
      </c>
      <c r="F116" s="12">
        <f>INDEX('PEDIDO JULIO'!A33:I42,1,9)</f>
        <v>0</v>
      </c>
      <c r="G116" s="8">
        <f>IFERROR(VLOOKUP($B116,'[1]INSUMO POR SEDES MARZO PRUEBA'!$B$6:$CD$109,11,0),"NO BD")</f>
        <v>25429.996000000003</v>
      </c>
      <c r="H116" s="8"/>
      <c r="I116" s="8">
        <f t="shared" si="4"/>
        <v>0</v>
      </c>
      <c r="J116" s="14">
        <f t="shared" si="8"/>
        <v>0</v>
      </c>
      <c r="K116" s="14">
        <f t="shared" si="9"/>
        <v>0</v>
      </c>
      <c r="L116" s="14">
        <f t="shared" si="10"/>
        <v>0</v>
      </c>
    </row>
    <row r="117" spans="1:12" ht="15">
      <c r="A117" s="3">
        <v>154</v>
      </c>
      <c r="B117" s="39">
        <v>151</v>
      </c>
      <c r="C117" s="7" t="s">
        <v>66</v>
      </c>
      <c r="D117" s="4" t="s">
        <v>69</v>
      </c>
      <c r="E117" s="6" t="s">
        <v>122</v>
      </c>
      <c r="F117" s="12">
        <f>INDEX('PEDIDO JULIO'!A33:I42,1,9)</f>
        <v>0</v>
      </c>
      <c r="G117" s="8">
        <f>IFERROR(VLOOKUP($B117,'[1]INSUMO POR SEDES MARZO PRUEBA'!$B$6:$CD$109,11,0),"NO BD")</f>
        <v>7960.6944000000003</v>
      </c>
      <c r="H117" s="8"/>
      <c r="I117" s="8">
        <f t="shared" si="4"/>
        <v>0</v>
      </c>
      <c r="J117" s="14">
        <f t="shared" si="8"/>
        <v>0</v>
      </c>
      <c r="K117" s="14">
        <f t="shared" si="9"/>
        <v>0</v>
      </c>
      <c r="L117" s="14">
        <f t="shared" si="10"/>
        <v>0</v>
      </c>
    </row>
    <row r="118" spans="1:12" ht="15">
      <c r="A118" s="3">
        <v>155</v>
      </c>
      <c r="B118" s="39">
        <v>155</v>
      </c>
      <c r="C118" s="7" t="s">
        <v>66</v>
      </c>
      <c r="D118" s="4" t="s">
        <v>70</v>
      </c>
      <c r="E118" s="6" t="s">
        <v>122</v>
      </c>
      <c r="F118" s="12">
        <f>INDEX('PEDIDO JULIO'!A33:I43,1,9)</f>
        <v>0</v>
      </c>
      <c r="G118" s="8">
        <f>IFERROR(VLOOKUP($B118,'[1]INSUMO POR SEDES MARZO PRUEBA'!$B$6:$CD$109,11,0),"NO BD")</f>
        <v>5005.7028</v>
      </c>
      <c r="H118" s="8"/>
      <c r="I118" s="8">
        <f t="shared" si="4"/>
        <v>0</v>
      </c>
      <c r="J118" s="14">
        <f t="shared" si="8"/>
        <v>0</v>
      </c>
      <c r="K118" s="14">
        <f t="shared" si="9"/>
        <v>0</v>
      </c>
      <c r="L118" s="14">
        <f t="shared" si="10"/>
        <v>0</v>
      </c>
    </row>
    <row r="119" spans="1:12" ht="15">
      <c r="A119" s="3">
        <v>156</v>
      </c>
      <c r="B119" s="39">
        <v>156</v>
      </c>
      <c r="C119" s="7" t="s">
        <v>66</v>
      </c>
      <c r="D119" s="4" t="s">
        <v>71</v>
      </c>
      <c r="E119" s="6" t="s">
        <v>122</v>
      </c>
      <c r="F119" s="12">
        <f>INDEX('PEDIDO JULIO'!A33:I43,1,9)</f>
        <v>0</v>
      </c>
      <c r="G119" s="8">
        <f>IFERROR(VLOOKUP($B119,'[1]INSUMO POR SEDES MARZO PRUEBA'!$B$6:$CD$109,11,0),"NO BD")</f>
        <v>4422.6080000000002</v>
      </c>
      <c r="H119" s="8"/>
      <c r="I119" s="8">
        <f t="shared" si="4"/>
        <v>0</v>
      </c>
      <c r="J119" s="14">
        <f t="shared" si="8"/>
        <v>0</v>
      </c>
      <c r="K119" s="14">
        <f t="shared" si="9"/>
        <v>0</v>
      </c>
      <c r="L119" s="14">
        <f t="shared" si="10"/>
        <v>0</v>
      </c>
    </row>
    <row r="120" spans="1:12" ht="15">
      <c r="A120" s="3">
        <v>157</v>
      </c>
      <c r="B120" s="39">
        <v>157</v>
      </c>
      <c r="C120" s="7" t="s">
        <v>66</v>
      </c>
      <c r="D120" s="4" t="s">
        <v>72</v>
      </c>
      <c r="E120" s="6" t="s">
        <v>122</v>
      </c>
      <c r="F120" s="12">
        <f>INDEX('PEDIDO JULIO'!A33:I43,1,9)</f>
        <v>0</v>
      </c>
      <c r="G120" s="8">
        <f>IFERROR(VLOOKUP($B120,'[1]INSUMO POR SEDES MARZO PRUEBA'!$B$6:$CD$109,11,0),"NO BD")</f>
        <v>5970.7309999999998</v>
      </c>
      <c r="H120" s="8"/>
      <c r="I120" s="8">
        <f t="shared" si="4"/>
        <v>0</v>
      </c>
      <c r="J120" s="14">
        <f t="shared" si="8"/>
        <v>0</v>
      </c>
      <c r="K120" s="14">
        <f t="shared" si="9"/>
        <v>0</v>
      </c>
      <c r="L120" s="14">
        <f t="shared" si="10"/>
        <v>0</v>
      </c>
    </row>
    <row r="121" spans="1:12" ht="15">
      <c r="A121" s="3">
        <v>158</v>
      </c>
      <c r="B121" s="39">
        <v>159</v>
      </c>
      <c r="C121" s="7" t="s">
        <v>158</v>
      </c>
      <c r="D121" s="4" t="s">
        <v>73</v>
      </c>
      <c r="E121" s="6" t="s">
        <v>122</v>
      </c>
      <c r="F121" s="12">
        <f>INDEX('PEDIDO JULIO'!A33:I44,1,9)</f>
        <v>0</v>
      </c>
      <c r="G121" s="8">
        <f>IFERROR(VLOOKUP($B121,'[1]INSUMO POR SEDES MARZO PRUEBA'!$B$6:$CD$109,11,0),"NO BD")</f>
        <v>6716.8359</v>
      </c>
      <c r="H121" s="8"/>
      <c r="I121" s="8">
        <f t="shared" si="4"/>
        <v>0</v>
      </c>
      <c r="J121" s="14">
        <f t="shared" si="8"/>
        <v>0</v>
      </c>
      <c r="K121" s="14">
        <f t="shared" si="9"/>
        <v>0</v>
      </c>
      <c r="L121" s="14">
        <f t="shared" si="10"/>
        <v>0</v>
      </c>
    </row>
    <row r="122" spans="1:12" ht="15">
      <c r="A122" s="3">
        <v>159</v>
      </c>
      <c r="B122" s="39">
        <v>160</v>
      </c>
      <c r="C122" s="7" t="s">
        <v>158</v>
      </c>
      <c r="D122" s="4" t="s">
        <v>74</v>
      </c>
      <c r="E122" s="6" t="s">
        <v>122</v>
      </c>
      <c r="F122" s="12">
        <f>INDEX('PEDIDO JULIO'!A33:I44,1,9)</f>
        <v>0</v>
      </c>
      <c r="G122" s="8">
        <f>IFERROR(VLOOKUP($B122,'[1]INSUMO POR SEDES MARZO PRUEBA'!$B$6:$CD$109,11,0),"NO BD")</f>
        <v>3035.3931000000002</v>
      </c>
      <c r="H122" s="8"/>
      <c r="I122" s="8">
        <f t="shared" si="4"/>
        <v>0</v>
      </c>
      <c r="J122" s="14">
        <f t="shared" si="8"/>
        <v>0</v>
      </c>
      <c r="K122" s="14">
        <f t="shared" si="9"/>
        <v>0</v>
      </c>
      <c r="L122" s="14">
        <f t="shared" si="10"/>
        <v>0</v>
      </c>
    </row>
    <row r="123" spans="1:12" ht="15">
      <c r="A123" s="3">
        <v>160</v>
      </c>
      <c r="B123" s="39">
        <v>162</v>
      </c>
      <c r="C123" s="7" t="s">
        <v>158</v>
      </c>
      <c r="D123" s="4" t="s">
        <v>75</v>
      </c>
      <c r="E123" s="6" t="s">
        <v>122</v>
      </c>
      <c r="F123" s="12">
        <f>INDEX('PEDIDO JULIO'!A33:I44,1,9)</f>
        <v>0</v>
      </c>
      <c r="G123" s="8">
        <f>IFERROR(VLOOKUP($B123,'[1]INSUMO POR SEDES MARZO PRUEBA'!$B$6:$CD$109,11,0),"NO BD")</f>
        <v>2684.2539999999999</v>
      </c>
      <c r="H123" s="8"/>
      <c r="I123" s="8">
        <f t="shared" si="4"/>
        <v>0</v>
      </c>
      <c r="J123" s="14">
        <f t="shared" si="8"/>
        <v>0</v>
      </c>
      <c r="K123" s="14">
        <f t="shared" si="9"/>
        <v>0</v>
      </c>
      <c r="L123" s="14">
        <f t="shared" si="10"/>
        <v>0</v>
      </c>
    </row>
    <row r="124" spans="1:12" ht="15">
      <c r="A124" s="3">
        <v>161</v>
      </c>
      <c r="B124" s="39">
        <v>164</v>
      </c>
      <c r="C124" s="7" t="s">
        <v>158</v>
      </c>
      <c r="D124" s="4" t="s">
        <v>76</v>
      </c>
      <c r="E124" s="6" t="s">
        <v>122</v>
      </c>
      <c r="F124" s="12">
        <f>INDEX('PEDIDO JULIO'!A33:I44,1,9)</f>
        <v>0</v>
      </c>
      <c r="G124" s="8">
        <f>IFERROR(VLOOKUP($B124,'[1]INSUMO POR SEDES MARZO PRUEBA'!$B$6:$CD$109,11,0),"NO BD")</f>
        <v>1658.4780000000001</v>
      </c>
      <c r="H124" s="8"/>
      <c r="I124" s="8">
        <f t="shared" si="4"/>
        <v>0</v>
      </c>
      <c r="J124" s="14">
        <f t="shared" si="8"/>
        <v>0</v>
      </c>
      <c r="K124" s="14">
        <f t="shared" si="9"/>
        <v>0</v>
      </c>
      <c r="L124" s="14">
        <f t="shared" si="10"/>
        <v>0</v>
      </c>
    </row>
    <row r="125" spans="1:12" ht="15">
      <c r="A125" s="3">
        <v>162</v>
      </c>
      <c r="B125" s="39">
        <v>169</v>
      </c>
      <c r="C125" s="7" t="s">
        <v>158</v>
      </c>
      <c r="D125" s="4" t="s">
        <v>77</v>
      </c>
      <c r="E125" s="6" t="s">
        <v>122</v>
      </c>
      <c r="F125" s="12">
        <f>INDEX('PEDIDO JULIO'!A33:I45,1,9)</f>
        <v>0</v>
      </c>
      <c r="G125" s="8">
        <f>IFERROR(VLOOKUP($B125,'[1]INSUMO POR SEDES MARZO PRUEBA'!$B$6:$CD$109,11,0),"NO BD")</f>
        <v>85897.178999999989</v>
      </c>
      <c r="H125" s="8"/>
      <c r="I125" s="8">
        <f t="shared" si="4"/>
        <v>0</v>
      </c>
      <c r="J125" s="14">
        <f t="shared" si="8"/>
        <v>0</v>
      </c>
      <c r="K125" s="14">
        <f t="shared" si="9"/>
        <v>0</v>
      </c>
      <c r="L125" s="14">
        <f t="shared" si="10"/>
        <v>0</v>
      </c>
    </row>
    <row r="126" spans="1:12" ht="15">
      <c r="A126" s="3">
        <v>163</v>
      </c>
      <c r="B126" s="39">
        <v>170</v>
      </c>
      <c r="C126" s="7" t="s">
        <v>158</v>
      </c>
      <c r="D126" s="4" t="s">
        <v>78</v>
      </c>
      <c r="E126" s="6" t="s">
        <v>122</v>
      </c>
      <c r="F126" s="12">
        <f>INDEX('PEDIDO JULIO'!A33:I46,1,9)</f>
        <v>0</v>
      </c>
      <c r="G126" s="8">
        <f>IFERROR(VLOOKUP($B126,'[1]INSUMO POR SEDES MARZO PRUEBA'!$B$6:$CD$109,11,0),"NO BD")</f>
        <v>19405.664000000001</v>
      </c>
      <c r="H126" s="8"/>
      <c r="I126" s="8">
        <f t="shared" si="4"/>
        <v>0</v>
      </c>
      <c r="J126" s="14">
        <f t="shared" si="8"/>
        <v>0</v>
      </c>
      <c r="K126" s="14">
        <f t="shared" si="9"/>
        <v>0</v>
      </c>
      <c r="L126" s="14">
        <f t="shared" si="10"/>
        <v>0</v>
      </c>
    </row>
    <row r="127" spans="1:12" ht="15">
      <c r="A127" s="3">
        <v>164</v>
      </c>
      <c r="B127" s="39">
        <v>174</v>
      </c>
      <c r="C127" s="7" t="s">
        <v>158</v>
      </c>
      <c r="D127" s="4" t="s">
        <v>79</v>
      </c>
      <c r="E127" s="6" t="s">
        <v>122</v>
      </c>
      <c r="F127" s="12">
        <f>INDEX('PEDIDO JULIO'!A33:I47,1,9)</f>
        <v>0</v>
      </c>
      <c r="G127" s="8">
        <f>IFERROR(VLOOKUP($B127,'[1]INSUMO POR SEDES MARZO PRUEBA'!$B$6:$CD$109,11,0),"NO BD")</f>
        <v>6081.0860000000002</v>
      </c>
      <c r="H127" s="8"/>
      <c r="I127" s="8">
        <f t="shared" si="4"/>
        <v>0</v>
      </c>
      <c r="J127" s="14">
        <f t="shared" si="8"/>
        <v>0</v>
      </c>
      <c r="K127" s="14">
        <f t="shared" si="9"/>
        <v>0</v>
      </c>
      <c r="L127" s="14">
        <f t="shared" si="10"/>
        <v>0</v>
      </c>
    </row>
    <row r="128" spans="1:12" ht="15">
      <c r="A128" s="3">
        <v>165</v>
      </c>
      <c r="B128" s="39">
        <v>192</v>
      </c>
      <c r="C128" s="7" t="s">
        <v>158</v>
      </c>
      <c r="D128" s="4" t="s">
        <v>80</v>
      </c>
      <c r="E128" s="6" t="s">
        <v>122</v>
      </c>
      <c r="F128" s="12">
        <f>INDEX('PEDIDO JULIO'!A33:I47,1,9)</f>
        <v>0</v>
      </c>
      <c r="G128" s="8">
        <f>IFERROR(VLOOKUP($B128,'[1]INSUMO POR SEDES MARZO PRUEBA'!$B$6:$CD$109,11,0),"NO BD")</f>
        <v>3930.7400000000002</v>
      </c>
      <c r="H128" s="8"/>
      <c r="I128" s="8">
        <f t="shared" si="4"/>
        <v>0</v>
      </c>
      <c r="J128" s="14">
        <f t="shared" si="8"/>
        <v>0</v>
      </c>
      <c r="K128" s="14">
        <f t="shared" si="9"/>
        <v>0</v>
      </c>
      <c r="L128" s="14">
        <f t="shared" si="10"/>
        <v>0</v>
      </c>
    </row>
    <row r="129" spans="1:12" ht="15">
      <c r="A129" s="3">
        <v>166</v>
      </c>
      <c r="B129" s="39">
        <v>195</v>
      </c>
      <c r="C129" s="7" t="s">
        <v>158</v>
      </c>
      <c r="D129" s="4" t="s">
        <v>81</v>
      </c>
      <c r="E129" s="6" t="s">
        <v>122</v>
      </c>
      <c r="F129" s="12">
        <f>INDEX('PEDIDO JULIO'!A33:I47,1,9)</f>
        <v>0</v>
      </c>
      <c r="G129" s="8">
        <f>IFERROR(VLOOKUP($B129,'[1]INSUMO POR SEDES MARZO PRUEBA'!$B$6:$CD$109,11,0),"NO BD")</f>
        <v>10697.1831</v>
      </c>
      <c r="H129" s="8"/>
      <c r="I129" s="8">
        <f t="shared" si="4"/>
        <v>0</v>
      </c>
      <c r="J129" s="14">
        <f t="shared" si="8"/>
        <v>0</v>
      </c>
      <c r="K129" s="14">
        <f t="shared" si="9"/>
        <v>0</v>
      </c>
      <c r="L129" s="14">
        <f t="shared" si="10"/>
        <v>0</v>
      </c>
    </row>
    <row r="130" spans="1:12" ht="15">
      <c r="A130" s="3">
        <v>167</v>
      </c>
      <c r="B130" s="39">
        <v>204</v>
      </c>
      <c r="C130" s="7" t="s">
        <v>158</v>
      </c>
      <c r="D130" s="4" t="s">
        <v>82</v>
      </c>
      <c r="E130" s="6" t="s">
        <v>122</v>
      </c>
      <c r="F130" s="12">
        <f>INDEX('PEDIDO JULIO'!A33:I47,1,9)</f>
        <v>0</v>
      </c>
      <c r="G130" s="8">
        <f>IFERROR(VLOOKUP($B130,'[1]INSUMO POR SEDES MARZO PRUEBA'!$B$6:$CD$109,11,0),"NO BD")</f>
        <v>25673.6178</v>
      </c>
      <c r="H130" s="8"/>
      <c r="I130" s="8">
        <f t="shared" si="4"/>
        <v>0</v>
      </c>
      <c r="J130" s="14">
        <f t="shared" si="8"/>
        <v>0</v>
      </c>
      <c r="K130" s="14">
        <f t="shared" si="9"/>
        <v>0</v>
      </c>
      <c r="L130" s="14">
        <f t="shared" si="10"/>
        <v>0</v>
      </c>
    </row>
    <row r="131" spans="1:12" ht="15">
      <c r="A131" s="3">
        <v>168</v>
      </c>
      <c r="B131" s="39">
        <v>205</v>
      </c>
      <c r="C131" s="7" t="s">
        <v>158</v>
      </c>
      <c r="D131" s="4" t="s">
        <v>83</v>
      </c>
      <c r="E131" s="6" t="s">
        <v>122</v>
      </c>
      <c r="F131" s="12">
        <f>INDEX('PEDIDO JULIO'!A33:I47,1,9)</f>
        <v>0</v>
      </c>
      <c r="G131" s="8">
        <f>IFERROR(VLOOKUP($B131,'[1]INSUMO POR SEDES MARZO PRUEBA'!$B$6:$CD$109,11,0),"NO BD")</f>
        <v>32639.225399999996</v>
      </c>
      <c r="H131" s="8"/>
      <c r="I131" s="8">
        <f t="shared" si="4"/>
        <v>0</v>
      </c>
      <c r="J131" s="14">
        <f t="shared" si="8"/>
        <v>0</v>
      </c>
      <c r="K131" s="14">
        <f t="shared" si="9"/>
        <v>0</v>
      </c>
      <c r="L131" s="14">
        <f t="shared" si="10"/>
        <v>0</v>
      </c>
    </row>
    <row r="132" spans="1:12" ht="15">
      <c r="A132" s="3">
        <v>169</v>
      </c>
      <c r="B132" s="39">
        <v>207</v>
      </c>
      <c r="C132" s="7" t="s">
        <v>158</v>
      </c>
      <c r="D132" s="4" t="s">
        <v>84</v>
      </c>
      <c r="E132" s="6" t="s">
        <v>122</v>
      </c>
      <c r="F132" s="12">
        <f>INDEX('PEDIDO JULIO'!A33:I47,1,9)</f>
        <v>0</v>
      </c>
      <c r="G132" s="8">
        <f>IFERROR(VLOOKUP($B132,'[1]INSUMO POR SEDES MARZO PRUEBA'!$B$6:$CD$109,11,0),"NO BD")</f>
        <v>7186.7380000000003</v>
      </c>
      <c r="H132" s="8"/>
      <c r="I132" s="8">
        <f t="shared" si="4"/>
        <v>0</v>
      </c>
      <c r="J132" s="14">
        <f t="shared" si="8"/>
        <v>0</v>
      </c>
      <c r="K132" s="14">
        <f t="shared" si="9"/>
        <v>0</v>
      </c>
      <c r="L132" s="14">
        <f t="shared" si="10"/>
        <v>0</v>
      </c>
    </row>
    <row r="133" spans="1:12" ht="15">
      <c r="A133" s="3">
        <v>170</v>
      </c>
      <c r="B133" s="39">
        <v>212</v>
      </c>
      <c r="C133" s="7" t="s">
        <v>158</v>
      </c>
      <c r="D133" s="4" t="s">
        <v>85</v>
      </c>
      <c r="E133" s="6" t="s">
        <v>122</v>
      </c>
      <c r="F133" s="12">
        <f>INDEX('PEDIDO JULIO'!A33:I47,1,9)</f>
        <v>0</v>
      </c>
      <c r="G133" s="8">
        <f>IFERROR(VLOOKUP($B133,'[1]INSUMO POR SEDES MARZO PRUEBA'!$B$6:$CD$109,11,0),"NO BD")</f>
        <v>2505.5839999999998</v>
      </c>
      <c r="H133" s="8"/>
      <c r="I133" s="8">
        <f t="shared" si="4"/>
        <v>0</v>
      </c>
      <c r="J133" s="14">
        <f t="shared" si="8"/>
        <v>0</v>
      </c>
      <c r="K133" s="14">
        <f t="shared" si="9"/>
        <v>0</v>
      </c>
      <c r="L133" s="14">
        <f t="shared" si="10"/>
        <v>0</v>
      </c>
    </row>
    <row r="134" spans="1:12" ht="15">
      <c r="A134" s="3">
        <v>171</v>
      </c>
      <c r="B134" s="39">
        <v>218</v>
      </c>
      <c r="C134" s="7" t="s">
        <v>152</v>
      </c>
      <c r="D134" s="4" t="s">
        <v>86</v>
      </c>
      <c r="E134" s="6" t="s">
        <v>122</v>
      </c>
      <c r="F134" s="12">
        <f>INDEX('PEDIDO JULIO'!A33:I47,1,9)</f>
        <v>0</v>
      </c>
      <c r="G134" s="8">
        <f>IFERROR(VLOOKUP($B134,'[1]INSUMO POR SEDES MARZO PRUEBA'!$B$6:$CD$109,11,0),"NO BD")</f>
        <v>1437.768</v>
      </c>
      <c r="H134" s="8"/>
      <c r="I134" s="8">
        <f t="shared" ref="I134:I197" si="11">+F134*G134</f>
        <v>0</v>
      </c>
      <c r="J134" s="14">
        <f t="shared" si="8"/>
        <v>0</v>
      </c>
      <c r="K134" s="14">
        <f t="shared" si="9"/>
        <v>0</v>
      </c>
      <c r="L134" s="14">
        <f t="shared" si="10"/>
        <v>0</v>
      </c>
    </row>
    <row r="135" spans="1:12" ht="15">
      <c r="A135" s="3">
        <v>172</v>
      </c>
      <c r="B135" s="39">
        <v>251</v>
      </c>
      <c r="C135" s="7" t="s">
        <v>87</v>
      </c>
      <c r="D135" s="4" t="s">
        <v>88</v>
      </c>
      <c r="E135" s="6" t="s">
        <v>122</v>
      </c>
      <c r="F135" s="12">
        <f>INDEX('PEDIDO JULIO'!A33:I47,1,9)</f>
        <v>0</v>
      </c>
      <c r="G135" s="8">
        <f>IFERROR(VLOOKUP($B135,'[1]INSUMO POR SEDES MARZO PRUEBA'!$B$6:$CD$109,11,0),"NO BD")</f>
        <v>16031.954000000002</v>
      </c>
      <c r="H135" s="8"/>
      <c r="I135" s="8">
        <f t="shared" si="11"/>
        <v>0</v>
      </c>
      <c r="J135" s="14">
        <f t="shared" si="8"/>
        <v>0</v>
      </c>
      <c r="K135" s="14">
        <f t="shared" si="9"/>
        <v>0</v>
      </c>
      <c r="L135" s="14">
        <f t="shared" si="10"/>
        <v>0</v>
      </c>
    </row>
    <row r="136" spans="1:12" ht="15">
      <c r="A136" s="3">
        <v>209</v>
      </c>
      <c r="B136" s="26">
        <v>3</v>
      </c>
      <c r="C136" s="7" t="s">
        <v>155</v>
      </c>
      <c r="D136" s="4" t="s">
        <v>5</v>
      </c>
      <c r="E136" s="6" t="s">
        <v>123</v>
      </c>
      <c r="F136" s="12">
        <f>INDEX('PEDIDO JULIO'!A10:J32,1,10)</f>
        <v>0</v>
      </c>
      <c r="G136" s="8">
        <f>IFERROR(VLOOKUP($B136,'[1]INSUMO POR SEDES MARZO PRUEBA'!$B$6:$CD$109,14,0),"NO BD")</f>
        <v>7268.7160000000003</v>
      </c>
      <c r="H136" s="8"/>
      <c r="I136" s="8">
        <f t="shared" si="11"/>
        <v>0</v>
      </c>
      <c r="J136" s="14">
        <f t="shared" ref="J136:J184" si="12">+I136*10%</f>
        <v>0</v>
      </c>
      <c r="K136" s="14">
        <f t="shared" ref="K136:K184" si="13">+J136*19%</f>
        <v>0</v>
      </c>
      <c r="L136" s="14">
        <f t="shared" ref="L136:L184" si="14">SUM(I136:K136)</f>
        <v>0</v>
      </c>
    </row>
    <row r="137" spans="1:12" ht="15">
      <c r="A137" s="3">
        <v>210</v>
      </c>
      <c r="B137" s="26">
        <v>5</v>
      </c>
      <c r="C137" s="7" t="s">
        <v>6</v>
      </c>
      <c r="D137" s="4" t="s">
        <v>7</v>
      </c>
      <c r="E137" s="6" t="s">
        <v>123</v>
      </c>
      <c r="F137" s="12">
        <f>INDEX('PEDIDO JULIO'!A10:J32,1,10)</f>
        <v>0</v>
      </c>
      <c r="G137" s="8">
        <f>IFERROR(VLOOKUP($B137,'[1]INSUMO POR SEDES MARZO PRUEBA'!$B$6:$CD$109,14,0),"NO BD")</f>
        <v>0</v>
      </c>
      <c r="H137" s="8"/>
      <c r="I137" s="8">
        <f t="shared" si="11"/>
        <v>0</v>
      </c>
      <c r="J137" s="14">
        <f t="shared" si="12"/>
        <v>0</v>
      </c>
      <c r="K137" s="14">
        <f t="shared" si="13"/>
        <v>0</v>
      </c>
      <c r="L137" s="14">
        <f t="shared" si="14"/>
        <v>0</v>
      </c>
    </row>
    <row r="138" spans="1:12" ht="15">
      <c r="A138" s="3">
        <v>211</v>
      </c>
      <c r="B138" s="26">
        <v>8</v>
      </c>
      <c r="C138" s="7" t="s">
        <v>6</v>
      </c>
      <c r="D138" s="4" t="s">
        <v>8</v>
      </c>
      <c r="E138" s="6" t="s">
        <v>123</v>
      </c>
      <c r="F138" s="12">
        <f>INDEX('PEDIDO JULIO'!A10:J33,1,10)</f>
        <v>0</v>
      </c>
      <c r="G138" s="8">
        <f>IFERROR(VLOOKUP($B138,'[1]INSUMO POR SEDES MARZO PRUEBA'!$B$6:$CD$109,14,0),"NO BD")</f>
        <v>2211.3040000000001</v>
      </c>
      <c r="H138" s="8"/>
      <c r="I138" s="8">
        <f t="shared" si="11"/>
        <v>0</v>
      </c>
      <c r="J138" s="14">
        <f t="shared" si="12"/>
        <v>0</v>
      </c>
      <c r="K138" s="14">
        <f t="shared" si="13"/>
        <v>0</v>
      </c>
      <c r="L138" s="14">
        <f t="shared" si="14"/>
        <v>0</v>
      </c>
    </row>
    <row r="139" spans="1:12" ht="15">
      <c r="A139" s="3">
        <v>212</v>
      </c>
      <c r="B139" s="26">
        <v>9</v>
      </c>
      <c r="C139" s="7" t="s">
        <v>9</v>
      </c>
      <c r="D139" s="4" t="s">
        <v>10</v>
      </c>
      <c r="E139" s="6" t="s">
        <v>123</v>
      </c>
      <c r="F139" s="12">
        <f>INDEX('PEDIDO JULIO'!A10:J33,1,10)</f>
        <v>0</v>
      </c>
      <c r="G139" s="8">
        <f>IFERROR(VLOOKUP($B139,'[1]INSUMO POR SEDES MARZO PRUEBA'!$B$6:$CD$109,14,0),"NO BD")</f>
        <v>3298.0379999999996</v>
      </c>
      <c r="H139" s="8"/>
      <c r="I139" s="8">
        <f t="shared" si="11"/>
        <v>0</v>
      </c>
      <c r="J139" s="14">
        <f t="shared" si="12"/>
        <v>0</v>
      </c>
      <c r="K139" s="14">
        <f t="shared" si="13"/>
        <v>0</v>
      </c>
      <c r="L139" s="14">
        <f t="shared" si="14"/>
        <v>0</v>
      </c>
    </row>
    <row r="140" spans="1:12" ht="15">
      <c r="A140" s="3">
        <v>213</v>
      </c>
      <c r="B140" s="26">
        <v>13</v>
      </c>
      <c r="C140" s="7" t="s">
        <v>156</v>
      </c>
      <c r="D140" s="5" t="s">
        <v>11</v>
      </c>
      <c r="E140" s="6" t="s">
        <v>123</v>
      </c>
      <c r="F140" s="12">
        <f>INDEX('PEDIDO JULIO'!A11:J33,1,10)</f>
        <v>0</v>
      </c>
      <c r="G140" s="8">
        <f>IFERROR(VLOOKUP($B140,'[1]INSUMO POR SEDES MARZO PRUEBA'!$B$6:$CD$109,14,0),"NO BD")</f>
        <v>6507.7919999999995</v>
      </c>
      <c r="H140" s="8"/>
      <c r="I140" s="8">
        <f t="shared" si="11"/>
        <v>0</v>
      </c>
      <c r="J140" s="14">
        <f t="shared" si="12"/>
        <v>0</v>
      </c>
      <c r="K140" s="14">
        <f t="shared" si="13"/>
        <v>0</v>
      </c>
      <c r="L140" s="14">
        <f t="shared" si="14"/>
        <v>0</v>
      </c>
    </row>
    <row r="141" spans="1:12" ht="27">
      <c r="A141" s="3">
        <v>214</v>
      </c>
      <c r="B141" s="26">
        <v>17</v>
      </c>
      <c r="C141" s="7" t="s">
        <v>157</v>
      </c>
      <c r="D141" s="4" t="s">
        <v>12</v>
      </c>
      <c r="E141" s="6" t="s">
        <v>123</v>
      </c>
      <c r="F141" s="12">
        <f>INDEX('PEDIDO JULIO'!A12:J33,1,10)</f>
        <v>0</v>
      </c>
      <c r="G141" s="8">
        <f>IFERROR(VLOOKUP($B141,'[1]INSUMO POR SEDES MARZO PRUEBA'!$B$6:$CD$109,14,0),"NO BD")</f>
        <v>5647.0229999999992</v>
      </c>
      <c r="H141" s="8"/>
      <c r="I141" s="8">
        <f t="shared" si="11"/>
        <v>0</v>
      </c>
      <c r="J141" s="14">
        <f t="shared" si="12"/>
        <v>0</v>
      </c>
      <c r="K141" s="14">
        <f t="shared" si="13"/>
        <v>0</v>
      </c>
      <c r="L141" s="14">
        <f t="shared" si="14"/>
        <v>0</v>
      </c>
    </row>
    <row r="142" spans="1:12" ht="15">
      <c r="A142" s="3">
        <v>215</v>
      </c>
      <c r="B142" s="31">
        <v>20</v>
      </c>
      <c r="C142" s="7" t="s">
        <v>13</v>
      </c>
      <c r="D142" s="4" t="s">
        <v>14</v>
      </c>
      <c r="E142" s="6" t="s">
        <v>123</v>
      </c>
      <c r="F142" s="12">
        <f>INDEX('PEDIDO JULIO'!A12:J33,1,10)</f>
        <v>0</v>
      </c>
      <c r="G142" s="8">
        <f>IFERROR(VLOOKUP($B142,'[1]INSUMO POR SEDES MARZO PRUEBA'!$B$6:$CD$109,14,0),"NO BD")</f>
        <v>0</v>
      </c>
      <c r="H142" s="8"/>
      <c r="I142" s="8">
        <f t="shared" si="11"/>
        <v>0</v>
      </c>
      <c r="J142" s="14">
        <f t="shared" si="12"/>
        <v>0</v>
      </c>
      <c r="K142" s="14">
        <f t="shared" si="13"/>
        <v>0</v>
      </c>
      <c r="L142" s="14">
        <f t="shared" si="14"/>
        <v>0</v>
      </c>
    </row>
    <row r="143" spans="1:12" ht="27">
      <c r="A143" s="3">
        <v>216</v>
      </c>
      <c r="B143" s="26">
        <v>21</v>
      </c>
      <c r="C143" s="7" t="s">
        <v>13</v>
      </c>
      <c r="D143" s="4" t="s">
        <v>15</v>
      </c>
      <c r="E143" s="6" t="s">
        <v>123</v>
      </c>
      <c r="F143" s="12">
        <f>INDEX('PEDIDO JULIO'!A13:J34,1,10)</f>
        <v>0</v>
      </c>
      <c r="G143" s="8">
        <f>IFERROR(VLOOKUP($B143,'[1]INSUMO POR SEDES MARZO PRUEBA'!$B$6:$CD$109,14,0),"NO BD")</f>
        <v>5932.8950000000013</v>
      </c>
      <c r="H143" s="8"/>
      <c r="I143" s="8">
        <f t="shared" si="11"/>
        <v>0</v>
      </c>
      <c r="J143" s="14">
        <f t="shared" si="12"/>
        <v>0</v>
      </c>
      <c r="K143" s="14">
        <f t="shared" si="13"/>
        <v>0</v>
      </c>
      <c r="L143" s="14">
        <f t="shared" si="14"/>
        <v>0</v>
      </c>
    </row>
    <row r="144" spans="1:12" ht="15">
      <c r="A144" s="3">
        <v>217</v>
      </c>
      <c r="B144" s="26">
        <v>28</v>
      </c>
      <c r="C144" s="7" t="s">
        <v>16</v>
      </c>
      <c r="D144" s="4" t="s">
        <v>17</v>
      </c>
      <c r="E144" s="6" t="s">
        <v>123</v>
      </c>
      <c r="F144" s="12">
        <f>INDEX('PEDIDO JULIO'!A14:J34,1,10)</f>
        <v>0</v>
      </c>
      <c r="G144" s="8">
        <f>IFERROR(VLOOKUP($B144,'[1]INSUMO POR SEDES MARZO PRUEBA'!$B$6:$CD$109,14,0),"NO BD")</f>
        <v>2764.13</v>
      </c>
      <c r="H144" s="8"/>
      <c r="I144" s="8">
        <f t="shared" si="11"/>
        <v>0</v>
      </c>
      <c r="J144" s="14">
        <f t="shared" si="12"/>
        <v>0</v>
      </c>
      <c r="K144" s="14">
        <f t="shared" si="13"/>
        <v>0</v>
      </c>
      <c r="L144" s="14">
        <f t="shared" si="14"/>
        <v>0</v>
      </c>
    </row>
    <row r="145" spans="1:12" ht="27">
      <c r="A145" s="3">
        <v>218</v>
      </c>
      <c r="B145" s="26">
        <v>29</v>
      </c>
      <c r="C145" s="7" t="s">
        <v>18</v>
      </c>
      <c r="D145" s="4" t="s">
        <v>19</v>
      </c>
      <c r="E145" s="6" t="s">
        <v>123</v>
      </c>
      <c r="F145" s="12">
        <f>INDEX('PEDIDO JULIO'!A15:J34,1,10)</f>
        <v>0</v>
      </c>
      <c r="G145" s="8">
        <f>IFERROR(VLOOKUP($B145,'[1]INSUMO POR SEDES MARZO PRUEBA'!$B$6:$CD$109,14,0),"NO BD")</f>
        <v>4829.3450000000012</v>
      </c>
      <c r="H145" s="8"/>
      <c r="I145" s="8">
        <f t="shared" si="11"/>
        <v>0</v>
      </c>
      <c r="J145" s="14">
        <f t="shared" si="12"/>
        <v>0</v>
      </c>
      <c r="K145" s="14">
        <f t="shared" si="13"/>
        <v>0</v>
      </c>
      <c r="L145" s="14">
        <f t="shared" si="14"/>
        <v>0</v>
      </c>
    </row>
    <row r="146" spans="1:12" ht="27">
      <c r="A146" s="3">
        <v>219</v>
      </c>
      <c r="B146" s="26">
        <v>32</v>
      </c>
      <c r="C146" s="7" t="s">
        <v>20</v>
      </c>
      <c r="D146" s="4" t="s">
        <v>21</v>
      </c>
      <c r="E146" s="6" t="s">
        <v>123</v>
      </c>
      <c r="F146" s="12">
        <f>INDEX('PEDIDO JULIO'!A16:J34,1,10)</f>
        <v>0</v>
      </c>
      <c r="G146" s="8">
        <f>IFERROR(VLOOKUP($B146,'[1]INSUMO POR SEDES MARZO PRUEBA'!$B$6:$CD$109,14,0),"NO BD")</f>
        <v>4115.7160000000003</v>
      </c>
      <c r="H146" s="8"/>
      <c r="I146" s="8">
        <f t="shared" si="11"/>
        <v>0</v>
      </c>
      <c r="J146" s="14">
        <f t="shared" si="12"/>
        <v>0</v>
      </c>
      <c r="K146" s="14">
        <f t="shared" si="13"/>
        <v>0</v>
      </c>
      <c r="L146" s="14">
        <f t="shared" si="14"/>
        <v>0</v>
      </c>
    </row>
    <row r="147" spans="1:12" ht="27">
      <c r="A147" s="3">
        <v>220</v>
      </c>
      <c r="B147" s="26">
        <v>38</v>
      </c>
      <c r="C147" s="7" t="s">
        <v>22</v>
      </c>
      <c r="D147" s="4" t="s">
        <v>23</v>
      </c>
      <c r="E147" s="6" t="s">
        <v>123</v>
      </c>
      <c r="F147" s="12">
        <f>INDEX('PEDIDO JULIO'!A17:J34,1,10)</f>
        <v>0</v>
      </c>
      <c r="G147" s="8">
        <f>IFERROR(VLOOKUP($B147,'[1]INSUMO POR SEDES MARZO PRUEBA'!$B$6:$CD$109,14,0),"NO BD")</f>
        <v>0</v>
      </c>
      <c r="H147" s="8"/>
      <c r="I147" s="8">
        <f t="shared" si="11"/>
        <v>0</v>
      </c>
      <c r="J147" s="14">
        <f t="shared" si="12"/>
        <v>0</v>
      </c>
      <c r="K147" s="14">
        <f t="shared" si="13"/>
        <v>0</v>
      </c>
      <c r="L147" s="14">
        <f t="shared" si="14"/>
        <v>0</v>
      </c>
    </row>
    <row r="148" spans="1:12" ht="15">
      <c r="A148" s="3">
        <v>221</v>
      </c>
      <c r="B148" s="26">
        <v>44</v>
      </c>
      <c r="C148" s="7" t="s">
        <v>18</v>
      </c>
      <c r="D148" s="4" t="s">
        <v>24</v>
      </c>
      <c r="E148" s="6" t="s">
        <v>123</v>
      </c>
      <c r="F148" s="12">
        <f>INDEX('PEDIDO JULIO'!A17:J34,1,10)</f>
        <v>0</v>
      </c>
      <c r="G148" s="8">
        <f>IFERROR(VLOOKUP($B148,'[1]INSUMO POR SEDES MARZO PRUEBA'!$B$6:$CD$109,14,0),"NO BD")</f>
        <v>2787.2520000000004</v>
      </c>
      <c r="H148" s="8"/>
      <c r="I148" s="8">
        <f t="shared" si="11"/>
        <v>0</v>
      </c>
      <c r="J148" s="14">
        <f t="shared" si="12"/>
        <v>0</v>
      </c>
      <c r="K148" s="14">
        <f t="shared" si="13"/>
        <v>0</v>
      </c>
      <c r="L148" s="14">
        <f t="shared" si="14"/>
        <v>0</v>
      </c>
    </row>
    <row r="149" spans="1:12" ht="27">
      <c r="A149" s="3">
        <v>222</v>
      </c>
      <c r="B149" s="26">
        <v>50</v>
      </c>
      <c r="C149" s="7" t="s">
        <v>155</v>
      </c>
      <c r="D149" s="4" t="s">
        <v>25</v>
      </c>
      <c r="E149" s="6" t="s">
        <v>123</v>
      </c>
      <c r="F149" s="12">
        <f>INDEX('PEDIDO JULIO'!A18:J35,1,10)</f>
        <v>0</v>
      </c>
      <c r="G149" s="8">
        <f>IFERROR(VLOOKUP($B149,'[1]INSUMO POR SEDES MARZO PRUEBA'!$B$6:$CD$109,14,0),"NO BD")</f>
        <v>0</v>
      </c>
      <c r="H149" s="8"/>
      <c r="I149" s="8">
        <f t="shared" si="11"/>
        <v>0</v>
      </c>
      <c r="J149" s="14">
        <f t="shared" si="12"/>
        <v>0</v>
      </c>
      <c r="K149" s="14">
        <f t="shared" si="13"/>
        <v>0</v>
      </c>
      <c r="L149" s="14">
        <f t="shared" si="14"/>
        <v>0</v>
      </c>
    </row>
    <row r="150" spans="1:12" ht="27">
      <c r="A150" s="3">
        <v>223</v>
      </c>
      <c r="B150" s="26">
        <v>52</v>
      </c>
      <c r="C150" s="7" t="s">
        <v>16</v>
      </c>
      <c r="D150" s="4" t="s">
        <v>26</v>
      </c>
      <c r="E150" s="6" t="s">
        <v>123</v>
      </c>
      <c r="F150" s="12">
        <f>INDEX('PEDIDO JULIO'!A18:J35,1,10)</f>
        <v>0</v>
      </c>
      <c r="G150" s="8">
        <f>IFERROR(VLOOKUP($B150,'[1]INSUMO POR SEDES MARZO PRUEBA'!$B$6:$CD$109,14,0),"NO BD")</f>
        <v>0</v>
      </c>
      <c r="H150" s="8"/>
      <c r="I150" s="8">
        <f t="shared" si="11"/>
        <v>0</v>
      </c>
      <c r="J150" s="14">
        <f t="shared" si="12"/>
        <v>0</v>
      </c>
      <c r="K150" s="14">
        <f t="shared" si="13"/>
        <v>0</v>
      </c>
      <c r="L150" s="14">
        <f t="shared" si="14"/>
        <v>0</v>
      </c>
    </row>
    <row r="151" spans="1:12" ht="15">
      <c r="A151" s="3">
        <v>224</v>
      </c>
      <c r="B151" s="26">
        <v>57</v>
      </c>
      <c r="C151" s="7" t="s">
        <v>27</v>
      </c>
      <c r="D151" s="4" t="s">
        <v>28</v>
      </c>
      <c r="E151" s="6" t="s">
        <v>123</v>
      </c>
      <c r="F151" s="12">
        <f>INDEX('PEDIDO JULIO'!A18:J35,1,10)</f>
        <v>0</v>
      </c>
      <c r="G151" s="8">
        <f>IFERROR(VLOOKUP($B151,'[1]INSUMO POR SEDES MARZO PRUEBA'!$B$6:$CD$109,14,0),"NO BD")</f>
        <v>27464.2065</v>
      </c>
      <c r="H151" s="8"/>
      <c r="I151" s="8">
        <f t="shared" si="11"/>
        <v>0</v>
      </c>
      <c r="J151" s="14">
        <f t="shared" si="12"/>
        <v>0</v>
      </c>
      <c r="K151" s="14">
        <f t="shared" si="13"/>
        <v>0</v>
      </c>
      <c r="L151" s="14">
        <f t="shared" si="14"/>
        <v>0</v>
      </c>
    </row>
    <row r="152" spans="1:12" ht="15">
      <c r="A152" s="3">
        <v>225</v>
      </c>
      <c r="B152" s="26">
        <v>59</v>
      </c>
      <c r="C152" s="7" t="s">
        <v>13</v>
      </c>
      <c r="D152" s="4" t="s">
        <v>29</v>
      </c>
      <c r="E152" s="6" t="s">
        <v>123</v>
      </c>
      <c r="F152" s="12">
        <f>INDEX('PEDIDO JULIO'!A19:J35,1,10)</f>
        <v>0</v>
      </c>
      <c r="G152" s="8">
        <f>IFERROR(VLOOKUP($B152,'[1]INSUMO POR SEDES MARZO PRUEBA'!$B$6:$CD$109,14,0),"NO BD")</f>
        <v>0</v>
      </c>
      <c r="H152" s="8"/>
      <c r="I152" s="8">
        <f t="shared" si="11"/>
        <v>0</v>
      </c>
      <c r="J152" s="14">
        <f t="shared" si="12"/>
        <v>0</v>
      </c>
      <c r="K152" s="14">
        <f t="shared" si="13"/>
        <v>0</v>
      </c>
      <c r="L152" s="14">
        <f t="shared" si="14"/>
        <v>0</v>
      </c>
    </row>
    <row r="153" spans="1:12" ht="15">
      <c r="A153" s="3">
        <v>226</v>
      </c>
      <c r="B153" s="26">
        <v>62</v>
      </c>
      <c r="C153" s="7" t="s">
        <v>13</v>
      </c>
      <c r="D153" s="4" t="s">
        <v>30</v>
      </c>
      <c r="E153" s="6" t="s">
        <v>123</v>
      </c>
      <c r="F153" s="12">
        <f>INDEX('PEDIDO JULIO'!A19:J35,1,10)</f>
        <v>0</v>
      </c>
      <c r="G153" s="8">
        <f>IFERROR(VLOOKUP($B153,'[1]INSUMO POR SEDES MARZO PRUEBA'!$B$6:$CD$109,14,0),"NO BD")</f>
        <v>10100.3202</v>
      </c>
      <c r="H153" s="8"/>
      <c r="I153" s="8">
        <f t="shared" si="11"/>
        <v>0</v>
      </c>
      <c r="J153" s="14">
        <f t="shared" si="12"/>
        <v>0</v>
      </c>
      <c r="K153" s="14">
        <f t="shared" si="13"/>
        <v>0</v>
      </c>
      <c r="L153" s="14">
        <f t="shared" si="14"/>
        <v>0</v>
      </c>
    </row>
    <row r="154" spans="1:12" ht="15">
      <c r="A154" s="3">
        <v>227</v>
      </c>
      <c r="B154" s="26">
        <v>63</v>
      </c>
      <c r="C154" s="7" t="s">
        <v>13</v>
      </c>
      <c r="D154" s="4" t="s">
        <v>31</v>
      </c>
      <c r="E154" s="6" t="s">
        <v>123</v>
      </c>
      <c r="F154" s="12">
        <f>INDEX('PEDIDO JULIO'!A20:J35,1,10)</f>
        <v>0</v>
      </c>
      <c r="G154" s="8">
        <f>IFERROR(VLOOKUP($B154,'[1]INSUMO POR SEDES MARZO PRUEBA'!$B$6:$CD$109,14,0),"NO BD")</f>
        <v>8292.39</v>
      </c>
      <c r="H154" s="8"/>
      <c r="I154" s="8">
        <f t="shared" si="11"/>
        <v>0</v>
      </c>
      <c r="J154" s="14">
        <f t="shared" si="12"/>
        <v>0</v>
      </c>
      <c r="K154" s="14">
        <f t="shared" si="13"/>
        <v>0</v>
      </c>
      <c r="L154" s="14">
        <f t="shared" si="14"/>
        <v>0</v>
      </c>
    </row>
    <row r="155" spans="1:12" ht="15">
      <c r="A155" s="3">
        <v>228</v>
      </c>
      <c r="B155" s="26">
        <v>64</v>
      </c>
      <c r="C155" s="7" t="s">
        <v>13</v>
      </c>
      <c r="D155" s="4" t="s">
        <v>32</v>
      </c>
      <c r="E155" s="6" t="s">
        <v>123</v>
      </c>
      <c r="F155" s="12">
        <f>INDEX('PEDIDO JULIO'!A20:J35,1,10)</f>
        <v>0</v>
      </c>
      <c r="G155" s="8">
        <f>IFERROR(VLOOKUP($B155,'[1]INSUMO POR SEDES MARZO PRUEBA'!$B$6:$CD$109,14,0),"NO BD")</f>
        <v>13820.650000000001</v>
      </c>
      <c r="H155" s="8"/>
      <c r="I155" s="8">
        <f t="shared" si="11"/>
        <v>0</v>
      </c>
      <c r="J155" s="14">
        <f t="shared" si="12"/>
        <v>0</v>
      </c>
      <c r="K155" s="14">
        <f t="shared" si="13"/>
        <v>0</v>
      </c>
      <c r="L155" s="14">
        <f t="shared" si="14"/>
        <v>0</v>
      </c>
    </row>
    <row r="156" spans="1:12" ht="15">
      <c r="A156" s="3">
        <v>229</v>
      </c>
      <c r="B156" s="26">
        <v>65</v>
      </c>
      <c r="C156" s="7" t="s">
        <v>33</v>
      </c>
      <c r="D156" s="4" t="s">
        <v>34</v>
      </c>
      <c r="E156" s="6" t="s">
        <v>123</v>
      </c>
      <c r="F156" s="12">
        <f>INDEX('PEDIDO JULIO'!A21:J35,1,10)</f>
        <v>0</v>
      </c>
      <c r="G156" s="8">
        <f>IFERROR(VLOOKUP($B156,'[1]INSUMO POR SEDES MARZO PRUEBA'!$B$6:$CD$109,14,0),"NO BD")</f>
        <v>13820.650000000001</v>
      </c>
      <c r="H156" s="8"/>
      <c r="I156" s="8">
        <f t="shared" si="11"/>
        <v>0</v>
      </c>
      <c r="J156" s="14">
        <f t="shared" si="12"/>
        <v>0</v>
      </c>
      <c r="K156" s="14">
        <f t="shared" si="13"/>
        <v>0</v>
      </c>
      <c r="L156" s="14">
        <f t="shared" si="14"/>
        <v>0</v>
      </c>
    </row>
    <row r="157" spans="1:12" ht="15">
      <c r="A157" s="3">
        <v>230</v>
      </c>
      <c r="B157" s="26">
        <v>66</v>
      </c>
      <c r="C157" s="7" t="s">
        <v>16</v>
      </c>
      <c r="D157" s="4" t="s">
        <v>35</v>
      </c>
      <c r="E157" s="6" t="s">
        <v>123</v>
      </c>
      <c r="F157" s="12">
        <f>INDEX('PEDIDO JULIO'!A22:J35,1,10)</f>
        <v>0</v>
      </c>
      <c r="G157" s="8">
        <f>IFERROR(VLOOKUP($B157,'[1]INSUMO POR SEDES MARZO PRUEBA'!$B$6:$CD$109,14,0),"NO BD")</f>
        <v>4178.9862000000003</v>
      </c>
      <c r="H157" s="8"/>
      <c r="I157" s="8">
        <f t="shared" si="11"/>
        <v>0</v>
      </c>
      <c r="J157" s="14">
        <f t="shared" si="12"/>
        <v>0</v>
      </c>
      <c r="K157" s="14">
        <f t="shared" si="13"/>
        <v>0</v>
      </c>
      <c r="L157" s="14">
        <f t="shared" si="14"/>
        <v>0</v>
      </c>
    </row>
    <row r="158" spans="1:12" ht="15">
      <c r="A158" s="3">
        <v>231</v>
      </c>
      <c r="B158" s="26">
        <v>71</v>
      </c>
      <c r="C158" s="7" t="s">
        <v>36</v>
      </c>
      <c r="D158" s="4" t="s">
        <v>37</v>
      </c>
      <c r="E158" s="6" t="s">
        <v>123</v>
      </c>
      <c r="F158" s="12">
        <f>INDEX('PEDIDO JULIO'!A23:J36,1,10)</f>
        <v>0</v>
      </c>
      <c r="G158" s="8">
        <f>IFERROR(VLOOKUP($B158,'[1]INSUMO POR SEDES MARZO PRUEBA'!$B$6:$CD$109,14,0),"NO BD")</f>
        <v>5196.1440000000002</v>
      </c>
      <c r="H158" s="8"/>
      <c r="I158" s="8">
        <f t="shared" si="11"/>
        <v>0</v>
      </c>
      <c r="J158" s="14">
        <f t="shared" si="12"/>
        <v>0</v>
      </c>
      <c r="K158" s="14">
        <f t="shared" si="13"/>
        <v>0</v>
      </c>
      <c r="L158" s="14">
        <f t="shared" si="14"/>
        <v>0</v>
      </c>
    </row>
    <row r="159" spans="1:12" ht="15">
      <c r="A159" s="3">
        <v>232</v>
      </c>
      <c r="B159" s="26">
        <v>72</v>
      </c>
      <c r="C159" s="7" t="s">
        <v>36</v>
      </c>
      <c r="D159" s="4" t="s">
        <v>38</v>
      </c>
      <c r="E159" s="6" t="s">
        <v>123</v>
      </c>
      <c r="F159" s="12">
        <f>INDEX('PEDIDO JULIO'!A23:J37,1,10)</f>
        <v>0</v>
      </c>
      <c r="G159" s="8">
        <f>IFERROR(VLOOKUP($B159,'[1]INSUMO POR SEDES MARZO PRUEBA'!$B$6:$CD$109,14,0),"NO BD")</f>
        <v>7861.3749000000007</v>
      </c>
      <c r="H159" s="8"/>
      <c r="I159" s="8">
        <f t="shared" si="11"/>
        <v>0</v>
      </c>
      <c r="J159" s="14">
        <f t="shared" si="12"/>
        <v>0</v>
      </c>
      <c r="K159" s="14">
        <f t="shared" si="13"/>
        <v>0</v>
      </c>
      <c r="L159" s="14">
        <f t="shared" si="14"/>
        <v>0</v>
      </c>
    </row>
    <row r="160" spans="1:12" ht="15">
      <c r="A160" s="3">
        <v>233</v>
      </c>
      <c r="B160" s="26">
        <v>73</v>
      </c>
      <c r="C160" s="7" t="s">
        <v>39</v>
      </c>
      <c r="D160" s="4" t="s">
        <v>40</v>
      </c>
      <c r="E160" s="6" t="s">
        <v>123</v>
      </c>
      <c r="F160" s="12">
        <f>INDEX('PEDIDO JULIO'!A24:J37,1,10)</f>
        <v>0</v>
      </c>
      <c r="G160" s="8">
        <f>IFERROR(VLOOKUP($B160,'[1]INSUMO POR SEDES MARZO PRUEBA'!$B$6:$CD$109,14,0),"NO BD")</f>
        <v>4975.4340000000011</v>
      </c>
      <c r="H160" s="8"/>
      <c r="I160" s="8">
        <f t="shared" si="11"/>
        <v>0</v>
      </c>
      <c r="J160" s="14">
        <f t="shared" si="12"/>
        <v>0</v>
      </c>
      <c r="K160" s="14">
        <f t="shared" si="13"/>
        <v>0</v>
      </c>
      <c r="L160" s="14">
        <f t="shared" si="14"/>
        <v>0</v>
      </c>
    </row>
    <row r="161" spans="1:12" ht="15">
      <c r="A161" s="3">
        <v>234</v>
      </c>
      <c r="B161" s="26">
        <v>74</v>
      </c>
      <c r="C161" s="7" t="s">
        <v>39</v>
      </c>
      <c r="D161" s="4" t="s">
        <v>41</v>
      </c>
      <c r="E161" s="6" t="s">
        <v>123</v>
      </c>
      <c r="F161" s="12">
        <f>INDEX('PEDIDO JULIO'!A25:J37,1,10)</f>
        <v>0</v>
      </c>
      <c r="G161" s="8">
        <f>IFERROR(VLOOKUP($B161,'[1]INSUMO POR SEDES MARZO PRUEBA'!$B$6:$CD$109,14,0),"NO BD")</f>
        <v>6915.4749000000002</v>
      </c>
      <c r="H161" s="8"/>
      <c r="I161" s="8">
        <f t="shared" si="11"/>
        <v>0</v>
      </c>
      <c r="J161" s="14">
        <f t="shared" si="12"/>
        <v>0</v>
      </c>
      <c r="K161" s="14">
        <f t="shared" si="13"/>
        <v>0</v>
      </c>
      <c r="L161" s="14">
        <f t="shared" si="14"/>
        <v>0</v>
      </c>
    </row>
    <row r="162" spans="1:12" ht="15">
      <c r="A162" s="3">
        <v>235</v>
      </c>
      <c r="B162" s="26">
        <v>79</v>
      </c>
      <c r="C162" s="7" t="s">
        <v>151</v>
      </c>
      <c r="D162" s="4" t="s">
        <v>42</v>
      </c>
      <c r="E162" s="6" t="s">
        <v>123</v>
      </c>
      <c r="F162" s="12">
        <f>INDEX('PEDIDO JULIO'!A26:J37,1,10)</f>
        <v>0</v>
      </c>
      <c r="G162" s="8">
        <f>IFERROR(VLOOKUP($B162,'[1]INSUMO POR SEDES MARZO PRUEBA'!$B$6:$CD$109,14,0),"NO BD")</f>
        <v>541.2650000000001</v>
      </c>
      <c r="H162" s="8"/>
      <c r="I162" s="8">
        <f t="shared" si="11"/>
        <v>0</v>
      </c>
      <c r="J162" s="14">
        <f t="shared" si="12"/>
        <v>0</v>
      </c>
      <c r="K162" s="14">
        <f t="shared" si="13"/>
        <v>0</v>
      </c>
      <c r="L162" s="14">
        <f t="shared" si="14"/>
        <v>0</v>
      </c>
    </row>
    <row r="163" spans="1:12" ht="15">
      <c r="A163" s="3">
        <v>236</v>
      </c>
      <c r="B163" s="26">
        <v>80</v>
      </c>
      <c r="C163" s="7" t="s">
        <v>151</v>
      </c>
      <c r="D163" s="4" t="s">
        <v>43</v>
      </c>
      <c r="E163" s="6" t="s">
        <v>123</v>
      </c>
      <c r="F163" s="12">
        <f>INDEX('PEDIDO JULIO'!A27:J37,1,10)</f>
        <v>0</v>
      </c>
      <c r="G163" s="8">
        <f>IFERROR(VLOOKUP($B163,'[1]INSUMO POR SEDES MARZO PRUEBA'!$B$6:$CD$109,14,0),"NO BD")</f>
        <v>433.01199999999994</v>
      </c>
      <c r="H163" s="8"/>
      <c r="I163" s="8">
        <f t="shared" si="11"/>
        <v>0</v>
      </c>
      <c r="J163" s="14">
        <f t="shared" si="12"/>
        <v>0</v>
      </c>
      <c r="K163" s="14">
        <f t="shared" si="13"/>
        <v>0</v>
      </c>
      <c r="L163" s="14">
        <f t="shared" si="14"/>
        <v>0</v>
      </c>
    </row>
    <row r="164" spans="1:12" ht="15">
      <c r="A164" s="3">
        <v>237</v>
      </c>
      <c r="B164" s="26">
        <v>81</v>
      </c>
      <c r="C164" s="7" t="s">
        <v>151</v>
      </c>
      <c r="D164" s="4" t="s">
        <v>44</v>
      </c>
      <c r="E164" s="6" t="s">
        <v>123</v>
      </c>
      <c r="F164" s="12">
        <f>INDEX('PEDIDO JULIO'!A28:J37,1,10)</f>
        <v>4</v>
      </c>
      <c r="G164" s="8">
        <f>IFERROR(VLOOKUP($B164,'[1]INSUMO POR SEDES MARZO PRUEBA'!$B$6:$CD$109,14,0),"NO BD")</f>
        <v>211.251</v>
      </c>
      <c r="H164" s="8"/>
      <c r="I164" s="8">
        <f t="shared" si="11"/>
        <v>845.00400000000002</v>
      </c>
      <c r="J164" s="14">
        <f t="shared" si="12"/>
        <v>84.500400000000013</v>
      </c>
      <c r="K164" s="14">
        <f t="shared" si="13"/>
        <v>16.055076000000003</v>
      </c>
      <c r="L164" s="14">
        <f t="shared" si="14"/>
        <v>945.55947600000002</v>
      </c>
    </row>
    <row r="165" spans="1:12" ht="40.5">
      <c r="A165" s="3">
        <v>238</v>
      </c>
      <c r="B165" s="26">
        <v>82</v>
      </c>
      <c r="C165" s="7" t="s">
        <v>151</v>
      </c>
      <c r="D165" s="4" t="s">
        <v>45</v>
      </c>
      <c r="E165" s="6" t="s">
        <v>123</v>
      </c>
      <c r="F165" s="12">
        <f>INDEX('PEDIDO JULIO'!A28:J37,1,10)</f>
        <v>4</v>
      </c>
      <c r="G165" s="8">
        <f>IFERROR(VLOOKUP($B165,'[1]INSUMO POR SEDES MARZO PRUEBA'!$B$6:$CD$109,14,0),"NO BD")</f>
        <v>1003.7049999999999</v>
      </c>
      <c r="H165" s="8"/>
      <c r="I165" s="8">
        <f t="shared" si="11"/>
        <v>4014.8199999999997</v>
      </c>
      <c r="J165" s="14">
        <f t="shared" si="12"/>
        <v>401.48199999999997</v>
      </c>
      <c r="K165" s="14">
        <f t="shared" si="13"/>
        <v>76.281579999999991</v>
      </c>
      <c r="L165" s="14">
        <f t="shared" si="14"/>
        <v>4492.5835799999995</v>
      </c>
    </row>
    <row r="166" spans="1:12" ht="27">
      <c r="A166" s="3">
        <v>239</v>
      </c>
      <c r="B166" s="26">
        <v>83</v>
      </c>
      <c r="C166" s="7" t="s">
        <v>46</v>
      </c>
      <c r="D166" s="4" t="s">
        <v>47</v>
      </c>
      <c r="E166" s="6" t="s">
        <v>123</v>
      </c>
      <c r="F166" s="12">
        <f>INDEX('PEDIDO JULIO'!A29:J37,1,10)</f>
        <v>2</v>
      </c>
      <c r="G166" s="8">
        <f>IFERROR(VLOOKUP($B166,'[1]INSUMO POR SEDES MARZO PRUEBA'!$B$6:$CD$109,14,0),"NO BD")</f>
        <v>336.32</v>
      </c>
      <c r="H166" s="8"/>
      <c r="I166" s="8">
        <f t="shared" si="11"/>
        <v>672.64</v>
      </c>
      <c r="J166" s="14">
        <f t="shared" si="12"/>
        <v>67.263999999999996</v>
      </c>
      <c r="K166" s="14">
        <f t="shared" si="13"/>
        <v>12.780159999999999</v>
      </c>
      <c r="L166" s="14">
        <f t="shared" si="14"/>
        <v>752.68416000000002</v>
      </c>
    </row>
    <row r="167" spans="1:12" ht="15">
      <c r="A167" s="3">
        <v>240</v>
      </c>
      <c r="B167" s="26">
        <v>88</v>
      </c>
      <c r="C167" s="7" t="s">
        <v>159</v>
      </c>
      <c r="D167" s="4" t="s">
        <v>48</v>
      </c>
      <c r="E167" s="6" t="s">
        <v>123</v>
      </c>
      <c r="F167" s="12">
        <f>INDEX('PEDIDO JULIO'!A30:J37,1,10)</f>
        <v>2</v>
      </c>
      <c r="G167" s="8">
        <f>IFERROR(VLOOKUP($B167,'[1]INSUMO POR SEDES MARZO PRUEBA'!$B$6:$CD$109,14,0),"NO BD")</f>
        <v>0</v>
      </c>
      <c r="H167" s="8"/>
      <c r="I167" s="8">
        <f t="shared" si="11"/>
        <v>0</v>
      </c>
      <c r="J167" s="14">
        <f t="shared" si="12"/>
        <v>0</v>
      </c>
      <c r="K167" s="14">
        <f t="shared" si="13"/>
        <v>0</v>
      </c>
      <c r="L167" s="14">
        <f t="shared" si="14"/>
        <v>0</v>
      </c>
    </row>
    <row r="168" spans="1:12" ht="15">
      <c r="A168" s="3">
        <v>241</v>
      </c>
      <c r="B168" s="26">
        <v>92</v>
      </c>
      <c r="C168" s="7" t="s">
        <v>159</v>
      </c>
      <c r="D168" s="4" t="s">
        <v>49</v>
      </c>
      <c r="E168" s="6" t="s">
        <v>123</v>
      </c>
      <c r="F168" s="12">
        <f>INDEX('PEDIDO JULIO'!A31:J37,1,10)</f>
        <v>0</v>
      </c>
      <c r="G168" s="8">
        <f>IFERROR(VLOOKUP($B168,'[1]INSUMO POR SEDES MARZO PRUEBA'!$B$6:$CD$109,14,0),"NO BD")</f>
        <v>2380.5149999999999</v>
      </c>
      <c r="H168" s="8"/>
      <c r="I168" s="8">
        <f t="shared" si="11"/>
        <v>0</v>
      </c>
      <c r="J168" s="14">
        <f t="shared" si="12"/>
        <v>0</v>
      </c>
      <c r="K168" s="14">
        <f t="shared" si="13"/>
        <v>0</v>
      </c>
      <c r="L168" s="14">
        <f t="shared" si="14"/>
        <v>0</v>
      </c>
    </row>
    <row r="169" spans="1:12" ht="15">
      <c r="A169" s="3">
        <v>242</v>
      </c>
      <c r="B169" s="26">
        <v>94</v>
      </c>
      <c r="C169" s="7" t="s">
        <v>159</v>
      </c>
      <c r="D169" s="4" t="s">
        <v>50</v>
      </c>
      <c r="E169" s="6" t="s">
        <v>123</v>
      </c>
      <c r="F169" s="12">
        <f>INDEX('PEDIDO JULIO'!A32:J37,1,10)</f>
        <v>0</v>
      </c>
      <c r="G169" s="8">
        <f>IFERROR(VLOOKUP($B169,'[1]INSUMO POR SEDES MARZO PRUEBA'!$B$6:$CD$109,14,0),"NO BD")</f>
        <v>3316.9560000000001</v>
      </c>
      <c r="H169" s="8"/>
      <c r="I169" s="8">
        <f t="shared" si="11"/>
        <v>0</v>
      </c>
      <c r="J169" s="14">
        <f t="shared" si="12"/>
        <v>0</v>
      </c>
      <c r="K169" s="14">
        <f t="shared" si="13"/>
        <v>0</v>
      </c>
      <c r="L169" s="14">
        <f t="shared" si="14"/>
        <v>0</v>
      </c>
    </row>
    <row r="170" spans="1:12" ht="15">
      <c r="A170" s="3">
        <v>243</v>
      </c>
      <c r="B170" s="26">
        <v>98</v>
      </c>
      <c r="C170" s="7" t="s">
        <v>159</v>
      </c>
      <c r="D170" s="4" t="s">
        <v>51</v>
      </c>
      <c r="E170" s="6" t="s">
        <v>123</v>
      </c>
      <c r="F170" s="12">
        <f>INDEX('PEDIDO JULIO'!A33:J37,1,10)</f>
        <v>0</v>
      </c>
      <c r="G170" s="8">
        <f>IFERROR(VLOOKUP($B170,'[1]INSUMO POR SEDES MARZO PRUEBA'!$B$6:$CD$109,14,0),"NO BD")</f>
        <v>9503.4573</v>
      </c>
      <c r="H170" s="8"/>
      <c r="I170" s="8">
        <f t="shared" si="11"/>
        <v>0</v>
      </c>
      <c r="J170" s="14">
        <f t="shared" si="12"/>
        <v>0</v>
      </c>
      <c r="K170" s="14">
        <f t="shared" si="13"/>
        <v>0</v>
      </c>
      <c r="L170" s="14">
        <f t="shared" si="14"/>
        <v>0</v>
      </c>
    </row>
    <row r="171" spans="1:12" ht="15">
      <c r="A171" s="3">
        <v>244</v>
      </c>
      <c r="B171" s="26">
        <v>100</v>
      </c>
      <c r="C171" s="7" t="s">
        <v>159</v>
      </c>
      <c r="D171" s="4" t="s">
        <v>52</v>
      </c>
      <c r="E171" s="6" t="s">
        <v>123</v>
      </c>
      <c r="F171" s="12">
        <f>INDEX('PEDIDO JULIO'!A33:J38,1,10)</f>
        <v>0</v>
      </c>
      <c r="G171" s="8">
        <f>IFERROR(VLOOKUP($B171,'[1]INSUMO POR SEDES MARZO PRUEBA'!$B$6:$CD$109,14,0),"NO BD")</f>
        <v>4364.8029999999999</v>
      </c>
      <c r="H171" s="8"/>
      <c r="I171" s="8">
        <f t="shared" si="11"/>
        <v>0</v>
      </c>
      <c r="J171" s="14">
        <f t="shared" si="12"/>
        <v>0</v>
      </c>
      <c r="K171" s="14">
        <f t="shared" si="13"/>
        <v>0</v>
      </c>
      <c r="L171" s="14">
        <f t="shared" si="14"/>
        <v>0</v>
      </c>
    </row>
    <row r="172" spans="1:12" ht="15">
      <c r="A172" s="3">
        <v>245</v>
      </c>
      <c r="B172" s="26">
        <v>102</v>
      </c>
      <c r="C172" s="7" t="s">
        <v>53</v>
      </c>
      <c r="D172" s="4" t="s">
        <v>54</v>
      </c>
      <c r="E172" s="6" t="s">
        <v>123</v>
      </c>
      <c r="F172" s="12">
        <f>INDEX('PEDIDO JULIO'!A33:J38,1,10)</f>
        <v>0</v>
      </c>
      <c r="G172" s="8">
        <f>IFERROR(VLOOKUP($B172,'[1]INSUMO POR SEDES MARZO PRUEBA'!$B$6:$CD$109,14,0),"NO BD")</f>
        <v>5422.8446999999996</v>
      </c>
      <c r="H172" s="8"/>
      <c r="I172" s="8">
        <f t="shared" si="11"/>
        <v>0</v>
      </c>
      <c r="J172" s="14">
        <f t="shared" si="12"/>
        <v>0</v>
      </c>
      <c r="K172" s="14">
        <f t="shared" si="13"/>
        <v>0</v>
      </c>
      <c r="L172" s="14">
        <f t="shared" si="14"/>
        <v>0</v>
      </c>
    </row>
    <row r="173" spans="1:12" ht="15">
      <c r="A173" s="3">
        <v>246</v>
      </c>
      <c r="B173" s="26">
        <v>110</v>
      </c>
      <c r="C173" s="7" t="s">
        <v>53</v>
      </c>
      <c r="D173" s="4" t="s">
        <v>55</v>
      </c>
      <c r="E173" s="6" t="s">
        <v>123</v>
      </c>
      <c r="F173" s="12">
        <f>INDEX('PEDIDO JULIO'!A33:J39,1,10)</f>
        <v>0</v>
      </c>
      <c r="G173" s="8">
        <f>IFERROR(VLOOKUP($B173,'[1]INSUMO POR SEDES MARZO PRUEBA'!$B$6:$CD$109,14,0),"NO BD")</f>
        <v>1442.4974999999999</v>
      </c>
      <c r="H173" s="8"/>
      <c r="I173" s="8">
        <f t="shared" si="11"/>
        <v>0</v>
      </c>
      <c r="J173" s="14">
        <f t="shared" si="12"/>
        <v>0</v>
      </c>
      <c r="K173" s="14">
        <f t="shared" si="13"/>
        <v>0</v>
      </c>
      <c r="L173" s="14">
        <f t="shared" si="14"/>
        <v>0</v>
      </c>
    </row>
    <row r="174" spans="1:12" ht="15">
      <c r="A174" s="3">
        <v>247</v>
      </c>
      <c r="B174" s="26">
        <v>118</v>
      </c>
      <c r="C174" s="7" t="s">
        <v>53</v>
      </c>
      <c r="D174" s="4" t="s">
        <v>56</v>
      </c>
      <c r="E174" s="6" t="s">
        <v>123</v>
      </c>
      <c r="F174" s="12">
        <f>INDEX('PEDIDO JULIO'!A33:J40,1,10)</f>
        <v>0</v>
      </c>
      <c r="G174" s="8">
        <f>IFERROR(VLOOKUP($B174,'[1]INSUMO POR SEDES MARZO PRUEBA'!$B$6:$CD$109,14,0),"NO BD")</f>
        <v>4129.7993999999999</v>
      </c>
      <c r="H174" s="8"/>
      <c r="I174" s="8">
        <f t="shared" si="11"/>
        <v>0</v>
      </c>
      <c r="J174" s="14">
        <f t="shared" si="12"/>
        <v>0</v>
      </c>
      <c r="K174" s="14">
        <f t="shared" si="13"/>
        <v>0</v>
      </c>
      <c r="L174" s="14">
        <f t="shared" si="14"/>
        <v>0</v>
      </c>
    </row>
    <row r="175" spans="1:12" ht="15">
      <c r="A175" s="3">
        <v>248</v>
      </c>
      <c r="B175" s="26">
        <v>119</v>
      </c>
      <c r="C175" s="7" t="s">
        <v>53</v>
      </c>
      <c r="D175" s="4" t="s">
        <v>57</v>
      </c>
      <c r="E175" s="6" t="s">
        <v>123</v>
      </c>
      <c r="F175" s="12">
        <f>INDEX('PEDIDO JULIO'!A33:J40,1,10)</f>
        <v>0</v>
      </c>
      <c r="G175" s="8">
        <f>IFERROR(VLOOKUP($B175,'[1]INSUMO POR SEDES MARZO PRUEBA'!$B$6:$CD$109,14,0),"NO BD")</f>
        <v>4259.3877000000002</v>
      </c>
      <c r="H175" s="8"/>
      <c r="I175" s="8">
        <f t="shared" si="11"/>
        <v>0</v>
      </c>
      <c r="J175" s="14">
        <f t="shared" si="12"/>
        <v>0</v>
      </c>
      <c r="K175" s="14">
        <f t="shared" si="13"/>
        <v>0</v>
      </c>
      <c r="L175" s="14">
        <f t="shared" si="14"/>
        <v>0</v>
      </c>
    </row>
    <row r="176" spans="1:12" ht="27">
      <c r="A176" s="3">
        <v>249</v>
      </c>
      <c r="B176" s="26">
        <v>120</v>
      </c>
      <c r="C176" s="7" t="s">
        <v>160</v>
      </c>
      <c r="D176" s="4" t="s">
        <v>58</v>
      </c>
      <c r="E176" s="6" t="s">
        <v>123</v>
      </c>
      <c r="F176" s="12">
        <f>INDEX('PEDIDO JULIO'!A33:J40,1,10)</f>
        <v>0</v>
      </c>
      <c r="G176" s="8">
        <f>IFERROR(VLOOKUP($B176,'[1]INSUMO POR SEDES MARZO PRUEBA'!$B$6:$CD$109,14,0),"NO BD")</f>
        <v>4259.3877000000002</v>
      </c>
      <c r="H176" s="8"/>
      <c r="I176" s="8">
        <f t="shared" si="11"/>
        <v>0</v>
      </c>
      <c r="J176" s="14">
        <f t="shared" si="12"/>
        <v>0</v>
      </c>
      <c r="K176" s="14">
        <f t="shared" si="13"/>
        <v>0</v>
      </c>
      <c r="L176" s="14">
        <f t="shared" si="14"/>
        <v>0</v>
      </c>
    </row>
    <row r="177" spans="1:12" ht="15">
      <c r="A177" s="3">
        <v>250</v>
      </c>
      <c r="B177" s="26">
        <v>122</v>
      </c>
      <c r="C177" s="7" t="s">
        <v>160</v>
      </c>
      <c r="D177" s="4" t="s">
        <v>59</v>
      </c>
      <c r="E177" s="6" t="s">
        <v>123</v>
      </c>
      <c r="F177" s="12">
        <f>INDEX('PEDIDO JULIO'!A33:J41,1,10)</f>
        <v>0</v>
      </c>
      <c r="G177" s="8">
        <f>IFERROR(VLOOKUP($B177,'[1]INSUMO POR SEDES MARZO PRUEBA'!$B$6:$CD$109,14,0),"NO BD")</f>
        <v>5223.4699999999993</v>
      </c>
      <c r="H177" s="8"/>
      <c r="I177" s="8">
        <f t="shared" si="11"/>
        <v>0</v>
      </c>
      <c r="J177" s="14">
        <f t="shared" si="12"/>
        <v>0</v>
      </c>
      <c r="K177" s="14">
        <f t="shared" si="13"/>
        <v>0</v>
      </c>
      <c r="L177" s="14">
        <f t="shared" si="14"/>
        <v>0</v>
      </c>
    </row>
    <row r="178" spans="1:12" ht="15">
      <c r="A178" s="3">
        <v>251</v>
      </c>
      <c r="B178" s="26">
        <v>123</v>
      </c>
      <c r="C178" s="7" t="s">
        <v>60</v>
      </c>
      <c r="D178" s="4" t="s">
        <v>61</v>
      </c>
      <c r="E178" s="6" t="s">
        <v>123</v>
      </c>
      <c r="F178" s="12">
        <f>INDEX('PEDIDO JULIO'!A33:J41,1,10)</f>
        <v>0</v>
      </c>
      <c r="G178" s="8">
        <f>IFERROR(VLOOKUP($B178,'[1]INSUMO POR SEDES MARZO PRUEBA'!$B$6:$CD$109,14,0),"NO BD")</f>
        <v>6169.1598000000004</v>
      </c>
      <c r="H178" s="8"/>
      <c r="I178" s="8">
        <f t="shared" si="11"/>
        <v>0</v>
      </c>
      <c r="J178" s="14">
        <f t="shared" si="12"/>
        <v>0</v>
      </c>
      <c r="K178" s="14">
        <f t="shared" si="13"/>
        <v>0</v>
      </c>
      <c r="L178" s="14">
        <f t="shared" si="14"/>
        <v>0</v>
      </c>
    </row>
    <row r="179" spans="1:12" ht="15">
      <c r="A179" s="3">
        <v>252</v>
      </c>
      <c r="B179" s="26">
        <v>124</v>
      </c>
      <c r="C179" s="7" t="s">
        <v>60</v>
      </c>
      <c r="D179" s="4" t="s">
        <v>62</v>
      </c>
      <c r="E179" s="6" t="s">
        <v>123</v>
      </c>
      <c r="F179" s="12">
        <f>INDEX('PEDIDO JULIO'!A33:J42,1,10)</f>
        <v>0</v>
      </c>
      <c r="G179" s="8">
        <f>IFERROR(VLOOKUP($B179,'[1]INSUMO POR SEDES MARZO PRUEBA'!$B$6:$CD$109,14,0),"NO BD")</f>
        <v>5765.7860000000001</v>
      </c>
      <c r="H179" s="8"/>
      <c r="I179" s="8">
        <f t="shared" si="11"/>
        <v>0</v>
      </c>
      <c r="J179" s="14">
        <f t="shared" si="12"/>
        <v>0</v>
      </c>
      <c r="K179" s="14">
        <f t="shared" si="13"/>
        <v>0</v>
      </c>
      <c r="L179" s="14">
        <f t="shared" si="14"/>
        <v>0</v>
      </c>
    </row>
    <row r="180" spans="1:12" ht="15">
      <c r="A180" s="3">
        <v>253</v>
      </c>
      <c r="B180" s="26">
        <v>137</v>
      </c>
      <c r="C180" s="7" t="s">
        <v>151</v>
      </c>
      <c r="D180" s="4" t="s">
        <v>63</v>
      </c>
      <c r="E180" s="6" t="s">
        <v>123</v>
      </c>
      <c r="F180" s="12">
        <f>INDEX('PEDIDO JULIO'!A33:J42,1,10)</f>
        <v>0</v>
      </c>
      <c r="G180" s="8">
        <f>IFERROR(VLOOKUP($B180,'[1]INSUMO POR SEDES MARZO PRUEBA'!$B$6:$CD$109,14,0),"NO BD")</f>
        <v>0</v>
      </c>
      <c r="H180" s="8"/>
      <c r="I180" s="8">
        <f t="shared" si="11"/>
        <v>0</v>
      </c>
      <c r="J180" s="14">
        <f t="shared" si="12"/>
        <v>0</v>
      </c>
      <c r="K180" s="14">
        <f t="shared" si="13"/>
        <v>0</v>
      </c>
      <c r="L180" s="14">
        <f t="shared" si="14"/>
        <v>0</v>
      </c>
    </row>
    <row r="181" spans="1:12" ht="15">
      <c r="A181" s="3">
        <v>254</v>
      </c>
      <c r="B181" s="26">
        <v>139</v>
      </c>
      <c r="C181" s="7" t="s">
        <v>160</v>
      </c>
      <c r="D181" s="4" t="s">
        <v>64</v>
      </c>
      <c r="E181" s="6" t="s">
        <v>123</v>
      </c>
      <c r="F181" s="12">
        <f>INDEX('PEDIDO JULIO'!A33:J42,1,10)</f>
        <v>0</v>
      </c>
      <c r="G181" s="8">
        <f>IFERROR(VLOOKUP($B181,'[1]INSUMO POR SEDES MARZO PRUEBA'!$B$6:$CD$109,14,0),"NO BD")</f>
        <v>25429.996000000003</v>
      </c>
      <c r="H181" s="8"/>
      <c r="I181" s="8">
        <f t="shared" si="11"/>
        <v>0</v>
      </c>
      <c r="J181" s="14">
        <f t="shared" si="12"/>
        <v>0</v>
      </c>
      <c r="K181" s="14">
        <f t="shared" si="13"/>
        <v>0</v>
      </c>
      <c r="L181" s="14">
        <f t="shared" si="14"/>
        <v>0</v>
      </c>
    </row>
    <row r="182" spans="1:12" ht="27">
      <c r="A182" s="3">
        <v>255</v>
      </c>
      <c r="B182" s="26">
        <v>151</v>
      </c>
      <c r="C182" s="7" t="s">
        <v>60</v>
      </c>
      <c r="D182" s="4" t="s">
        <v>65</v>
      </c>
      <c r="E182" s="6" t="s">
        <v>123</v>
      </c>
      <c r="F182" s="12">
        <f>INDEX('PEDIDO JULIO'!A33:J42,1,10)</f>
        <v>0</v>
      </c>
      <c r="G182" s="8">
        <f>IFERROR(VLOOKUP($B182,'[1]INSUMO POR SEDES MARZO PRUEBA'!$B$6:$CD$109,14,0),"NO BD")</f>
        <v>7960.6944000000003</v>
      </c>
      <c r="H182" s="8"/>
      <c r="I182" s="8">
        <f t="shared" si="11"/>
        <v>0</v>
      </c>
      <c r="J182" s="14">
        <f t="shared" si="12"/>
        <v>0</v>
      </c>
      <c r="K182" s="14">
        <f t="shared" si="13"/>
        <v>0</v>
      </c>
      <c r="L182" s="14">
        <f t="shared" si="14"/>
        <v>0</v>
      </c>
    </row>
    <row r="183" spans="1:12" ht="15">
      <c r="A183" s="3">
        <v>256</v>
      </c>
      <c r="B183" s="26">
        <v>155</v>
      </c>
      <c r="C183" s="7" t="s">
        <v>66</v>
      </c>
      <c r="D183" s="4" t="s">
        <v>67</v>
      </c>
      <c r="E183" s="6" t="s">
        <v>123</v>
      </c>
      <c r="F183" s="12">
        <f>INDEX('PEDIDO JULIO'!A33:J43,1,10)</f>
        <v>0</v>
      </c>
      <c r="G183" s="8">
        <f>IFERROR(VLOOKUP($B183,'[1]INSUMO POR SEDES MARZO PRUEBA'!$B$6:$CD$109,14,0),"NO BD")</f>
        <v>5005.7028</v>
      </c>
      <c r="H183" s="8"/>
      <c r="I183" s="8">
        <f t="shared" si="11"/>
        <v>0</v>
      </c>
      <c r="J183" s="14">
        <f t="shared" si="12"/>
        <v>0</v>
      </c>
      <c r="K183" s="14">
        <f t="shared" si="13"/>
        <v>0</v>
      </c>
      <c r="L183" s="14">
        <f t="shared" si="14"/>
        <v>0</v>
      </c>
    </row>
    <row r="184" spans="1:12" ht="15">
      <c r="A184" s="3">
        <v>257</v>
      </c>
      <c r="B184" s="26">
        <v>156</v>
      </c>
      <c r="C184" s="7" t="s">
        <v>66</v>
      </c>
      <c r="D184" s="4" t="s">
        <v>68</v>
      </c>
      <c r="E184" s="6" t="s">
        <v>123</v>
      </c>
      <c r="F184" s="12">
        <f>INDEX('PEDIDO JULIO'!A33:J43,1,10)</f>
        <v>0</v>
      </c>
      <c r="G184" s="8">
        <f>IFERROR(VLOOKUP($B184,'[1]INSUMO POR SEDES MARZO PRUEBA'!$B$6:$CD$109,14,0),"NO BD")</f>
        <v>7711.9227000000001</v>
      </c>
      <c r="H184" s="8"/>
      <c r="I184" s="8">
        <f t="shared" si="11"/>
        <v>0</v>
      </c>
      <c r="J184" s="14">
        <f t="shared" si="12"/>
        <v>0</v>
      </c>
      <c r="K184" s="14">
        <f t="shared" si="13"/>
        <v>0</v>
      </c>
      <c r="L184" s="14">
        <f t="shared" si="14"/>
        <v>0</v>
      </c>
    </row>
    <row r="185" spans="1:12" ht="15">
      <c r="A185" s="3">
        <v>258</v>
      </c>
      <c r="B185" s="26">
        <v>157</v>
      </c>
      <c r="C185" s="7" t="s">
        <v>66</v>
      </c>
      <c r="D185" s="4" t="s">
        <v>69</v>
      </c>
      <c r="E185" s="6" t="s">
        <v>123</v>
      </c>
      <c r="F185" s="12">
        <f>INDEX('PEDIDO JULIO'!A33:J43,1,10)</f>
        <v>0</v>
      </c>
      <c r="G185" s="8">
        <f>IFERROR(VLOOKUP($B185,'[1]INSUMO POR SEDES MARZO PRUEBA'!$B$6:$CD$109,14,0),"NO BD")</f>
        <v>8955.7812000000013</v>
      </c>
      <c r="H185" s="8"/>
      <c r="I185" s="8">
        <f t="shared" si="11"/>
        <v>0</v>
      </c>
      <c r="J185" s="14">
        <f t="shared" ref="J185:J209" si="15">+I185*10%</f>
        <v>0</v>
      </c>
      <c r="K185" s="14">
        <f t="shared" ref="K185:K209" si="16">+J185*19%</f>
        <v>0</v>
      </c>
      <c r="L185" s="14">
        <f t="shared" ref="L185:L209" si="17">SUM(I185:K185)</f>
        <v>0</v>
      </c>
    </row>
    <row r="186" spans="1:12" ht="15">
      <c r="A186" s="3">
        <v>259</v>
      </c>
      <c r="B186" s="31">
        <v>159</v>
      </c>
      <c r="C186" s="7" t="s">
        <v>66</v>
      </c>
      <c r="D186" s="4" t="s">
        <v>70</v>
      </c>
      <c r="E186" s="6" t="s">
        <v>123</v>
      </c>
      <c r="F186" s="12">
        <f>INDEX('PEDIDO JULIO'!A33:J44,1,10)</f>
        <v>0</v>
      </c>
      <c r="G186" s="8">
        <f>IFERROR(VLOOKUP($B186,'[1]INSUMO POR SEDES MARZO PRUEBA'!$B$6:$CD$109,14,0),"NO BD")</f>
        <v>6716.8359</v>
      </c>
      <c r="H186" s="8"/>
      <c r="I186" s="8">
        <f t="shared" si="11"/>
        <v>0</v>
      </c>
      <c r="J186" s="14">
        <f t="shared" si="15"/>
        <v>0</v>
      </c>
      <c r="K186" s="14">
        <f t="shared" si="16"/>
        <v>0</v>
      </c>
      <c r="L186" s="14">
        <f t="shared" si="17"/>
        <v>0</v>
      </c>
    </row>
    <row r="187" spans="1:12" ht="15">
      <c r="A187" s="3">
        <v>260</v>
      </c>
      <c r="B187" s="26">
        <v>160</v>
      </c>
      <c r="C187" s="7" t="s">
        <v>66</v>
      </c>
      <c r="D187" s="4" t="s">
        <v>71</v>
      </c>
      <c r="E187" s="6" t="s">
        <v>123</v>
      </c>
      <c r="F187" s="12">
        <f>INDEX('PEDIDO JULIO'!A33:J44,1,10)</f>
        <v>0</v>
      </c>
      <c r="G187" s="8">
        <f>IFERROR(VLOOKUP($B187,'[1]INSUMO POR SEDES MARZO PRUEBA'!$B$6:$CD$109,14,0),"NO BD")</f>
        <v>3035.3931000000002</v>
      </c>
      <c r="H187" s="8"/>
      <c r="I187" s="8">
        <f t="shared" si="11"/>
        <v>0</v>
      </c>
      <c r="J187" s="14">
        <f t="shared" si="15"/>
        <v>0</v>
      </c>
      <c r="K187" s="14">
        <f t="shared" si="16"/>
        <v>0</v>
      </c>
      <c r="L187" s="14">
        <f t="shared" si="17"/>
        <v>0</v>
      </c>
    </row>
    <row r="188" spans="1:12" ht="15">
      <c r="A188" s="3">
        <v>261</v>
      </c>
      <c r="B188" s="26">
        <v>162</v>
      </c>
      <c r="C188" s="7" t="s">
        <v>66</v>
      </c>
      <c r="D188" s="4" t="s">
        <v>72</v>
      </c>
      <c r="E188" s="6" t="s">
        <v>123</v>
      </c>
      <c r="F188" s="12">
        <f>INDEX('PEDIDO JULIO'!A33:J44,1,10)</f>
        <v>0</v>
      </c>
      <c r="G188" s="8">
        <f>IFERROR(VLOOKUP($B188,'[1]INSUMO POR SEDES MARZO PRUEBA'!$B$6:$CD$109,14,0),"NO BD")</f>
        <v>2684.2539999999999</v>
      </c>
      <c r="H188" s="8"/>
      <c r="I188" s="8">
        <f t="shared" si="11"/>
        <v>0</v>
      </c>
      <c r="J188" s="14">
        <f t="shared" si="15"/>
        <v>0</v>
      </c>
      <c r="K188" s="14">
        <f t="shared" si="16"/>
        <v>0</v>
      </c>
      <c r="L188" s="14">
        <f t="shared" si="17"/>
        <v>0</v>
      </c>
    </row>
    <row r="189" spans="1:12" ht="15">
      <c r="A189" s="3">
        <v>262</v>
      </c>
      <c r="B189" s="26">
        <v>164</v>
      </c>
      <c r="C189" s="7" t="s">
        <v>158</v>
      </c>
      <c r="D189" s="4" t="s">
        <v>73</v>
      </c>
      <c r="E189" s="6" t="s">
        <v>123</v>
      </c>
      <c r="F189" s="12">
        <f>INDEX('PEDIDO JULIO'!A33:J44,1,10)</f>
        <v>0</v>
      </c>
      <c r="G189" s="8">
        <f>IFERROR(VLOOKUP($B189,'[1]INSUMO POR SEDES MARZO PRUEBA'!$B$6:$CD$109,14,0),"NO BD")</f>
        <v>1658.4780000000001</v>
      </c>
      <c r="H189" s="8"/>
      <c r="I189" s="8">
        <f t="shared" si="11"/>
        <v>0</v>
      </c>
      <c r="J189" s="14">
        <f t="shared" si="15"/>
        <v>0</v>
      </c>
      <c r="K189" s="14">
        <f t="shared" si="16"/>
        <v>0</v>
      </c>
      <c r="L189" s="14">
        <f t="shared" si="17"/>
        <v>0</v>
      </c>
    </row>
    <row r="190" spans="1:12" ht="15">
      <c r="A190" s="3">
        <v>263</v>
      </c>
      <c r="B190" s="26">
        <v>169</v>
      </c>
      <c r="C190" s="7" t="s">
        <v>158</v>
      </c>
      <c r="D190" s="4" t="s">
        <v>74</v>
      </c>
      <c r="E190" s="6" t="s">
        <v>123</v>
      </c>
      <c r="F190" s="12">
        <f>INDEX('PEDIDO JULIO'!A33:J45,1,10)</f>
        <v>0</v>
      </c>
      <c r="G190" s="8">
        <f>IFERROR(VLOOKUP($B190,'[1]INSUMO POR SEDES MARZO PRUEBA'!$B$6:$CD$109,14,0),"NO BD")</f>
        <v>85897.178999999989</v>
      </c>
      <c r="H190" s="8"/>
      <c r="I190" s="8">
        <f t="shared" si="11"/>
        <v>0</v>
      </c>
      <c r="J190" s="14">
        <f t="shared" si="15"/>
        <v>0</v>
      </c>
      <c r="K190" s="14">
        <f t="shared" si="16"/>
        <v>0</v>
      </c>
      <c r="L190" s="14">
        <f t="shared" si="17"/>
        <v>0</v>
      </c>
    </row>
    <row r="191" spans="1:12" ht="15">
      <c r="A191" s="3">
        <v>264</v>
      </c>
      <c r="B191" s="26">
        <v>170</v>
      </c>
      <c r="C191" s="7" t="s">
        <v>158</v>
      </c>
      <c r="D191" s="4" t="s">
        <v>75</v>
      </c>
      <c r="E191" s="6" t="s">
        <v>123</v>
      </c>
      <c r="F191" s="12">
        <f>INDEX('PEDIDO JULIO'!A33:J46,1,10)</f>
        <v>0</v>
      </c>
      <c r="G191" s="8">
        <f>IFERROR(VLOOKUP($B191,'[1]INSUMO POR SEDES MARZO PRUEBA'!$B$6:$CD$109,14,0),"NO BD")</f>
        <v>45575.353799999997</v>
      </c>
      <c r="H191" s="8"/>
      <c r="I191" s="8">
        <f t="shared" si="11"/>
        <v>0</v>
      </c>
      <c r="J191" s="14">
        <f t="shared" si="15"/>
        <v>0</v>
      </c>
      <c r="K191" s="14">
        <f t="shared" si="16"/>
        <v>0</v>
      </c>
      <c r="L191" s="14">
        <f t="shared" si="17"/>
        <v>0</v>
      </c>
    </row>
    <row r="192" spans="1:12" ht="15">
      <c r="A192" s="3">
        <v>265</v>
      </c>
      <c r="B192" s="26">
        <v>174</v>
      </c>
      <c r="C192" s="7" t="s">
        <v>158</v>
      </c>
      <c r="D192" s="4" t="s">
        <v>76</v>
      </c>
      <c r="E192" s="6" t="s">
        <v>123</v>
      </c>
      <c r="F192" s="12">
        <f>INDEX('PEDIDO JULIO'!A33:J47,1,10)</f>
        <v>0</v>
      </c>
      <c r="G192" s="8">
        <f>IFERROR(VLOOKUP($B192,'[1]INSUMO POR SEDES MARZO PRUEBA'!$B$6:$CD$109,14,0),"NO BD")</f>
        <v>6081.0860000000002</v>
      </c>
      <c r="H192" s="8"/>
      <c r="I192" s="8">
        <f t="shared" si="11"/>
        <v>0</v>
      </c>
      <c r="J192" s="14">
        <f t="shared" si="15"/>
        <v>0</v>
      </c>
      <c r="K192" s="14">
        <f t="shared" si="16"/>
        <v>0</v>
      </c>
      <c r="L192" s="14">
        <f t="shared" si="17"/>
        <v>0</v>
      </c>
    </row>
    <row r="193" spans="1:12" ht="15">
      <c r="A193" s="3">
        <v>266</v>
      </c>
      <c r="B193" s="26">
        <v>192</v>
      </c>
      <c r="C193" s="7" t="s">
        <v>158</v>
      </c>
      <c r="D193" s="4" t="s">
        <v>77</v>
      </c>
      <c r="E193" s="6" t="s">
        <v>123</v>
      </c>
      <c r="F193" s="12">
        <f>INDEX('PEDIDO JULIO'!A33:J47,1,10)</f>
        <v>0</v>
      </c>
      <c r="G193" s="8">
        <f>IFERROR(VLOOKUP($B193,'[1]INSUMO POR SEDES MARZO PRUEBA'!$B$6:$CD$109,14,0),"NO BD")</f>
        <v>6866.2880999999998</v>
      </c>
      <c r="H193" s="8"/>
      <c r="I193" s="8">
        <f t="shared" si="11"/>
        <v>0</v>
      </c>
      <c r="J193" s="14">
        <f t="shared" si="15"/>
        <v>0</v>
      </c>
      <c r="K193" s="14">
        <f t="shared" si="16"/>
        <v>0</v>
      </c>
      <c r="L193" s="14">
        <f t="shared" si="17"/>
        <v>0</v>
      </c>
    </row>
    <row r="194" spans="1:12" ht="15">
      <c r="A194" s="3">
        <v>267</v>
      </c>
      <c r="B194" s="26">
        <v>195</v>
      </c>
      <c r="C194" s="7" t="s">
        <v>158</v>
      </c>
      <c r="D194" s="4" t="s">
        <v>78</v>
      </c>
      <c r="E194" s="6" t="s">
        <v>123</v>
      </c>
      <c r="F194" s="12">
        <f>INDEX('PEDIDO JULIO'!A33:J47,1,10)</f>
        <v>0</v>
      </c>
      <c r="G194" s="8">
        <f>IFERROR(VLOOKUP($B194,'[1]INSUMO POR SEDES MARZO PRUEBA'!$B$6:$CD$109,14,0),"NO BD")</f>
        <v>6431.0690000000004</v>
      </c>
      <c r="H194" s="8"/>
      <c r="I194" s="8">
        <f t="shared" si="11"/>
        <v>0</v>
      </c>
      <c r="J194" s="14">
        <f t="shared" si="15"/>
        <v>0</v>
      </c>
      <c r="K194" s="14">
        <f t="shared" si="16"/>
        <v>0</v>
      </c>
      <c r="L194" s="14">
        <f t="shared" si="17"/>
        <v>0</v>
      </c>
    </row>
    <row r="195" spans="1:12" ht="15">
      <c r="A195" s="3">
        <v>268</v>
      </c>
      <c r="B195" s="26">
        <v>204</v>
      </c>
      <c r="C195" s="7" t="s">
        <v>158</v>
      </c>
      <c r="D195" s="4" t="s">
        <v>79</v>
      </c>
      <c r="E195" s="6" t="s">
        <v>123</v>
      </c>
      <c r="F195" s="12">
        <f>INDEX('PEDIDO JULIO'!A33:J47,1,10)</f>
        <v>0</v>
      </c>
      <c r="G195" s="8">
        <f>IFERROR(VLOOKUP($B195,'[1]INSUMO POR SEDES MARZO PRUEBA'!$B$6:$CD$109,14,0),"NO BD")</f>
        <v>25673.6178</v>
      </c>
      <c r="H195" s="8"/>
      <c r="I195" s="8">
        <f t="shared" si="11"/>
        <v>0</v>
      </c>
      <c r="J195" s="14">
        <f t="shared" si="15"/>
        <v>0</v>
      </c>
      <c r="K195" s="14">
        <f t="shared" si="16"/>
        <v>0</v>
      </c>
      <c r="L195" s="14">
        <f t="shared" si="17"/>
        <v>0</v>
      </c>
    </row>
    <row r="196" spans="1:12" ht="15">
      <c r="A196" s="3">
        <v>269</v>
      </c>
      <c r="B196" s="26">
        <v>205</v>
      </c>
      <c r="C196" s="7" t="s">
        <v>158</v>
      </c>
      <c r="D196" s="4" t="s">
        <v>80</v>
      </c>
      <c r="E196" s="6" t="s">
        <v>123</v>
      </c>
      <c r="F196" s="12">
        <f>INDEX('PEDIDO JULIO'!A33:J47,1,10)</f>
        <v>0</v>
      </c>
      <c r="G196" s="8">
        <f>IFERROR(VLOOKUP($B196,'[1]INSUMO POR SEDES MARZO PRUEBA'!$B$6:$CD$109,14,0),"NO BD")</f>
        <v>32639.225399999996</v>
      </c>
      <c r="H196" s="8"/>
      <c r="I196" s="8">
        <f t="shared" si="11"/>
        <v>0</v>
      </c>
      <c r="J196" s="14">
        <f t="shared" si="15"/>
        <v>0</v>
      </c>
      <c r="K196" s="14">
        <f t="shared" si="16"/>
        <v>0</v>
      </c>
      <c r="L196" s="14">
        <f t="shared" si="17"/>
        <v>0</v>
      </c>
    </row>
    <row r="197" spans="1:12" ht="15">
      <c r="A197" s="3">
        <v>270</v>
      </c>
      <c r="B197" s="26">
        <v>207</v>
      </c>
      <c r="C197" s="7" t="s">
        <v>158</v>
      </c>
      <c r="D197" s="4" t="s">
        <v>81</v>
      </c>
      <c r="E197" s="6" t="s">
        <v>123</v>
      </c>
      <c r="F197" s="12">
        <f>INDEX('PEDIDO JULIO'!A33:J47,1,10)</f>
        <v>0</v>
      </c>
      <c r="G197" s="8">
        <f>IFERROR(VLOOKUP($B197,'[1]INSUMO POR SEDES MARZO PRUEBA'!$B$6:$CD$109,14,0),"NO BD")</f>
        <v>0</v>
      </c>
      <c r="H197" s="8"/>
      <c r="I197" s="8">
        <f t="shared" si="11"/>
        <v>0</v>
      </c>
      <c r="J197" s="14">
        <f t="shared" si="15"/>
        <v>0</v>
      </c>
      <c r="K197" s="14">
        <f t="shared" si="16"/>
        <v>0</v>
      </c>
      <c r="L197" s="14">
        <f t="shared" si="17"/>
        <v>0</v>
      </c>
    </row>
    <row r="198" spans="1:12" ht="15">
      <c r="A198" s="3">
        <v>271</v>
      </c>
      <c r="B198" s="26">
        <v>212</v>
      </c>
      <c r="C198" s="7" t="s">
        <v>158</v>
      </c>
      <c r="D198" s="4" t="s">
        <v>82</v>
      </c>
      <c r="E198" s="6" t="s">
        <v>123</v>
      </c>
      <c r="F198" s="12">
        <f>INDEX('PEDIDO JULIO'!A33:J47,1,10)</f>
        <v>0</v>
      </c>
      <c r="G198" s="8">
        <f>IFERROR(VLOOKUP($B198,'[1]INSUMO POR SEDES MARZO PRUEBA'!$B$6:$CD$109,14,0),"NO BD")</f>
        <v>0</v>
      </c>
      <c r="H198" s="8"/>
      <c r="I198" s="8">
        <f t="shared" ref="I198:I261" si="18">+F198*G198</f>
        <v>0</v>
      </c>
      <c r="J198" s="14">
        <f t="shared" si="15"/>
        <v>0</v>
      </c>
      <c r="K198" s="14">
        <f t="shared" si="16"/>
        <v>0</v>
      </c>
      <c r="L198" s="14">
        <f t="shared" si="17"/>
        <v>0</v>
      </c>
    </row>
    <row r="199" spans="1:12" ht="15">
      <c r="A199" s="3">
        <v>272</v>
      </c>
      <c r="B199" s="26">
        <v>218</v>
      </c>
      <c r="C199" s="7" t="s">
        <v>158</v>
      </c>
      <c r="D199" s="4" t="s">
        <v>83</v>
      </c>
      <c r="E199" s="6" t="s">
        <v>123</v>
      </c>
      <c r="F199" s="12">
        <f>INDEX('PEDIDO JULIO'!A33:J47,1,10)</f>
        <v>0</v>
      </c>
      <c r="G199" s="8">
        <f>IFERROR(VLOOKUP($B199,'[1]INSUMO POR SEDES MARZO PRUEBA'!$B$6:$CD$109,14,0),"NO BD")</f>
        <v>1437.768</v>
      </c>
      <c r="H199" s="8"/>
      <c r="I199" s="8">
        <f t="shared" si="18"/>
        <v>0</v>
      </c>
      <c r="J199" s="14">
        <f t="shared" si="15"/>
        <v>0</v>
      </c>
      <c r="K199" s="14">
        <f t="shared" si="16"/>
        <v>0</v>
      </c>
      <c r="L199" s="14">
        <f t="shared" si="17"/>
        <v>0</v>
      </c>
    </row>
    <row r="200" spans="1:12" ht="15">
      <c r="A200" s="3">
        <v>273</v>
      </c>
      <c r="B200" s="26">
        <v>251</v>
      </c>
      <c r="C200" s="7" t="s">
        <v>158</v>
      </c>
      <c r="D200" s="4" t="s">
        <v>84</v>
      </c>
      <c r="E200" s="6" t="s">
        <v>123</v>
      </c>
      <c r="F200" s="12">
        <f>INDEX('PEDIDO JULIO'!A33:J47,1,10)</f>
        <v>0</v>
      </c>
      <c r="G200" s="8">
        <f>IFERROR(VLOOKUP($B200,'[1]INSUMO POR SEDES MARZO PRUEBA'!$B$6:$CD$109,14,0),"NO BD")</f>
        <v>16031.954000000002</v>
      </c>
      <c r="H200" s="8"/>
      <c r="I200" s="8">
        <f t="shared" si="18"/>
        <v>0</v>
      </c>
      <c r="J200" s="14">
        <f t="shared" si="15"/>
        <v>0</v>
      </c>
      <c r="K200" s="14">
        <f t="shared" si="16"/>
        <v>0</v>
      </c>
      <c r="L200" s="14">
        <f t="shared" si="17"/>
        <v>0</v>
      </c>
    </row>
    <row r="201" spans="1:12" ht="15">
      <c r="A201" s="3">
        <v>313</v>
      </c>
      <c r="B201" s="39">
        <v>3</v>
      </c>
      <c r="C201" s="7" t="s">
        <v>155</v>
      </c>
      <c r="D201" s="4" t="s">
        <v>5</v>
      </c>
      <c r="E201" s="6" t="s">
        <v>124</v>
      </c>
      <c r="F201" s="12">
        <f>INDEX('PEDIDO JULIO'!A10:K32,1,11)</f>
        <v>0</v>
      </c>
      <c r="G201" s="8">
        <f>IFERROR(VLOOKUP($B201,'[1]INSUMO POR SEDES MARZO PRUEBA'!$B$6:$CD$109,17,0),"NO BD")</f>
        <v>7268.7160000000003</v>
      </c>
      <c r="H201" s="8"/>
      <c r="I201" s="8">
        <f t="shared" si="18"/>
        <v>0</v>
      </c>
      <c r="J201" s="14">
        <f t="shared" si="15"/>
        <v>0</v>
      </c>
      <c r="K201" s="14">
        <f t="shared" si="16"/>
        <v>0</v>
      </c>
      <c r="L201" s="14">
        <f t="shared" si="17"/>
        <v>0</v>
      </c>
    </row>
    <row r="202" spans="1:12" ht="15">
      <c r="A202" s="3">
        <v>314</v>
      </c>
      <c r="B202" s="39">
        <v>5</v>
      </c>
      <c r="C202" s="7" t="s">
        <v>6</v>
      </c>
      <c r="D202" s="4" t="s">
        <v>7</v>
      </c>
      <c r="E202" s="6" t="s">
        <v>124</v>
      </c>
      <c r="F202" s="12">
        <f>INDEX('PEDIDO JULIO'!A10:K32,1,11)</f>
        <v>0</v>
      </c>
      <c r="G202" s="8">
        <f>IFERROR(VLOOKUP($B202,'[1]INSUMO POR SEDES MARZO PRUEBA'!$B$6:$CD$109,17,0),"NO BD")</f>
        <v>0</v>
      </c>
      <c r="H202" s="8"/>
      <c r="I202" s="8">
        <f t="shared" si="18"/>
        <v>0</v>
      </c>
      <c r="J202" s="14">
        <f t="shared" si="15"/>
        <v>0</v>
      </c>
      <c r="K202" s="14">
        <f t="shared" si="16"/>
        <v>0</v>
      </c>
      <c r="L202" s="14">
        <f t="shared" si="17"/>
        <v>0</v>
      </c>
    </row>
    <row r="203" spans="1:12" ht="15">
      <c r="A203" s="3">
        <v>315</v>
      </c>
      <c r="B203" s="39">
        <v>8</v>
      </c>
      <c r="C203" s="7" t="s">
        <v>6</v>
      </c>
      <c r="D203" s="4" t="s">
        <v>8</v>
      </c>
      <c r="E203" s="6" t="s">
        <v>124</v>
      </c>
      <c r="F203" s="12">
        <f>INDEX('PEDIDO JULIO'!A10:K33,1,11)</f>
        <v>0</v>
      </c>
      <c r="G203" s="8">
        <f>IFERROR(VLOOKUP($B203,'[1]INSUMO POR SEDES MARZO PRUEBA'!$B$6:$CD$109,17,0),"NO BD")</f>
        <v>0</v>
      </c>
      <c r="H203" s="8"/>
      <c r="I203" s="8">
        <f t="shared" si="18"/>
        <v>0</v>
      </c>
      <c r="J203" s="14">
        <f t="shared" si="15"/>
        <v>0</v>
      </c>
      <c r="K203" s="14">
        <f t="shared" si="16"/>
        <v>0</v>
      </c>
      <c r="L203" s="14">
        <f t="shared" si="17"/>
        <v>0</v>
      </c>
    </row>
    <row r="204" spans="1:12" ht="15">
      <c r="A204" s="3">
        <v>316</v>
      </c>
      <c r="B204" s="39">
        <v>9</v>
      </c>
      <c r="C204" s="7" t="s">
        <v>9</v>
      </c>
      <c r="D204" s="4" t="s">
        <v>10</v>
      </c>
      <c r="E204" s="6" t="s">
        <v>124</v>
      </c>
      <c r="F204" s="12">
        <f>INDEX('PEDIDO JULIO'!A10:K33,1,11)</f>
        <v>0</v>
      </c>
      <c r="G204" s="8">
        <f>IFERROR(VLOOKUP($B204,'[1]INSUMO POR SEDES MARZO PRUEBA'!$B$6:$CD$109,17,0),"NO BD")</f>
        <v>0</v>
      </c>
      <c r="H204" s="8"/>
      <c r="I204" s="8">
        <f t="shared" si="18"/>
        <v>0</v>
      </c>
      <c r="J204" s="14">
        <f t="shared" si="15"/>
        <v>0</v>
      </c>
      <c r="K204" s="14">
        <f t="shared" si="16"/>
        <v>0</v>
      </c>
      <c r="L204" s="14">
        <f t="shared" si="17"/>
        <v>0</v>
      </c>
    </row>
    <row r="205" spans="1:12" ht="15">
      <c r="A205" s="3">
        <v>317</v>
      </c>
      <c r="B205" s="39">
        <v>13</v>
      </c>
      <c r="C205" s="7" t="s">
        <v>156</v>
      </c>
      <c r="D205" s="5" t="s">
        <v>11</v>
      </c>
      <c r="E205" s="6" t="s">
        <v>124</v>
      </c>
      <c r="F205" s="12">
        <f>INDEX('PEDIDO JULIO'!A11:K33,1,11)</f>
        <v>0</v>
      </c>
      <c r="G205" s="8">
        <f>IFERROR(VLOOKUP($B205,'[1]INSUMO POR SEDES MARZO PRUEBA'!$B$6:$CD$109,17,0),"NO BD")</f>
        <v>0</v>
      </c>
      <c r="H205" s="8"/>
      <c r="I205" s="8">
        <f t="shared" si="18"/>
        <v>0</v>
      </c>
      <c r="J205" s="14">
        <f t="shared" si="15"/>
        <v>0</v>
      </c>
      <c r="K205" s="14">
        <f t="shared" si="16"/>
        <v>0</v>
      </c>
      <c r="L205" s="14">
        <f t="shared" si="17"/>
        <v>0</v>
      </c>
    </row>
    <row r="206" spans="1:12" ht="27">
      <c r="A206" s="3">
        <v>318</v>
      </c>
      <c r="B206" s="39">
        <v>17</v>
      </c>
      <c r="C206" s="7" t="s">
        <v>157</v>
      </c>
      <c r="D206" s="4" t="s">
        <v>12</v>
      </c>
      <c r="E206" s="6" t="s">
        <v>124</v>
      </c>
      <c r="F206" s="12">
        <f>INDEX('PEDIDO JULIO'!A12:K33,1,11)</f>
        <v>0</v>
      </c>
      <c r="G206" s="8">
        <f>IFERROR(VLOOKUP($B206,'[1]INSUMO POR SEDES MARZO PRUEBA'!$B$6:$CD$109,17,0),"NO BD")</f>
        <v>0</v>
      </c>
      <c r="H206" s="8"/>
      <c r="I206" s="8">
        <f t="shared" si="18"/>
        <v>0</v>
      </c>
      <c r="J206" s="14">
        <f t="shared" si="15"/>
        <v>0</v>
      </c>
      <c r="K206" s="14">
        <f t="shared" si="16"/>
        <v>0</v>
      </c>
      <c r="L206" s="14">
        <f t="shared" si="17"/>
        <v>0</v>
      </c>
    </row>
    <row r="207" spans="1:12" ht="15">
      <c r="A207" s="3">
        <v>319</v>
      </c>
      <c r="B207" s="39">
        <v>20</v>
      </c>
      <c r="C207" s="7" t="s">
        <v>13</v>
      </c>
      <c r="D207" s="4" t="s">
        <v>14</v>
      </c>
      <c r="E207" s="6" t="s">
        <v>124</v>
      </c>
      <c r="F207" s="12">
        <f>INDEX('PEDIDO JULIO'!A12:K33,1,11)</f>
        <v>0</v>
      </c>
      <c r="G207" s="8">
        <f>IFERROR(VLOOKUP($B207,'[1]INSUMO POR SEDES MARZO PRUEBA'!$B$6:$CD$109,17,0),"NO BD")</f>
        <v>0</v>
      </c>
      <c r="H207" s="8"/>
      <c r="I207" s="8">
        <f t="shared" si="18"/>
        <v>0</v>
      </c>
      <c r="J207" s="14">
        <f t="shared" si="15"/>
        <v>0</v>
      </c>
      <c r="K207" s="14">
        <f t="shared" si="16"/>
        <v>0</v>
      </c>
      <c r="L207" s="14">
        <f t="shared" si="17"/>
        <v>0</v>
      </c>
    </row>
    <row r="208" spans="1:12" ht="27">
      <c r="A208" s="3">
        <v>320</v>
      </c>
      <c r="B208" s="39">
        <v>21</v>
      </c>
      <c r="C208" s="7" t="s">
        <v>13</v>
      </c>
      <c r="D208" s="4" t="s">
        <v>15</v>
      </c>
      <c r="E208" s="6" t="s">
        <v>124</v>
      </c>
      <c r="F208" s="12">
        <f>INDEX('PEDIDO JULIO'!A13:K34,1,11)</f>
        <v>0</v>
      </c>
      <c r="G208" s="8">
        <f>IFERROR(VLOOKUP($B208,'[1]INSUMO POR SEDES MARZO PRUEBA'!$B$6:$CD$109,17,0),"NO BD")</f>
        <v>0</v>
      </c>
      <c r="H208" s="8"/>
      <c r="I208" s="8">
        <f t="shared" si="18"/>
        <v>0</v>
      </c>
      <c r="J208" s="14">
        <f t="shared" si="15"/>
        <v>0</v>
      </c>
      <c r="K208" s="14">
        <f t="shared" si="16"/>
        <v>0</v>
      </c>
      <c r="L208" s="14">
        <f t="shared" si="17"/>
        <v>0</v>
      </c>
    </row>
    <row r="209" spans="1:12" ht="15">
      <c r="A209" s="3">
        <v>321</v>
      </c>
      <c r="B209" s="39">
        <v>28</v>
      </c>
      <c r="C209" s="7" t="s">
        <v>16</v>
      </c>
      <c r="D209" s="4" t="s">
        <v>17</v>
      </c>
      <c r="E209" s="6" t="s">
        <v>124</v>
      </c>
      <c r="F209" s="12">
        <f>INDEX('PEDIDO JULIO'!A14:K34,1,11)</f>
        <v>0</v>
      </c>
      <c r="G209" s="8">
        <f>IFERROR(VLOOKUP($B209,'[1]INSUMO POR SEDES MARZO PRUEBA'!$B$6:$CD$109,17,0),"NO BD")</f>
        <v>0</v>
      </c>
      <c r="H209" s="8"/>
      <c r="I209" s="8">
        <f t="shared" si="18"/>
        <v>0</v>
      </c>
      <c r="J209" s="14">
        <f t="shared" si="15"/>
        <v>0</v>
      </c>
      <c r="K209" s="14">
        <f t="shared" si="16"/>
        <v>0</v>
      </c>
      <c r="L209" s="14">
        <f t="shared" si="17"/>
        <v>0</v>
      </c>
    </row>
    <row r="210" spans="1:12" ht="27">
      <c r="A210" s="3">
        <v>322</v>
      </c>
      <c r="B210" s="39">
        <v>29</v>
      </c>
      <c r="C210" s="7" t="s">
        <v>18</v>
      </c>
      <c r="D210" s="4" t="s">
        <v>19</v>
      </c>
      <c r="E210" s="6" t="s">
        <v>124</v>
      </c>
      <c r="F210" s="12">
        <f>INDEX('PEDIDO JULIO'!A15:K34,1,11)</f>
        <v>0</v>
      </c>
      <c r="G210" s="8">
        <f>IFERROR(VLOOKUP($B210,'[1]INSUMO POR SEDES MARZO PRUEBA'!$B$6:$CD$109,17,0),"NO BD")</f>
        <v>0</v>
      </c>
      <c r="H210" s="8"/>
      <c r="I210" s="8">
        <f t="shared" si="18"/>
        <v>0</v>
      </c>
      <c r="J210" s="14">
        <f t="shared" ref="J210:J265" si="19">+I210*10%</f>
        <v>0</v>
      </c>
      <c r="K210" s="14">
        <f t="shared" ref="K210:K265" si="20">+J210*19%</f>
        <v>0</v>
      </c>
      <c r="L210" s="14">
        <f t="shared" ref="L210:L265" si="21">SUM(I210:K210)</f>
        <v>0</v>
      </c>
    </row>
    <row r="211" spans="1:12" ht="27">
      <c r="A211" s="3">
        <v>323</v>
      </c>
      <c r="B211" s="39">
        <v>32</v>
      </c>
      <c r="C211" s="7" t="s">
        <v>20</v>
      </c>
      <c r="D211" s="4" t="s">
        <v>21</v>
      </c>
      <c r="E211" s="6" t="s">
        <v>124</v>
      </c>
      <c r="F211" s="12">
        <f>INDEX('PEDIDO JULIO'!A16:K34,1,11)</f>
        <v>0</v>
      </c>
      <c r="G211" s="8">
        <f>IFERROR(VLOOKUP($B211,'[1]INSUMO POR SEDES MARZO PRUEBA'!$B$6:$CD$109,17,0),"NO BD")</f>
        <v>4115.7160000000003</v>
      </c>
      <c r="H211" s="8"/>
      <c r="I211" s="8">
        <f t="shared" si="18"/>
        <v>0</v>
      </c>
      <c r="J211" s="14">
        <f t="shared" si="19"/>
        <v>0</v>
      </c>
      <c r="K211" s="14">
        <f t="shared" si="20"/>
        <v>0</v>
      </c>
      <c r="L211" s="14">
        <f t="shared" si="21"/>
        <v>0</v>
      </c>
    </row>
    <row r="212" spans="1:12" ht="27">
      <c r="A212" s="3">
        <v>324</v>
      </c>
      <c r="B212" s="39">
        <v>38</v>
      </c>
      <c r="C212" s="7" t="s">
        <v>22</v>
      </c>
      <c r="D212" s="4" t="s">
        <v>23</v>
      </c>
      <c r="E212" s="6" t="s">
        <v>124</v>
      </c>
      <c r="F212" s="12">
        <f>INDEX('PEDIDO JULIO'!A17:K34,1,11)</f>
        <v>0</v>
      </c>
      <c r="G212" s="8">
        <f>IFERROR(VLOOKUP($B212,'[1]INSUMO POR SEDES MARZO PRUEBA'!$B$6:$CD$109,17,0),"NO BD")</f>
        <v>0</v>
      </c>
      <c r="H212" s="8"/>
      <c r="I212" s="8">
        <f t="shared" si="18"/>
        <v>0</v>
      </c>
      <c r="J212" s="14">
        <f t="shared" si="19"/>
        <v>0</v>
      </c>
      <c r="K212" s="14">
        <f t="shared" si="20"/>
        <v>0</v>
      </c>
      <c r="L212" s="14">
        <f t="shared" si="21"/>
        <v>0</v>
      </c>
    </row>
    <row r="213" spans="1:12" ht="15">
      <c r="A213" s="3">
        <v>325</v>
      </c>
      <c r="B213" s="39">
        <v>44</v>
      </c>
      <c r="C213" s="7" t="s">
        <v>18</v>
      </c>
      <c r="D213" s="4" t="s">
        <v>24</v>
      </c>
      <c r="E213" s="6" t="s">
        <v>124</v>
      </c>
      <c r="F213" s="12">
        <f>INDEX('PEDIDO JULIO'!A17:K34,1,11)</f>
        <v>0</v>
      </c>
      <c r="G213" s="8">
        <f>IFERROR(VLOOKUP($B213,'[1]INSUMO POR SEDES MARZO PRUEBA'!$B$6:$CD$109,17,0),"NO BD")</f>
        <v>0</v>
      </c>
      <c r="H213" s="8"/>
      <c r="I213" s="8">
        <f t="shared" si="18"/>
        <v>0</v>
      </c>
      <c r="J213" s="14">
        <f t="shared" si="19"/>
        <v>0</v>
      </c>
      <c r="K213" s="14">
        <f t="shared" si="20"/>
        <v>0</v>
      </c>
      <c r="L213" s="14">
        <f t="shared" si="21"/>
        <v>0</v>
      </c>
    </row>
    <row r="214" spans="1:12" ht="27">
      <c r="A214" s="3">
        <v>326</v>
      </c>
      <c r="B214" s="39">
        <v>50</v>
      </c>
      <c r="C214" s="7" t="s">
        <v>155</v>
      </c>
      <c r="D214" s="4" t="s">
        <v>25</v>
      </c>
      <c r="E214" s="6" t="s">
        <v>124</v>
      </c>
      <c r="F214" s="12">
        <f>INDEX('PEDIDO JULIO'!A18:K35,1,11)</f>
        <v>0</v>
      </c>
      <c r="G214" s="8">
        <f>IFERROR(VLOOKUP($B214,'[1]INSUMO POR SEDES MARZO PRUEBA'!$B$6:$CD$109,17,0),"NO BD")</f>
        <v>0</v>
      </c>
      <c r="H214" s="8"/>
      <c r="I214" s="8">
        <f t="shared" si="18"/>
        <v>0</v>
      </c>
      <c r="J214" s="14">
        <f t="shared" si="19"/>
        <v>0</v>
      </c>
      <c r="K214" s="14">
        <f t="shared" si="20"/>
        <v>0</v>
      </c>
      <c r="L214" s="14">
        <f t="shared" si="21"/>
        <v>0</v>
      </c>
    </row>
    <row r="215" spans="1:12" ht="27">
      <c r="A215" s="3">
        <v>327</v>
      </c>
      <c r="B215" s="39">
        <v>52</v>
      </c>
      <c r="C215" s="7" t="s">
        <v>16</v>
      </c>
      <c r="D215" s="4" t="s">
        <v>26</v>
      </c>
      <c r="E215" s="6" t="s">
        <v>124</v>
      </c>
      <c r="F215" s="12">
        <f>INDEX('PEDIDO JULIO'!A18:K35,1,11)</f>
        <v>0</v>
      </c>
      <c r="G215" s="8">
        <f>IFERROR(VLOOKUP($B215,'[1]INSUMO POR SEDES MARZO PRUEBA'!$B$6:$CD$109,17,0),"NO BD")</f>
        <v>0</v>
      </c>
      <c r="H215" s="8"/>
      <c r="I215" s="8">
        <f t="shared" si="18"/>
        <v>0</v>
      </c>
      <c r="J215" s="14">
        <f t="shared" si="19"/>
        <v>0</v>
      </c>
      <c r="K215" s="14">
        <f t="shared" si="20"/>
        <v>0</v>
      </c>
      <c r="L215" s="14">
        <f t="shared" si="21"/>
        <v>0</v>
      </c>
    </row>
    <row r="216" spans="1:12" ht="15">
      <c r="A216" s="3">
        <v>328</v>
      </c>
      <c r="B216" s="39">
        <v>57</v>
      </c>
      <c r="C216" s="7" t="s">
        <v>27</v>
      </c>
      <c r="D216" s="4" t="s">
        <v>28</v>
      </c>
      <c r="E216" s="6" t="s">
        <v>124</v>
      </c>
      <c r="F216" s="12">
        <f>INDEX('PEDIDO JULIO'!A18:K35,1,11)</f>
        <v>0</v>
      </c>
      <c r="G216" s="8">
        <f>IFERROR(VLOOKUP($B216,'[1]INSUMO POR SEDES MARZO PRUEBA'!$B$6:$CD$109,17,0),"NO BD")</f>
        <v>27464.2065</v>
      </c>
      <c r="H216" s="8"/>
      <c r="I216" s="8">
        <f t="shared" si="18"/>
        <v>0</v>
      </c>
      <c r="J216" s="14">
        <f t="shared" si="19"/>
        <v>0</v>
      </c>
      <c r="K216" s="14">
        <f t="shared" si="20"/>
        <v>0</v>
      </c>
      <c r="L216" s="14">
        <f t="shared" si="21"/>
        <v>0</v>
      </c>
    </row>
    <row r="217" spans="1:12" ht="15">
      <c r="A217" s="3">
        <v>329</v>
      </c>
      <c r="B217" s="39">
        <v>59</v>
      </c>
      <c r="C217" s="7" t="s">
        <v>13</v>
      </c>
      <c r="D217" s="4" t="s">
        <v>29</v>
      </c>
      <c r="E217" s="6" t="s">
        <v>124</v>
      </c>
      <c r="F217" s="12">
        <f>INDEX('PEDIDO JULIO'!A19:K35,1,11)</f>
        <v>0</v>
      </c>
      <c r="G217" s="8">
        <f>IFERROR(VLOOKUP($B217,'[1]INSUMO POR SEDES MARZO PRUEBA'!$B$6:$CD$109,17,0),"NO BD")</f>
        <v>0</v>
      </c>
      <c r="H217" s="8"/>
      <c r="I217" s="8">
        <f t="shared" si="18"/>
        <v>0</v>
      </c>
      <c r="J217" s="14">
        <f t="shared" si="19"/>
        <v>0</v>
      </c>
      <c r="K217" s="14">
        <f t="shared" si="20"/>
        <v>0</v>
      </c>
      <c r="L217" s="14">
        <f t="shared" si="21"/>
        <v>0</v>
      </c>
    </row>
    <row r="218" spans="1:12" ht="15">
      <c r="A218" s="3">
        <v>330</v>
      </c>
      <c r="B218" s="39">
        <v>62</v>
      </c>
      <c r="C218" s="7" t="s">
        <v>13</v>
      </c>
      <c r="D218" s="4" t="s">
        <v>30</v>
      </c>
      <c r="E218" s="6" t="s">
        <v>124</v>
      </c>
      <c r="F218" s="12">
        <f>INDEX('PEDIDO JULIO'!A19:K35,1,11)</f>
        <v>0</v>
      </c>
      <c r="G218" s="8">
        <f>IFERROR(VLOOKUP($B218,'[1]INSUMO POR SEDES MARZO PRUEBA'!$B$6:$CD$109,17,0),"NO BD")</f>
        <v>5167.7669999999998</v>
      </c>
      <c r="H218" s="8"/>
      <c r="I218" s="8">
        <f t="shared" si="18"/>
        <v>0</v>
      </c>
      <c r="J218" s="14">
        <f t="shared" si="19"/>
        <v>0</v>
      </c>
      <c r="K218" s="14">
        <f t="shared" si="20"/>
        <v>0</v>
      </c>
      <c r="L218" s="14">
        <f t="shared" si="21"/>
        <v>0</v>
      </c>
    </row>
    <row r="219" spans="1:12" ht="15">
      <c r="A219" s="3">
        <v>331</v>
      </c>
      <c r="B219" s="39">
        <v>63</v>
      </c>
      <c r="C219" s="7" t="s">
        <v>13</v>
      </c>
      <c r="D219" s="4" t="s">
        <v>31</v>
      </c>
      <c r="E219" s="6" t="s">
        <v>124</v>
      </c>
      <c r="F219" s="12">
        <f>INDEX('PEDIDO JULIO'!A20:K35,1,11)</f>
        <v>0</v>
      </c>
      <c r="G219" s="8">
        <f>IFERROR(VLOOKUP($B219,'[1]INSUMO POR SEDES MARZO PRUEBA'!$B$6:$CD$109,17,0),"NO BD")</f>
        <v>11443.4982</v>
      </c>
      <c r="H219" s="8"/>
      <c r="I219" s="8">
        <f t="shared" si="18"/>
        <v>0</v>
      </c>
      <c r="J219" s="14">
        <f t="shared" si="19"/>
        <v>0</v>
      </c>
      <c r="K219" s="14">
        <f t="shared" si="20"/>
        <v>0</v>
      </c>
      <c r="L219" s="14">
        <f t="shared" si="21"/>
        <v>0</v>
      </c>
    </row>
    <row r="220" spans="1:12" ht="15">
      <c r="A220" s="3">
        <v>332</v>
      </c>
      <c r="B220" s="39">
        <v>64</v>
      </c>
      <c r="C220" s="7" t="s">
        <v>13</v>
      </c>
      <c r="D220" s="4" t="s">
        <v>32</v>
      </c>
      <c r="E220" s="6" t="s">
        <v>124</v>
      </c>
      <c r="F220" s="12">
        <f>INDEX('PEDIDO JULIO'!A20:K35,1,11)</f>
        <v>0</v>
      </c>
      <c r="G220" s="8">
        <f>IFERROR(VLOOKUP($B220,'[1]INSUMO POR SEDES MARZO PRUEBA'!$B$6:$CD$109,17,0),"NO BD")</f>
        <v>0</v>
      </c>
      <c r="H220" s="8"/>
      <c r="I220" s="8">
        <f t="shared" si="18"/>
        <v>0</v>
      </c>
      <c r="J220" s="14">
        <f t="shared" si="19"/>
        <v>0</v>
      </c>
      <c r="K220" s="14">
        <f t="shared" si="20"/>
        <v>0</v>
      </c>
      <c r="L220" s="14">
        <f t="shared" si="21"/>
        <v>0</v>
      </c>
    </row>
    <row r="221" spans="1:12" ht="15">
      <c r="A221" s="3">
        <v>333</v>
      </c>
      <c r="B221" s="39">
        <v>65</v>
      </c>
      <c r="C221" s="7" t="s">
        <v>33</v>
      </c>
      <c r="D221" s="4" t="s">
        <v>34</v>
      </c>
      <c r="E221" s="6" t="s">
        <v>124</v>
      </c>
      <c r="F221" s="12">
        <f>INDEX('PEDIDO JULIO'!A21:K35,1,11)</f>
        <v>0</v>
      </c>
      <c r="G221" s="8">
        <f>IFERROR(VLOOKUP($B221,'[1]INSUMO POR SEDES MARZO PRUEBA'!$B$6:$CD$109,17,0),"NO BD")</f>
        <v>21295.046699999999</v>
      </c>
      <c r="H221" s="8"/>
      <c r="I221" s="8">
        <f t="shared" si="18"/>
        <v>0</v>
      </c>
      <c r="J221" s="14">
        <f t="shared" si="19"/>
        <v>0</v>
      </c>
      <c r="K221" s="14">
        <f t="shared" si="20"/>
        <v>0</v>
      </c>
      <c r="L221" s="14">
        <f t="shared" si="21"/>
        <v>0</v>
      </c>
    </row>
    <row r="222" spans="1:12" ht="15">
      <c r="A222" s="3">
        <v>334</v>
      </c>
      <c r="B222" s="39">
        <v>66</v>
      </c>
      <c r="C222" s="7" t="s">
        <v>16</v>
      </c>
      <c r="D222" s="4" t="s">
        <v>35</v>
      </c>
      <c r="E222" s="6" t="s">
        <v>124</v>
      </c>
      <c r="F222" s="12">
        <f>INDEX('PEDIDO JULIO'!A22:K35,1,11)</f>
        <v>0</v>
      </c>
      <c r="G222" s="8">
        <f>IFERROR(VLOOKUP($B222,'[1]INSUMO POR SEDES MARZO PRUEBA'!$B$6:$CD$109,17,0),"NO BD")</f>
        <v>4178.9862000000003</v>
      </c>
      <c r="H222" s="8"/>
      <c r="I222" s="8">
        <f t="shared" si="18"/>
        <v>0</v>
      </c>
      <c r="J222" s="14">
        <f t="shared" si="19"/>
        <v>0</v>
      </c>
      <c r="K222" s="14">
        <f t="shared" si="20"/>
        <v>0</v>
      </c>
      <c r="L222" s="14">
        <f t="shared" si="21"/>
        <v>0</v>
      </c>
    </row>
    <row r="223" spans="1:12" ht="15">
      <c r="A223" s="3">
        <v>335</v>
      </c>
      <c r="B223" s="39">
        <v>71</v>
      </c>
      <c r="C223" s="7" t="s">
        <v>36</v>
      </c>
      <c r="D223" s="4" t="s">
        <v>37</v>
      </c>
      <c r="E223" s="6" t="s">
        <v>124</v>
      </c>
      <c r="F223" s="12">
        <f>INDEX('PEDIDO JULIO'!A23:K36,1,11)</f>
        <v>0</v>
      </c>
      <c r="G223" s="8">
        <f>IFERROR(VLOOKUP($B223,'[1]INSUMO POR SEDES MARZO PRUEBA'!$B$6:$CD$109,17,0),"NO BD")</f>
        <v>7960.6944000000003</v>
      </c>
      <c r="H223" s="8"/>
      <c r="I223" s="8">
        <f t="shared" si="18"/>
        <v>0</v>
      </c>
      <c r="J223" s="14">
        <f t="shared" si="19"/>
        <v>0</v>
      </c>
      <c r="K223" s="14">
        <f t="shared" si="20"/>
        <v>0</v>
      </c>
      <c r="L223" s="14">
        <f t="shared" si="21"/>
        <v>0</v>
      </c>
    </row>
    <row r="224" spans="1:12" ht="15">
      <c r="A224" s="3">
        <v>336</v>
      </c>
      <c r="B224" s="39">
        <v>72</v>
      </c>
      <c r="C224" s="7" t="s">
        <v>36</v>
      </c>
      <c r="D224" s="4" t="s">
        <v>38</v>
      </c>
      <c r="E224" s="6" t="s">
        <v>124</v>
      </c>
      <c r="F224" s="12">
        <f>INDEX('PEDIDO JULIO'!A23:K37,1,11)</f>
        <v>0</v>
      </c>
      <c r="G224" s="8">
        <f>IFERROR(VLOOKUP($B224,'[1]INSUMO POR SEDES MARZO PRUEBA'!$B$6:$CD$109,17,0),"NO BD")</f>
        <v>7861.3749000000007</v>
      </c>
      <c r="H224" s="8"/>
      <c r="I224" s="8">
        <f t="shared" si="18"/>
        <v>0</v>
      </c>
      <c r="J224" s="14">
        <f t="shared" si="19"/>
        <v>0</v>
      </c>
      <c r="K224" s="14">
        <f t="shared" si="20"/>
        <v>0</v>
      </c>
      <c r="L224" s="14">
        <f t="shared" si="21"/>
        <v>0</v>
      </c>
    </row>
    <row r="225" spans="1:12" ht="15">
      <c r="A225" s="3">
        <v>337</v>
      </c>
      <c r="B225" s="39">
        <v>73</v>
      </c>
      <c r="C225" s="7" t="s">
        <v>39</v>
      </c>
      <c r="D225" s="4" t="s">
        <v>40</v>
      </c>
      <c r="E225" s="6" t="s">
        <v>124</v>
      </c>
      <c r="F225" s="12">
        <f>INDEX('PEDIDO JULIO'!A24:K37,1,11)</f>
        <v>0</v>
      </c>
      <c r="G225" s="8">
        <f>IFERROR(VLOOKUP($B225,'[1]INSUMO POR SEDES MARZO PRUEBA'!$B$6:$CD$109,17,0),"NO BD")</f>
        <v>21493.685699999998</v>
      </c>
      <c r="H225" s="8"/>
      <c r="I225" s="8">
        <f t="shared" si="18"/>
        <v>0</v>
      </c>
      <c r="J225" s="14">
        <f t="shared" si="19"/>
        <v>0</v>
      </c>
      <c r="K225" s="14">
        <f t="shared" si="20"/>
        <v>0</v>
      </c>
      <c r="L225" s="14">
        <f t="shared" si="21"/>
        <v>0</v>
      </c>
    </row>
    <row r="226" spans="1:12" ht="15">
      <c r="A226" s="3">
        <v>338</v>
      </c>
      <c r="B226" s="39">
        <v>74</v>
      </c>
      <c r="C226" s="7" t="s">
        <v>39</v>
      </c>
      <c r="D226" s="4" t="s">
        <v>41</v>
      </c>
      <c r="E226" s="6" t="s">
        <v>124</v>
      </c>
      <c r="F226" s="12">
        <f>INDEX('PEDIDO JULIO'!A25:K37,1,11)</f>
        <v>0</v>
      </c>
      <c r="G226" s="8">
        <f>IFERROR(VLOOKUP($B226,'[1]INSUMO POR SEDES MARZO PRUEBA'!$B$6:$CD$109,17,0),"NO BD")</f>
        <v>6915.4749000000002</v>
      </c>
      <c r="H226" s="8"/>
      <c r="I226" s="8">
        <f t="shared" si="18"/>
        <v>0</v>
      </c>
      <c r="J226" s="14">
        <f t="shared" si="19"/>
        <v>0</v>
      </c>
      <c r="K226" s="14">
        <f t="shared" si="20"/>
        <v>0</v>
      </c>
      <c r="L226" s="14">
        <f t="shared" si="21"/>
        <v>0</v>
      </c>
    </row>
    <row r="227" spans="1:12" ht="15">
      <c r="A227" s="3">
        <v>339</v>
      </c>
      <c r="B227" s="39">
        <v>79</v>
      </c>
      <c r="C227" s="7" t="s">
        <v>151</v>
      </c>
      <c r="D227" s="4" t="s">
        <v>42</v>
      </c>
      <c r="E227" s="6" t="s">
        <v>124</v>
      </c>
      <c r="F227" s="12">
        <f>INDEX('PEDIDO JULIO'!A26:K37,1,11)</f>
        <v>0</v>
      </c>
      <c r="G227" s="8">
        <f>IFERROR(VLOOKUP($B227,'[1]INSUMO POR SEDES MARZO PRUEBA'!$B$6:$CD$109,17,0),"NO BD")</f>
        <v>935.49510000000009</v>
      </c>
      <c r="H227" s="8"/>
      <c r="I227" s="8">
        <f t="shared" si="18"/>
        <v>0</v>
      </c>
      <c r="J227" s="14">
        <f t="shared" si="19"/>
        <v>0</v>
      </c>
      <c r="K227" s="14">
        <f t="shared" si="20"/>
        <v>0</v>
      </c>
      <c r="L227" s="14">
        <f t="shared" si="21"/>
        <v>0</v>
      </c>
    </row>
    <row r="228" spans="1:12" ht="15">
      <c r="A228" s="3">
        <v>340</v>
      </c>
      <c r="B228" s="39">
        <v>80</v>
      </c>
      <c r="C228" s="7" t="s">
        <v>151</v>
      </c>
      <c r="D228" s="4" t="s">
        <v>43</v>
      </c>
      <c r="E228" s="6" t="s">
        <v>124</v>
      </c>
      <c r="F228" s="12">
        <f>INDEX('PEDIDO JULIO'!A27:K37,1,11)</f>
        <v>0</v>
      </c>
      <c r="G228" s="8">
        <f>IFERROR(VLOOKUP($B228,'[1]INSUMO POR SEDES MARZO PRUEBA'!$B$6:$CD$109,17,0),"NO BD")</f>
        <v>607.26779999999997</v>
      </c>
      <c r="H228" s="8"/>
      <c r="I228" s="8">
        <f t="shared" si="18"/>
        <v>0</v>
      </c>
      <c r="J228" s="14">
        <f t="shared" si="19"/>
        <v>0</v>
      </c>
      <c r="K228" s="14">
        <f t="shared" si="20"/>
        <v>0</v>
      </c>
      <c r="L228" s="14">
        <f t="shared" si="21"/>
        <v>0</v>
      </c>
    </row>
    <row r="229" spans="1:12" ht="15">
      <c r="A229" s="3">
        <v>341</v>
      </c>
      <c r="B229" s="39">
        <v>81</v>
      </c>
      <c r="C229" s="7" t="s">
        <v>151</v>
      </c>
      <c r="D229" s="4" t="s">
        <v>44</v>
      </c>
      <c r="E229" s="6" t="s">
        <v>124</v>
      </c>
      <c r="F229" s="12">
        <f>INDEX('PEDIDO JULIO'!A28:K37,1,11)</f>
        <v>0</v>
      </c>
      <c r="G229" s="8">
        <f>IFERROR(VLOOKUP($B229,'[1]INSUMO POR SEDES MARZO PRUEBA'!$B$6:$CD$109,17,0),"NO BD")</f>
        <v>387.81900000000002</v>
      </c>
      <c r="H229" s="8"/>
      <c r="I229" s="8">
        <f t="shared" si="18"/>
        <v>0</v>
      </c>
      <c r="J229" s="14">
        <f t="shared" si="19"/>
        <v>0</v>
      </c>
      <c r="K229" s="14">
        <f t="shared" si="20"/>
        <v>0</v>
      </c>
      <c r="L229" s="14">
        <f t="shared" si="21"/>
        <v>0</v>
      </c>
    </row>
    <row r="230" spans="1:12" ht="40.5">
      <c r="A230" s="3">
        <v>342</v>
      </c>
      <c r="B230" s="39">
        <v>82</v>
      </c>
      <c r="C230" s="7" t="s">
        <v>151</v>
      </c>
      <c r="D230" s="4" t="s">
        <v>45</v>
      </c>
      <c r="E230" s="6" t="s">
        <v>124</v>
      </c>
      <c r="F230" s="12">
        <f>INDEX('PEDIDO JULIO'!A28:K37,1,11)</f>
        <v>0</v>
      </c>
      <c r="G230" s="8">
        <f>IFERROR(VLOOKUP($B230,'[1]INSUMO POR SEDES MARZO PRUEBA'!$B$6:$CD$109,17,0),"NO BD")</f>
        <v>1003.7049999999999</v>
      </c>
      <c r="H230" s="8"/>
      <c r="I230" s="8">
        <f t="shared" si="18"/>
        <v>0</v>
      </c>
      <c r="J230" s="14">
        <f t="shared" si="19"/>
        <v>0</v>
      </c>
      <c r="K230" s="14">
        <f t="shared" si="20"/>
        <v>0</v>
      </c>
      <c r="L230" s="14">
        <f t="shared" si="21"/>
        <v>0</v>
      </c>
    </row>
    <row r="231" spans="1:12" ht="27">
      <c r="A231" s="3">
        <v>343</v>
      </c>
      <c r="B231" s="39">
        <v>83</v>
      </c>
      <c r="C231" s="7" t="s">
        <v>46</v>
      </c>
      <c r="D231" s="4" t="s">
        <v>47</v>
      </c>
      <c r="E231" s="6" t="s">
        <v>124</v>
      </c>
      <c r="F231" s="12">
        <f>INDEX('PEDIDO JULIO'!A29:K37,1,11)</f>
        <v>0</v>
      </c>
      <c r="G231" s="8">
        <f>IFERROR(VLOOKUP($B231,'[1]INSUMO POR SEDES MARZO PRUEBA'!$B$6:$CD$109,17,0),"NO BD")</f>
        <v>0</v>
      </c>
      <c r="H231" s="8"/>
      <c r="I231" s="8">
        <f t="shared" si="18"/>
        <v>0</v>
      </c>
      <c r="J231" s="14">
        <f t="shared" si="19"/>
        <v>0</v>
      </c>
      <c r="K231" s="14">
        <f t="shared" si="20"/>
        <v>0</v>
      </c>
      <c r="L231" s="14">
        <f t="shared" si="21"/>
        <v>0</v>
      </c>
    </row>
    <row r="232" spans="1:12" ht="15">
      <c r="A232" s="3">
        <v>344</v>
      </c>
      <c r="B232" s="39">
        <v>88</v>
      </c>
      <c r="C232" s="7" t="s">
        <v>159</v>
      </c>
      <c r="D232" s="4" t="s">
        <v>48</v>
      </c>
      <c r="E232" s="6" t="s">
        <v>124</v>
      </c>
      <c r="F232" s="12">
        <f>INDEX('PEDIDO JULIO'!A30:K37,1,11)</f>
        <v>0</v>
      </c>
      <c r="G232" s="8">
        <f>IFERROR(VLOOKUP($B232,'[1]INSUMO POR SEDES MARZO PRUEBA'!$B$6:$CD$109,17,0),"NO BD")</f>
        <v>0</v>
      </c>
      <c r="H232" s="8"/>
      <c r="I232" s="8">
        <f t="shared" si="18"/>
        <v>0</v>
      </c>
      <c r="J232" s="14">
        <f t="shared" si="19"/>
        <v>0</v>
      </c>
      <c r="K232" s="14">
        <f t="shared" si="20"/>
        <v>0</v>
      </c>
      <c r="L232" s="14">
        <f t="shared" si="21"/>
        <v>0</v>
      </c>
    </row>
    <row r="233" spans="1:12" ht="15">
      <c r="A233" s="3">
        <v>345</v>
      </c>
      <c r="B233" s="39">
        <v>92</v>
      </c>
      <c r="C233" s="7" t="s">
        <v>159</v>
      </c>
      <c r="D233" s="4" t="s">
        <v>49</v>
      </c>
      <c r="E233" s="6" t="s">
        <v>124</v>
      </c>
      <c r="F233" s="12">
        <f>INDEX('PEDIDO JULIO'!A31:K37,1,11)</f>
        <v>0</v>
      </c>
      <c r="G233" s="8">
        <f>IFERROR(VLOOKUP($B233,'[1]INSUMO POR SEDES MARZO PRUEBA'!$B$6:$CD$109,17,0),"NO BD")</f>
        <v>2380.5149999999999</v>
      </c>
      <c r="H233" s="8"/>
      <c r="I233" s="8">
        <f t="shared" si="18"/>
        <v>0</v>
      </c>
      <c r="J233" s="14">
        <f t="shared" si="19"/>
        <v>0</v>
      </c>
      <c r="K233" s="14">
        <f t="shared" si="20"/>
        <v>0</v>
      </c>
      <c r="L233" s="14">
        <f t="shared" si="21"/>
        <v>0</v>
      </c>
    </row>
    <row r="234" spans="1:12" ht="15">
      <c r="A234" s="3">
        <v>346</v>
      </c>
      <c r="B234" s="39">
        <v>94</v>
      </c>
      <c r="C234" s="7" t="s">
        <v>159</v>
      </c>
      <c r="D234" s="4" t="s">
        <v>50</v>
      </c>
      <c r="E234" s="6" t="s">
        <v>124</v>
      </c>
      <c r="F234" s="12">
        <f>INDEX('PEDIDO JULIO'!A32:K37,1,11)</f>
        <v>0</v>
      </c>
      <c r="G234" s="8">
        <f>IFERROR(VLOOKUP($B234,'[1]INSUMO POR SEDES MARZO PRUEBA'!$B$6:$CD$109,17,0),"NO BD")</f>
        <v>0</v>
      </c>
      <c r="H234" s="8"/>
      <c r="I234" s="8">
        <f t="shared" si="18"/>
        <v>0</v>
      </c>
      <c r="J234" s="14">
        <f t="shared" si="19"/>
        <v>0</v>
      </c>
      <c r="K234" s="14">
        <f t="shared" si="20"/>
        <v>0</v>
      </c>
      <c r="L234" s="14">
        <f t="shared" si="21"/>
        <v>0</v>
      </c>
    </row>
    <row r="235" spans="1:12" ht="15">
      <c r="A235" s="3">
        <v>347</v>
      </c>
      <c r="B235" s="39">
        <v>98</v>
      </c>
      <c r="C235" s="7" t="s">
        <v>159</v>
      </c>
      <c r="D235" s="4" t="s">
        <v>51</v>
      </c>
      <c r="E235" s="6" t="s">
        <v>124</v>
      </c>
      <c r="F235" s="12">
        <f>INDEX('PEDIDO JULIO'!A33:K37,1,11)</f>
        <v>0</v>
      </c>
      <c r="G235" s="8">
        <f>IFERROR(VLOOKUP($B235,'[1]INSUMO POR SEDES MARZO PRUEBA'!$B$6:$CD$109,17,0),"NO BD")</f>
        <v>9503.4573</v>
      </c>
      <c r="H235" s="8"/>
      <c r="I235" s="8">
        <f t="shared" si="18"/>
        <v>0</v>
      </c>
      <c r="J235" s="14">
        <f t="shared" si="19"/>
        <v>0</v>
      </c>
      <c r="K235" s="14">
        <f t="shared" si="20"/>
        <v>0</v>
      </c>
      <c r="L235" s="14">
        <f t="shared" si="21"/>
        <v>0</v>
      </c>
    </row>
    <row r="236" spans="1:12" ht="15">
      <c r="A236" s="3">
        <v>348</v>
      </c>
      <c r="B236" s="39">
        <v>100</v>
      </c>
      <c r="C236" s="7" t="s">
        <v>159</v>
      </c>
      <c r="D236" s="4" t="s">
        <v>52</v>
      </c>
      <c r="E236" s="6" t="s">
        <v>124</v>
      </c>
      <c r="F236" s="12">
        <f>INDEX('PEDIDO JULIO'!A33:K38,1,11)</f>
        <v>0</v>
      </c>
      <c r="G236" s="8">
        <f>IFERROR(VLOOKUP($B236,'[1]INSUMO POR SEDES MARZO PRUEBA'!$B$6:$CD$109,17,0),"NO BD")</f>
        <v>0</v>
      </c>
      <c r="H236" s="8"/>
      <c r="I236" s="8">
        <f t="shared" si="18"/>
        <v>0</v>
      </c>
      <c r="J236" s="14">
        <f t="shared" si="19"/>
        <v>0</v>
      </c>
      <c r="K236" s="14">
        <f t="shared" si="20"/>
        <v>0</v>
      </c>
      <c r="L236" s="14">
        <f t="shared" si="21"/>
        <v>0</v>
      </c>
    </row>
    <row r="237" spans="1:12" ht="15">
      <c r="A237" s="3">
        <v>349</v>
      </c>
      <c r="B237" s="39">
        <v>102</v>
      </c>
      <c r="C237" s="7" t="s">
        <v>53</v>
      </c>
      <c r="D237" s="4" t="s">
        <v>54</v>
      </c>
      <c r="E237" s="6" t="s">
        <v>124</v>
      </c>
      <c r="F237" s="12">
        <f>INDEX('PEDIDO JULIO'!A33:K38,1,11)</f>
        <v>0</v>
      </c>
      <c r="G237" s="8">
        <f>IFERROR(VLOOKUP($B237,'[1]INSUMO POR SEDES MARZO PRUEBA'!$B$6:$CD$109,17,0),"NO BD")</f>
        <v>5422.8446999999996</v>
      </c>
      <c r="H237" s="8"/>
      <c r="I237" s="8">
        <f t="shared" si="18"/>
        <v>0</v>
      </c>
      <c r="J237" s="14">
        <f t="shared" si="19"/>
        <v>0</v>
      </c>
      <c r="K237" s="14">
        <f t="shared" si="20"/>
        <v>0</v>
      </c>
      <c r="L237" s="14">
        <f t="shared" si="21"/>
        <v>0</v>
      </c>
    </row>
    <row r="238" spans="1:12" ht="15">
      <c r="A238" s="3">
        <v>350</v>
      </c>
      <c r="B238" s="39">
        <v>110</v>
      </c>
      <c r="C238" s="7" t="s">
        <v>53</v>
      </c>
      <c r="D238" s="4" t="s">
        <v>55</v>
      </c>
      <c r="E238" s="6" t="s">
        <v>124</v>
      </c>
      <c r="F238" s="12">
        <f>INDEX('PEDIDO JULIO'!A33:K39,1,11)</f>
        <v>0</v>
      </c>
      <c r="G238" s="8">
        <f>IFERROR(VLOOKUP($B238,'[1]INSUMO POR SEDES MARZO PRUEBA'!$B$6:$CD$109,17,0),"NO BD")</f>
        <v>1442.4974999999999</v>
      </c>
      <c r="H238" s="8"/>
      <c r="I238" s="8">
        <f t="shared" si="18"/>
        <v>0</v>
      </c>
      <c r="J238" s="14">
        <f t="shared" si="19"/>
        <v>0</v>
      </c>
      <c r="K238" s="14">
        <f t="shared" si="20"/>
        <v>0</v>
      </c>
      <c r="L238" s="14">
        <f t="shared" si="21"/>
        <v>0</v>
      </c>
    </row>
    <row r="239" spans="1:12" ht="15">
      <c r="A239" s="3">
        <v>351</v>
      </c>
      <c r="B239" s="39">
        <v>118</v>
      </c>
      <c r="C239" s="7" t="s">
        <v>53</v>
      </c>
      <c r="D239" s="4" t="s">
        <v>56</v>
      </c>
      <c r="E239" s="6" t="s">
        <v>124</v>
      </c>
      <c r="F239" s="12">
        <f>INDEX('PEDIDO JULIO'!A33:K40,1,11)</f>
        <v>0</v>
      </c>
      <c r="G239" s="8">
        <f>IFERROR(VLOOKUP($B239,'[1]INSUMO POR SEDES MARZO PRUEBA'!$B$6:$CD$109,17,0),"NO BD")</f>
        <v>4129.7993999999999</v>
      </c>
      <c r="H239" s="8"/>
      <c r="I239" s="8">
        <f t="shared" si="18"/>
        <v>0</v>
      </c>
      <c r="J239" s="14">
        <f t="shared" si="19"/>
        <v>0</v>
      </c>
      <c r="K239" s="14">
        <f t="shared" si="20"/>
        <v>0</v>
      </c>
      <c r="L239" s="14">
        <f t="shared" si="21"/>
        <v>0</v>
      </c>
    </row>
    <row r="240" spans="1:12" ht="15">
      <c r="A240" s="3">
        <v>352</v>
      </c>
      <c r="B240" s="39">
        <v>119</v>
      </c>
      <c r="C240" s="7" t="s">
        <v>53</v>
      </c>
      <c r="D240" s="4" t="s">
        <v>57</v>
      </c>
      <c r="E240" s="6" t="s">
        <v>124</v>
      </c>
      <c r="F240" s="12">
        <f>INDEX('PEDIDO JULIO'!A33:K40,1,11)</f>
        <v>0</v>
      </c>
      <c r="G240" s="8">
        <f>IFERROR(VLOOKUP($B240,'[1]INSUMO POR SEDES MARZO PRUEBA'!$B$6:$CD$109,17,0),"NO BD")</f>
        <v>4259.3877000000002</v>
      </c>
      <c r="H240" s="8"/>
      <c r="I240" s="8">
        <f t="shared" si="18"/>
        <v>0</v>
      </c>
      <c r="J240" s="14">
        <f t="shared" si="19"/>
        <v>0</v>
      </c>
      <c r="K240" s="14">
        <f t="shared" si="20"/>
        <v>0</v>
      </c>
      <c r="L240" s="14">
        <f t="shared" si="21"/>
        <v>0</v>
      </c>
    </row>
    <row r="241" spans="1:12" ht="27">
      <c r="A241" s="3">
        <v>353</v>
      </c>
      <c r="B241" s="39">
        <v>120</v>
      </c>
      <c r="C241" s="7" t="s">
        <v>160</v>
      </c>
      <c r="D241" s="4" t="s">
        <v>58</v>
      </c>
      <c r="E241" s="6" t="s">
        <v>124</v>
      </c>
      <c r="F241" s="12">
        <f>INDEX('PEDIDO JULIO'!A33:K40,1,11)</f>
        <v>0</v>
      </c>
      <c r="G241" s="8">
        <f>IFERROR(VLOOKUP($B241,'[1]INSUMO POR SEDES MARZO PRUEBA'!$B$6:$CD$109,17,0),"NO BD")</f>
        <v>4259.3877000000002</v>
      </c>
      <c r="H241" s="8"/>
      <c r="I241" s="8">
        <f t="shared" si="18"/>
        <v>0</v>
      </c>
      <c r="J241" s="14">
        <f t="shared" si="19"/>
        <v>0</v>
      </c>
      <c r="K241" s="14">
        <f t="shared" si="20"/>
        <v>0</v>
      </c>
      <c r="L241" s="14">
        <f t="shared" si="21"/>
        <v>0</v>
      </c>
    </row>
    <row r="242" spans="1:12" ht="15">
      <c r="A242" s="3">
        <v>354</v>
      </c>
      <c r="B242" s="39">
        <v>122</v>
      </c>
      <c r="C242" s="7" t="s">
        <v>160</v>
      </c>
      <c r="D242" s="4" t="s">
        <v>59</v>
      </c>
      <c r="E242" s="6" t="s">
        <v>124</v>
      </c>
      <c r="F242" s="12">
        <f>INDEX('PEDIDO JULIO'!A33:K41,1,11)</f>
        <v>0</v>
      </c>
      <c r="G242" s="8">
        <f>IFERROR(VLOOKUP($B242,'[1]INSUMO POR SEDES MARZO PRUEBA'!$B$6:$CD$109,17,0),"NO BD")</f>
        <v>5920.3881000000001</v>
      </c>
      <c r="H242" s="8"/>
      <c r="I242" s="8">
        <f t="shared" si="18"/>
        <v>0</v>
      </c>
      <c r="J242" s="14">
        <f t="shared" si="19"/>
        <v>0</v>
      </c>
      <c r="K242" s="14">
        <f t="shared" si="20"/>
        <v>0</v>
      </c>
      <c r="L242" s="14">
        <f t="shared" si="21"/>
        <v>0</v>
      </c>
    </row>
    <row r="243" spans="1:12" ht="15">
      <c r="A243" s="3">
        <v>355</v>
      </c>
      <c r="B243" s="39">
        <v>123</v>
      </c>
      <c r="C243" s="7" t="s">
        <v>60</v>
      </c>
      <c r="D243" s="4" t="s">
        <v>61</v>
      </c>
      <c r="E243" s="6" t="s">
        <v>124</v>
      </c>
      <c r="F243" s="12">
        <f>INDEX('PEDIDO JULIO'!A33:K41,1,11)</f>
        <v>0</v>
      </c>
      <c r="G243" s="8">
        <f>IFERROR(VLOOKUP($B243,'[1]INSUMO POR SEDES MARZO PRUEBA'!$B$6:$CD$109,17,0),"NO BD")</f>
        <v>6169.1598000000004</v>
      </c>
      <c r="H243" s="8"/>
      <c r="I243" s="8">
        <f t="shared" si="18"/>
        <v>0</v>
      </c>
      <c r="J243" s="14">
        <f t="shared" si="19"/>
        <v>0</v>
      </c>
      <c r="K243" s="14">
        <f t="shared" si="20"/>
        <v>0</v>
      </c>
      <c r="L243" s="14">
        <f t="shared" si="21"/>
        <v>0</v>
      </c>
    </row>
    <row r="244" spans="1:12" ht="15">
      <c r="A244" s="3">
        <v>356</v>
      </c>
      <c r="B244" s="39">
        <v>124</v>
      </c>
      <c r="C244" s="7" t="s">
        <v>60</v>
      </c>
      <c r="D244" s="4" t="s">
        <v>62</v>
      </c>
      <c r="E244" s="6" t="s">
        <v>124</v>
      </c>
      <c r="F244" s="12">
        <f>INDEX('PEDIDO JULIO'!A33:K42,1,11)</f>
        <v>0</v>
      </c>
      <c r="G244" s="8">
        <f>IFERROR(VLOOKUP($B244,'[1]INSUMO POR SEDES MARZO PRUEBA'!$B$6:$CD$109,17,0),"NO BD")</f>
        <v>6169.1598000000004</v>
      </c>
      <c r="H244" s="8"/>
      <c r="I244" s="8">
        <f t="shared" si="18"/>
        <v>0</v>
      </c>
      <c r="J244" s="14">
        <f t="shared" si="19"/>
        <v>0</v>
      </c>
      <c r="K244" s="14">
        <f t="shared" si="20"/>
        <v>0</v>
      </c>
      <c r="L244" s="14">
        <f t="shared" si="21"/>
        <v>0</v>
      </c>
    </row>
    <row r="245" spans="1:12" ht="15">
      <c r="A245" s="3">
        <v>357</v>
      </c>
      <c r="B245" s="39">
        <v>137</v>
      </c>
      <c r="C245" s="7" t="s">
        <v>151</v>
      </c>
      <c r="D245" s="4" t="s">
        <v>63</v>
      </c>
      <c r="E245" s="6" t="s">
        <v>124</v>
      </c>
      <c r="F245" s="12">
        <f>INDEX('PEDIDO JULIO'!A33:K42,1,11)</f>
        <v>0</v>
      </c>
      <c r="G245" s="8">
        <f>IFERROR(VLOOKUP($B245,'[1]INSUMO POR SEDES MARZO PRUEBA'!$B$6:$CD$109,17,0),"NO BD")</f>
        <v>0</v>
      </c>
      <c r="H245" s="8"/>
      <c r="I245" s="8">
        <f t="shared" si="18"/>
        <v>0</v>
      </c>
      <c r="J245" s="14">
        <f t="shared" si="19"/>
        <v>0</v>
      </c>
      <c r="K245" s="14">
        <f t="shared" si="20"/>
        <v>0</v>
      </c>
      <c r="L245" s="14">
        <f t="shared" si="21"/>
        <v>0</v>
      </c>
    </row>
    <row r="246" spans="1:12" ht="15">
      <c r="A246" s="3">
        <v>358</v>
      </c>
      <c r="B246" s="39">
        <v>139</v>
      </c>
      <c r="C246" s="7" t="s">
        <v>160</v>
      </c>
      <c r="D246" s="4" t="s">
        <v>64</v>
      </c>
      <c r="E246" s="6" t="s">
        <v>124</v>
      </c>
      <c r="F246" s="12">
        <f>INDEX('PEDIDO JULIO'!A33:K42,1,11)</f>
        <v>0</v>
      </c>
      <c r="G246" s="8">
        <f>IFERROR(VLOOKUP($B246,'[1]INSUMO POR SEDES MARZO PRUEBA'!$B$6:$CD$109,17,0),"NO BD")</f>
        <v>51246.970200000003</v>
      </c>
      <c r="H246" s="8"/>
      <c r="I246" s="8">
        <f t="shared" si="18"/>
        <v>0</v>
      </c>
      <c r="J246" s="14">
        <f t="shared" si="19"/>
        <v>0</v>
      </c>
      <c r="K246" s="14">
        <f t="shared" si="20"/>
        <v>0</v>
      </c>
      <c r="L246" s="14">
        <f t="shared" si="21"/>
        <v>0</v>
      </c>
    </row>
    <row r="247" spans="1:12" ht="27">
      <c r="A247" s="3">
        <v>359</v>
      </c>
      <c r="B247" s="39">
        <v>151</v>
      </c>
      <c r="C247" s="7" t="s">
        <v>60</v>
      </c>
      <c r="D247" s="4" t="s">
        <v>65</v>
      </c>
      <c r="E247" s="6" t="s">
        <v>124</v>
      </c>
      <c r="F247" s="12">
        <f>INDEX('PEDIDO JULIO'!A33:K42,1,11)</f>
        <v>0</v>
      </c>
      <c r="G247" s="8">
        <f>IFERROR(VLOOKUP($B247,'[1]INSUMO POR SEDES MARZO PRUEBA'!$B$6:$CD$109,17,0),"NO BD")</f>
        <v>7960.6944000000003</v>
      </c>
      <c r="H247" s="8"/>
      <c r="I247" s="8">
        <f t="shared" si="18"/>
        <v>0</v>
      </c>
      <c r="J247" s="14">
        <f t="shared" si="19"/>
        <v>0</v>
      </c>
      <c r="K247" s="14">
        <f t="shared" si="20"/>
        <v>0</v>
      </c>
      <c r="L247" s="14">
        <f t="shared" si="21"/>
        <v>0</v>
      </c>
    </row>
    <row r="248" spans="1:12" ht="15">
      <c r="A248" s="3">
        <v>360</v>
      </c>
      <c r="B248" s="39">
        <v>155</v>
      </c>
      <c r="C248" s="7" t="s">
        <v>66</v>
      </c>
      <c r="D248" s="4" t="s">
        <v>67</v>
      </c>
      <c r="E248" s="6" t="s">
        <v>124</v>
      </c>
      <c r="F248" s="12">
        <f>INDEX('PEDIDO JULIO'!A33:K43,1,11)</f>
        <v>0</v>
      </c>
      <c r="G248" s="8">
        <f>IFERROR(VLOOKUP($B248,'[1]INSUMO POR SEDES MARZO PRUEBA'!$B$6:$CD$109,17,0),"NO BD")</f>
        <v>5005.7028</v>
      </c>
      <c r="H248" s="8"/>
      <c r="I248" s="8">
        <f t="shared" si="18"/>
        <v>0</v>
      </c>
      <c r="J248" s="14">
        <f t="shared" si="19"/>
        <v>0</v>
      </c>
      <c r="K248" s="14">
        <f t="shared" si="20"/>
        <v>0</v>
      </c>
      <c r="L248" s="14">
        <f t="shared" si="21"/>
        <v>0</v>
      </c>
    </row>
    <row r="249" spans="1:12" ht="15">
      <c r="A249" s="3">
        <v>361</v>
      </c>
      <c r="B249" s="39">
        <v>156</v>
      </c>
      <c r="C249" s="7" t="s">
        <v>66</v>
      </c>
      <c r="D249" s="4" t="s">
        <v>68</v>
      </c>
      <c r="E249" s="6" t="s">
        <v>124</v>
      </c>
      <c r="F249" s="12">
        <f>INDEX('PEDIDO JULIO'!A33:K43,1,11)</f>
        <v>0</v>
      </c>
      <c r="G249" s="8">
        <f>IFERROR(VLOOKUP($B249,'[1]INSUMO POR SEDES MARZO PRUEBA'!$B$6:$CD$109,17,0),"NO BD")</f>
        <v>7711.9227000000001</v>
      </c>
      <c r="H249" s="8"/>
      <c r="I249" s="8">
        <f t="shared" si="18"/>
        <v>0</v>
      </c>
      <c r="J249" s="14">
        <f t="shared" si="19"/>
        <v>0</v>
      </c>
      <c r="K249" s="14">
        <f t="shared" si="20"/>
        <v>0</v>
      </c>
      <c r="L249" s="14">
        <f t="shared" si="21"/>
        <v>0</v>
      </c>
    </row>
    <row r="250" spans="1:12" ht="15">
      <c r="A250" s="3">
        <v>362</v>
      </c>
      <c r="B250" s="39">
        <v>157</v>
      </c>
      <c r="C250" s="7" t="s">
        <v>66</v>
      </c>
      <c r="D250" s="4" t="s">
        <v>69</v>
      </c>
      <c r="E250" s="6" t="s">
        <v>124</v>
      </c>
      <c r="F250" s="12">
        <f>INDEX('PEDIDO JULIO'!A33:K43,1,11)</f>
        <v>0</v>
      </c>
      <c r="G250" s="8">
        <f>IFERROR(VLOOKUP($B250,'[1]INSUMO POR SEDES MARZO PRUEBA'!$B$6:$CD$109,17,0),"NO BD")</f>
        <v>8955.7812000000013</v>
      </c>
      <c r="H250" s="8"/>
      <c r="I250" s="8">
        <f t="shared" si="18"/>
        <v>0</v>
      </c>
      <c r="J250" s="14">
        <f t="shared" si="19"/>
        <v>0</v>
      </c>
      <c r="K250" s="14">
        <f t="shared" si="20"/>
        <v>0</v>
      </c>
      <c r="L250" s="14">
        <f t="shared" si="21"/>
        <v>0</v>
      </c>
    </row>
    <row r="251" spans="1:12" ht="15">
      <c r="A251" s="3">
        <v>363</v>
      </c>
      <c r="B251" s="39">
        <v>159</v>
      </c>
      <c r="C251" s="7" t="s">
        <v>66</v>
      </c>
      <c r="D251" s="4" t="s">
        <v>70</v>
      </c>
      <c r="E251" s="6" t="s">
        <v>124</v>
      </c>
      <c r="F251" s="12">
        <f>INDEX('PEDIDO JULIO'!A33:K44,1,11)</f>
        <v>0</v>
      </c>
      <c r="G251" s="8">
        <f>IFERROR(VLOOKUP($B251,'[1]INSUMO POR SEDES MARZO PRUEBA'!$B$6:$CD$109,17,0),"NO BD")</f>
        <v>6716.8359</v>
      </c>
      <c r="H251" s="8"/>
      <c r="I251" s="8">
        <f t="shared" si="18"/>
        <v>0</v>
      </c>
      <c r="J251" s="14">
        <f t="shared" si="19"/>
        <v>0</v>
      </c>
      <c r="K251" s="14">
        <f t="shared" si="20"/>
        <v>0</v>
      </c>
      <c r="L251" s="14">
        <f t="shared" si="21"/>
        <v>0</v>
      </c>
    </row>
    <row r="252" spans="1:12" ht="15">
      <c r="A252" s="3">
        <v>364</v>
      </c>
      <c r="B252" s="39">
        <v>160</v>
      </c>
      <c r="C252" s="7" t="s">
        <v>66</v>
      </c>
      <c r="D252" s="4" t="s">
        <v>71</v>
      </c>
      <c r="E252" s="6" t="s">
        <v>124</v>
      </c>
      <c r="F252" s="12">
        <f>INDEX('PEDIDO JULIO'!A33:K44,1,11)</f>
        <v>0</v>
      </c>
      <c r="G252" s="8">
        <f>IFERROR(VLOOKUP($B252,'[1]INSUMO POR SEDES MARZO PRUEBA'!$B$6:$CD$109,17,0),"NO BD")</f>
        <v>3035.3931000000002</v>
      </c>
      <c r="H252" s="8"/>
      <c r="I252" s="8">
        <f t="shared" si="18"/>
        <v>0</v>
      </c>
      <c r="J252" s="14">
        <f t="shared" si="19"/>
        <v>0</v>
      </c>
      <c r="K252" s="14">
        <f t="shared" si="20"/>
        <v>0</v>
      </c>
      <c r="L252" s="14">
        <f t="shared" si="21"/>
        <v>0</v>
      </c>
    </row>
    <row r="253" spans="1:12" ht="15">
      <c r="A253" s="3">
        <v>365</v>
      </c>
      <c r="B253" s="39">
        <v>162</v>
      </c>
      <c r="C253" s="7" t="s">
        <v>66</v>
      </c>
      <c r="D253" s="4" t="s">
        <v>72</v>
      </c>
      <c r="E253" s="6" t="s">
        <v>124</v>
      </c>
      <c r="F253" s="12">
        <f>INDEX('PEDIDO JULIO'!A33:K44,1,11)</f>
        <v>0</v>
      </c>
      <c r="G253" s="8">
        <f>IFERROR(VLOOKUP($B253,'[1]INSUMO POR SEDES MARZO PRUEBA'!$B$6:$CD$109,17,0),"NO BD")</f>
        <v>4030.4798999999998</v>
      </c>
      <c r="H253" s="8"/>
      <c r="I253" s="8">
        <f t="shared" si="18"/>
        <v>0</v>
      </c>
      <c r="J253" s="14">
        <f t="shared" si="19"/>
        <v>0</v>
      </c>
      <c r="K253" s="14">
        <f t="shared" si="20"/>
        <v>0</v>
      </c>
      <c r="L253" s="14">
        <f t="shared" si="21"/>
        <v>0</v>
      </c>
    </row>
    <row r="254" spans="1:12" ht="15">
      <c r="A254" s="3">
        <v>366</v>
      </c>
      <c r="B254" s="39">
        <v>164</v>
      </c>
      <c r="C254" s="7" t="s">
        <v>158</v>
      </c>
      <c r="D254" s="4" t="s">
        <v>73</v>
      </c>
      <c r="E254" s="6" t="s">
        <v>124</v>
      </c>
      <c r="F254" s="12">
        <f>INDEX('PEDIDO JULIO'!A33:K44,1,11)</f>
        <v>0</v>
      </c>
      <c r="G254" s="8">
        <f>IFERROR(VLOOKUP($B254,'[1]INSUMO POR SEDES MARZO PRUEBA'!$B$6:$CD$109,17,0),"NO BD")</f>
        <v>0</v>
      </c>
      <c r="H254" s="8"/>
      <c r="I254" s="8">
        <f t="shared" si="18"/>
        <v>0</v>
      </c>
      <c r="J254" s="14">
        <f t="shared" si="19"/>
        <v>0</v>
      </c>
      <c r="K254" s="14">
        <f t="shared" si="20"/>
        <v>0</v>
      </c>
      <c r="L254" s="14">
        <f t="shared" si="21"/>
        <v>0</v>
      </c>
    </row>
    <row r="255" spans="1:12" ht="15">
      <c r="A255" s="3">
        <v>367</v>
      </c>
      <c r="B255" s="39">
        <v>169</v>
      </c>
      <c r="C255" s="7" t="s">
        <v>158</v>
      </c>
      <c r="D255" s="4" t="s">
        <v>74</v>
      </c>
      <c r="E255" s="6" t="s">
        <v>124</v>
      </c>
      <c r="F255" s="12">
        <f>INDEX('PEDIDO JULIO'!A33:K45,1,11)</f>
        <v>0</v>
      </c>
      <c r="G255" s="8">
        <f>IFERROR(VLOOKUP($B255,'[1]INSUMO POR SEDES MARZO PRUEBA'!$B$6:$CD$109,17,0),"NO BD")</f>
        <v>0</v>
      </c>
      <c r="H255" s="8"/>
      <c r="I255" s="8">
        <f t="shared" si="18"/>
        <v>0</v>
      </c>
      <c r="J255" s="14">
        <f t="shared" si="19"/>
        <v>0</v>
      </c>
      <c r="K255" s="14">
        <f t="shared" si="20"/>
        <v>0</v>
      </c>
      <c r="L255" s="14">
        <f t="shared" si="21"/>
        <v>0</v>
      </c>
    </row>
    <row r="256" spans="1:12" ht="15">
      <c r="A256" s="3">
        <v>368</v>
      </c>
      <c r="B256" s="39">
        <v>170</v>
      </c>
      <c r="C256" s="7" t="s">
        <v>158</v>
      </c>
      <c r="D256" s="4" t="s">
        <v>75</v>
      </c>
      <c r="E256" s="6" t="s">
        <v>124</v>
      </c>
      <c r="F256" s="12">
        <f>INDEX('PEDIDO JULIO'!A33:K46,1,11)</f>
        <v>0</v>
      </c>
      <c r="G256" s="8">
        <f>IFERROR(VLOOKUP($B256,'[1]INSUMO POR SEDES MARZO PRUEBA'!$B$6:$CD$109,17,0),"NO BD")</f>
        <v>45575.353799999997</v>
      </c>
      <c r="H256" s="8"/>
      <c r="I256" s="8">
        <f t="shared" si="18"/>
        <v>0</v>
      </c>
      <c r="J256" s="14">
        <f t="shared" si="19"/>
        <v>0</v>
      </c>
      <c r="K256" s="14">
        <f t="shared" si="20"/>
        <v>0</v>
      </c>
      <c r="L256" s="14">
        <f t="shared" si="21"/>
        <v>0</v>
      </c>
    </row>
    <row r="257" spans="1:12" ht="15">
      <c r="A257" s="3">
        <v>369</v>
      </c>
      <c r="B257" s="39">
        <v>174</v>
      </c>
      <c r="C257" s="7" t="s">
        <v>158</v>
      </c>
      <c r="D257" s="4" t="s">
        <v>76</v>
      </c>
      <c r="E257" s="6" t="s">
        <v>124</v>
      </c>
      <c r="F257" s="12">
        <f>INDEX('PEDIDO JULIO'!A33:K47,1,11)</f>
        <v>0</v>
      </c>
      <c r="G257" s="8">
        <f>IFERROR(VLOOKUP($B257,'[1]INSUMO POR SEDES MARZO PRUEBA'!$B$6:$CD$109,17,0),"NO BD")</f>
        <v>10050.1875</v>
      </c>
      <c r="H257" s="8"/>
      <c r="I257" s="8">
        <f t="shared" si="18"/>
        <v>0</v>
      </c>
      <c r="J257" s="14">
        <f t="shared" si="19"/>
        <v>0</v>
      </c>
      <c r="K257" s="14">
        <f t="shared" si="20"/>
        <v>0</v>
      </c>
      <c r="L257" s="14">
        <f t="shared" si="21"/>
        <v>0</v>
      </c>
    </row>
    <row r="258" spans="1:12" ht="15">
      <c r="A258" s="3">
        <v>370</v>
      </c>
      <c r="B258" s="39">
        <v>192</v>
      </c>
      <c r="C258" s="7" t="s">
        <v>158</v>
      </c>
      <c r="D258" s="4" t="s">
        <v>77</v>
      </c>
      <c r="E258" s="6" t="s">
        <v>124</v>
      </c>
      <c r="F258" s="12">
        <f>INDEX('PEDIDO JULIO'!A33:K47,1,11)</f>
        <v>0</v>
      </c>
      <c r="G258" s="8">
        <f>IFERROR(VLOOKUP($B258,'[1]INSUMO POR SEDES MARZO PRUEBA'!$B$6:$CD$109,17,0),"NO BD")</f>
        <v>6866.2880999999998</v>
      </c>
      <c r="H258" s="8"/>
      <c r="I258" s="8">
        <f t="shared" si="18"/>
        <v>0</v>
      </c>
      <c r="J258" s="14">
        <f t="shared" si="19"/>
        <v>0</v>
      </c>
      <c r="K258" s="14">
        <f t="shared" si="20"/>
        <v>0</v>
      </c>
      <c r="L258" s="14">
        <f t="shared" si="21"/>
        <v>0</v>
      </c>
    </row>
    <row r="259" spans="1:12" ht="15">
      <c r="A259" s="3">
        <v>371</v>
      </c>
      <c r="B259" s="39">
        <v>195</v>
      </c>
      <c r="C259" s="7" t="s">
        <v>158</v>
      </c>
      <c r="D259" s="4" t="s">
        <v>78</v>
      </c>
      <c r="E259" s="6" t="s">
        <v>124</v>
      </c>
      <c r="F259" s="12">
        <f>INDEX('PEDIDO JULIO'!A33:K47,1,11)</f>
        <v>0</v>
      </c>
      <c r="G259" s="8">
        <f>IFERROR(VLOOKUP($B259,'[1]INSUMO POR SEDES MARZO PRUEBA'!$B$6:$CD$109,17,0),"NO BD")</f>
        <v>10697.1831</v>
      </c>
      <c r="H259" s="8"/>
      <c r="I259" s="8">
        <f t="shared" si="18"/>
        <v>0</v>
      </c>
      <c r="J259" s="14">
        <f t="shared" si="19"/>
        <v>0</v>
      </c>
      <c r="K259" s="14">
        <f t="shared" si="20"/>
        <v>0</v>
      </c>
      <c r="L259" s="14">
        <f t="shared" si="21"/>
        <v>0</v>
      </c>
    </row>
    <row r="260" spans="1:12" ht="15">
      <c r="A260" s="3">
        <v>372</v>
      </c>
      <c r="B260" s="39">
        <v>204</v>
      </c>
      <c r="C260" s="7" t="s">
        <v>158</v>
      </c>
      <c r="D260" s="4" t="s">
        <v>79</v>
      </c>
      <c r="E260" s="6" t="s">
        <v>124</v>
      </c>
      <c r="F260" s="12">
        <f>INDEX('PEDIDO JULIO'!A33:K47,1,11)</f>
        <v>0</v>
      </c>
      <c r="G260" s="8">
        <f>IFERROR(VLOOKUP($B260,'[1]INSUMO POR SEDES MARZO PRUEBA'!$B$6:$CD$109,17,0),"NO BD")</f>
        <v>25673.6178</v>
      </c>
      <c r="H260" s="8"/>
      <c r="I260" s="8">
        <f t="shared" si="18"/>
        <v>0</v>
      </c>
      <c r="J260" s="14">
        <f t="shared" si="19"/>
        <v>0</v>
      </c>
      <c r="K260" s="14">
        <f t="shared" si="20"/>
        <v>0</v>
      </c>
      <c r="L260" s="14">
        <f t="shared" si="21"/>
        <v>0</v>
      </c>
    </row>
    <row r="261" spans="1:12" ht="15">
      <c r="A261" s="3">
        <v>373</v>
      </c>
      <c r="B261" s="39">
        <v>205</v>
      </c>
      <c r="C261" s="7" t="s">
        <v>158</v>
      </c>
      <c r="D261" s="4" t="s">
        <v>80</v>
      </c>
      <c r="E261" s="6" t="s">
        <v>124</v>
      </c>
      <c r="F261" s="12">
        <f>INDEX('PEDIDO JULIO'!A33:K47,1,11)</f>
        <v>0</v>
      </c>
      <c r="G261" s="8">
        <f>IFERROR(VLOOKUP($B261,'[1]INSUMO POR SEDES MARZO PRUEBA'!$B$6:$CD$109,17,0),"NO BD")</f>
        <v>32639.225399999996</v>
      </c>
      <c r="H261" s="8"/>
      <c r="I261" s="8">
        <f t="shared" si="18"/>
        <v>0</v>
      </c>
      <c r="J261" s="14">
        <f t="shared" si="19"/>
        <v>0</v>
      </c>
      <c r="K261" s="14">
        <f t="shared" si="20"/>
        <v>0</v>
      </c>
      <c r="L261" s="14">
        <f t="shared" si="21"/>
        <v>0</v>
      </c>
    </row>
    <row r="262" spans="1:12" ht="15">
      <c r="A262" s="3">
        <v>374</v>
      </c>
      <c r="B262" s="39">
        <v>207</v>
      </c>
      <c r="C262" s="7" t="s">
        <v>158</v>
      </c>
      <c r="D262" s="4" t="s">
        <v>81</v>
      </c>
      <c r="E262" s="6" t="s">
        <v>124</v>
      </c>
      <c r="F262" s="12">
        <f>INDEX('PEDIDO JULIO'!A33:K47,1,11)</f>
        <v>0</v>
      </c>
      <c r="G262" s="8">
        <f>IFERROR(VLOOKUP($B262,'[1]INSUMO POR SEDES MARZO PRUEBA'!$B$6:$CD$109,17,0),"NO BD")</f>
        <v>0</v>
      </c>
      <c r="H262" s="8"/>
      <c r="I262" s="8">
        <f t="shared" ref="I262:I325" si="22">+F262*G262</f>
        <v>0</v>
      </c>
      <c r="J262" s="14">
        <f t="shared" si="19"/>
        <v>0</v>
      </c>
      <c r="K262" s="14">
        <f t="shared" si="20"/>
        <v>0</v>
      </c>
      <c r="L262" s="14">
        <f t="shared" si="21"/>
        <v>0</v>
      </c>
    </row>
    <row r="263" spans="1:12" ht="15">
      <c r="A263" s="3">
        <v>375</v>
      </c>
      <c r="B263" s="39">
        <v>212</v>
      </c>
      <c r="C263" s="7" t="s">
        <v>158</v>
      </c>
      <c r="D263" s="4" t="s">
        <v>82</v>
      </c>
      <c r="E263" s="6" t="s">
        <v>124</v>
      </c>
      <c r="F263" s="12">
        <f>INDEX('PEDIDO JULIO'!A33:K47,1,11)</f>
        <v>0</v>
      </c>
      <c r="G263" s="8">
        <f>IFERROR(VLOOKUP($B263,'[1]INSUMO POR SEDES MARZO PRUEBA'!$B$6:$CD$109,17,0),"NO BD")</f>
        <v>0</v>
      </c>
      <c r="H263" s="8"/>
      <c r="I263" s="8">
        <f t="shared" si="22"/>
        <v>0</v>
      </c>
      <c r="J263" s="14">
        <f t="shared" si="19"/>
        <v>0</v>
      </c>
      <c r="K263" s="14">
        <f t="shared" si="20"/>
        <v>0</v>
      </c>
      <c r="L263" s="14">
        <f t="shared" si="21"/>
        <v>0</v>
      </c>
    </row>
    <row r="264" spans="1:12" ht="15">
      <c r="A264" s="3">
        <v>376</v>
      </c>
      <c r="B264" s="39">
        <v>218</v>
      </c>
      <c r="C264" s="7" t="s">
        <v>158</v>
      </c>
      <c r="D264" s="4" t="s">
        <v>83</v>
      </c>
      <c r="E264" s="6" t="s">
        <v>124</v>
      </c>
      <c r="F264" s="12">
        <f>INDEX('PEDIDO JULIO'!A33:K47,1,11)</f>
        <v>0</v>
      </c>
      <c r="G264" s="8">
        <f>IFERROR(VLOOKUP($B264,'[1]INSUMO POR SEDES MARZO PRUEBA'!$B$6:$CD$109,17,0),"NO BD")</f>
        <v>1437.768</v>
      </c>
      <c r="H264" s="8"/>
      <c r="I264" s="8">
        <f t="shared" si="22"/>
        <v>0</v>
      </c>
      <c r="J264" s="14">
        <f t="shared" si="19"/>
        <v>0</v>
      </c>
      <c r="K264" s="14">
        <f t="shared" si="20"/>
        <v>0</v>
      </c>
      <c r="L264" s="14">
        <f t="shared" si="21"/>
        <v>0</v>
      </c>
    </row>
    <row r="265" spans="1:12" ht="15">
      <c r="A265" s="3">
        <v>377</v>
      </c>
      <c r="B265" s="39">
        <v>251</v>
      </c>
      <c r="C265" s="7" t="s">
        <v>158</v>
      </c>
      <c r="D265" s="4" t="s">
        <v>84</v>
      </c>
      <c r="E265" s="6" t="s">
        <v>124</v>
      </c>
      <c r="F265" s="12">
        <f>INDEX('PEDIDO JULIO'!A33:K47,1,11)</f>
        <v>0</v>
      </c>
      <c r="G265" s="8">
        <f>IFERROR(VLOOKUP($B265,'[1]INSUMO POR SEDES MARZO PRUEBA'!$B$6:$CD$109,17,0),"NO BD")</f>
        <v>0</v>
      </c>
      <c r="H265" s="8"/>
      <c r="I265" s="8">
        <f t="shared" si="22"/>
        <v>0</v>
      </c>
      <c r="J265" s="14">
        <f t="shared" si="19"/>
        <v>0</v>
      </c>
      <c r="K265" s="14">
        <f t="shared" si="20"/>
        <v>0</v>
      </c>
      <c r="L265" s="14">
        <f t="shared" si="21"/>
        <v>0</v>
      </c>
    </row>
    <row r="266" spans="1:12" ht="15">
      <c r="A266" s="3">
        <v>417</v>
      </c>
      <c r="B266" s="26">
        <v>3</v>
      </c>
      <c r="C266" s="7" t="s">
        <v>155</v>
      </c>
      <c r="D266" s="4" t="s">
        <v>5</v>
      </c>
      <c r="E266" s="6" t="s">
        <v>125</v>
      </c>
      <c r="F266" s="12">
        <f>INDEX('PEDIDO JULIO'!A10:L32,1,12)</f>
        <v>0</v>
      </c>
      <c r="G266" s="8">
        <f>IFERROR(VLOOKUP($B266,'[1]INSUMO POR SEDES MARZO PRUEBA'!$B$6:$CD$109,20,0),"NO BD")</f>
        <v>7268.7160000000003</v>
      </c>
      <c r="H266" s="8"/>
      <c r="I266" s="8">
        <f t="shared" si="22"/>
        <v>0</v>
      </c>
      <c r="J266" s="14">
        <f t="shared" ref="J266:J298" si="23">+I266*10%</f>
        <v>0</v>
      </c>
      <c r="K266" s="14">
        <f t="shared" ref="K266:K298" si="24">+J266*19%</f>
        <v>0</v>
      </c>
      <c r="L266" s="14">
        <f t="shared" ref="L266:L298" si="25">SUM(I266:K266)</f>
        <v>0</v>
      </c>
    </row>
    <row r="267" spans="1:12" ht="15">
      <c r="A267" s="3">
        <v>418</v>
      </c>
      <c r="B267" s="26">
        <v>5</v>
      </c>
      <c r="C267" s="7" t="s">
        <v>6</v>
      </c>
      <c r="D267" s="4" t="s">
        <v>7</v>
      </c>
      <c r="E267" s="6" t="s">
        <v>125</v>
      </c>
      <c r="F267" s="12">
        <f>INDEX('PEDIDO JULIO'!A10:L32,1,12)</f>
        <v>0</v>
      </c>
      <c r="G267" s="8">
        <f>IFERROR(VLOOKUP($B267,'[1]INSUMO POR SEDES MARZO PRUEBA'!$B$6:$CD$109,20,0),"NO BD")</f>
        <v>0</v>
      </c>
      <c r="H267" s="8"/>
      <c r="I267" s="8">
        <f t="shared" si="22"/>
        <v>0</v>
      </c>
      <c r="J267" s="14">
        <f t="shared" si="23"/>
        <v>0</v>
      </c>
      <c r="K267" s="14">
        <f t="shared" si="24"/>
        <v>0</v>
      </c>
      <c r="L267" s="14">
        <f t="shared" si="25"/>
        <v>0</v>
      </c>
    </row>
    <row r="268" spans="1:12" ht="15">
      <c r="A268" s="3">
        <v>419</v>
      </c>
      <c r="B268" s="26">
        <v>8</v>
      </c>
      <c r="C268" s="7" t="s">
        <v>6</v>
      </c>
      <c r="D268" s="4" t="s">
        <v>8</v>
      </c>
      <c r="E268" s="6" t="s">
        <v>125</v>
      </c>
      <c r="F268" s="12">
        <f>INDEX('PEDIDO JULIO'!A10:L33,1,12)</f>
        <v>0</v>
      </c>
      <c r="G268" s="8">
        <f>IFERROR(VLOOKUP($B268,'[1]INSUMO POR SEDES MARZO PRUEBA'!$B$6:$CD$109,20,0),"NO BD")</f>
        <v>0</v>
      </c>
      <c r="H268" s="8"/>
      <c r="I268" s="8">
        <f t="shared" si="22"/>
        <v>0</v>
      </c>
      <c r="J268" s="14">
        <f t="shared" si="23"/>
        <v>0</v>
      </c>
      <c r="K268" s="14">
        <f t="shared" si="24"/>
        <v>0</v>
      </c>
      <c r="L268" s="14">
        <f t="shared" si="25"/>
        <v>0</v>
      </c>
    </row>
    <row r="269" spans="1:12" ht="15">
      <c r="A269" s="3">
        <v>420</v>
      </c>
      <c r="B269" s="26">
        <v>9</v>
      </c>
      <c r="C269" s="7" t="s">
        <v>9</v>
      </c>
      <c r="D269" s="4" t="s">
        <v>10</v>
      </c>
      <c r="E269" s="6" t="s">
        <v>125</v>
      </c>
      <c r="F269" s="12">
        <f>INDEX('PEDIDO JULIO'!A10:L33,1,12)</f>
        <v>0</v>
      </c>
      <c r="G269" s="8">
        <f>IFERROR(VLOOKUP($B269,'[1]INSUMO POR SEDES MARZO PRUEBA'!$B$6:$CD$109,20,0),"NO BD")</f>
        <v>0</v>
      </c>
      <c r="H269" s="8"/>
      <c r="I269" s="8">
        <f t="shared" si="22"/>
        <v>0</v>
      </c>
      <c r="J269" s="14">
        <f t="shared" si="23"/>
        <v>0</v>
      </c>
      <c r="K269" s="14">
        <f t="shared" si="24"/>
        <v>0</v>
      </c>
      <c r="L269" s="14">
        <f t="shared" si="25"/>
        <v>0</v>
      </c>
    </row>
    <row r="270" spans="1:12" ht="15">
      <c r="A270" s="3">
        <v>421</v>
      </c>
      <c r="B270" s="26">
        <v>13</v>
      </c>
      <c r="C270" s="7" t="s">
        <v>156</v>
      </c>
      <c r="D270" s="5" t="s">
        <v>11</v>
      </c>
      <c r="E270" s="6" t="s">
        <v>125</v>
      </c>
      <c r="F270" s="12">
        <f>INDEX('PEDIDO JULIO'!A11:L33,1,12)</f>
        <v>0</v>
      </c>
      <c r="G270" s="8">
        <f>IFERROR(VLOOKUP($B270,'[1]INSUMO POR SEDES MARZO PRUEBA'!$B$6:$CD$109,20,0),"NO BD")</f>
        <v>6507.7919999999995</v>
      </c>
      <c r="H270" s="8"/>
      <c r="I270" s="8">
        <f t="shared" si="22"/>
        <v>0</v>
      </c>
      <c r="J270" s="14">
        <f t="shared" si="23"/>
        <v>0</v>
      </c>
      <c r="K270" s="14">
        <f t="shared" si="24"/>
        <v>0</v>
      </c>
      <c r="L270" s="14">
        <f t="shared" si="25"/>
        <v>0</v>
      </c>
    </row>
    <row r="271" spans="1:12" ht="27">
      <c r="A271" s="3">
        <v>422</v>
      </c>
      <c r="B271" s="26">
        <v>17</v>
      </c>
      <c r="C271" s="7" t="s">
        <v>157</v>
      </c>
      <c r="D271" s="4" t="s">
        <v>12</v>
      </c>
      <c r="E271" s="6" t="s">
        <v>125</v>
      </c>
      <c r="F271" s="12">
        <f>INDEX('PEDIDO JULIO'!A12:L33,1,12)</f>
        <v>7</v>
      </c>
      <c r="G271" s="8">
        <f>IFERROR(VLOOKUP($B271,'[1]INSUMO POR SEDES MARZO PRUEBA'!$B$6:$CD$109,20,0),"NO BD")</f>
        <v>0</v>
      </c>
      <c r="H271" s="8"/>
      <c r="I271" s="8">
        <f t="shared" si="22"/>
        <v>0</v>
      </c>
      <c r="J271" s="14">
        <f t="shared" si="23"/>
        <v>0</v>
      </c>
      <c r="K271" s="14">
        <f t="shared" si="24"/>
        <v>0</v>
      </c>
      <c r="L271" s="14">
        <f t="shared" si="25"/>
        <v>0</v>
      </c>
    </row>
    <row r="272" spans="1:12" ht="15">
      <c r="A272" s="3">
        <v>423</v>
      </c>
      <c r="B272" s="31">
        <v>20</v>
      </c>
      <c r="C272" s="7" t="s">
        <v>13</v>
      </c>
      <c r="D272" s="4" t="s">
        <v>14</v>
      </c>
      <c r="E272" s="6" t="s">
        <v>125</v>
      </c>
      <c r="F272" s="12">
        <f>INDEX('PEDIDO JULIO'!A12:L33,1,12)</f>
        <v>7</v>
      </c>
      <c r="G272" s="8">
        <f>IFERROR(VLOOKUP($B272,'[1]INSUMO POR SEDES MARZO PRUEBA'!$B$6:$CD$109,20,0),"NO BD")</f>
        <v>0</v>
      </c>
      <c r="H272" s="8"/>
      <c r="I272" s="8">
        <f t="shared" si="22"/>
        <v>0</v>
      </c>
      <c r="J272" s="14">
        <f t="shared" si="23"/>
        <v>0</v>
      </c>
      <c r="K272" s="14">
        <f t="shared" si="24"/>
        <v>0</v>
      </c>
      <c r="L272" s="14">
        <f t="shared" si="25"/>
        <v>0</v>
      </c>
    </row>
    <row r="273" spans="1:12" ht="27">
      <c r="A273" s="3">
        <v>424</v>
      </c>
      <c r="B273" s="26">
        <v>21</v>
      </c>
      <c r="C273" s="7" t="s">
        <v>13</v>
      </c>
      <c r="D273" s="4" t="s">
        <v>15</v>
      </c>
      <c r="E273" s="6" t="s">
        <v>125</v>
      </c>
      <c r="F273" s="12">
        <f>INDEX('PEDIDO JULIO'!A13:L34,1,12)</f>
        <v>0</v>
      </c>
      <c r="G273" s="8">
        <f>IFERROR(VLOOKUP($B273,'[1]INSUMO POR SEDES MARZO PRUEBA'!$B$6:$CD$109,20,0),"NO BD")</f>
        <v>0</v>
      </c>
      <c r="H273" s="8"/>
      <c r="I273" s="8">
        <f t="shared" si="22"/>
        <v>0</v>
      </c>
      <c r="J273" s="14">
        <f t="shared" si="23"/>
        <v>0</v>
      </c>
      <c r="K273" s="14">
        <f t="shared" si="24"/>
        <v>0</v>
      </c>
      <c r="L273" s="14">
        <f t="shared" si="25"/>
        <v>0</v>
      </c>
    </row>
    <row r="274" spans="1:12" ht="15">
      <c r="A274" s="3">
        <v>425</v>
      </c>
      <c r="B274" s="26">
        <v>28</v>
      </c>
      <c r="C274" s="7" t="s">
        <v>16</v>
      </c>
      <c r="D274" s="4" t="s">
        <v>17</v>
      </c>
      <c r="E274" s="6" t="s">
        <v>125</v>
      </c>
      <c r="F274" s="12">
        <f>INDEX('PEDIDO JULIO'!A14:L34,1,12)</f>
        <v>2</v>
      </c>
      <c r="G274" s="8">
        <f>IFERROR(VLOOKUP($B274,'[1]INSUMO POR SEDES MARZO PRUEBA'!$B$6:$CD$109,20,0),"NO BD")</f>
        <v>0</v>
      </c>
      <c r="H274" s="8"/>
      <c r="I274" s="8">
        <f t="shared" si="22"/>
        <v>0</v>
      </c>
      <c r="J274" s="14">
        <f t="shared" si="23"/>
        <v>0</v>
      </c>
      <c r="K274" s="14">
        <f t="shared" si="24"/>
        <v>0</v>
      </c>
      <c r="L274" s="14">
        <f t="shared" si="25"/>
        <v>0</v>
      </c>
    </row>
    <row r="275" spans="1:12" ht="27">
      <c r="A275" s="3">
        <v>426</v>
      </c>
      <c r="B275" s="26">
        <v>29</v>
      </c>
      <c r="C275" s="7" t="s">
        <v>18</v>
      </c>
      <c r="D275" s="4" t="s">
        <v>19</v>
      </c>
      <c r="E275" s="6" t="s">
        <v>125</v>
      </c>
      <c r="F275" s="12">
        <f>INDEX('PEDIDO JULIO'!A15:L34,1,12)</f>
        <v>0</v>
      </c>
      <c r="G275" s="8">
        <f>IFERROR(VLOOKUP($B275,'[1]INSUMO POR SEDES MARZO PRUEBA'!$B$6:$CD$109,20,0),"NO BD")</f>
        <v>4829.3450000000012</v>
      </c>
      <c r="H275" s="8"/>
      <c r="I275" s="8">
        <f t="shared" si="22"/>
        <v>0</v>
      </c>
      <c r="J275" s="14">
        <f t="shared" si="23"/>
        <v>0</v>
      </c>
      <c r="K275" s="14">
        <f t="shared" si="24"/>
        <v>0</v>
      </c>
      <c r="L275" s="14">
        <f t="shared" si="25"/>
        <v>0</v>
      </c>
    </row>
    <row r="276" spans="1:12" ht="27">
      <c r="A276" s="3">
        <v>427</v>
      </c>
      <c r="B276" s="26">
        <v>32</v>
      </c>
      <c r="C276" s="7" t="s">
        <v>20</v>
      </c>
      <c r="D276" s="4" t="s">
        <v>21</v>
      </c>
      <c r="E276" s="6" t="s">
        <v>125</v>
      </c>
      <c r="F276" s="12">
        <f>INDEX('PEDIDO JULIO'!A16:L34,1,12)</f>
        <v>0</v>
      </c>
      <c r="G276" s="8">
        <f>IFERROR(VLOOKUP($B276,'[1]INSUMO POR SEDES MARZO PRUEBA'!$B$6:$CD$109,20,0),"NO BD")</f>
        <v>4115.7160000000003</v>
      </c>
      <c r="H276" s="8"/>
      <c r="I276" s="8">
        <f t="shared" si="22"/>
        <v>0</v>
      </c>
      <c r="J276" s="14">
        <f t="shared" si="23"/>
        <v>0</v>
      </c>
      <c r="K276" s="14">
        <f t="shared" si="24"/>
        <v>0</v>
      </c>
      <c r="L276" s="14">
        <f t="shared" si="25"/>
        <v>0</v>
      </c>
    </row>
    <row r="277" spans="1:12" ht="27">
      <c r="A277" s="3">
        <v>428</v>
      </c>
      <c r="B277" s="26">
        <v>38</v>
      </c>
      <c r="C277" s="7" t="s">
        <v>22</v>
      </c>
      <c r="D277" s="4" t="s">
        <v>23</v>
      </c>
      <c r="E277" s="6" t="s">
        <v>125</v>
      </c>
      <c r="F277" s="12">
        <f>INDEX('PEDIDO JULIO'!A17:L34,1,12)</f>
        <v>0</v>
      </c>
      <c r="G277" s="8">
        <f>IFERROR(VLOOKUP($B277,'[1]INSUMO POR SEDES MARZO PRUEBA'!$B$6:$CD$109,20,0),"NO BD")</f>
        <v>0</v>
      </c>
      <c r="H277" s="8"/>
      <c r="I277" s="8">
        <f t="shared" si="22"/>
        <v>0</v>
      </c>
      <c r="J277" s="14">
        <f t="shared" si="23"/>
        <v>0</v>
      </c>
      <c r="K277" s="14">
        <f t="shared" si="24"/>
        <v>0</v>
      </c>
      <c r="L277" s="14">
        <f t="shared" si="25"/>
        <v>0</v>
      </c>
    </row>
    <row r="278" spans="1:12" ht="15">
      <c r="A278" s="3">
        <v>429</v>
      </c>
      <c r="B278" s="26">
        <v>44</v>
      </c>
      <c r="C278" s="7" t="s">
        <v>18</v>
      </c>
      <c r="D278" s="4" t="s">
        <v>24</v>
      </c>
      <c r="E278" s="6" t="s">
        <v>125</v>
      </c>
      <c r="F278" s="12">
        <f>INDEX('PEDIDO JULIO'!A17:L34,1,12)</f>
        <v>0</v>
      </c>
      <c r="G278" s="8">
        <f>IFERROR(VLOOKUP($B278,'[1]INSUMO POR SEDES MARZO PRUEBA'!$B$6:$CD$109,20,0),"NO BD")</f>
        <v>0</v>
      </c>
      <c r="H278" s="8"/>
      <c r="I278" s="8">
        <f t="shared" si="22"/>
        <v>0</v>
      </c>
      <c r="J278" s="14">
        <f t="shared" si="23"/>
        <v>0</v>
      </c>
      <c r="K278" s="14">
        <f t="shared" si="24"/>
        <v>0</v>
      </c>
      <c r="L278" s="14">
        <f t="shared" si="25"/>
        <v>0</v>
      </c>
    </row>
    <row r="279" spans="1:12" ht="27">
      <c r="A279" s="3">
        <v>430</v>
      </c>
      <c r="B279" s="26">
        <v>50</v>
      </c>
      <c r="C279" s="7" t="s">
        <v>155</v>
      </c>
      <c r="D279" s="4" t="s">
        <v>25</v>
      </c>
      <c r="E279" s="6" t="s">
        <v>125</v>
      </c>
      <c r="F279" s="12">
        <f>INDEX('PEDIDO JULIO'!A18:L35,1,12)</f>
        <v>0</v>
      </c>
      <c r="G279" s="8">
        <f>IFERROR(VLOOKUP($B279,'[1]INSUMO POR SEDES MARZO PRUEBA'!$B$6:$CD$109,20,0),"NO BD")</f>
        <v>38567.495999999999</v>
      </c>
      <c r="H279" s="8"/>
      <c r="I279" s="8">
        <f t="shared" si="22"/>
        <v>0</v>
      </c>
      <c r="J279" s="14">
        <f t="shared" si="23"/>
        <v>0</v>
      </c>
      <c r="K279" s="14">
        <f t="shared" si="24"/>
        <v>0</v>
      </c>
      <c r="L279" s="14">
        <f t="shared" si="25"/>
        <v>0</v>
      </c>
    </row>
    <row r="280" spans="1:12" ht="27">
      <c r="A280" s="3">
        <v>431</v>
      </c>
      <c r="B280" s="26">
        <v>52</v>
      </c>
      <c r="C280" s="7" t="s">
        <v>16</v>
      </c>
      <c r="D280" s="4" t="s">
        <v>26</v>
      </c>
      <c r="E280" s="6" t="s">
        <v>125</v>
      </c>
      <c r="F280" s="12">
        <f>INDEX('PEDIDO JULIO'!A18:L35,1,12)</f>
        <v>0</v>
      </c>
      <c r="G280" s="8">
        <f>IFERROR(VLOOKUP($B280,'[1]INSUMO POR SEDES MARZO PRUEBA'!$B$6:$CD$109,20,0),"NO BD")</f>
        <v>0</v>
      </c>
      <c r="H280" s="8"/>
      <c r="I280" s="8">
        <f t="shared" si="22"/>
        <v>0</v>
      </c>
      <c r="J280" s="14">
        <f t="shared" si="23"/>
        <v>0</v>
      </c>
      <c r="K280" s="14">
        <f t="shared" si="24"/>
        <v>0</v>
      </c>
      <c r="L280" s="14">
        <f t="shared" si="25"/>
        <v>0</v>
      </c>
    </row>
    <row r="281" spans="1:12" ht="15">
      <c r="A281" s="3">
        <v>432</v>
      </c>
      <c r="B281" s="26">
        <v>57</v>
      </c>
      <c r="C281" s="7" t="s">
        <v>27</v>
      </c>
      <c r="D281" s="4" t="s">
        <v>28</v>
      </c>
      <c r="E281" s="6" t="s">
        <v>125</v>
      </c>
      <c r="F281" s="12">
        <f>INDEX('PEDIDO JULIO'!A18:L35,1,12)</f>
        <v>0</v>
      </c>
      <c r="G281" s="8">
        <f>IFERROR(VLOOKUP($B281,'[1]INSUMO POR SEDES MARZO PRUEBA'!$B$6:$CD$109,20,0),"NO BD")</f>
        <v>12823.251000000004</v>
      </c>
      <c r="H281" s="8"/>
      <c r="I281" s="8">
        <f t="shared" si="22"/>
        <v>0</v>
      </c>
      <c r="J281" s="14">
        <f t="shared" si="23"/>
        <v>0</v>
      </c>
      <c r="K281" s="14">
        <f t="shared" si="24"/>
        <v>0</v>
      </c>
      <c r="L281" s="14">
        <f t="shared" si="25"/>
        <v>0</v>
      </c>
    </row>
    <row r="282" spans="1:12" ht="15">
      <c r="A282" s="3">
        <v>433</v>
      </c>
      <c r="B282" s="26">
        <v>59</v>
      </c>
      <c r="C282" s="7" t="s">
        <v>13</v>
      </c>
      <c r="D282" s="4" t="s">
        <v>29</v>
      </c>
      <c r="E282" s="6" t="s">
        <v>125</v>
      </c>
      <c r="F282" s="12">
        <f>INDEX('PEDIDO JULIO'!A19:L35,1,12)</f>
        <v>0</v>
      </c>
      <c r="G282" s="8">
        <f>IFERROR(VLOOKUP($B282,'[1]INSUMO POR SEDES MARZO PRUEBA'!$B$6:$CD$109,20,0),"NO BD")</f>
        <v>0</v>
      </c>
      <c r="H282" s="8"/>
      <c r="I282" s="8">
        <f t="shared" si="22"/>
        <v>0</v>
      </c>
      <c r="J282" s="14">
        <f t="shared" si="23"/>
        <v>0</v>
      </c>
      <c r="K282" s="14">
        <f t="shared" si="24"/>
        <v>0</v>
      </c>
      <c r="L282" s="14">
        <f t="shared" si="25"/>
        <v>0</v>
      </c>
    </row>
    <row r="283" spans="1:12" ht="15">
      <c r="A283" s="3">
        <v>434</v>
      </c>
      <c r="B283" s="26">
        <v>62</v>
      </c>
      <c r="C283" s="7" t="s">
        <v>13</v>
      </c>
      <c r="D283" s="4" t="s">
        <v>30</v>
      </c>
      <c r="E283" s="6" t="s">
        <v>125</v>
      </c>
      <c r="F283" s="12">
        <f>INDEX('PEDIDO JULIO'!A19:L35,1,12)</f>
        <v>0</v>
      </c>
      <c r="G283" s="8">
        <f>IFERROR(VLOOKUP($B283,'[1]INSUMO POR SEDES MARZO PRUEBA'!$B$6:$CD$109,20,0),"NO BD")</f>
        <v>10100.3202</v>
      </c>
      <c r="H283" s="8"/>
      <c r="I283" s="8">
        <f t="shared" si="22"/>
        <v>0</v>
      </c>
      <c r="J283" s="14">
        <f t="shared" si="23"/>
        <v>0</v>
      </c>
      <c r="K283" s="14">
        <f t="shared" si="24"/>
        <v>0</v>
      </c>
      <c r="L283" s="14">
        <f t="shared" si="25"/>
        <v>0</v>
      </c>
    </row>
    <row r="284" spans="1:12" ht="15">
      <c r="A284" s="3">
        <v>435</v>
      </c>
      <c r="B284" s="26">
        <v>63</v>
      </c>
      <c r="C284" s="7" t="s">
        <v>13</v>
      </c>
      <c r="D284" s="4" t="s">
        <v>31</v>
      </c>
      <c r="E284" s="6" t="s">
        <v>125</v>
      </c>
      <c r="F284" s="12">
        <f>INDEX('PEDIDO JULIO'!A20:L35,1,12)</f>
        <v>0</v>
      </c>
      <c r="G284" s="8">
        <f>IFERROR(VLOOKUP($B284,'[1]INSUMO POR SEDES MARZO PRUEBA'!$B$6:$CD$109,20,0),"NO BD")</f>
        <v>8292.39</v>
      </c>
      <c r="H284" s="8"/>
      <c r="I284" s="8">
        <f t="shared" si="22"/>
        <v>0</v>
      </c>
      <c r="J284" s="14">
        <f t="shared" si="23"/>
        <v>0</v>
      </c>
      <c r="K284" s="14">
        <f t="shared" si="24"/>
        <v>0</v>
      </c>
      <c r="L284" s="14">
        <f t="shared" si="25"/>
        <v>0</v>
      </c>
    </row>
    <row r="285" spans="1:12" ht="15">
      <c r="A285" s="3">
        <v>436</v>
      </c>
      <c r="B285" s="26">
        <v>64</v>
      </c>
      <c r="C285" s="7" t="s">
        <v>13</v>
      </c>
      <c r="D285" s="4" t="s">
        <v>32</v>
      </c>
      <c r="E285" s="6" t="s">
        <v>125</v>
      </c>
      <c r="F285" s="12">
        <f>INDEX('PEDIDO JULIO'!A20:L35,1,12)</f>
        <v>0</v>
      </c>
      <c r="G285" s="8">
        <f>IFERROR(VLOOKUP($B285,'[1]INSUMO POR SEDES MARZO PRUEBA'!$B$6:$CD$109,20,0),"NO BD")</f>
        <v>0</v>
      </c>
      <c r="H285" s="8"/>
      <c r="I285" s="8">
        <f t="shared" si="22"/>
        <v>0</v>
      </c>
      <c r="J285" s="14">
        <f t="shared" si="23"/>
        <v>0</v>
      </c>
      <c r="K285" s="14">
        <f t="shared" si="24"/>
        <v>0</v>
      </c>
      <c r="L285" s="14">
        <f t="shared" si="25"/>
        <v>0</v>
      </c>
    </row>
    <row r="286" spans="1:12" ht="15">
      <c r="A286" s="3">
        <v>437</v>
      </c>
      <c r="B286" s="26">
        <v>65</v>
      </c>
      <c r="C286" s="7" t="s">
        <v>33</v>
      </c>
      <c r="D286" s="4" t="s">
        <v>34</v>
      </c>
      <c r="E286" s="6" t="s">
        <v>125</v>
      </c>
      <c r="F286" s="12">
        <f>INDEX('PEDIDO JULIO'!A21:L35,1,12)</f>
        <v>0</v>
      </c>
      <c r="G286" s="8">
        <f>IFERROR(VLOOKUP($B286,'[1]INSUMO POR SEDES MARZO PRUEBA'!$B$6:$CD$109,20,0),"NO BD")</f>
        <v>21295.046699999999</v>
      </c>
      <c r="H286" s="8"/>
      <c r="I286" s="8">
        <f t="shared" si="22"/>
        <v>0</v>
      </c>
      <c r="J286" s="14">
        <f t="shared" si="23"/>
        <v>0</v>
      </c>
      <c r="K286" s="14">
        <f t="shared" si="24"/>
        <v>0</v>
      </c>
      <c r="L286" s="14">
        <f t="shared" si="25"/>
        <v>0</v>
      </c>
    </row>
    <row r="287" spans="1:12" ht="15">
      <c r="A287" s="3">
        <v>438</v>
      </c>
      <c r="B287" s="26">
        <v>66</v>
      </c>
      <c r="C287" s="7" t="s">
        <v>16</v>
      </c>
      <c r="D287" s="4" t="s">
        <v>35</v>
      </c>
      <c r="E287" s="6" t="s">
        <v>125</v>
      </c>
      <c r="F287" s="12">
        <f>INDEX('PEDIDO JULIO'!A22:L35,1,12)</f>
        <v>0</v>
      </c>
      <c r="G287" s="8">
        <f>IFERROR(VLOOKUP($B287,'[1]INSUMO POR SEDES MARZO PRUEBA'!$B$6:$CD$109,20,0),"NO BD")</f>
        <v>2887.0970000000002</v>
      </c>
      <c r="H287" s="8"/>
      <c r="I287" s="8">
        <f t="shared" si="22"/>
        <v>0</v>
      </c>
      <c r="J287" s="14">
        <f t="shared" si="23"/>
        <v>0</v>
      </c>
      <c r="K287" s="14">
        <f t="shared" si="24"/>
        <v>0</v>
      </c>
      <c r="L287" s="14">
        <f t="shared" si="25"/>
        <v>0</v>
      </c>
    </row>
    <row r="288" spans="1:12" ht="15">
      <c r="A288" s="3">
        <v>439</v>
      </c>
      <c r="B288" s="26">
        <v>71</v>
      </c>
      <c r="C288" s="7" t="s">
        <v>36</v>
      </c>
      <c r="D288" s="4" t="s">
        <v>37</v>
      </c>
      <c r="E288" s="6" t="s">
        <v>125</v>
      </c>
      <c r="F288" s="12">
        <f>INDEX('PEDIDO JULIO'!A23:L36,1,12)</f>
        <v>3</v>
      </c>
      <c r="G288" s="8">
        <f>IFERROR(VLOOKUP($B288,'[1]INSUMO POR SEDES MARZO PRUEBA'!$B$6:$CD$109,20,0),"NO BD")</f>
        <v>7960.6944000000003</v>
      </c>
      <c r="H288" s="8"/>
      <c r="I288" s="8">
        <f t="shared" si="22"/>
        <v>23882.083200000001</v>
      </c>
      <c r="J288" s="14">
        <f t="shared" si="23"/>
        <v>2388.2083200000002</v>
      </c>
      <c r="K288" s="14">
        <f t="shared" si="24"/>
        <v>453.75958080000004</v>
      </c>
      <c r="L288" s="14">
        <f t="shared" si="25"/>
        <v>26724.051100800003</v>
      </c>
    </row>
    <row r="289" spans="1:12" ht="15">
      <c r="A289" s="3">
        <v>440</v>
      </c>
      <c r="B289" s="26">
        <v>72</v>
      </c>
      <c r="C289" s="7" t="s">
        <v>36</v>
      </c>
      <c r="D289" s="4" t="s">
        <v>38</v>
      </c>
      <c r="E289" s="6" t="s">
        <v>125</v>
      </c>
      <c r="F289" s="12">
        <f>INDEX('PEDIDO JULIO'!A23:L37,1,12)</f>
        <v>3</v>
      </c>
      <c r="G289" s="8">
        <f>IFERROR(VLOOKUP($B289,'[1]INSUMO POR SEDES MARZO PRUEBA'!$B$6:$CD$109,20,0),"NO BD")</f>
        <v>7861.3749000000007</v>
      </c>
      <c r="H289" s="8"/>
      <c r="I289" s="8">
        <f t="shared" si="22"/>
        <v>23584.1247</v>
      </c>
      <c r="J289" s="14">
        <f t="shared" si="23"/>
        <v>2358.4124700000002</v>
      </c>
      <c r="K289" s="14">
        <f t="shared" si="24"/>
        <v>448.09836930000006</v>
      </c>
      <c r="L289" s="14">
        <f t="shared" si="25"/>
        <v>26390.635539300001</v>
      </c>
    </row>
    <row r="290" spans="1:12" ht="15">
      <c r="A290" s="3">
        <v>441</v>
      </c>
      <c r="B290" s="26">
        <v>73</v>
      </c>
      <c r="C290" s="7" t="s">
        <v>39</v>
      </c>
      <c r="D290" s="4" t="s">
        <v>40</v>
      </c>
      <c r="E290" s="6" t="s">
        <v>125</v>
      </c>
      <c r="F290" s="12">
        <f>INDEX('PEDIDO JULIO'!A24:L37,1,12)</f>
        <v>5</v>
      </c>
      <c r="G290" s="8">
        <f>IFERROR(VLOOKUP($B290,'[1]INSUMO POR SEDES MARZO PRUEBA'!$B$6:$CD$109,20,0),"NO BD")</f>
        <v>21493.685699999998</v>
      </c>
      <c r="H290" s="8"/>
      <c r="I290" s="8">
        <f t="shared" si="22"/>
        <v>107468.42849999999</v>
      </c>
      <c r="J290" s="14">
        <f t="shared" si="23"/>
        <v>10746.842850000001</v>
      </c>
      <c r="K290" s="14">
        <f t="shared" si="24"/>
        <v>2041.9001415000002</v>
      </c>
      <c r="L290" s="14">
        <f t="shared" si="25"/>
        <v>120257.17149149999</v>
      </c>
    </row>
    <row r="291" spans="1:12" ht="15">
      <c r="A291" s="3">
        <v>442</v>
      </c>
      <c r="B291" s="26">
        <v>74</v>
      </c>
      <c r="C291" s="7" t="s">
        <v>39</v>
      </c>
      <c r="D291" s="4" t="s">
        <v>41</v>
      </c>
      <c r="E291" s="6" t="s">
        <v>125</v>
      </c>
      <c r="F291" s="12">
        <f>INDEX('PEDIDO JULIO'!A25:L37,1,12)</f>
        <v>4</v>
      </c>
      <c r="G291" s="8">
        <f>IFERROR(VLOOKUP($B291,'[1]INSUMO POR SEDES MARZO PRUEBA'!$B$6:$CD$109,20,0),"NO BD")</f>
        <v>3261.2529999999997</v>
      </c>
      <c r="H291" s="8"/>
      <c r="I291" s="8">
        <f t="shared" si="22"/>
        <v>13045.011999999999</v>
      </c>
      <c r="J291" s="14">
        <f t="shared" si="23"/>
        <v>1304.5011999999999</v>
      </c>
      <c r="K291" s="14">
        <f t="shared" si="24"/>
        <v>247.85522799999998</v>
      </c>
      <c r="L291" s="14">
        <f t="shared" si="25"/>
        <v>14597.368428</v>
      </c>
    </row>
    <row r="292" spans="1:12" ht="15">
      <c r="A292" s="3">
        <v>443</v>
      </c>
      <c r="B292" s="26">
        <v>79</v>
      </c>
      <c r="C292" s="7" t="s">
        <v>151</v>
      </c>
      <c r="D292" s="4" t="s">
        <v>42</v>
      </c>
      <c r="E292" s="6" t="s">
        <v>125</v>
      </c>
      <c r="F292" s="12">
        <f>INDEX('PEDIDO JULIO'!A26:L37,1,12)</f>
        <v>0</v>
      </c>
      <c r="G292" s="8">
        <f>IFERROR(VLOOKUP($B292,'[1]INSUMO POR SEDES MARZO PRUEBA'!$B$6:$CD$109,20,0),"NO BD")</f>
        <v>935.49510000000009</v>
      </c>
      <c r="H292" s="8"/>
      <c r="I292" s="8">
        <f t="shared" si="22"/>
        <v>0</v>
      </c>
      <c r="J292" s="14">
        <f t="shared" si="23"/>
        <v>0</v>
      </c>
      <c r="K292" s="14">
        <f t="shared" si="24"/>
        <v>0</v>
      </c>
      <c r="L292" s="14">
        <f t="shared" si="25"/>
        <v>0</v>
      </c>
    </row>
    <row r="293" spans="1:12" ht="15">
      <c r="A293" s="3">
        <v>444</v>
      </c>
      <c r="B293" s="26">
        <v>80</v>
      </c>
      <c r="C293" s="7" t="s">
        <v>151</v>
      </c>
      <c r="D293" s="4" t="s">
        <v>43</v>
      </c>
      <c r="E293" s="6" t="s">
        <v>125</v>
      </c>
      <c r="F293" s="12">
        <f>INDEX('PEDIDO JULIO'!A27:L37,1,12)</f>
        <v>4</v>
      </c>
      <c r="G293" s="8">
        <f>IFERROR(VLOOKUP($B293,'[1]INSUMO POR SEDES MARZO PRUEBA'!$B$6:$CD$109,20,0),"NO BD")</f>
        <v>607.26779999999997</v>
      </c>
      <c r="H293" s="8"/>
      <c r="I293" s="8">
        <f t="shared" si="22"/>
        <v>2429.0711999999999</v>
      </c>
      <c r="J293" s="14">
        <f t="shared" si="23"/>
        <v>242.90711999999999</v>
      </c>
      <c r="K293" s="14">
        <f t="shared" si="24"/>
        <v>46.152352799999996</v>
      </c>
      <c r="L293" s="14">
        <f t="shared" si="25"/>
        <v>2718.1306727999995</v>
      </c>
    </row>
    <row r="294" spans="1:12" ht="15">
      <c r="A294" s="3">
        <v>445</v>
      </c>
      <c r="B294" s="26">
        <v>81</v>
      </c>
      <c r="C294" s="7" t="s">
        <v>151</v>
      </c>
      <c r="D294" s="4" t="s">
        <v>44</v>
      </c>
      <c r="E294" s="6" t="s">
        <v>125</v>
      </c>
      <c r="F294" s="12">
        <f>INDEX('PEDIDO JULIO'!A28:L37,1,12)</f>
        <v>0</v>
      </c>
      <c r="G294" s="8">
        <f>IFERROR(VLOOKUP($B294,'[1]INSUMO POR SEDES MARZO PRUEBA'!$B$6:$CD$109,20,0),"NO BD")</f>
        <v>387.81900000000002</v>
      </c>
      <c r="H294" s="8"/>
      <c r="I294" s="8">
        <f t="shared" si="22"/>
        <v>0</v>
      </c>
      <c r="J294" s="14">
        <f t="shared" si="23"/>
        <v>0</v>
      </c>
      <c r="K294" s="14">
        <f t="shared" si="24"/>
        <v>0</v>
      </c>
      <c r="L294" s="14">
        <f t="shared" si="25"/>
        <v>0</v>
      </c>
    </row>
    <row r="295" spans="1:12" ht="40.5">
      <c r="A295" s="3">
        <v>446</v>
      </c>
      <c r="B295" s="26">
        <v>82</v>
      </c>
      <c r="C295" s="7" t="s">
        <v>151</v>
      </c>
      <c r="D295" s="4" t="s">
        <v>45</v>
      </c>
      <c r="E295" s="6" t="s">
        <v>125</v>
      </c>
      <c r="F295" s="12">
        <f>INDEX('PEDIDO JULIO'!A28:L37,1,12)</f>
        <v>0</v>
      </c>
      <c r="G295" s="8">
        <f>IFERROR(VLOOKUP($B295,'[1]INSUMO POR SEDES MARZO PRUEBA'!$B$6:$CD$109,20,0),"NO BD")</f>
        <v>1003.7049999999999</v>
      </c>
      <c r="H295" s="8"/>
      <c r="I295" s="8">
        <f t="shared" si="22"/>
        <v>0</v>
      </c>
      <c r="J295" s="14">
        <f t="shared" si="23"/>
        <v>0</v>
      </c>
      <c r="K295" s="14">
        <f t="shared" si="24"/>
        <v>0</v>
      </c>
      <c r="L295" s="14">
        <f t="shared" si="25"/>
        <v>0</v>
      </c>
    </row>
    <row r="296" spans="1:12" ht="27">
      <c r="A296" s="3">
        <v>447</v>
      </c>
      <c r="B296" s="26">
        <v>83</v>
      </c>
      <c r="C296" s="7" t="s">
        <v>46</v>
      </c>
      <c r="D296" s="4" t="s">
        <v>47</v>
      </c>
      <c r="E296" s="6" t="s">
        <v>125</v>
      </c>
      <c r="F296" s="12">
        <f>INDEX('PEDIDO JULIO'!A29:L37,1,12)</f>
        <v>2</v>
      </c>
      <c r="G296" s="8">
        <f>IFERROR(VLOOKUP($B296,'[1]INSUMO POR SEDES MARZO PRUEBA'!$B$6:$CD$109,20,0),"NO BD")</f>
        <v>0</v>
      </c>
      <c r="H296" s="8"/>
      <c r="I296" s="8">
        <f t="shared" si="22"/>
        <v>0</v>
      </c>
      <c r="J296" s="14">
        <f t="shared" si="23"/>
        <v>0</v>
      </c>
      <c r="K296" s="14">
        <f t="shared" si="24"/>
        <v>0</v>
      </c>
      <c r="L296" s="14">
        <f t="shared" si="25"/>
        <v>0</v>
      </c>
    </row>
    <row r="297" spans="1:12" ht="15">
      <c r="A297" s="3">
        <v>448</v>
      </c>
      <c r="B297" s="26">
        <v>88</v>
      </c>
      <c r="C297" s="7" t="s">
        <v>159</v>
      </c>
      <c r="D297" s="4" t="s">
        <v>48</v>
      </c>
      <c r="E297" s="6" t="s">
        <v>125</v>
      </c>
      <c r="F297" s="12">
        <f>INDEX('PEDIDO JULIO'!A30:L37,1,12)</f>
        <v>0</v>
      </c>
      <c r="G297" s="8">
        <f>IFERROR(VLOOKUP($B297,'[1]INSUMO POR SEDES MARZO PRUEBA'!$B$6:$CD$109,20,0),"NO BD")</f>
        <v>0</v>
      </c>
      <c r="H297" s="8"/>
      <c r="I297" s="8">
        <f t="shared" si="22"/>
        <v>0</v>
      </c>
      <c r="J297" s="14">
        <f t="shared" si="23"/>
        <v>0</v>
      </c>
      <c r="K297" s="14">
        <f t="shared" si="24"/>
        <v>0</v>
      </c>
      <c r="L297" s="14">
        <f t="shared" si="25"/>
        <v>0</v>
      </c>
    </row>
    <row r="298" spans="1:12" ht="15">
      <c r="A298" s="3">
        <v>449</v>
      </c>
      <c r="B298" s="26">
        <v>92</v>
      </c>
      <c r="C298" s="7" t="s">
        <v>159</v>
      </c>
      <c r="D298" s="4" t="s">
        <v>49</v>
      </c>
      <c r="E298" s="6" t="s">
        <v>125</v>
      </c>
      <c r="F298" s="12">
        <f>INDEX('PEDIDO JULIO'!A31:L37,1,12)</f>
        <v>0</v>
      </c>
      <c r="G298" s="8">
        <f>IFERROR(VLOOKUP($B298,'[1]INSUMO POR SEDES MARZO PRUEBA'!$B$6:$CD$109,20,0),"NO BD")</f>
        <v>2380.5149999999999</v>
      </c>
      <c r="H298" s="8"/>
      <c r="I298" s="8">
        <f t="shared" si="22"/>
        <v>0</v>
      </c>
      <c r="J298" s="14">
        <f t="shared" si="23"/>
        <v>0</v>
      </c>
      <c r="K298" s="14">
        <f t="shared" si="24"/>
        <v>0</v>
      </c>
      <c r="L298" s="14">
        <f t="shared" si="25"/>
        <v>0</v>
      </c>
    </row>
    <row r="299" spans="1:12" ht="15">
      <c r="A299" s="3">
        <v>450</v>
      </c>
      <c r="B299" s="26">
        <v>94</v>
      </c>
      <c r="C299" s="7" t="s">
        <v>159</v>
      </c>
      <c r="D299" s="4" t="s">
        <v>50</v>
      </c>
      <c r="E299" s="6" t="s">
        <v>125</v>
      </c>
      <c r="F299" s="12">
        <f>INDEX('PEDIDO JULIO'!A32:L37,1,12)</f>
        <v>0</v>
      </c>
      <c r="G299" s="8">
        <f>IFERROR(VLOOKUP($B299,'[1]INSUMO POR SEDES MARZO PRUEBA'!$B$6:$CD$109,20,0),"NO BD")</f>
        <v>0</v>
      </c>
      <c r="H299" s="8"/>
      <c r="I299" s="8">
        <f t="shared" si="22"/>
        <v>0</v>
      </c>
      <c r="J299" s="14">
        <f t="shared" ref="J299:J330" si="26">+I299*10%</f>
        <v>0</v>
      </c>
      <c r="K299" s="14">
        <f t="shared" ref="K299:K330" si="27">+J299*19%</f>
        <v>0</v>
      </c>
      <c r="L299" s="14">
        <f t="shared" ref="L299:L330" si="28">SUM(I299:K299)</f>
        <v>0</v>
      </c>
    </row>
    <row r="300" spans="1:12" ht="15">
      <c r="A300" s="3">
        <v>451</v>
      </c>
      <c r="B300" s="26">
        <v>98</v>
      </c>
      <c r="C300" s="7" t="s">
        <v>159</v>
      </c>
      <c r="D300" s="4" t="s">
        <v>51</v>
      </c>
      <c r="E300" s="6" t="s">
        <v>125</v>
      </c>
      <c r="F300" s="12">
        <f>INDEX('PEDIDO JULIO'!A33:L37,1,12)</f>
        <v>0</v>
      </c>
      <c r="G300" s="8">
        <f>IFERROR(VLOOKUP($B300,'[1]INSUMO POR SEDES MARZO PRUEBA'!$B$6:$CD$109,20,0),"NO BD")</f>
        <v>9503.4573</v>
      </c>
      <c r="H300" s="8"/>
      <c r="I300" s="8">
        <f t="shared" si="22"/>
        <v>0</v>
      </c>
      <c r="J300" s="14">
        <f t="shared" si="26"/>
        <v>0</v>
      </c>
      <c r="K300" s="14">
        <f t="shared" si="27"/>
        <v>0</v>
      </c>
      <c r="L300" s="14">
        <f t="shared" si="28"/>
        <v>0</v>
      </c>
    </row>
    <row r="301" spans="1:12" ht="15">
      <c r="A301" s="3">
        <v>452</v>
      </c>
      <c r="B301" s="26">
        <v>100</v>
      </c>
      <c r="C301" s="7" t="s">
        <v>159</v>
      </c>
      <c r="D301" s="4" t="s">
        <v>52</v>
      </c>
      <c r="E301" s="6" t="s">
        <v>125</v>
      </c>
      <c r="F301" s="12">
        <f>INDEX('PEDIDO JULIO'!A33:L38,1,12)</f>
        <v>0</v>
      </c>
      <c r="G301" s="8">
        <f>IFERROR(VLOOKUP($B301,'[1]INSUMO POR SEDES MARZO PRUEBA'!$B$6:$CD$109,20,0),"NO BD")</f>
        <v>0</v>
      </c>
      <c r="H301" s="8"/>
      <c r="I301" s="8">
        <f t="shared" si="22"/>
        <v>0</v>
      </c>
      <c r="J301" s="14">
        <f t="shared" si="26"/>
        <v>0</v>
      </c>
      <c r="K301" s="14">
        <f t="shared" si="27"/>
        <v>0</v>
      </c>
      <c r="L301" s="14">
        <f t="shared" si="28"/>
        <v>0</v>
      </c>
    </row>
    <row r="302" spans="1:12" ht="15">
      <c r="A302" s="3">
        <v>453</v>
      </c>
      <c r="B302" s="26">
        <v>102</v>
      </c>
      <c r="C302" s="7" t="s">
        <v>53</v>
      </c>
      <c r="D302" s="4" t="s">
        <v>54</v>
      </c>
      <c r="E302" s="6" t="s">
        <v>125</v>
      </c>
      <c r="F302" s="12">
        <f>INDEX('PEDIDO JULIO'!A33:L38,1,12)</f>
        <v>0</v>
      </c>
      <c r="G302" s="8">
        <f>IFERROR(VLOOKUP($B302,'[1]INSUMO POR SEDES MARZO PRUEBA'!$B$6:$CD$109,20,0),"NO BD")</f>
        <v>5422.8446999999996</v>
      </c>
      <c r="H302" s="8"/>
      <c r="I302" s="8">
        <f t="shared" si="22"/>
        <v>0</v>
      </c>
      <c r="J302" s="14">
        <f t="shared" si="26"/>
        <v>0</v>
      </c>
      <c r="K302" s="14">
        <f t="shared" si="27"/>
        <v>0</v>
      </c>
      <c r="L302" s="14">
        <f t="shared" si="28"/>
        <v>0</v>
      </c>
    </row>
    <row r="303" spans="1:12" ht="15">
      <c r="A303" s="3">
        <v>454</v>
      </c>
      <c r="B303" s="26">
        <v>110</v>
      </c>
      <c r="C303" s="7" t="s">
        <v>53</v>
      </c>
      <c r="D303" s="4" t="s">
        <v>55</v>
      </c>
      <c r="E303" s="6" t="s">
        <v>125</v>
      </c>
      <c r="F303" s="12">
        <f>INDEX('PEDIDO JULIO'!A33:L39,1,12)</f>
        <v>0</v>
      </c>
      <c r="G303" s="8">
        <f>IFERROR(VLOOKUP($B303,'[1]INSUMO POR SEDES MARZO PRUEBA'!$B$6:$CD$109,20,0),"NO BD")</f>
        <v>1442.4974999999999</v>
      </c>
      <c r="H303" s="8"/>
      <c r="I303" s="8">
        <f t="shared" si="22"/>
        <v>0</v>
      </c>
      <c r="J303" s="14">
        <f t="shared" si="26"/>
        <v>0</v>
      </c>
      <c r="K303" s="14">
        <f t="shared" si="27"/>
        <v>0</v>
      </c>
      <c r="L303" s="14">
        <f t="shared" si="28"/>
        <v>0</v>
      </c>
    </row>
    <row r="304" spans="1:12" ht="15">
      <c r="A304" s="3">
        <v>455</v>
      </c>
      <c r="B304" s="26">
        <v>118</v>
      </c>
      <c r="C304" s="7" t="s">
        <v>53</v>
      </c>
      <c r="D304" s="4" t="s">
        <v>56</v>
      </c>
      <c r="E304" s="6" t="s">
        <v>125</v>
      </c>
      <c r="F304" s="12">
        <f>INDEX('PEDIDO JULIO'!A33:L40,1,12)</f>
        <v>0</v>
      </c>
      <c r="G304" s="8">
        <f>IFERROR(VLOOKUP($B304,'[1]INSUMO POR SEDES MARZO PRUEBA'!$B$6:$CD$109,20,0),"NO BD")</f>
        <v>4129.7993999999999</v>
      </c>
      <c r="H304" s="8"/>
      <c r="I304" s="8">
        <f t="shared" si="22"/>
        <v>0</v>
      </c>
      <c r="J304" s="14">
        <f t="shared" si="26"/>
        <v>0</v>
      </c>
      <c r="K304" s="14">
        <f t="shared" si="27"/>
        <v>0</v>
      </c>
      <c r="L304" s="14">
        <f t="shared" si="28"/>
        <v>0</v>
      </c>
    </row>
    <row r="305" spans="1:12" ht="15">
      <c r="A305" s="3">
        <v>456</v>
      </c>
      <c r="B305" s="26">
        <v>119</v>
      </c>
      <c r="C305" s="7" t="s">
        <v>53</v>
      </c>
      <c r="D305" s="4" t="s">
        <v>57</v>
      </c>
      <c r="E305" s="6" t="s">
        <v>125</v>
      </c>
      <c r="F305" s="12">
        <f>INDEX('PEDIDO JULIO'!A33:L40,1,12)</f>
        <v>0</v>
      </c>
      <c r="G305" s="8">
        <f>IFERROR(VLOOKUP($B305,'[1]INSUMO POR SEDES MARZO PRUEBA'!$B$6:$CD$109,20,0),"NO BD")</f>
        <v>2821.9350000000004</v>
      </c>
      <c r="H305" s="8"/>
      <c r="I305" s="8">
        <f t="shared" si="22"/>
        <v>0</v>
      </c>
      <c r="J305" s="14">
        <f t="shared" si="26"/>
        <v>0</v>
      </c>
      <c r="K305" s="14">
        <f t="shared" si="27"/>
        <v>0</v>
      </c>
      <c r="L305" s="14">
        <f t="shared" si="28"/>
        <v>0</v>
      </c>
    </row>
    <row r="306" spans="1:12" ht="27">
      <c r="A306" s="3">
        <v>457</v>
      </c>
      <c r="B306" s="26">
        <v>120</v>
      </c>
      <c r="C306" s="7" t="s">
        <v>160</v>
      </c>
      <c r="D306" s="4" t="s">
        <v>58</v>
      </c>
      <c r="E306" s="6" t="s">
        <v>125</v>
      </c>
      <c r="F306" s="12">
        <f>INDEX('PEDIDO JULIO'!A33:L40,1,12)</f>
        <v>0</v>
      </c>
      <c r="G306" s="8">
        <f>IFERROR(VLOOKUP($B306,'[1]INSUMO POR SEDES MARZO PRUEBA'!$B$6:$CD$109,20,0),"NO BD")</f>
        <v>4259.3877000000002</v>
      </c>
      <c r="H306" s="8"/>
      <c r="I306" s="8">
        <f t="shared" si="22"/>
        <v>0</v>
      </c>
      <c r="J306" s="14">
        <f t="shared" si="26"/>
        <v>0</v>
      </c>
      <c r="K306" s="14">
        <f t="shared" si="27"/>
        <v>0</v>
      </c>
      <c r="L306" s="14">
        <f t="shared" si="28"/>
        <v>0</v>
      </c>
    </row>
    <row r="307" spans="1:12" ht="15">
      <c r="A307" s="3">
        <v>458</v>
      </c>
      <c r="B307" s="26">
        <v>122</v>
      </c>
      <c r="C307" s="7" t="s">
        <v>160</v>
      </c>
      <c r="D307" s="4" t="s">
        <v>59</v>
      </c>
      <c r="E307" s="6" t="s">
        <v>125</v>
      </c>
      <c r="F307" s="12">
        <f>INDEX('PEDIDO JULIO'!A33:L41,1,12)</f>
        <v>0</v>
      </c>
      <c r="G307" s="8">
        <f>IFERROR(VLOOKUP($B307,'[1]INSUMO POR SEDES MARZO PRUEBA'!$B$6:$CD$109,20,0),"NO BD")</f>
        <v>5920.3881000000001</v>
      </c>
      <c r="H307" s="8"/>
      <c r="I307" s="8">
        <f t="shared" si="22"/>
        <v>0</v>
      </c>
      <c r="J307" s="14">
        <f t="shared" si="26"/>
        <v>0</v>
      </c>
      <c r="K307" s="14">
        <f t="shared" si="27"/>
        <v>0</v>
      </c>
      <c r="L307" s="14">
        <f t="shared" si="28"/>
        <v>0</v>
      </c>
    </row>
    <row r="308" spans="1:12" ht="15">
      <c r="A308" s="3">
        <v>459</v>
      </c>
      <c r="B308" s="26">
        <v>123</v>
      </c>
      <c r="C308" s="7" t="s">
        <v>60</v>
      </c>
      <c r="D308" s="4" t="s">
        <v>61</v>
      </c>
      <c r="E308" s="6" t="s">
        <v>125</v>
      </c>
      <c r="F308" s="12">
        <f>INDEX('PEDIDO JULIO'!A33:L41,1,12)</f>
        <v>0</v>
      </c>
      <c r="G308" s="8">
        <f>IFERROR(VLOOKUP($B308,'[1]INSUMO POR SEDES MARZO PRUEBA'!$B$6:$CD$109,20,0),"NO BD")</f>
        <v>6169.1598000000004</v>
      </c>
      <c r="H308" s="8"/>
      <c r="I308" s="8">
        <f t="shared" si="22"/>
        <v>0</v>
      </c>
      <c r="J308" s="14">
        <f t="shared" si="26"/>
        <v>0</v>
      </c>
      <c r="K308" s="14">
        <f t="shared" si="27"/>
        <v>0</v>
      </c>
      <c r="L308" s="14">
        <f t="shared" si="28"/>
        <v>0</v>
      </c>
    </row>
    <row r="309" spans="1:12" ht="15">
      <c r="A309" s="3">
        <v>460</v>
      </c>
      <c r="B309" s="26">
        <v>124</v>
      </c>
      <c r="C309" s="7" t="s">
        <v>60</v>
      </c>
      <c r="D309" s="4" t="s">
        <v>62</v>
      </c>
      <c r="E309" s="6" t="s">
        <v>125</v>
      </c>
      <c r="F309" s="12">
        <f>INDEX('PEDIDO JULIO'!A33:L42,1,12)</f>
        <v>0</v>
      </c>
      <c r="G309" s="8">
        <f>IFERROR(VLOOKUP($B309,'[1]INSUMO POR SEDES MARZO PRUEBA'!$B$6:$CD$109,20,0),"NO BD")</f>
        <v>6169.1598000000004</v>
      </c>
      <c r="H309" s="8"/>
      <c r="I309" s="8">
        <f t="shared" si="22"/>
        <v>0</v>
      </c>
      <c r="J309" s="14">
        <f t="shared" si="26"/>
        <v>0</v>
      </c>
      <c r="K309" s="14">
        <f t="shared" si="27"/>
        <v>0</v>
      </c>
      <c r="L309" s="14">
        <f t="shared" si="28"/>
        <v>0</v>
      </c>
    </row>
    <row r="310" spans="1:12" ht="15">
      <c r="A310" s="3">
        <v>461</v>
      </c>
      <c r="B310" s="26">
        <v>137</v>
      </c>
      <c r="C310" s="7" t="s">
        <v>151</v>
      </c>
      <c r="D310" s="4" t="s">
        <v>63</v>
      </c>
      <c r="E310" s="6" t="s">
        <v>125</v>
      </c>
      <c r="F310" s="12">
        <f>INDEX('PEDIDO JULIO'!A33:L42,1,12)</f>
        <v>0</v>
      </c>
      <c r="G310" s="8">
        <f>IFERROR(VLOOKUP($B310,'[1]INSUMO POR SEDES MARZO PRUEBA'!$B$6:$CD$109,20,0),"NO BD")</f>
        <v>0</v>
      </c>
      <c r="H310" s="8"/>
      <c r="I310" s="8">
        <f t="shared" si="22"/>
        <v>0</v>
      </c>
      <c r="J310" s="14">
        <f t="shared" si="26"/>
        <v>0</v>
      </c>
      <c r="K310" s="14">
        <f t="shared" si="27"/>
        <v>0</v>
      </c>
      <c r="L310" s="14">
        <f t="shared" si="28"/>
        <v>0</v>
      </c>
    </row>
    <row r="311" spans="1:12" ht="15">
      <c r="A311" s="3">
        <v>462</v>
      </c>
      <c r="B311" s="26">
        <v>139</v>
      </c>
      <c r="C311" s="7" t="s">
        <v>160</v>
      </c>
      <c r="D311" s="4" t="s">
        <v>64</v>
      </c>
      <c r="E311" s="6" t="s">
        <v>125</v>
      </c>
      <c r="F311" s="12">
        <f>INDEX('PEDIDO JULIO'!A33:L42,1,12)</f>
        <v>0</v>
      </c>
      <c r="G311" s="8">
        <f>IFERROR(VLOOKUP($B311,'[1]INSUMO POR SEDES MARZO PRUEBA'!$B$6:$CD$109,20,0),"NO BD")</f>
        <v>25429.996000000003</v>
      </c>
      <c r="H311" s="8"/>
      <c r="I311" s="8">
        <f t="shared" si="22"/>
        <v>0</v>
      </c>
      <c r="J311" s="14">
        <f t="shared" si="26"/>
        <v>0</v>
      </c>
      <c r="K311" s="14">
        <f t="shared" si="27"/>
        <v>0</v>
      </c>
      <c r="L311" s="14">
        <f t="shared" si="28"/>
        <v>0</v>
      </c>
    </row>
    <row r="312" spans="1:12" ht="27">
      <c r="A312" s="3">
        <v>463</v>
      </c>
      <c r="B312" s="26">
        <v>151</v>
      </c>
      <c r="C312" s="7" t="s">
        <v>60</v>
      </c>
      <c r="D312" s="4" t="s">
        <v>65</v>
      </c>
      <c r="E312" s="6" t="s">
        <v>125</v>
      </c>
      <c r="F312" s="12">
        <f>INDEX('PEDIDO JULIO'!A33:L42,1,12)</f>
        <v>0</v>
      </c>
      <c r="G312" s="8">
        <f>IFERROR(VLOOKUP($B312,'[1]INSUMO POR SEDES MARZO PRUEBA'!$B$6:$CD$109,20,0),"NO BD")</f>
        <v>4422.6080000000002</v>
      </c>
      <c r="H312" s="8"/>
      <c r="I312" s="8">
        <f t="shared" si="22"/>
        <v>0</v>
      </c>
      <c r="J312" s="14">
        <f t="shared" si="26"/>
        <v>0</v>
      </c>
      <c r="K312" s="14">
        <f t="shared" si="27"/>
        <v>0</v>
      </c>
      <c r="L312" s="14">
        <f t="shared" si="28"/>
        <v>0</v>
      </c>
    </row>
    <row r="313" spans="1:12" ht="15">
      <c r="A313" s="3">
        <v>464</v>
      </c>
      <c r="B313" s="26">
        <v>155</v>
      </c>
      <c r="C313" s="7" t="s">
        <v>66</v>
      </c>
      <c r="D313" s="4" t="s">
        <v>67</v>
      </c>
      <c r="E313" s="6" t="s">
        <v>125</v>
      </c>
      <c r="F313" s="12">
        <f>INDEX('PEDIDO JULIO'!A33:L43,1,12)</f>
        <v>0</v>
      </c>
      <c r="G313" s="8">
        <f>IFERROR(VLOOKUP($B313,'[1]INSUMO POR SEDES MARZO PRUEBA'!$B$6:$CD$109,20,0),"NO BD")</f>
        <v>5005.7028</v>
      </c>
      <c r="H313" s="8"/>
      <c r="I313" s="8">
        <f t="shared" si="22"/>
        <v>0</v>
      </c>
      <c r="J313" s="14">
        <f t="shared" si="26"/>
        <v>0</v>
      </c>
      <c r="K313" s="14">
        <f t="shared" si="27"/>
        <v>0</v>
      </c>
      <c r="L313" s="14">
        <f t="shared" si="28"/>
        <v>0</v>
      </c>
    </row>
    <row r="314" spans="1:12" ht="15">
      <c r="A314" s="3">
        <v>465</v>
      </c>
      <c r="B314" s="26">
        <v>156</v>
      </c>
      <c r="C314" s="7" t="s">
        <v>66</v>
      </c>
      <c r="D314" s="4" t="s">
        <v>68</v>
      </c>
      <c r="E314" s="6" t="s">
        <v>125</v>
      </c>
      <c r="F314" s="12">
        <f>INDEX('PEDIDO JULIO'!A33:L43,1,12)</f>
        <v>0</v>
      </c>
      <c r="G314" s="8">
        <f>IFERROR(VLOOKUP($B314,'[1]INSUMO POR SEDES MARZO PRUEBA'!$B$6:$CD$109,20,0),"NO BD")</f>
        <v>7711.9227000000001</v>
      </c>
      <c r="H314" s="8"/>
      <c r="I314" s="8">
        <f t="shared" si="22"/>
        <v>0</v>
      </c>
      <c r="J314" s="14">
        <f t="shared" si="26"/>
        <v>0</v>
      </c>
      <c r="K314" s="14">
        <f t="shared" si="27"/>
        <v>0</v>
      </c>
      <c r="L314" s="14">
        <f t="shared" si="28"/>
        <v>0</v>
      </c>
    </row>
    <row r="315" spans="1:12" ht="15">
      <c r="A315" s="3">
        <v>466</v>
      </c>
      <c r="B315" s="26">
        <v>157</v>
      </c>
      <c r="C315" s="7" t="s">
        <v>66</v>
      </c>
      <c r="D315" s="4" t="s">
        <v>69</v>
      </c>
      <c r="E315" s="6" t="s">
        <v>125</v>
      </c>
      <c r="F315" s="12">
        <f>INDEX('PEDIDO JULIO'!A33:L43,1,12)</f>
        <v>0</v>
      </c>
      <c r="G315" s="8">
        <f>IFERROR(VLOOKUP($B315,'[1]INSUMO POR SEDES MARZO PRUEBA'!$B$6:$CD$109,20,0),"NO BD")</f>
        <v>8955.7812000000013</v>
      </c>
      <c r="H315" s="8"/>
      <c r="I315" s="8">
        <f t="shared" si="22"/>
        <v>0</v>
      </c>
      <c r="J315" s="14">
        <f t="shared" si="26"/>
        <v>0</v>
      </c>
      <c r="K315" s="14">
        <f t="shared" si="27"/>
        <v>0</v>
      </c>
      <c r="L315" s="14">
        <f t="shared" si="28"/>
        <v>0</v>
      </c>
    </row>
    <row r="316" spans="1:12" ht="15">
      <c r="A316" s="3">
        <v>467</v>
      </c>
      <c r="B316" s="31">
        <v>159</v>
      </c>
      <c r="C316" s="7" t="s">
        <v>66</v>
      </c>
      <c r="D316" s="4" t="s">
        <v>70</v>
      </c>
      <c r="E316" s="6" t="s">
        <v>125</v>
      </c>
      <c r="F316" s="12">
        <f>INDEX('PEDIDO JULIO'!A33:L44,1,12)</f>
        <v>0</v>
      </c>
      <c r="G316" s="8">
        <f>IFERROR(VLOOKUP($B316,'[1]INSUMO POR SEDES MARZO PRUEBA'!$B$6:$CD$109,20,0),"NO BD")</f>
        <v>0</v>
      </c>
      <c r="H316" s="8"/>
      <c r="I316" s="8">
        <f t="shared" si="22"/>
        <v>0</v>
      </c>
      <c r="J316" s="14">
        <f t="shared" si="26"/>
        <v>0</v>
      </c>
      <c r="K316" s="14">
        <f t="shared" si="27"/>
        <v>0</v>
      </c>
      <c r="L316" s="14">
        <f t="shared" si="28"/>
        <v>0</v>
      </c>
    </row>
    <row r="317" spans="1:12" ht="15">
      <c r="A317" s="3">
        <v>468</v>
      </c>
      <c r="B317" s="26">
        <v>160</v>
      </c>
      <c r="C317" s="7" t="s">
        <v>66</v>
      </c>
      <c r="D317" s="4" t="s">
        <v>71</v>
      </c>
      <c r="E317" s="6" t="s">
        <v>125</v>
      </c>
      <c r="F317" s="12">
        <f>INDEX('PEDIDO JULIO'!A33:L44,1,12)</f>
        <v>0</v>
      </c>
      <c r="G317" s="8">
        <f>IFERROR(VLOOKUP($B317,'[1]INSUMO POR SEDES MARZO PRUEBA'!$B$6:$CD$109,20,0),"NO BD")</f>
        <v>3035.3931000000002</v>
      </c>
      <c r="H317" s="8"/>
      <c r="I317" s="8">
        <f t="shared" si="22"/>
        <v>0</v>
      </c>
      <c r="J317" s="14">
        <f t="shared" si="26"/>
        <v>0</v>
      </c>
      <c r="K317" s="14">
        <f t="shared" si="27"/>
        <v>0</v>
      </c>
      <c r="L317" s="14">
        <f t="shared" si="28"/>
        <v>0</v>
      </c>
    </row>
    <row r="318" spans="1:12" ht="15">
      <c r="A318" s="3">
        <v>469</v>
      </c>
      <c r="B318" s="26">
        <v>162</v>
      </c>
      <c r="C318" s="7" t="s">
        <v>66</v>
      </c>
      <c r="D318" s="4" t="s">
        <v>72</v>
      </c>
      <c r="E318" s="6" t="s">
        <v>125</v>
      </c>
      <c r="F318" s="12">
        <f>INDEX('PEDIDO JULIO'!A33:L44,1,12)</f>
        <v>0</v>
      </c>
      <c r="G318" s="8">
        <f>IFERROR(VLOOKUP($B318,'[1]INSUMO POR SEDES MARZO PRUEBA'!$B$6:$CD$109,20,0),"NO BD")</f>
        <v>4030.4798999999998</v>
      </c>
      <c r="H318" s="8"/>
      <c r="I318" s="8">
        <f t="shared" si="22"/>
        <v>0</v>
      </c>
      <c r="J318" s="14">
        <f t="shared" si="26"/>
        <v>0</v>
      </c>
      <c r="K318" s="14">
        <f t="shared" si="27"/>
        <v>0</v>
      </c>
      <c r="L318" s="14">
        <f t="shared" si="28"/>
        <v>0</v>
      </c>
    </row>
    <row r="319" spans="1:12" ht="15">
      <c r="A319" s="3">
        <v>470</v>
      </c>
      <c r="B319" s="26">
        <v>164</v>
      </c>
      <c r="C319" s="7" t="s">
        <v>158</v>
      </c>
      <c r="D319" s="4" t="s">
        <v>73</v>
      </c>
      <c r="E319" s="6" t="s">
        <v>125</v>
      </c>
      <c r="F319" s="12">
        <f>INDEX('PEDIDO JULIO'!A33:L44,1,12)</f>
        <v>0</v>
      </c>
      <c r="G319" s="8">
        <f>IFERROR(VLOOKUP($B319,'[1]INSUMO POR SEDES MARZO PRUEBA'!$B$6:$CD$109,20,0),"NO BD")</f>
        <v>0</v>
      </c>
      <c r="H319" s="8"/>
      <c r="I319" s="8">
        <f t="shared" si="22"/>
        <v>0</v>
      </c>
      <c r="J319" s="14">
        <f t="shared" si="26"/>
        <v>0</v>
      </c>
      <c r="K319" s="14">
        <f t="shared" si="27"/>
        <v>0</v>
      </c>
      <c r="L319" s="14">
        <f t="shared" si="28"/>
        <v>0</v>
      </c>
    </row>
    <row r="320" spans="1:12" ht="15">
      <c r="A320" s="3">
        <v>471</v>
      </c>
      <c r="B320" s="26">
        <v>169</v>
      </c>
      <c r="C320" s="7" t="s">
        <v>158</v>
      </c>
      <c r="D320" s="4" t="s">
        <v>74</v>
      </c>
      <c r="E320" s="6" t="s">
        <v>125</v>
      </c>
      <c r="F320" s="12">
        <f>INDEX('PEDIDO JULIO'!A33:L45,1,12)</f>
        <v>0</v>
      </c>
      <c r="G320" s="8">
        <f>IFERROR(VLOOKUP($B320,'[1]INSUMO POR SEDES MARZO PRUEBA'!$B$6:$CD$109,20,0),"NO BD")</f>
        <v>0</v>
      </c>
      <c r="H320" s="8"/>
      <c r="I320" s="8">
        <f t="shared" si="22"/>
        <v>0</v>
      </c>
      <c r="J320" s="14">
        <f t="shared" si="26"/>
        <v>0</v>
      </c>
      <c r="K320" s="14">
        <f t="shared" si="27"/>
        <v>0</v>
      </c>
      <c r="L320" s="14">
        <f t="shared" si="28"/>
        <v>0</v>
      </c>
    </row>
    <row r="321" spans="1:12" ht="15">
      <c r="A321" s="3">
        <v>472</v>
      </c>
      <c r="B321" s="26">
        <v>170</v>
      </c>
      <c r="C321" s="7" t="s">
        <v>158</v>
      </c>
      <c r="D321" s="4" t="s">
        <v>75</v>
      </c>
      <c r="E321" s="6" t="s">
        <v>125</v>
      </c>
      <c r="F321" s="12">
        <f>INDEX('PEDIDO JULIO'!A33:L46,1,12)</f>
        <v>0</v>
      </c>
      <c r="G321" s="8">
        <f>IFERROR(VLOOKUP($B321,'[1]INSUMO POR SEDES MARZO PRUEBA'!$B$6:$CD$109,20,0),"NO BD")</f>
        <v>19405.664000000001</v>
      </c>
      <c r="H321" s="8"/>
      <c r="I321" s="8">
        <f t="shared" si="22"/>
        <v>0</v>
      </c>
      <c r="J321" s="14">
        <f t="shared" si="26"/>
        <v>0</v>
      </c>
      <c r="K321" s="14">
        <f t="shared" si="27"/>
        <v>0</v>
      </c>
      <c r="L321" s="14">
        <f t="shared" si="28"/>
        <v>0</v>
      </c>
    </row>
    <row r="322" spans="1:12" ht="15">
      <c r="A322" s="3">
        <v>473</v>
      </c>
      <c r="B322" s="26">
        <v>174</v>
      </c>
      <c r="C322" s="7" t="s">
        <v>158</v>
      </c>
      <c r="D322" s="4" t="s">
        <v>76</v>
      </c>
      <c r="E322" s="6" t="s">
        <v>125</v>
      </c>
      <c r="F322" s="12">
        <f>INDEX('PEDIDO JULIO'!A33:L47,1,12)</f>
        <v>0</v>
      </c>
      <c r="G322" s="8">
        <f>IFERROR(VLOOKUP($B322,'[1]INSUMO POR SEDES MARZO PRUEBA'!$B$6:$CD$109,20,0),"NO BD")</f>
        <v>10050.1875</v>
      </c>
      <c r="H322" s="8"/>
      <c r="I322" s="8">
        <f t="shared" si="22"/>
        <v>0</v>
      </c>
      <c r="J322" s="14">
        <f t="shared" si="26"/>
        <v>0</v>
      </c>
      <c r="K322" s="14">
        <f t="shared" si="27"/>
        <v>0</v>
      </c>
      <c r="L322" s="14">
        <f t="shared" si="28"/>
        <v>0</v>
      </c>
    </row>
    <row r="323" spans="1:12" ht="15">
      <c r="A323" s="3">
        <v>474</v>
      </c>
      <c r="B323" s="26">
        <v>192</v>
      </c>
      <c r="C323" s="7" t="s">
        <v>158</v>
      </c>
      <c r="D323" s="4" t="s">
        <v>77</v>
      </c>
      <c r="E323" s="6" t="s">
        <v>125</v>
      </c>
      <c r="F323" s="12">
        <f>INDEX('PEDIDO JULIO'!A33:L47,1,12)</f>
        <v>0</v>
      </c>
      <c r="G323" s="8">
        <f>IFERROR(VLOOKUP($B323,'[1]INSUMO POR SEDES MARZO PRUEBA'!$B$6:$CD$109,20,0),"NO BD")</f>
        <v>3930.7400000000002</v>
      </c>
      <c r="H323" s="8"/>
      <c r="I323" s="8">
        <f t="shared" si="22"/>
        <v>0</v>
      </c>
      <c r="J323" s="14">
        <f t="shared" si="26"/>
        <v>0</v>
      </c>
      <c r="K323" s="14">
        <f t="shared" si="27"/>
        <v>0</v>
      </c>
      <c r="L323" s="14">
        <f t="shared" si="28"/>
        <v>0</v>
      </c>
    </row>
    <row r="324" spans="1:12" ht="15">
      <c r="A324" s="3">
        <v>475</v>
      </c>
      <c r="B324" s="26">
        <v>195</v>
      </c>
      <c r="C324" s="7" t="s">
        <v>158</v>
      </c>
      <c r="D324" s="4" t="s">
        <v>78</v>
      </c>
      <c r="E324" s="6" t="s">
        <v>125</v>
      </c>
      <c r="F324" s="12">
        <f>INDEX('PEDIDO JULIO'!A33:L47,1,12)</f>
        <v>0</v>
      </c>
      <c r="G324" s="8">
        <f>IFERROR(VLOOKUP($B324,'[1]INSUMO POR SEDES MARZO PRUEBA'!$B$6:$CD$109,20,0),"NO BD")</f>
        <v>6431.0690000000004</v>
      </c>
      <c r="H324" s="8"/>
      <c r="I324" s="8">
        <f t="shared" si="22"/>
        <v>0</v>
      </c>
      <c r="J324" s="14">
        <f t="shared" si="26"/>
        <v>0</v>
      </c>
      <c r="K324" s="14">
        <f t="shared" si="27"/>
        <v>0</v>
      </c>
      <c r="L324" s="14">
        <f t="shared" si="28"/>
        <v>0</v>
      </c>
    </row>
    <row r="325" spans="1:12" ht="15">
      <c r="A325" s="3">
        <v>476</v>
      </c>
      <c r="B325" s="26">
        <v>204</v>
      </c>
      <c r="C325" s="7" t="s">
        <v>158</v>
      </c>
      <c r="D325" s="4" t="s">
        <v>79</v>
      </c>
      <c r="E325" s="6" t="s">
        <v>125</v>
      </c>
      <c r="F325" s="12">
        <f>INDEX('PEDIDO JULIO'!A33:L47,1,12)</f>
        <v>0</v>
      </c>
      <c r="G325" s="8">
        <f>IFERROR(VLOOKUP($B325,'[1]INSUMO POR SEDES MARZO PRUEBA'!$B$6:$CD$109,20,0),"NO BD")</f>
        <v>25673.6178</v>
      </c>
      <c r="H325" s="8"/>
      <c r="I325" s="8">
        <f t="shared" si="22"/>
        <v>0</v>
      </c>
      <c r="J325" s="14">
        <f t="shared" si="26"/>
        <v>0</v>
      </c>
      <c r="K325" s="14">
        <f t="shared" si="27"/>
        <v>0</v>
      </c>
      <c r="L325" s="14">
        <f t="shared" si="28"/>
        <v>0</v>
      </c>
    </row>
    <row r="326" spans="1:12" ht="15">
      <c r="A326" s="3">
        <v>477</v>
      </c>
      <c r="B326" s="26">
        <v>205</v>
      </c>
      <c r="C326" s="7" t="s">
        <v>158</v>
      </c>
      <c r="D326" s="4" t="s">
        <v>80</v>
      </c>
      <c r="E326" s="6" t="s">
        <v>125</v>
      </c>
      <c r="F326" s="12">
        <f>INDEX('PEDIDO JULIO'!A33:L47,1,12)</f>
        <v>0</v>
      </c>
      <c r="G326" s="8">
        <f>IFERROR(VLOOKUP($B326,'[1]INSUMO POR SEDES MARZO PRUEBA'!$B$6:$CD$109,20,0),"NO BD")</f>
        <v>32639.225399999996</v>
      </c>
      <c r="H326" s="8"/>
      <c r="I326" s="8">
        <f t="shared" ref="I326:I389" si="29">+F326*G326</f>
        <v>0</v>
      </c>
      <c r="J326" s="14">
        <f t="shared" si="26"/>
        <v>0</v>
      </c>
      <c r="K326" s="14">
        <f t="shared" si="27"/>
        <v>0</v>
      </c>
      <c r="L326" s="14">
        <f t="shared" si="28"/>
        <v>0</v>
      </c>
    </row>
    <row r="327" spans="1:12" ht="15">
      <c r="A327" s="3">
        <v>478</v>
      </c>
      <c r="B327" s="26">
        <v>207</v>
      </c>
      <c r="C327" s="7" t="s">
        <v>158</v>
      </c>
      <c r="D327" s="4" t="s">
        <v>81</v>
      </c>
      <c r="E327" s="6" t="s">
        <v>125</v>
      </c>
      <c r="F327" s="12">
        <f>INDEX('PEDIDO JULIO'!A33:L47,1,12)</f>
        <v>0</v>
      </c>
      <c r="G327" s="8">
        <f>IFERROR(VLOOKUP($B327,'[1]INSUMO POR SEDES MARZO PRUEBA'!$B$6:$CD$109,20,0),"NO BD")</f>
        <v>0</v>
      </c>
      <c r="H327" s="8"/>
      <c r="I327" s="8">
        <f t="shared" si="29"/>
        <v>0</v>
      </c>
      <c r="J327" s="14">
        <f t="shared" si="26"/>
        <v>0</v>
      </c>
      <c r="K327" s="14">
        <f t="shared" si="27"/>
        <v>0</v>
      </c>
      <c r="L327" s="14">
        <f t="shared" si="28"/>
        <v>0</v>
      </c>
    </row>
    <row r="328" spans="1:12" ht="15">
      <c r="A328" s="3">
        <v>479</v>
      </c>
      <c r="B328" s="26">
        <v>212</v>
      </c>
      <c r="C328" s="7" t="s">
        <v>158</v>
      </c>
      <c r="D328" s="4" t="s">
        <v>82</v>
      </c>
      <c r="E328" s="6" t="s">
        <v>125</v>
      </c>
      <c r="F328" s="12">
        <f>INDEX('PEDIDO JULIO'!A33:L47,1,12)</f>
        <v>0</v>
      </c>
      <c r="G328" s="8">
        <f>IFERROR(VLOOKUP($B328,'[1]INSUMO POR SEDES MARZO PRUEBA'!$B$6:$CD$109,20,0),"NO BD")</f>
        <v>0</v>
      </c>
      <c r="H328" s="8"/>
      <c r="I328" s="8">
        <f t="shared" si="29"/>
        <v>0</v>
      </c>
      <c r="J328" s="14">
        <f t="shared" si="26"/>
        <v>0</v>
      </c>
      <c r="K328" s="14">
        <f t="shared" si="27"/>
        <v>0</v>
      </c>
      <c r="L328" s="14">
        <f t="shared" si="28"/>
        <v>0</v>
      </c>
    </row>
    <row r="329" spans="1:12" ht="15">
      <c r="A329" s="3">
        <v>480</v>
      </c>
      <c r="B329" s="26">
        <v>218</v>
      </c>
      <c r="C329" s="7" t="s">
        <v>158</v>
      </c>
      <c r="D329" s="4" t="s">
        <v>83</v>
      </c>
      <c r="E329" s="6" t="s">
        <v>125</v>
      </c>
      <c r="F329" s="12">
        <f>INDEX('PEDIDO JULIO'!A33:L47,1,12)</f>
        <v>0</v>
      </c>
      <c r="G329" s="8">
        <f>IFERROR(VLOOKUP($B329,'[1]INSUMO POR SEDES MARZO PRUEBA'!$B$6:$CD$109,20,0),"NO BD")</f>
        <v>1437.768</v>
      </c>
      <c r="H329" s="8"/>
      <c r="I329" s="8">
        <f t="shared" si="29"/>
        <v>0</v>
      </c>
      <c r="J329" s="14">
        <f t="shared" si="26"/>
        <v>0</v>
      </c>
      <c r="K329" s="14">
        <f t="shared" si="27"/>
        <v>0</v>
      </c>
      <c r="L329" s="14">
        <f t="shared" si="28"/>
        <v>0</v>
      </c>
    </row>
    <row r="330" spans="1:12" ht="15">
      <c r="A330" s="3">
        <v>481</v>
      </c>
      <c r="B330" s="26">
        <v>251</v>
      </c>
      <c r="C330" s="7" t="s">
        <v>158</v>
      </c>
      <c r="D330" s="4" t="s">
        <v>84</v>
      </c>
      <c r="E330" s="6" t="s">
        <v>125</v>
      </c>
      <c r="F330" s="12">
        <f>INDEX('PEDIDO JULIO'!A33:L47,1,12)</f>
        <v>0</v>
      </c>
      <c r="G330" s="8">
        <f>IFERROR(VLOOKUP($B330,'[1]INSUMO POR SEDES MARZO PRUEBA'!$B$6:$CD$109,20,0),"NO BD")</f>
        <v>0</v>
      </c>
      <c r="H330" s="8"/>
      <c r="I330" s="8">
        <f t="shared" si="29"/>
        <v>0</v>
      </c>
      <c r="J330" s="14">
        <f t="shared" si="26"/>
        <v>0</v>
      </c>
      <c r="K330" s="14">
        <f t="shared" si="27"/>
        <v>0</v>
      </c>
      <c r="L330" s="14">
        <f t="shared" si="28"/>
        <v>0</v>
      </c>
    </row>
    <row r="331" spans="1:12" ht="15">
      <c r="A331" s="3">
        <v>521</v>
      </c>
      <c r="B331" s="39">
        <v>3</v>
      </c>
      <c r="C331" s="7" t="s">
        <v>155</v>
      </c>
      <c r="D331" s="4" t="s">
        <v>5</v>
      </c>
      <c r="E331" s="6" t="s">
        <v>126</v>
      </c>
      <c r="F331" s="12">
        <f>INDEX('PEDIDO JULIO'!A10:M32,1,13)</f>
        <v>0</v>
      </c>
      <c r="G331" s="8">
        <f>IFERROR(VLOOKUP($B331,'[1]INSUMO POR SEDES MARZO PRUEBA'!$B$6:$CD$109,23,0),"NO BD")</f>
        <v>7268.7160000000003</v>
      </c>
      <c r="H331" s="8"/>
      <c r="I331" s="8">
        <f t="shared" si="29"/>
        <v>0</v>
      </c>
      <c r="J331" s="14">
        <f t="shared" ref="J331:J387" si="30">+I331*10%</f>
        <v>0</v>
      </c>
      <c r="K331" s="14">
        <f t="shared" ref="K331:K387" si="31">+J331*19%</f>
        <v>0</v>
      </c>
      <c r="L331" s="14">
        <f t="shared" ref="L331:L387" si="32">SUM(I331:K331)</f>
        <v>0</v>
      </c>
    </row>
    <row r="332" spans="1:12" ht="15">
      <c r="A332" s="3">
        <v>522</v>
      </c>
      <c r="B332" s="39">
        <v>5</v>
      </c>
      <c r="C332" s="7" t="s">
        <v>6</v>
      </c>
      <c r="D332" s="4" t="s">
        <v>7</v>
      </c>
      <c r="E332" s="6" t="s">
        <v>126</v>
      </c>
      <c r="F332" s="12">
        <f>INDEX('PEDIDO JULIO'!A10:M32,1,13)</f>
        <v>0</v>
      </c>
      <c r="G332" s="8">
        <f>IFERROR(VLOOKUP($B332,'[1]INSUMO POR SEDES MARZO PRUEBA'!$B$6:$CD$109,23,0),"NO BD")</f>
        <v>0</v>
      </c>
      <c r="H332" s="8"/>
      <c r="I332" s="8">
        <f t="shared" si="29"/>
        <v>0</v>
      </c>
      <c r="J332" s="14">
        <f t="shared" si="30"/>
        <v>0</v>
      </c>
      <c r="K332" s="14">
        <f t="shared" si="31"/>
        <v>0</v>
      </c>
      <c r="L332" s="14">
        <f t="shared" si="32"/>
        <v>0</v>
      </c>
    </row>
    <row r="333" spans="1:12" ht="15">
      <c r="A333" s="3">
        <v>523</v>
      </c>
      <c r="B333" s="39">
        <v>8</v>
      </c>
      <c r="C333" s="7" t="s">
        <v>6</v>
      </c>
      <c r="D333" s="4" t="s">
        <v>8</v>
      </c>
      <c r="E333" s="6" t="s">
        <v>126</v>
      </c>
      <c r="F333" s="12">
        <f>INDEX('PEDIDO JULIO'!A10:M33,1,13)</f>
        <v>0</v>
      </c>
      <c r="G333" s="8">
        <f>IFERROR(VLOOKUP($B333,'[1]INSUMO POR SEDES MARZO PRUEBA'!$B$6:$CD$109,23,0),"NO BD")</f>
        <v>2211.3040000000001</v>
      </c>
      <c r="H333" s="8"/>
      <c r="I333" s="8">
        <f t="shared" si="29"/>
        <v>0</v>
      </c>
      <c r="J333" s="14">
        <f t="shared" si="30"/>
        <v>0</v>
      </c>
      <c r="K333" s="14">
        <f t="shared" si="31"/>
        <v>0</v>
      </c>
      <c r="L333" s="14">
        <f t="shared" si="32"/>
        <v>0</v>
      </c>
    </row>
    <row r="334" spans="1:12" ht="15">
      <c r="A334" s="3">
        <v>524</v>
      </c>
      <c r="B334" s="39">
        <v>9</v>
      </c>
      <c r="C334" s="7" t="s">
        <v>9</v>
      </c>
      <c r="D334" s="4" t="s">
        <v>10</v>
      </c>
      <c r="E334" s="6" t="s">
        <v>126</v>
      </c>
      <c r="F334" s="12">
        <f>INDEX('PEDIDO JULIO'!A10:M33,1,13)</f>
        <v>0</v>
      </c>
      <c r="G334" s="8">
        <f>IFERROR(VLOOKUP($B334,'[1]INSUMO POR SEDES MARZO PRUEBA'!$B$6:$CD$109,23,0),"NO BD")</f>
        <v>3298.0379999999996</v>
      </c>
      <c r="H334" s="8"/>
      <c r="I334" s="8">
        <f t="shared" si="29"/>
        <v>0</v>
      </c>
      <c r="J334" s="14">
        <f t="shared" si="30"/>
        <v>0</v>
      </c>
      <c r="K334" s="14">
        <f t="shared" si="31"/>
        <v>0</v>
      </c>
      <c r="L334" s="14">
        <f t="shared" si="32"/>
        <v>0</v>
      </c>
    </row>
    <row r="335" spans="1:12" ht="15">
      <c r="A335" s="3">
        <v>525</v>
      </c>
      <c r="B335" s="39">
        <v>13</v>
      </c>
      <c r="C335" s="7" t="s">
        <v>156</v>
      </c>
      <c r="D335" s="5" t="s">
        <v>11</v>
      </c>
      <c r="E335" s="6" t="s">
        <v>126</v>
      </c>
      <c r="F335" s="12">
        <f>INDEX('PEDIDO JULIO'!A11:M33,1,13)</f>
        <v>0</v>
      </c>
      <c r="G335" s="8">
        <f>IFERROR(VLOOKUP($B335,'[1]INSUMO POR SEDES MARZO PRUEBA'!$B$6:$CD$109,23,0),"NO BD")</f>
        <v>0</v>
      </c>
      <c r="H335" s="8"/>
      <c r="I335" s="8">
        <f t="shared" si="29"/>
        <v>0</v>
      </c>
      <c r="J335" s="14">
        <f t="shared" si="30"/>
        <v>0</v>
      </c>
      <c r="K335" s="14">
        <f t="shared" si="31"/>
        <v>0</v>
      </c>
      <c r="L335" s="14">
        <f t="shared" si="32"/>
        <v>0</v>
      </c>
    </row>
    <row r="336" spans="1:12" ht="27">
      <c r="A336" s="3">
        <v>526</v>
      </c>
      <c r="B336" s="39">
        <v>17</v>
      </c>
      <c r="C336" s="7" t="s">
        <v>157</v>
      </c>
      <c r="D336" s="4" t="s">
        <v>12</v>
      </c>
      <c r="E336" s="6" t="s">
        <v>126</v>
      </c>
      <c r="F336" s="12">
        <f>INDEX('PEDIDO JULIO'!A12:M33,1,13)</f>
        <v>2</v>
      </c>
      <c r="G336" s="8">
        <f>IFERROR(VLOOKUP($B336,'[1]INSUMO POR SEDES MARZO PRUEBA'!$B$6:$CD$109,23,0),"NO BD")</f>
        <v>5647.0229999999992</v>
      </c>
      <c r="H336" s="8"/>
      <c r="I336" s="8">
        <f t="shared" si="29"/>
        <v>11294.045999999998</v>
      </c>
      <c r="J336" s="14">
        <f t="shared" si="30"/>
        <v>1129.4045999999998</v>
      </c>
      <c r="K336" s="14">
        <f t="shared" si="31"/>
        <v>214.58687399999997</v>
      </c>
      <c r="L336" s="14">
        <f t="shared" si="32"/>
        <v>12638.037473999999</v>
      </c>
    </row>
    <row r="337" spans="1:12" ht="15">
      <c r="A337" s="3">
        <v>527</v>
      </c>
      <c r="B337" s="39">
        <v>20</v>
      </c>
      <c r="C337" s="7" t="s">
        <v>13</v>
      </c>
      <c r="D337" s="4" t="s">
        <v>14</v>
      </c>
      <c r="E337" s="6" t="s">
        <v>126</v>
      </c>
      <c r="F337" s="12">
        <f>INDEX('PEDIDO JULIO'!A12:M33,1,13)</f>
        <v>2</v>
      </c>
      <c r="G337" s="8">
        <f>IFERROR(VLOOKUP($B337,'[1]INSUMO POR SEDES MARZO PRUEBA'!$B$6:$CD$109,23,0),"NO BD")</f>
        <v>0</v>
      </c>
      <c r="H337" s="8"/>
      <c r="I337" s="8">
        <f t="shared" si="29"/>
        <v>0</v>
      </c>
      <c r="J337" s="14">
        <f t="shared" si="30"/>
        <v>0</v>
      </c>
      <c r="K337" s="14">
        <f t="shared" si="31"/>
        <v>0</v>
      </c>
      <c r="L337" s="14">
        <f t="shared" si="32"/>
        <v>0</v>
      </c>
    </row>
    <row r="338" spans="1:12" ht="27">
      <c r="A338" s="3">
        <v>528</v>
      </c>
      <c r="B338" s="39">
        <v>21</v>
      </c>
      <c r="C338" s="7" t="s">
        <v>13</v>
      </c>
      <c r="D338" s="4" t="s">
        <v>15</v>
      </c>
      <c r="E338" s="6" t="s">
        <v>126</v>
      </c>
      <c r="F338" s="12">
        <f>INDEX('PEDIDO JULIO'!A13:M34,1,13)</f>
        <v>2</v>
      </c>
      <c r="G338" s="8">
        <f>IFERROR(VLOOKUP($B338,'[1]INSUMO POR SEDES MARZO PRUEBA'!$B$6:$CD$109,23,0),"NO BD")</f>
        <v>5932.8950000000013</v>
      </c>
      <c r="H338" s="8"/>
      <c r="I338" s="8">
        <f t="shared" si="29"/>
        <v>11865.790000000003</v>
      </c>
      <c r="J338" s="14">
        <f t="shared" si="30"/>
        <v>1186.5790000000004</v>
      </c>
      <c r="K338" s="14">
        <f t="shared" si="31"/>
        <v>225.45001000000008</v>
      </c>
      <c r="L338" s="14">
        <f t="shared" si="32"/>
        <v>13277.819010000003</v>
      </c>
    </row>
    <row r="339" spans="1:12" ht="15">
      <c r="A339" s="3">
        <v>529</v>
      </c>
      <c r="B339" s="39">
        <v>28</v>
      </c>
      <c r="C339" s="7" t="s">
        <v>16</v>
      </c>
      <c r="D339" s="4" t="s">
        <v>17</v>
      </c>
      <c r="E339" s="6" t="s">
        <v>126</v>
      </c>
      <c r="F339" s="12">
        <f>INDEX('PEDIDO JULIO'!A14:M34,1,13)</f>
        <v>0</v>
      </c>
      <c r="G339" s="8">
        <f>IFERROR(VLOOKUP($B339,'[1]INSUMO POR SEDES MARZO PRUEBA'!$B$6:$CD$109,23,0),"NO BD")</f>
        <v>2764.13</v>
      </c>
      <c r="H339" s="8"/>
      <c r="I339" s="8">
        <f t="shared" si="29"/>
        <v>0</v>
      </c>
      <c r="J339" s="14">
        <f t="shared" si="30"/>
        <v>0</v>
      </c>
      <c r="K339" s="14">
        <f t="shared" si="31"/>
        <v>0</v>
      </c>
      <c r="L339" s="14">
        <f t="shared" si="32"/>
        <v>0</v>
      </c>
    </row>
    <row r="340" spans="1:12" ht="27">
      <c r="A340" s="3">
        <v>530</v>
      </c>
      <c r="B340" s="39">
        <v>29</v>
      </c>
      <c r="C340" s="7" t="s">
        <v>18</v>
      </c>
      <c r="D340" s="4" t="s">
        <v>19</v>
      </c>
      <c r="E340" s="6" t="s">
        <v>126</v>
      </c>
      <c r="F340" s="12">
        <f>INDEX('PEDIDO JULIO'!A15:M34,1,13)</f>
        <v>0</v>
      </c>
      <c r="G340" s="8">
        <f>IFERROR(VLOOKUP($B340,'[1]INSUMO POR SEDES MARZO PRUEBA'!$B$6:$CD$109,23,0),"NO BD")</f>
        <v>4829.3450000000012</v>
      </c>
      <c r="H340" s="8"/>
      <c r="I340" s="8">
        <f t="shared" si="29"/>
        <v>0</v>
      </c>
      <c r="J340" s="14">
        <f t="shared" si="30"/>
        <v>0</v>
      </c>
      <c r="K340" s="14">
        <f t="shared" si="31"/>
        <v>0</v>
      </c>
      <c r="L340" s="14">
        <f t="shared" si="32"/>
        <v>0</v>
      </c>
    </row>
    <row r="341" spans="1:12" ht="27">
      <c r="A341" s="3">
        <v>531</v>
      </c>
      <c r="B341" s="39">
        <v>32</v>
      </c>
      <c r="C341" s="7" t="s">
        <v>20</v>
      </c>
      <c r="D341" s="4" t="s">
        <v>21</v>
      </c>
      <c r="E341" s="6" t="s">
        <v>126</v>
      </c>
      <c r="F341" s="12">
        <f>INDEX('PEDIDO JULIO'!A16:M34,1,13)</f>
        <v>0</v>
      </c>
      <c r="G341" s="8">
        <f>IFERROR(VLOOKUP($B341,'[1]INSUMO POR SEDES MARZO PRUEBA'!$B$6:$CD$109,23,0),"NO BD")</f>
        <v>4115.7160000000003</v>
      </c>
      <c r="H341" s="8"/>
      <c r="I341" s="8">
        <f t="shared" si="29"/>
        <v>0</v>
      </c>
      <c r="J341" s="14">
        <f t="shared" si="30"/>
        <v>0</v>
      </c>
      <c r="K341" s="14">
        <f t="shared" si="31"/>
        <v>0</v>
      </c>
      <c r="L341" s="14">
        <f t="shared" si="32"/>
        <v>0</v>
      </c>
    </row>
    <row r="342" spans="1:12" ht="27">
      <c r="A342" s="3">
        <v>532</v>
      </c>
      <c r="B342" s="39">
        <v>38</v>
      </c>
      <c r="C342" s="7" t="s">
        <v>22</v>
      </c>
      <c r="D342" s="4" t="s">
        <v>23</v>
      </c>
      <c r="E342" s="6" t="s">
        <v>126</v>
      </c>
      <c r="F342" s="12">
        <f>INDEX('PEDIDO JULIO'!A17:M34,1,13)</f>
        <v>0</v>
      </c>
      <c r="G342" s="8">
        <f>IFERROR(VLOOKUP($B342,'[1]INSUMO POR SEDES MARZO PRUEBA'!$B$6:$CD$109,23,0),"NO BD")</f>
        <v>11100.662</v>
      </c>
      <c r="H342" s="8"/>
      <c r="I342" s="8">
        <f t="shared" si="29"/>
        <v>0</v>
      </c>
      <c r="J342" s="14">
        <f t="shared" si="30"/>
        <v>0</v>
      </c>
      <c r="K342" s="14">
        <f t="shared" si="31"/>
        <v>0</v>
      </c>
      <c r="L342" s="14">
        <f t="shared" si="32"/>
        <v>0</v>
      </c>
    </row>
    <row r="343" spans="1:12" ht="15">
      <c r="A343" s="3">
        <v>533</v>
      </c>
      <c r="B343" s="39">
        <v>44</v>
      </c>
      <c r="C343" s="7" t="s">
        <v>18</v>
      </c>
      <c r="D343" s="4" t="s">
        <v>24</v>
      </c>
      <c r="E343" s="6" t="s">
        <v>126</v>
      </c>
      <c r="F343" s="12">
        <f>INDEX('PEDIDO JULIO'!A17:M34,1,13)</f>
        <v>0</v>
      </c>
      <c r="G343" s="8">
        <f>IFERROR(VLOOKUP($B343,'[1]INSUMO POR SEDES MARZO PRUEBA'!$B$6:$CD$109,23,0),"NO BD")</f>
        <v>0</v>
      </c>
      <c r="H343" s="8"/>
      <c r="I343" s="8">
        <f t="shared" si="29"/>
        <v>0</v>
      </c>
      <c r="J343" s="14">
        <f t="shared" si="30"/>
        <v>0</v>
      </c>
      <c r="K343" s="14">
        <f t="shared" si="31"/>
        <v>0</v>
      </c>
      <c r="L343" s="14">
        <f t="shared" si="32"/>
        <v>0</v>
      </c>
    </row>
    <row r="344" spans="1:12" ht="27">
      <c r="A344" s="3">
        <v>534</v>
      </c>
      <c r="B344" s="39">
        <v>50</v>
      </c>
      <c r="C344" s="7" t="s">
        <v>155</v>
      </c>
      <c r="D344" s="4" t="s">
        <v>25</v>
      </c>
      <c r="E344" s="6" t="s">
        <v>126</v>
      </c>
      <c r="F344" s="12">
        <f>INDEX('PEDIDO JULIO'!A18:M35,1,13)</f>
        <v>0</v>
      </c>
      <c r="G344" s="8">
        <f>IFERROR(VLOOKUP($B344,'[1]INSUMO POR SEDES MARZO PRUEBA'!$B$6:$CD$109,23,0),"NO BD")</f>
        <v>0</v>
      </c>
      <c r="H344" s="8"/>
      <c r="I344" s="8">
        <f t="shared" si="29"/>
        <v>0</v>
      </c>
      <c r="J344" s="14">
        <f t="shared" si="30"/>
        <v>0</v>
      </c>
      <c r="K344" s="14">
        <f t="shared" si="31"/>
        <v>0</v>
      </c>
      <c r="L344" s="14">
        <f t="shared" si="32"/>
        <v>0</v>
      </c>
    </row>
    <row r="345" spans="1:12" ht="27">
      <c r="A345" s="3">
        <v>535</v>
      </c>
      <c r="B345" s="39">
        <v>52</v>
      </c>
      <c r="C345" s="7" t="s">
        <v>16</v>
      </c>
      <c r="D345" s="4" t="s">
        <v>26</v>
      </c>
      <c r="E345" s="6" t="s">
        <v>126</v>
      </c>
      <c r="F345" s="12">
        <f>INDEX('PEDIDO JULIO'!A18:M35,1,13)</f>
        <v>0</v>
      </c>
      <c r="G345" s="8">
        <f>IFERROR(VLOOKUP($B345,'[1]INSUMO POR SEDES MARZO PRUEBA'!$B$6:$CD$109,23,0),"NO BD")</f>
        <v>0</v>
      </c>
      <c r="H345" s="8"/>
      <c r="I345" s="8">
        <f t="shared" si="29"/>
        <v>0</v>
      </c>
      <c r="J345" s="14">
        <f t="shared" si="30"/>
        <v>0</v>
      </c>
      <c r="K345" s="14">
        <f t="shared" si="31"/>
        <v>0</v>
      </c>
      <c r="L345" s="14">
        <f t="shared" si="32"/>
        <v>0</v>
      </c>
    </row>
    <row r="346" spans="1:12" ht="15">
      <c r="A346" s="3">
        <v>536</v>
      </c>
      <c r="B346" s="39">
        <v>57</v>
      </c>
      <c r="C346" s="7" t="s">
        <v>27</v>
      </c>
      <c r="D346" s="4" t="s">
        <v>28</v>
      </c>
      <c r="E346" s="6" t="s">
        <v>126</v>
      </c>
      <c r="F346" s="12">
        <f>INDEX('PEDIDO JULIO'!A18:M35,1,13)</f>
        <v>0</v>
      </c>
      <c r="G346" s="8">
        <f>IFERROR(VLOOKUP($B346,'[1]INSUMO POR SEDES MARZO PRUEBA'!$B$6:$CD$109,23,0),"NO BD")</f>
        <v>12823.251000000004</v>
      </c>
      <c r="H346" s="8"/>
      <c r="I346" s="8">
        <f t="shared" si="29"/>
        <v>0</v>
      </c>
      <c r="J346" s="14">
        <f t="shared" si="30"/>
        <v>0</v>
      </c>
      <c r="K346" s="14">
        <f t="shared" si="31"/>
        <v>0</v>
      </c>
      <c r="L346" s="14">
        <f t="shared" si="32"/>
        <v>0</v>
      </c>
    </row>
    <row r="347" spans="1:12" ht="15">
      <c r="A347" s="3">
        <v>537</v>
      </c>
      <c r="B347" s="39">
        <v>59</v>
      </c>
      <c r="C347" s="7" t="s">
        <v>13</v>
      </c>
      <c r="D347" s="4" t="s">
        <v>29</v>
      </c>
      <c r="E347" s="6" t="s">
        <v>126</v>
      </c>
      <c r="F347" s="12">
        <f>INDEX('PEDIDO JULIO'!A19:M35,1,13)</f>
        <v>0</v>
      </c>
      <c r="G347" s="8">
        <f>IFERROR(VLOOKUP($B347,'[1]INSUMO POR SEDES MARZO PRUEBA'!$B$6:$CD$109,23,0),"NO BD")</f>
        <v>0</v>
      </c>
      <c r="H347" s="8"/>
      <c r="I347" s="8">
        <f t="shared" si="29"/>
        <v>0</v>
      </c>
      <c r="J347" s="14">
        <f t="shared" si="30"/>
        <v>0</v>
      </c>
      <c r="K347" s="14">
        <f t="shared" si="31"/>
        <v>0</v>
      </c>
      <c r="L347" s="14">
        <f t="shared" si="32"/>
        <v>0</v>
      </c>
    </row>
    <row r="348" spans="1:12" ht="15">
      <c r="A348" s="3">
        <v>538</v>
      </c>
      <c r="B348" s="39">
        <v>62</v>
      </c>
      <c r="C348" s="7" t="s">
        <v>13</v>
      </c>
      <c r="D348" s="4" t="s">
        <v>30</v>
      </c>
      <c r="E348" s="6" t="s">
        <v>126</v>
      </c>
      <c r="F348" s="12">
        <f>INDEX('PEDIDO JULIO'!A19:M35,1,13)</f>
        <v>0</v>
      </c>
      <c r="G348" s="8">
        <f>IFERROR(VLOOKUP($B348,'[1]INSUMO POR SEDES MARZO PRUEBA'!$B$6:$CD$109,23,0),"NO BD")</f>
        <v>10100.3202</v>
      </c>
      <c r="H348" s="8"/>
      <c r="I348" s="8">
        <f t="shared" si="29"/>
        <v>0</v>
      </c>
      <c r="J348" s="14">
        <f t="shared" si="30"/>
        <v>0</v>
      </c>
      <c r="K348" s="14">
        <f t="shared" si="31"/>
        <v>0</v>
      </c>
      <c r="L348" s="14">
        <f t="shared" si="32"/>
        <v>0</v>
      </c>
    </row>
    <row r="349" spans="1:12" ht="15">
      <c r="A349" s="3">
        <v>539</v>
      </c>
      <c r="B349" s="39">
        <v>63</v>
      </c>
      <c r="C349" s="7" t="s">
        <v>13</v>
      </c>
      <c r="D349" s="4" t="s">
        <v>31</v>
      </c>
      <c r="E349" s="6" t="s">
        <v>126</v>
      </c>
      <c r="F349" s="12">
        <f>INDEX('PEDIDO JULIO'!A20:M35,1,13)</f>
        <v>0</v>
      </c>
      <c r="G349" s="8">
        <f>IFERROR(VLOOKUP($B349,'[1]INSUMO POR SEDES MARZO PRUEBA'!$B$6:$CD$109,23,0),"NO BD")</f>
        <v>11443.4982</v>
      </c>
      <c r="H349" s="8"/>
      <c r="I349" s="8">
        <f t="shared" si="29"/>
        <v>0</v>
      </c>
      <c r="J349" s="14">
        <f t="shared" si="30"/>
        <v>0</v>
      </c>
      <c r="K349" s="14">
        <f t="shared" si="31"/>
        <v>0</v>
      </c>
      <c r="L349" s="14">
        <f t="shared" si="32"/>
        <v>0</v>
      </c>
    </row>
    <row r="350" spans="1:12" ht="15">
      <c r="A350" s="3">
        <v>540</v>
      </c>
      <c r="B350" s="39">
        <v>64</v>
      </c>
      <c r="C350" s="7" t="s">
        <v>13</v>
      </c>
      <c r="D350" s="4" t="s">
        <v>32</v>
      </c>
      <c r="E350" s="6" t="s">
        <v>126</v>
      </c>
      <c r="F350" s="12">
        <f>INDEX('PEDIDO JULIO'!A20:M35,1,13)</f>
        <v>0</v>
      </c>
      <c r="G350" s="8">
        <f>IFERROR(VLOOKUP($B350,'[1]INSUMO POR SEDES MARZO PRUEBA'!$B$6:$CD$109,23,0),"NO BD")</f>
        <v>0</v>
      </c>
      <c r="H350" s="8"/>
      <c r="I350" s="8">
        <f t="shared" si="29"/>
        <v>0</v>
      </c>
      <c r="J350" s="14">
        <f t="shared" si="30"/>
        <v>0</v>
      </c>
      <c r="K350" s="14">
        <f t="shared" si="31"/>
        <v>0</v>
      </c>
      <c r="L350" s="14">
        <f t="shared" si="32"/>
        <v>0</v>
      </c>
    </row>
    <row r="351" spans="1:12" ht="15">
      <c r="A351" s="3">
        <v>541</v>
      </c>
      <c r="B351" s="39">
        <v>65</v>
      </c>
      <c r="C351" s="7" t="s">
        <v>33</v>
      </c>
      <c r="D351" s="4" t="s">
        <v>34</v>
      </c>
      <c r="E351" s="6" t="s">
        <v>126</v>
      </c>
      <c r="F351" s="12">
        <f>INDEX('PEDIDO JULIO'!A21:M35,1,13)</f>
        <v>0</v>
      </c>
      <c r="G351" s="8">
        <f>IFERROR(VLOOKUP($B351,'[1]INSUMO POR SEDES MARZO PRUEBA'!$B$6:$CD$109,23,0),"NO BD")</f>
        <v>21295.046699999999</v>
      </c>
      <c r="H351" s="8"/>
      <c r="I351" s="8">
        <f t="shared" si="29"/>
        <v>0</v>
      </c>
      <c r="J351" s="14">
        <f t="shared" si="30"/>
        <v>0</v>
      </c>
      <c r="K351" s="14">
        <f t="shared" si="31"/>
        <v>0</v>
      </c>
      <c r="L351" s="14">
        <f t="shared" si="32"/>
        <v>0</v>
      </c>
    </row>
    <row r="352" spans="1:12" ht="15">
      <c r="A352" s="3">
        <v>542</v>
      </c>
      <c r="B352" s="39">
        <v>66</v>
      </c>
      <c r="C352" s="7" t="s">
        <v>16</v>
      </c>
      <c r="D352" s="4" t="s">
        <v>35</v>
      </c>
      <c r="E352" s="6" t="s">
        <v>126</v>
      </c>
      <c r="F352" s="12">
        <f>INDEX('PEDIDO JULIO'!A22:M35,1,13)</f>
        <v>0</v>
      </c>
      <c r="G352" s="8">
        <f>IFERROR(VLOOKUP($B352,'[1]INSUMO POR SEDES MARZO PRUEBA'!$B$6:$CD$109,23,0),"NO BD")</f>
        <v>2887.0970000000002</v>
      </c>
      <c r="H352" s="8"/>
      <c r="I352" s="8">
        <f t="shared" si="29"/>
        <v>0</v>
      </c>
      <c r="J352" s="14">
        <f t="shared" si="30"/>
        <v>0</v>
      </c>
      <c r="K352" s="14">
        <f t="shared" si="31"/>
        <v>0</v>
      </c>
      <c r="L352" s="14">
        <f t="shared" si="32"/>
        <v>0</v>
      </c>
    </row>
    <row r="353" spans="1:12" ht="15">
      <c r="A353" s="3">
        <v>543</v>
      </c>
      <c r="B353" s="39">
        <v>71</v>
      </c>
      <c r="C353" s="7" t="s">
        <v>36</v>
      </c>
      <c r="D353" s="4" t="s">
        <v>37</v>
      </c>
      <c r="E353" s="6" t="s">
        <v>126</v>
      </c>
      <c r="F353" s="12">
        <f>INDEX('PEDIDO JULIO'!A23:M36,1,13)</f>
        <v>5</v>
      </c>
      <c r="G353" s="8">
        <f>IFERROR(VLOOKUP($B353,'[1]INSUMO POR SEDES MARZO PRUEBA'!$B$6:$CD$109,23,0),"NO BD")</f>
        <v>5196.1440000000002</v>
      </c>
      <c r="H353" s="8"/>
      <c r="I353" s="8">
        <f t="shared" si="29"/>
        <v>25980.720000000001</v>
      </c>
      <c r="J353" s="14">
        <f t="shared" si="30"/>
        <v>2598.0720000000001</v>
      </c>
      <c r="K353" s="14">
        <f t="shared" si="31"/>
        <v>493.63368000000003</v>
      </c>
      <c r="L353" s="14">
        <f t="shared" si="32"/>
        <v>29072.42568</v>
      </c>
    </row>
    <row r="354" spans="1:12" ht="15">
      <c r="A354" s="3">
        <v>544</v>
      </c>
      <c r="B354" s="39">
        <v>72</v>
      </c>
      <c r="C354" s="7" t="s">
        <v>36</v>
      </c>
      <c r="D354" s="4" t="s">
        <v>38</v>
      </c>
      <c r="E354" s="6" t="s">
        <v>126</v>
      </c>
      <c r="F354" s="12">
        <f>INDEX('PEDIDO JULIO'!A23:M37,1,13)</f>
        <v>5</v>
      </c>
      <c r="G354" s="8">
        <f>IFERROR(VLOOKUP($B354,'[1]INSUMO POR SEDES MARZO PRUEBA'!$B$6:$CD$109,23,0),"NO BD")</f>
        <v>5196.1440000000002</v>
      </c>
      <c r="H354" s="8"/>
      <c r="I354" s="8">
        <f t="shared" si="29"/>
        <v>25980.720000000001</v>
      </c>
      <c r="J354" s="14">
        <f t="shared" si="30"/>
        <v>2598.0720000000001</v>
      </c>
      <c r="K354" s="14">
        <f t="shared" si="31"/>
        <v>493.63368000000003</v>
      </c>
      <c r="L354" s="14">
        <f t="shared" si="32"/>
        <v>29072.42568</v>
      </c>
    </row>
    <row r="355" spans="1:12" ht="15">
      <c r="A355" s="3">
        <v>545</v>
      </c>
      <c r="B355" s="39">
        <v>73</v>
      </c>
      <c r="C355" s="7" t="s">
        <v>39</v>
      </c>
      <c r="D355" s="4" t="s">
        <v>40</v>
      </c>
      <c r="E355" s="6" t="s">
        <v>126</v>
      </c>
      <c r="F355" s="12">
        <f>INDEX('PEDIDO JULIO'!A24:M37,1,13)</f>
        <v>5</v>
      </c>
      <c r="G355" s="8">
        <f>IFERROR(VLOOKUP($B355,'[1]INSUMO POR SEDES MARZO PRUEBA'!$B$6:$CD$109,23,0),"NO BD")</f>
        <v>21493.685699999998</v>
      </c>
      <c r="H355" s="8"/>
      <c r="I355" s="8">
        <f t="shared" si="29"/>
        <v>107468.42849999999</v>
      </c>
      <c r="J355" s="14">
        <f t="shared" si="30"/>
        <v>10746.842850000001</v>
      </c>
      <c r="K355" s="14">
        <f t="shared" si="31"/>
        <v>2041.9001415000002</v>
      </c>
      <c r="L355" s="14">
        <f t="shared" si="32"/>
        <v>120257.17149149999</v>
      </c>
    </row>
    <row r="356" spans="1:12" ht="15">
      <c r="A356" s="3">
        <v>546</v>
      </c>
      <c r="B356" s="39">
        <v>74</v>
      </c>
      <c r="C356" s="7" t="s">
        <v>39</v>
      </c>
      <c r="D356" s="4" t="s">
        <v>41</v>
      </c>
      <c r="E356" s="6" t="s">
        <v>126</v>
      </c>
      <c r="F356" s="12">
        <f>INDEX('PEDIDO JULIO'!A25:M37,1,13)</f>
        <v>0</v>
      </c>
      <c r="G356" s="8">
        <f>IFERROR(VLOOKUP($B356,'[1]INSUMO POR SEDES MARZO PRUEBA'!$B$6:$CD$109,23,0),"NO BD")</f>
        <v>3261.2529999999997</v>
      </c>
      <c r="H356" s="8"/>
      <c r="I356" s="8">
        <f t="shared" si="29"/>
        <v>0</v>
      </c>
      <c r="J356" s="14">
        <f t="shared" si="30"/>
        <v>0</v>
      </c>
      <c r="K356" s="14">
        <f t="shared" si="31"/>
        <v>0</v>
      </c>
      <c r="L356" s="14">
        <f t="shared" si="32"/>
        <v>0</v>
      </c>
    </row>
    <row r="357" spans="1:12" ht="15">
      <c r="A357" s="3">
        <v>547</v>
      </c>
      <c r="B357" s="39">
        <v>79</v>
      </c>
      <c r="C357" s="7" t="s">
        <v>151</v>
      </c>
      <c r="D357" s="4" t="s">
        <v>42</v>
      </c>
      <c r="E357" s="6" t="s">
        <v>126</v>
      </c>
      <c r="F357" s="12">
        <f>INDEX('PEDIDO JULIO'!A26:M37,1,13)</f>
        <v>0</v>
      </c>
      <c r="G357" s="8">
        <f>IFERROR(VLOOKUP($B357,'[1]INSUMO POR SEDES MARZO PRUEBA'!$B$6:$CD$109,23,0),"NO BD")</f>
        <v>935.49510000000009</v>
      </c>
      <c r="H357" s="8"/>
      <c r="I357" s="8">
        <f t="shared" si="29"/>
        <v>0</v>
      </c>
      <c r="J357" s="14">
        <f t="shared" si="30"/>
        <v>0</v>
      </c>
      <c r="K357" s="14">
        <f t="shared" si="31"/>
        <v>0</v>
      </c>
      <c r="L357" s="14">
        <f t="shared" si="32"/>
        <v>0</v>
      </c>
    </row>
    <row r="358" spans="1:12" ht="15">
      <c r="A358" s="3">
        <v>548</v>
      </c>
      <c r="B358" s="39">
        <v>80</v>
      </c>
      <c r="C358" s="7" t="s">
        <v>151</v>
      </c>
      <c r="D358" s="4" t="s">
        <v>43</v>
      </c>
      <c r="E358" s="6" t="s">
        <v>126</v>
      </c>
      <c r="F358" s="12">
        <f>INDEX('PEDIDO JULIO'!A27:M37,1,13)</f>
        <v>15</v>
      </c>
      <c r="G358" s="8">
        <f>IFERROR(VLOOKUP($B358,'[1]INSUMO POR SEDES MARZO PRUEBA'!$B$6:$CD$109,23,0),"NO BD")</f>
        <v>607.26779999999997</v>
      </c>
      <c r="H358" s="8"/>
      <c r="I358" s="8">
        <f t="shared" si="29"/>
        <v>9109.0169999999998</v>
      </c>
      <c r="J358" s="14">
        <f t="shared" si="30"/>
        <v>910.90170000000001</v>
      </c>
      <c r="K358" s="14">
        <f t="shared" si="31"/>
        <v>173.07132300000001</v>
      </c>
      <c r="L358" s="14">
        <f t="shared" si="32"/>
        <v>10192.990023</v>
      </c>
    </row>
    <row r="359" spans="1:12" ht="15">
      <c r="A359" s="3">
        <v>549</v>
      </c>
      <c r="B359" s="39">
        <v>81</v>
      </c>
      <c r="C359" s="7" t="s">
        <v>151</v>
      </c>
      <c r="D359" s="4" t="s">
        <v>44</v>
      </c>
      <c r="E359" s="6" t="s">
        <v>126</v>
      </c>
      <c r="F359" s="12">
        <f>INDEX('PEDIDO JULIO'!A28:M37,1,13)</f>
        <v>15</v>
      </c>
      <c r="G359" s="8">
        <f>IFERROR(VLOOKUP($B359,'[1]INSUMO POR SEDES MARZO PRUEBA'!$B$6:$CD$109,23,0),"NO BD")</f>
        <v>387.81900000000002</v>
      </c>
      <c r="H359" s="8"/>
      <c r="I359" s="8">
        <f t="shared" si="29"/>
        <v>5817.2849999999999</v>
      </c>
      <c r="J359" s="14">
        <f t="shared" si="30"/>
        <v>581.72850000000005</v>
      </c>
      <c r="K359" s="14">
        <f t="shared" si="31"/>
        <v>110.52841500000001</v>
      </c>
      <c r="L359" s="14">
        <f t="shared" si="32"/>
        <v>6509.5419149999998</v>
      </c>
    </row>
    <row r="360" spans="1:12" ht="40.5">
      <c r="A360" s="3">
        <v>550</v>
      </c>
      <c r="B360" s="39">
        <v>82</v>
      </c>
      <c r="C360" s="7" t="s">
        <v>151</v>
      </c>
      <c r="D360" s="4" t="s">
        <v>45</v>
      </c>
      <c r="E360" s="6" t="s">
        <v>126</v>
      </c>
      <c r="F360" s="12">
        <f>INDEX('PEDIDO JULIO'!A28:M37,1,13)</f>
        <v>15</v>
      </c>
      <c r="G360" s="8">
        <f>IFERROR(VLOOKUP($B360,'[1]INSUMO POR SEDES MARZO PRUEBA'!$B$6:$CD$109,23,0),"NO BD")</f>
        <v>1003.7049999999999</v>
      </c>
      <c r="H360" s="8"/>
      <c r="I360" s="8">
        <f t="shared" si="29"/>
        <v>15055.574999999999</v>
      </c>
      <c r="J360" s="14">
        <f t="shared" si="30"/>
        <v>1505.5574999999999</v>
      </c>
      <c r="K360" s="14">
        <f t="shared" si="31"/>
        <v>286.055925</v>
      </c>
      <c r="L360" s="14">
        <f t="shared" si="32"/>
        <v>16847.188425</v>
      </c>
    </row>
    <row r="361" spans="1:12" ht="27">
      <c r="A361" s="3">
        <v>551</v>
      </c>
      <c r="B361" s="39">
        <v>83</v>
      </c>
      <c r="C361" s="7" t="s">
        <v>46</v>
      </c>
      <c r="D361" s="4" t="s">
        <v>47</v>
      </c>
      <c r="E361" s="6" t="s">
        <v>126</v>
      </c>
      <c r="F361" s="12">
        <f>INDEX('PEDIDO JULIO'!A29:M37,1,13)</f>
        <v>0</v>
      </c>
      <c r="G361" s="8">
        <f>IFERROR(VLOOKUP($B361,'[1]INSUMO POR SEDES MARZO PRUEBA'!$B$6:$CD$109,23,0),"NO BD")</f>
        <v>336.32</v>
      </c>
      <c r="H361" s="8"/>
      <c r="I361" s="8">
        <f t="shared" si="29"/>
        <v>0</v>
      </c>
      <c r="J361" s="14">
        <f t="shared" si="30"/>
        <v>0</v>
      </c>
      <c r="K361" s="14">
        <f t="shared" si="31"/>
        <v>0</v>
      </c>
      <c r="L361" s="14">
        <f t="shared" si="32"/>
        <v>0</v>
      </c>
    </row>
    <row r="362" spans="1:12" ht="15">
      <c r="A362" s="3">
        <v>552</v>
      </c>
      <c r="B362" s="39">
        <v>88</v>
      </c>
      <c r="C362" s="7" t="s">
        <v>159</v>
      </c>
      <c r="D362" s="4" t="s">
        <v>48</v>
      </c>
      <c r="E362" s="6" t="s">
        <v>126</v>
      </c>
      <c r="F362" s="12">
        <f>INDEX('PEDIDO JULIO'!A30:M37,1,13)</f>
        <v>0</v>
      </c>
      <c r="G362" s="8">
        <f>IFERROR(VLOOKUP($B362,'[1]INSUMO POR SEDES MARZO PRUEBA'!$B$6:$CD$109,23,0),"NO BD")</f>
        <v>0</v>
      </c>
      <c r="H362" s="8"/>
      <c r="I362" s="8">
        <f t="shared" si="29"/>
        <v>0</v>
      </c>
      <c r="J362" s="14">
        <f t="shared" si="30"/>
        <v>0</v>
      </c>
      <c r="K362" s="14">
        <f t="shared" si="31"/>
        <v>0</v>
      </c>
      <c r="L362" s="14">
        <f t="shared" si="32"/>
        <v>0</v>
      </c>
    </row>
    <row r="363" spans="1:12" ht="15">
      <c r="A363" s="3">
        <v>553</v>
      </c>
      <c r="B363" s="39">
        <v>92</v>
      </c>
      <c r="C363" s="7" t="s">
        <v>159</v>
      </c>
      <c r="D363" s="4" t="s">
        <v>49</v>
      </c>
      <c r="E363" s="6" t="s">
        <v>126</v>
      </c>
      <c r="F363" s="12">
        <f>INDEX('PEDIDO JULIO'!A31:M37,1,13)</f>
        <v>0</v>
      </c>
      <c r="G363" s="8">
        <f>IFERROR(VLOOKUP($B363,'[1]INSUMO POR SEDES MARZO PRUEBA'!$B$6:$CD$109,23,0),"NO BD")</f>
        <v>2380.5149999999999</v>
      </c>
      <c r="H363" s="8"/>
      <c r="I363" s="8">
        <f t="shared" si="29"/>
        <v>0</v>
      </c>
      <c r="J363" s="14">
        <f t="shared" si="30"/>
        <v>0</v>
      </c>
      <c r="K363" s="14">
        <f t="shared" si="31"/>
        <v>0</v>
      </c>
      <c r="L363" s="14">
        <f t="shared" si="32"/>
        <v>0</v>
      </c>
    </row>
    <row r="364" spans="1:12" ht="15">
      <c r="A364" s="3">
        <v>554</v>
      </c>
      <c r="B364" s="39">
        <v>94</v>
      </c>
      <c r="C364" s="7" t="s">
        <v>159</v>
      </c>
      <c r="D364" s="4" t="s">
        <v>50</v>
      </c>
      <c r="E364" s="6" t="s">
        <v>126</v>
      </c>
      <c r="F364" s="12">
        <f>INDEX('PEDIDO JULIO'!A32:M37,1,13)</f>
        <v>0</v>
      </c>
      <c r="G364" s="8">
        <f>IFERROR(VLOOKUP($B364,'[1]INSUMO POR SEDES MARZO PRUEBA'!$B$6:$CD$109,23,0),"NO BD")</f>
        <v>3316.9560000000001</v>
      </c>
      <c r="H364" s="8"/>
      <c r="I364" s="8">
        <f t="shared" si="29"/>
        <v>0</v>
      </c>
      <c r="J364" s="14">
        <f t="shared" si="30"/>
        <v>0</v>
      </c>
      <c r="K364" s="14">
        <f t="shared" si="31"/>
        <v>0</v>
      </c>
      <c r="L364" s="14">
        <f t="shared" si="32"/>
        <v>0</v>
      </c>
    </row>
    <row r="365" spans="1:12" ht="15">
      <c r="A365" s="3">
        <v>555</v>
      </c>
      <c r="B365" s="39">
        <v>98</v>
      </c>
      <c r="C365" s="7" t="s">
        <v>159</v>
      </c>
      <c r="D365" s="4" t="s">
        <v>51</v>
      </c>
      <c r="E365" s="6" t="s">
        <v>126</v>
      </c>
      <c r="F365" s="12">
        <f>INDEX('PEDIDO JULIO'!A33:M37,1,13)</f>
        <v>0</v>
      </c>
      <c r="G365" s="8">
        <f>IFERROR(VLOOKUP($B365,'[1]INSUMO POR SEDES MARZO PRUEBA'!$B$6:$CD$109,23,0),"NO BD")</f>
        <v>6633.9120000000003</v>
      </c>
      <c r="H365" s="8"/>
      <c r="I365" s="8">
        <f t="shared" si="29"/>
        <v>0</v>
      </c>
      <c r="J365" s="14">
        <f t="shared" si="30"/>
        <v>0</v>
      </c>
      <c r="K365" s="14">
        <f t="shared" si="31"/>
        <v>0</v>
      </c>
      <c r="L365" s="14">
        <f t="shared" si="32"/>
        <v>0</v>
      </c>
    </row>
    <row r="366" spans="1:12" ht="15">
      <c r="A366" s="3">
        <v>556</v>
      </c>
      <c r="B366" s="39">
        <v>100</v>
      </c>
      <c r="C366" s="7" t="s">
        <v>159</v>
      </c>
      <c r="D366" s="4" t="s">
        <v>52</v>
      </c>
      <c r="E366" s="6" t="s">
        <v>126</v>
      </c>
      <c r="F366" s="12">
        <f>INDEX('PEDIDO JULIO'!A33:M38,1,13)</f>
        <v>0</v>
      </c>
      <c r="G366" s="8">
        <f>IFERROR(VLOOKUP($B366,'[1]INSUMO POR SEDES MARZO PRUEBA'!$B$6:$CD$109,23,0),"NO BD")</f>
        <v>0</v>
      </c>
      <c r="H366" s="8"/>
      <c r="I366" s="8">
        <f t="shared" si="29"/>
        <v>0</v>
      </c>
      <c r="J366" s="14">
        <f t="shared" si="30"/>
        <v>0</v>
      </c>
      <c r="K366" s="14">
        <f t="shared" si="31"/>
        <v>0</v>
      </c>
      <c r="L366" s="14">
        <f t="shared" si="32"/>
        <v>0</v>
      </c>
    </row>
    <row r="367" spans="1:12" ht="15">
      <c r="A367" s="3">
        <v>557</v>
      </c>
      <c r="B367" s="39">
        <v>102</v>
      </c>
      <c r="C367" s="7" t="s">
        <v>53</v>
      </c>
      <c r="D367" s="4" t="s">
        <v>54</v>
      </c>
      <c r="E367" s="6" t="s">
        <v>126</v>
      </c>
      <c r="F367" s="12">
        <f>INDEX('PEDIDO JULIO'!A33:M38,1,13)</f>
        <v>0</v>
      </c>
      <c r="G367" s="8">
        <f>IFERROR(VLOOKUP($B367,'[1]INSUMO POR SEDES MARZO PRUEBA'!$B$6:$CD$109,23,0),"NO BD")</f>
        <v>5422.8446999999996</v>
      </c>
      <c r="H367" s="8"/>
      <c r="I367" s="8">
        <f t="shared" si="29"/>
        <v>0</v>
      </c>
      <c r="J367" s="14">
        <f t="shared" si="30"/>
        <v>0</v>
      </c>
      <c r="K367" s="14">
        <f t="shared" si="31"/>
        <v>0</v>
      </c>
      <c r="L367" s="14">
        <f t="shared" si="32"/>
        <v>0</v>
      </c>
    </row>
    <row r="368" spans="1:12" ht="15">
      <c r="A368" s="3">
        <v>558</v>
      </c>
      <c r="B368" s="39">
        <v>110</v>
      </c>
      <c r="C368" s="7" t="s">
        <v>53</v>
      </c>
      <c r="D368" s="4" t="s">
        <v>55</v>
      </c>
      <c r="E368" s="6" t="s">
        <v>126</v>
      </c>
      <c r="F368" s="12">
        <f>INDEX('PEDIDO JULIO'!A33:M39,1,13)</f>
        <v>0</v>
      </c>
      <c r="G368" s="8">
        <f>IFERROR(VLOOKUP($B368,'[1]INSUMO POR SEDES MARZO PRUEBA'!$B$6:$CD$109,23,0),"NO BD")</f>
        <v>1442.4974999999999</v>
      </c>
      <c r="H368" s="8"/>
      <c r="I368" s="8">
        <f t="shared" si="29"/>
        <v>0</v>
      </c>
      <c r="J368" s="14">
        <f t="shared" si="30"/>
        <v>0</v>
      </c>
      <c r="K368" s="14">
        <f t="shared" si="31"/>
        <v>0</v>
      </c>
      <c r="L368" s="14">
        <f t="shared" si="32"/>
        <v>0</v>
      </c>
    </row>
    <row r="369" spans="1:12" ht="15">
      <c r="A369" s="3">
        <v>559</v>
      </c>
      <c r="B369" s="39">
        <v>118</v>
      </c>
      <c r="C369" s="7" t="s">
        <v>53</v>
      </c>
      <c r="D369" s="4" t="s">
        <v>56</v>
      </c>
      <c r="E369" s="6" t="s">
        <v>126</v>
      </c>
      <c r="F369" s="12">
        <f>INDEX('PEDIDO JULIO'!A33:M40,1,13)</f>
        <v>0</v>
      </c>
      <c r="G369" s="8">
        <f>IFERROR(VLOOKUP($B369,'[1]INSUMO POR SEDES MARZO PRUEBA'!$B$6:$CD$109,23,0),"NO BD")</f>
        <v>4129.7993999999999</v>
      </c>
      <c r="H369" s="8"/>
      <c r="I369" s="8">
        <f t="shared" si="29"/>
        <v>0</v>
      </c>
      <c r="J369" s="14">
        <f t="shared" si="30"/>
        <v>0</v>
      </c>
      <c r="K369" s="14">
        <f t="shared" si="31"/>
        <v>0</v>
      </c>
      <c r="L369" s="14">
        <f t="shared" si="32"/>
        <v>0</v>
      </c>
    </row>
    <row r="370" spans="1:12" ht="15">
      <c r="A370" s="3">
        <v>560</v>
      </c>
      <c r="B370" s="39">
        <v>119</v>
      </c>
      <c r="C370" s="7" t="s">
        <v>53</v>
      </c>
      <c r="D370" s="4" t="s">
        <v>57</v>
      </c>
      <c r="E370" s="6" t="s">
        <v>126</v>
      </c>
      <c r="F370" s="12">
        <f>INDEX('PEDIDO JULIO'!A33:M40,1,13)</f>
        <v>0</v>
      </c>
      <c r="G370" s="8">
        <f>IFERROR(VLOOKUP($B370,'[1]INSUMO POR SEDES MARZO PRUEBA'!$B$6:$CD$109,23,0),"NO BD")</f>
        <v>4259.3877000000002</v>
      </c>
      <c r="H370" s="8"/>
      <c r="I370" s="8">
        <f t="shared" si="29"/>
        <v>0</v>
      </c>
      <c r="J370" s="14">
        <f t="shared" si="30"/>
        <v>0</v>
      </c>
      <c r="K370" s="14">
        <f t="shared" si="31"/>
        <v>0</v>
      </c>
      <c r="L370" s="14">
        <f t="shared" si="32"/>
        <v>0</v>
      </c>
    </row>
    <row r="371" spans="1:12" ht="27">
      <c r="A371" s="3">
        <v>561</v>
      </c>
      <c r="B371" s="39">
        <v>120</v>
      </c>
      <c r="C371" s="7" t="s">
        <v>160</v>
      </c>
      <c r="D371" s="4" t="s">
        <v>58</v>
      </c>
      <c r="E371" s="6" t="s">
        <v>126</v>
      </c>
      <c r="F371" s="12">
        <f>INDEX('PEDIDO JULIO'!A33:M40,1,13)</f>
        <v>0</v>
      </c>
      <c r="G371" s="8">
        <f>IFERROR(VLOOKUP($B371,'[1]INSUMO POR SEDES MARZO PRUEBA'!$B$6:$CD$109,23,0),"NO BD")</f>
        <v>4259.3877000000002</v>
      </c>
      <c r="H371" s="8"/>
      <c r="I371" s="8">
        <f t="shared" si="29"/>
        <v>0</v>
      </c>
      <c r="J371" s="14">
        <f t="shared" si="30"/>
        <v>0</v>
      </c>
      <c r="K371" s="14">
        <f t="shared" si="31"/>
        <v>0</v>
      </c>
      <c r="L371" s="14">
        <f t="shared" si="32"/>
        <v>0</v>
      </c>
    </row>
    <row r="372" spans="1:12" ht="15">
      <c r="A372" s="3">
        <v>562</v>
      </c>
      <c r="B372" s="39">
        <v>122</v>
      </c>
      <c r="C372" s="7" t="s">
        <v>160</v>
      </c>
      <c r="D372" s="4" t="s">
        <v>59</v>
      </c>
      <c r="E372" s="6" t="s">
        <v>126</v>
      </c>
      <c r="F372" s="12">
        <f>INDEX('PEDIDO JULIO'!A33:M41,1,13)</f>
        <v>0</v>
      </c>
      <c r="G372" s="8">
        <f>IFERROR(VLOOKUP($B372,'[1]INSUMO POR SEDES MARZO PRUEBA'!$B$6:$CD$109,23,0),"NO BD")</f>
        <v>5920.3881000000001</v>
      </c>
      <c r="H372" s="8"/>
      <c r="I372" s="8">
        <f t="shared" si="29"/>
        <v>0</v>
      </c>
      <c r="J372" s="14">
        <f t="shared" si="30"/>
        <v>0</v>
      </c>
      <c r="K372" s="14">
        <f t="shared" si="31"/>
        <v>0</v>
      </c>
      <c r="L372" s="14">
        <f t="shared" si="32"/>
        <v>0</v>
      </c>
    </row>
    <row r="373" spans="1:12" ht="15">
      <c r="A373" s="3">
        <v>563</v>
      </c>
      <c r="B373" s="39">
        <v>123</v>
      </c>
      <c r="C373" s="7" t="s">
        <v>60</v>
      </c>
      <c r="D373" s="4" t="s">
        <v>61</v>
      </c>
      <c r="E373" s="6" t="s">
        <v>126</v>
      </c>
      <c r="F373" s="12">
        <f>INDEX('PEDIDO JULIO'!A33:M41,1,13)</f>
        <v>0</v>
      </c>
      <c r="G373" s="8">
        <f>IFERROR(VLOOKUP($B373,'[1]INSUMO POR SEDES MARZO PRUEBA'!$B$6:$CD$109,23,0),"NO BD")</f>
        <v>6169.1598000000004</v>
      </c>
      <c r="H373" s="8"/>
      <c r="I373" s="8">
        <f t="shared" si="29"/>
        <v>0</v>
      </c>
      <c r="J373" s="14">
        <f t="shared" si="30"/>
        <v>0</v>
      </c>
      <c r="K373" s="14">
        <f t="shared" si="31"/>
        <v>0</v>
      </c>
      <c r="L373" s="14">
        <f t="shared" si="32"/>
        <v>0</v>
      </c>
    </row>
    <row r="374" spans="1:12" ht="15">
      <c r="A374" s="3">
        <v>564</v>
      </c>
      <c r="B374" s="39">
        <v>124</v>
      </c>
      <c r="C374" s="7" t="s">
        <v>60</v>
      </c>
      <c r="D374" s="4" t="s">
        <v>62</v>
      </c>
      <c r="E374" s="6" t="s">
        <v>126</v>
      </c>
      <c r="F374" s="12">
        <f>INDEX('PEDIDO JULIO'!A33:M42,1,13)</f>
        <v>0</v>
      </c>
      <c r="G374" s="8">
        <f>IFERROR(VLOOKUP($B374,'[1]INSUMO POR SEDES MARZO PRUEBA'!$B$6:$CD$109,23,0),"NO BD")</f>
        <v>6169.1598000000004</v>
      </c>
      <c r="H374" s="8"/>
      <c r="I374" s="8">
        <f t="shared" si="29"/>
        <v>0</v>
      </c>
      <c r="J374" s="14">
        <f t="shared" si="30"/>
        <v>0</v>
      </c>
      <c r="K374" s="14">
        <f t="shared" si="31"/>
        <v>0</v>
      </c>
      <c r="L374" s="14">
        <f t="shared" si="32"/>
        <v>0</v>
      </c>
    </row>
    <row r="375" spans="1:12" ht="15">
      <c r="A375" s="3">
        <v>565</v>
      </c>
      <c r="B375" s="39">
        <v>137</v>
      </c>
      <c r="C375" s="7" t="s">
        <v>151</v>
      </c>
      <c r="D375" s="4" t="s">
        <v>63</v>
      </c>
      <c r="E375" s="6" t="s">
        <v>126</v>
      </c>
      <c r="F375" s="12">
        <f>INDEX('PEDIDO JULIO'!A33:M42,1,13)</f>
        <v>0</v>
      </c>
      <c r="G375" s="8">
        <f>IFERROR(VLOOKUP($B375,'[1]INSUMO POR SEDES MARZO PRUEBA'!$B$6:$CD$109,23,0),"NO BD")</f>
        <v>0</v>
      </c>
      <c r="H375" s="8"/>
      <c r="I375" s="8">
        <f t="shared" si="29"/>
        <v>0</v>
      </c>
      <c r="J375" s="14">
        <f t="shared" si="30"/>
        <v>0</v>
      </c>
      <c r="K375" s="14">
        <f t="shared" si="31"/>
        <v>0</v>
      </c>
      <c r="L375" s="14">
        <f t="shared" si="32"/>
        <v>0</v>
      </c>
    </row>
    <row r="376" spans="1:12" ht="15">
      <c r="A376" s="3">
        <v>566</v>
      </c>
      <c r="B376" s="39">
        <v>139</v>
      </c>
      <c r="C376" s="7" t="s">
        <v>160</v>
      </c>
      <c r="D376" s="4" t="s">
        <v>64</v>
      </c>
      <c r="E376" s="6" t="s">
        <v>126</v>
      </c>
      <c r="F376" s="12">
        <f>INDEX('PEDIDO JULIO'!A33:M42,1,13)</f>
        <v>0</v>
      </c>
      <c r="G376" s="8">
        <f>IFERROR(VLOOKUP($B376,'[1]INSUMO POR SEDES MARZO PRUEBA'!$B$6:$CD$109,23,0),"NO BD")</f>
        <v>51246.970200000003</v>
      </c>
      <c r="H376" s="8"/>
      <c r="I376" s="8">
        <f t="shared" si="29"/>
        <v>0</v>
      </c>
      <c r="J376" s="14">
        <f t="shared" si="30"/>
        <v>0</v>
      </c>
      <c r="K376" s="14">
        <f t="shared" si="31"/>
        <v>0</v>
      </c>
      <c r="L376" s="14">
        <f t="shared" si="32"/>
        <v>0</v>
      </c>
    </row>
    <row r="377" spans="1:12" ht="27">
      <c r="A377" s="3">
        <v>567</v>
      </c>
      <c r="B377" s="39">
        <v>151</v>
      </c>
      <c r="C377" s="7" t="s">
        <v>60</v>
      </c>
      <c r="D377" s="4" t="s">
        <v>65</v>
      </c>
      <c r="E377" s="6" t="s">
        <v>126</v>
      </c>
      <c r="F377" s="12">
        <f>INDEX('PEDIDO JULIO'!A33:M42,1,13)</f>
        <v>0</v>
      </c>
      <c r="G377" s="8">
        <f>IFERROR(VLOOKUP($B377,'[1]INSUMO POR SEDES MARZO PRUEBA'!$B$6:$CD$109,23,0),"NO BD")</f>
        <v>4422.6080000000002</v>
      </c>
      <c r="H377" s="8"/>
      <c r="I377" s="8">
        <f t="shared" si="29"/>
        <v>0</v>
      </c>
      <c r="J377" s="14">
        <f t="shared" si="30"/>
        <v>0</v>
      </c>
      <c r="K377" s="14">
        <f t="shared" si="31"/>
        <v>0</v>
      </c>
      <c r="L377" s="14">
        <f t="shared" si="32"/>
        <v>0</v>
      </c>
    </row>
    <row r="378" spans="1:12" ht="15">
      <c r="A378" s="3">
        <v>568</v>
      </c>
      <c r="B378" s="39">
        <v>155</v>
      </c>
      <c r="C378" s="7" t="s">
        <v>66</v>
      </c>
      <c r="D378" s="4" t="s">
        <v>67</v>
      </c>
      <c r="E378" s="6" t="s">
        <v>126</v>
      </c>
      <c r="F378" s="12">
        <f>INDEX('PEDIDO JULIO'!A33:M43,1,13)</f>
        <v>0</v>
      </c>
      <c r="G378" s="8">
        <f>IFERROR(VLOOKUP($B378,'[1]INSUMO POR SEDES MARZO PRUEBA'!$B$6:$CD$109,23,0),"NO BD")</f>
        <v>5005.7028</v>
      </c>
      <c r="H378" s="8"/>
      <c r="I378" s="8">
        <f t="shared" si="29"/>
        <v>0</v>
      </c>
      <c r="J378" s="14">
        <f t="shared" si="30"/>
        <v>0</v>
      </c>
      <c r="K378" s="14">
        <f t="shared" si="31"/>
        <v>0</v>
      </c>
      <c r="L378" s="14">
        <f t="shared" si="32"/>
        <v>0</v>
      </c>
    </row>
    <row r="379" spans="1:12" ht="15">
      <c r="A379" s="3">
        <v>569</v>
      </c>
      <c r="B379" s="39">
        <v>156</v>
      </c>
      <c r="C379" s="7" t="s">
        <v>66</v>
      </c>
      <c r="D379" s="4" t="s">
        <v>68</v>
      </c>
      <c r="E379" s="6" t="s">
        <v>126</v>
      </c>
      <c r="F379" s="12">
        <f>INDEX('PEDIDO JULIO'!A33:M43,1,13)</f>
        <v>0</v>
      </c>
      <c r="G379" s="8">
        <f>IFERROR(VLOOKUP($B379,'[1]INSUMO POR SEDES MARZO PRUEBA'!$B$6:$CD$109,23,0),"NO BD")</f>
        <v>7711.9227000000001</v>
      </c>
      <c r="H379" s="8"/>
      <c r="I379" s="8">
        <f t="shared" si="29"/>
        <v>0</v>
      </c>
      <c r="J379" s="14">
        <f t="shared" si="30"/>
        <v>0</v>
      </c>
      <c r="K379" s="14">
        <f t="shared" si="31"/>
        <v>0</v>
      </c>
      <c r="L379" s="14">
        <f t="shared" si="32"/>
        <v>0</v>
      </c>
    </row>
    <row r="380" spans="1:12" ht="15">
      <c r="A380" s="3">
        <v>570</v>
      </c>
      <c r="B380" s="39">
        <v>157</v>
      </c>
      <c r="C380" s="7" t="s">
        <v>66</v>
      </c>
      <c r="D380" s="4" t="s">
        <v>69</v>
      </c>
      <c r="E380" s="6" t="s">
        <v>126</v>
      </c>
      <c r="F380" s="12">
        <f>INDEX('PEDIDO JULIO'!A33:M43,1,13)</f>
        <v>0</v>
      </c>
      <c r="G380" s="8">
        <f>IFERROR(VLOOKUP($B380,'[1]INSUMO POR SEDES MARZO PRUEBA'!$B$6:$CD$109,23,0),"NO BD")</f>
        <v>8955.7812000000013</v>
      </c>
      <c r="H380" s="8"/>
      <c r="I380" s="8">
        <f t="shared" si="29"/>
        <v>0</v>
      </c>
      <c r="J380" s="14">
        <f t="shared" si="30"/>
        <v>0</v>
      </c>
      <c r="K380" s="14">
        <f t="shared" si="31"/>
        <v>0</v>
      </c>
      <c r="L380" s="14">
        <f t="shared" si="32"/>
        <v>0</v>
      </c>
    </row>
    <row r="381" spans="1:12" ht="15">
      <c r="A381" s="3">
        <v>571</v>
      </c>
      <c r="B381" s="39">
        <v>159</v>
      </c>
      <c r="C381" s="7" t="s">
        <v>66</v>
      </c>
      <c r="D381" s="4" t="s">
        <v>70</v>
      </c>
      <c r="E381" s="6" t="s">
        <v>126</v>
      </c>
      <c r="F381" s="12">
        <f>INDEX('PEDIDO JULIO'!A33:M44,1,13)</f>
        <v>0</v>
      </c>
      <c r="G381" s="8">
        <f>IFERROR(VLOOKUP($B381,'[1]INSUMO POR SEDES MARZO PRUEBA'!$B$6:$CD$109,23,0),"NO BD")</f>
        <v>6716.8359</v>
      </c>
      <c r="H381" s="8"/>
      <c r="I381" s="8">
        <f t="shared" si="29"/>
        <v>0</v>
      </c>
      <c r="J381" s="14">
        <f t="shared" si="30"/>
        <v>0</v>
      </c>
      <c r="K381" s="14">
        <f t="shared" si="31"/>
        <v>0</v>
      </c>
      <c r="L381" s="14">
        <f t="shared" si="32"/>
        <v>0</v>
      </c>
    </row>
    <row r="382" spans="1:12" ht="15">
      <c r="A382" s="3">
        <v>572</v>
      </c>
      <c r="B382" s="39">
        <v>160</v>
      </c>
      <c r="C382" s="7" t="s">
        <v>66</v>
      </c>
      <c r="D382" s="4" t="s">
        <v>71</v>
      </c>
      <c r="E382" s="6" t="s">
        <v>126</v>
      </c>
      <c r="F382" s="12">
        <f>INDEX('PEDIDO JULIO'!A33:M44,1,13)</f>
        <v>0</v>
      </c>
      <c r="G382" s="8">
        <f>IFERROR(VLOOKUP($B382,'[1]INSUMO POR SEDES MARZO PRUEBA'!$B$6:$CD$109,23,0),"NO BD")</f>
        <v>3035.3931000000002</v>
      </c>
      <c r="H382" s="8"/>
      <c r="I382" s="8">
        <f t="shared" si="29"/>
        <v>0</v>
      </c>
      <c r="J382" s="14">
        <f t="shared" si="30"/>
        <v>0</v>
      </c>
      <c r="K382" s="14">
        <f t="shared" si="31"/>
        <v>0</v>
      </c>
      <c r="L382" s="14">
        <f t="shared" si="32"/>
        <v>0</v>
      </c>
    </row>
    <row r="383" spans="1:12" ht="15">
      <c r="A383" s="3">
        <v>573</v>
      </c>
      <c r="B383" s="39">
        <v>162</v>
      </c>
      <c r="C383" s="7" t="s">
        <v>66</v>
      </c>
      <c r="D383" s="4" t="s">
        <v>72</v>
      </c>
      <c r="E383" s="6" t="s">
        <v>126</v>
      </c>
      <c r="F383" s="12">
        <f>INDEX('PEDIDO JULIO'!A33:M44,1,13)</f>
        <v>0</v>
      </c>
      <c r="G383" s="8">
        <f>IFERROR(VLOOKUP($B383,'[1]INSUMO POR SEDES MARZO PRUEBA'!$B$6:$CD$109,23,0),"NO BD")</f>
        <v>4030.4798999999998</v>
      </c>
      <c r="H383" s="8"/>
      <c r="I383" s="8">
        <f t="shared" si="29"/>
        <v>0</v>
      </c>
      <c r="J383" s="14">
        <f t="shared" si="30"/>
        <v>0</v>
      </c>
      <c r="K383" s="14">
        <f t="shared" si="31"/>
        <v>0</v>
      </c>
      <c r="L383" s="14">
        <f t="shared" si="32"/>
        <v>0</v>
      </c>
    </row>
    <row r="384" spans="1:12" ht="15">
      <c r="A384" s="3">
        <v>574</v>
      </c>
      <c r="B384" s="39">
        <v>164</v>
      </c>
      <c r="C384" s="7" t="s">
        <v>158</v>
      </c>
      <c r="D384" s="4" t="s">
        <v>73</v>
      </c>
      <c r="E384" s="6" t="s">
        <v>126</v>
      </c>
      <c r="F384" s="12">
        <f>INDEX('PEDIDO JULIO'!A33:M44,1,13)</f>
        <v>0</v>
      </c>
      <c r="G384" s="8">
        <f>IFERROR(VLOOKUP($B384,'[1]INSUMO POR SEDES MARZO PRUEBA'!$B$6:$CD$109,23,0),"NO BD")</f>
        <v>0</v>
      </c>
      <c r="H384" s="8"/>
      <c r="I384" s="8">
        <f t="shared" si="29"/>
        <v>0</v>
      </c>
      <c r="J384" s="14">
        <f t="shared" si="30"/>
        <v>0</v>
      </c>
      <c r="K384" s="14">
        <f t="shared" si="31"/>
        <v>0</v>
      </c>
      <c r="L384" s="14">
        <f t="shared" si="32"/>
        <v>0</v>
      </c>
    </row>
    <row r="385" spans="1:12" ht="15">
      <c r="A385" s="3">
        <v>575</v>
      </c>
      <c r="B385" s="39">
        <v>169</v>
      </c>
      <c r="C385" s="7" t="s">
        <v>158</v>
      </c>
      <c r="D385" s="4" t="s">
        <v>74</v>
      </c>
      <c r="E385" s="6" t="s">
        <v>126</v>
      </c>
      <c r="F385" s="12">
        <f>INDEX('PEDIDO JULIO'!A33:M45,1,13)</f>
        <v>0</v>
      </c>
      <c r="G385" s="8">
        <f>IFERROR(VLOOKUP($B385,'[1]INSUMO POR SEDES MARZO PRUEBA'!$B$6:$CD$109,23,0),"NO BD")</f>
        <v>0</v>
      </c>
      <c r="H385" s="8"/>
      <c r="I385" s="8">
        <f t="shared" si="29"/>
        <v>0</v>
      </c>
      <c r="J385" s="14">
        <f t="shared" si="30"/>
        <v>0</v>
      </c>
      <c r="K385" s="14">
        <f t="shared" si="31"/>
        <v>0</v>
      </c>
      <c r="L385" s="14">
        <f t="shared" si="32"/>
        <v>0</v>
      </c>
    </row>
    <row r="386" spans="1:12" ht="15">
      <c r="A386" s="3">
        <v>576</v>
      </c>
      <c r="B386" s="39">
        <v>170</v>
      </c>
      <c r="C386" s="7" t="s">
        <v>158</v>
      </c>
      <c r="D386" s="4" t="s">
        <v>75</v>
      </c>
      <c r="E386" s="6" t="s">
        <v>126</v>
      </c>
      <c r="F386" s="12">
        <f>INDEX('PEDIDO JULIO'!A33:M46,1,13)</f>
        <v>0</v>
      </c>
      <c r="G386" s="8">
        <f>IFERROR(VLOOKUP($B386,'[1]INSUMO POR SEDES MARZO PRUEBA'!$B$6:$CD$109,23,0),"NO BD")</f>
        <v>45575.353799999997</v>
      </c>
      <c r="H386" s="8"/>
      <c r="I386" s="8">
        <f t="shared" si="29"/>
        <v>0</v>
      </c>
      <c r="J386" s="14">
        <f t="shared" si="30"/>
        <v>0</v>
      </c>
      <c r="K386" s="14">
        <f t="shared" si="31"/>
        <v>0</v>
      </c>
      <c r="L386" s="14">
        <f t="shared" si="32"/>
        <v>0</v>
      </c>
    </row>
    <row r="387" spans="1:12" ht="15">
      <c r="A387" s="3">
        <v>577</v>
      </c>
      <c r="B387" s="39">
        <v>174</v>
      </c>
      <c r="C387" s="7" t="s">
        <v>158</v>
      </c>
      <c r="D387" s="4" t="s">
        <v>76</v>
      </c>
      <c r="E387" s="6" t="s">
        <v>126</v>
      </c>
      <c r="F387" s="12">
        <f>INDEX('PEDIDO JULIO'!A33:M47,1,13)</f>
        <v>0</v>
      </c>
      <c r="G387" s="8">
        <f>IFERROR(VLOOKUP($B387,'[1]INSUMO POR SEDES MARZO PRUEBA'!$B$6:$CD$109,23,0),"NO BD")</f>
        <v>10050.1875</v>
      </c>
      <c r="H387" s="8"/>
      <c r="I387" s="8">
        <f t="shared" si="29"/>
        <v>0</v>
      </c>
      <c r="J387" s="14">
        <f t="shared" si="30"/>
        <v>0</v>
      </c>
      <c r="K387" s="14">
        <f t="shared" si="31"/>
        <v>0</v>
      </c>
      <c r="L387" s="14">
        <f t="shared" si="32"/>
        <v>0</v>
      </c>
    </row>
    <row r="388" spans="1:12" ht="15">
      <c r="A388" s="3">
        <v>578</v>
      </c>
      <c r="B388" s="39">
        <v>192</v>
      </c>
      <c r="C388" s="7" t="s">
        <v>158</v>
      </c>
      <c r="D388" s="4" t="s">
        <v>77</v>
      </c>
      <c r="E388" s="6" t="s">
        <v>126</v>
      </c>
      <c r="F388" s="12">
        <f>INDEX('PEDIDO JULIO'!A33:M47,1,13)</f>
        <v>0</v>
      </c>
      <c r="G388" s="8">
        <f>IFERROR(VLOOKUP($B388,'[1]INSUMO POR SEDES MARZO PRUEBA'!$B$6:$CD$109,23,0),"NO BD")</f>
        <v>6866.2880999999998</v>
      </c>
      <c r="H388" s="8"/>
      <c r="I388" s="8">
        <f t="shared" si="29"/>
        <v>0</v>
      </c>
      <c r="J388" s="14">
        <f t="shared" ref="J388:J412" si="33">+I388*10%</f>
        <v>0</v>
      </c>
      <c r="K388" s="14">
        <f t="shared" ref="K388:K412" si="34">+J388*19%</f>
        <v>0</v>
      </c>
      <c r="L388" s="14">
        <f t="shared" ref="L388:L412" si="35">SUM(I388:K388)</f>
        <v>0</v>
      </c>
    </row>
    <row r="389" spans="1:12" ht="15">
      <c r="A389" s="3">
        <v>579</v>
      </c>
      <c r="B389" s="39">
        <v>195</v>
      </c>
      <c r="C389" s="7" t="s">
        <v>158</v>
      </c>
      <c r="D389" s="4" t="s">
        <v>78</v>
      </c>
      <c r="E389" s="6" t="s">
        <v>126</v>
      </c>
      <c r="F389" s="12">
        <f>INDEX('PEDIDO JULIO'!A33:M47,1,13)</f>
        <v>0</v>
      </c>
      <c r="G389" s="8">
        <f>IFERROR(VLOOKUP($B389,'[1]INSUMO POR SEDES MARZO PRUEBA'!$B$6:$CD$109,23,0),"NO BD")</f>
        <v>6431.0690000000004</v>
      </c>
      <c r="H389" s="8"/>
      <c r="I389" s="8">
        <f t="shared" si="29"/>
        <v>0</v>
      </c>
      <c r="J389" s="14">
        <f t="shared" si="33"/>
        <v>0</v>
      </c>
      <c r="K389" s="14">
        <f t="shared" si="34"/>
        <v>0</v>
      </c>
      <c r="L389" s="14">
        <f t="shared" si="35"/>
        <v>0</v>
      </c>
    </row>
    <row r="390" spans="1:12" ht="15">
      <c r="A390" s="3">
        <v>580</v>
      </c>
      <c r="B390" s="39">
        <v>204</v>
      </c>
      <c r="C390" s="7" t="s">
        <v>158</v>
      </c>
      <c r="D390" s="4" t="s">
        <v>79</v>
      </c>
      <c r="E390" s="6" t="s">
        <v>126</v>
      </c>
      <c r="F390" s="12">
        <f>INDEX('PEDIDO JULIO'!A33:M47,1,13)</f>
        <v>0</v>
      </c>
      <c r="G390" s="8">
        <f>IFERROR(VLOOKUP($B390,'[1]INSUMO POR SEDES MARZO PRUEBA'!$B$6:$CD$109,23,0),"NO BD")</f>
        <v>25673.6178</v>
      </c>
      <c r="H390" s="8"/>
      <c r="I390" s="8">
        <f t="shared" ref="I390:I453" si="36">+F390*G390</f>
        <v>0</v>
      </c>
      <c r="J390" s="14">
        <f t="shared" si="33"/>
        <v>0</v>
      </c>
      <c r="K390" s="14">
        <f t="shared" si="34"/>
        <v>0</v>
      </c>
      <c r="L390" s="14">
        <f t="shared" si="35"/>
        <v>0</v>
      </c>
    </row>
    <row r="391" spans="1:12" ht="15">
      <c r="A391" s="3">
        <v>581</v>
      </c>
      <c r="B391" s="39">
        <v>205</v>
      </c>
      <c r="C391" s="7" t="s">
        <v>158</v>
      </c>
      <c r="D391" s="4" t="s">
        <v>80</v>
      </c>
      <c r="E391" s="6" t="s">
        <v>126</v>
      </c>
      <c r="F391" s="12">
        <f>INDEX('PEDIDO JULIO'!A33:M47,1,13)</f>
        <v>0</v>
      </c>
      <c r="G391" s="8">
        <f>IFERROR(VLOOKUP($B391,'[1]INSUMO POR SEDES MARZO PRUEBA'!$B$6:$CD$109,23,0),"NO BD")</f>
        <v>32639.225399999996</v>
      </c>
      <c r="H391" s="8"/>
      <c r="I391" s="8">
        <f t="shared" si="36"/>
        <v>0</v>
      </c>
      <c r="J391" s="14">
        <f t="shared" si="33"/>
        <v>0</v>
      </c>
      <c r="K391" s="14">
        <f t="shared" si="34"/>
        <v>0</v>
      </c>
      <c r="L391" s="14">
        <f t="shared" si="35"/>
        <v>0</v>
      </c>
    </row>
    <row r="392" spans="1:12" ht="15">
      <c r="A392" s="3">
        <v>582</v>
      </c>
      <c r="B392" s="39">
        <v>207</v>
      </c>
      <c r="C392" s="7" t="s">
        <v>158</v>
      </c>
      <c r="D392" s="4" t="s">
        <v>81</v>
      </c>
      <c r="E392" s="6" t="s">
        <v>126</v>
      </c>
      <c r="F392" s="12">
        <f>INDEX('PEDIDO JULIO'!A33:M47,1,13)</f>
        <v>0</v>
      </c>
      <c r="G392" s="8">
        <f>IFERROR(VLOOKUP($B392,'[1]INSUMO POR SEDES MARZO PRUEBA'!$B$6:$CD$109,23,0),"NO BD")</f>
        <v>0</v>
      </c>
      <c r="H392" s="8"/>
      <c r="I392" s="8">
        <f t="shared" si="36"/>
        <v>0</v>
      </c>
      <c r="J392" s="14">
        <f t="shared" si="33"/>
        <v>0</v>
      </c>
      <c r="K392" s="14">
        <f t="shared" si="34"/>
        <v>0</v>
      </c>
      <c r="L392" s="14">
        <f t="shared" si="35"/>
        <v>0</v>
      </c>
    </row>
    <row r="393" spans="1:12" ht="15">
      <c r="A393" s="3">
        <v>583</v>
      </c>
      <c r="B393" s="39">
        <v>212</v>
      </c>
      <c r="C393" s="7" t="s">
        <v>158</v>
      </c>
      <c r="D393" s="4" t="s">
        <v>82</v>
      </c>
      <c r="E393" s="6" t="s">
        <v>126</v>
      </c>
      <c r="F393" s="12">
        <f>INDEX('PEDIDO JULIO'!A33:M47,1,13)</f>
        <v>0</v>
      </c>
      <c r="G393" s="8">
        <f>IFERROR(VLOOKUP($B393,'[1]INSUMO POR SEDES MARZO PRUEBA'!$B$6:$CD$109,23,0),"NO BD")</f>
        <v>0</v>
      </c>
      <c r="H393" s="8"/>
      <c r="I393" s="8">
        <f t="shared" si="36"/>
        <v>0</v>
      </c>
      <c r="J393" s="14">
        <f t="shared" si="33"/>
        <v>0</v>
      </c>
      <c r="K393" s="14">
        <f t="shared" si="34"/>
        <v>0</v>
      </c>
      <c r="L393" s="14">
        <f t="shared" si="35"/>
        <v>0</v>
      </c>
    </row>
    <row r="394" spans="1:12" ht="15">
      <c r="A394" s="3">
        <v>584</v>
      </c>
      <c r="B394" s="39">
        <v>218</v>
      </c>
      <c r="C394" s="7" t="s">
        <v>158</v>
      </c>
      <c r="D394" s="4" t="s">
        <v>83</v>
      </c>
      <c r="E394" s="6" t="s">
        <v>126</v>
      </c>
      <c r="F394" s="12">
        <f>INDEX('PEDIDO JULIO'!A33:M47,1,13)</f>
        <v>0</v>
      </c>
      <c r="G394" s="8">
        <f>IFERROR(VLOOKUP($B394,'[1]INSUMO POR SEDES MARZO PRUEBA'!$B$6:$CD$109,23,0),"NO BD")</f>
        <v>2587.0365000000002</v>
      </c>
      <c r="H394" s="8"/>
      <c r="I394" s="8">
        <f t="shared" si="36"/>
        <v>0</v>
      </c>
      <c r="J394" s="14">
        <f t="shared" si="33"/>
        <v>0</v>
      </c>
      <c r="K394" s="14">
        <f t="shared" si="34"/>
        <v>0</v>
      </c>
      <c r="L394" s="14">
        <f t="shared" si="35"/>
        <v>0</v>
      </c>
    </row>
    <row r="395" spans="1:12" ht="15">
      <c r="A395" s="3">
        <v>585</v>
      </c>
      <c r="B395" s="39">
        <v>251</v>
      </c>
      <c r="C395" s="7" t="s">
        <v>158</v>
      </c>
      <c r="D395" s="4" t="s">
        <v>84</v>
      </c>
      <c r="E395" s="6" t="s">
        <v>126</v>
      </c>
      <c r="F395" s="12">
        <f>INDEX('PEDIDO JULIO'!A33:M47,1,13)</f>
        <v>0</v>
      </c>
      <c r="G395" s="8">
        <f>IFERROR(VLOOKUP($B395,'[1]INSUMO POR SEDES MARZO PRUEBA'!$B$6:$CD$109,23,0),"NO BD")</f>
        <v>0</v>
      </c>
      <c r="H395" s="8"/>
      <c r="I395" s="8">
        <f t="shared" si="36"/>
        <v>0</v>
      </c>
      <c r="J395" s="14">
        <f t="shared" si="33"/>
        <v>0</v>
      </c>
      <c r="K395" s="14">
        <f t="shared" si="34"/>
        <v>0</v>
      </c>
      <c r="L395" s="14">
        <f t="shared" si="35"/>
        <v>0</v>
      </c>
    </row>
    <row r="396" spans="1:12" ht="15">
      <c r="A396" s="3">
        <v>625</v>
      </c>
      <c r="B396" s="26">
        <v>3</v>
      </c>
      <c r="C396" s="7" t="s">
        <v>155</v>
      </c>
      <c r="D396" s="4" t="s">
        <v>5</v>
      </c>
      <c r="E396" s="6" t="s">
        <v>127</v>
      </c>
      <c r="F396" s="12">
        <f>INDEX('PEDIDO JULIO'!A10:N32,1,14)</f>
        <v>0</v>
      </c>
      <c r="G396" s="8">
        <f>IFERROR(VLOOKUP($B396,'[1]INSUMO POR SEDES MARZO PRUEBA'!$B$6:$CD$109,26,0),"NO BD")</f>
        <v>7268.7160000000003</v>
      </c>
      <c r="H396" s="8"/>
      <c r="I396" s="8">
        <f t="shared" si="36"/>
        <v>0</v>
      </c>
      <c r="J396" s="14">
        <f t="shared" si="33"/>
        <v>0</v>
      </c>
      <c r="K396" s="14">
        <f t="shared" si="34"/>
        <v>0</v>
      </c>
      <c r="L396" s="14">
        <f t="shared" si="35"/>
        <v>0</v>
      </c>
    </row>
    <row r="397" spans="1:12" ht="15">
      <c r="A397" s="3">
        <v>626</v>
      </c>
      <c r="B397" s="26">
        <v>5</v>
      </c>
      <c r="C397" s="7" t="s">
        <v>6</v>
      </c>
      <c r="D397" s="4" t="s">
        <v>7</v>
      </c>
      <c r="E397" s="6" t="s">
        <v>127</v>
      </c>
      <c r="F397" s="12">
        <f>INDEX('PEDIDO JULIO'!A10:N32,1,14)</f>
        <v>0</v>
      </c>
      <c r="G397" s="8">
        <f>IFERROR(VLOOKUP($B397,'[1]INSUMO POR SEDES MARZO PRUEBA'!$B$6:$CD$109,26,0),"NO BD")</f>
        <v>0</v>
      </c>
      <c r="H397" s="8"/>
      <c r="I397" s="8">
        <f t="shared" si="36"/>
        <v>0</v>
      </c>
      <c r="J397" s="14">
        <f t="shared" si="33"/>
        <v>0</v>
      </c>
      <c r="K397" s="14">
        <f t="shared" si="34"/>
        <v>0</v>
      </c>
      <c r="L397" s="14">
        <f t="shared" si="35"/>
        <v>0</v>
      </c>
    </row>
    <row r="398" spans="1:12" ht="15">
      <c r="A398" s="3">
        <v>627</v>
      </c>
      <c r="B398" s="26">
        <v>8</v>
      </c>
      <c r="C398" s="7" t="s">
        <v>6</v>
      </c>
      <c r="D398" s="4" t="s">
        <v>8</v>
      </c>
      <c r="E398" s="6" t="s">
        <v>127</v>
      </c>
      <c r="F398" s="12">
        <f>INDEX('PEDIDO JULIO'!A10:N33,1,14)</f>
        <v>0</v>
      </c>
      <c r="G398" s="8">
        <f>IFERROR(VLOOKUP($B398,'[1]INSUMO POR SEDES MARZO PRUEBA'!$B$6:$CD$109,26,0),"NO BD")</f>
        <v>2211.3040000000001</v>
      </c>
      <c r="H398" s="8"/>
      <c r="I398" s="8">
        <f t="shared" si="36"/>
        <v>0</v>
      </c>
      <c r="J398" s="14">
        <f t="shared" si="33"/>
        <v>0</v>
      </c>
      <c r="K398" s="14">
        <f t="shared" si="34"/>
        <v>0</v>
      </c>
      <c r="L398" s="14">
        <f t="shared" si="35"/>
        <v>0</v>
      </c>
    </row>
    <row r="399" spans="1:12" ht="15">
      <c r="A399" s="3">
        <v>628</v>
      </c>
      <c r="B399" s="26">
        <v>9</v>
      </c>
      <c r="C399" s="7" t="s">
        <v>9</v>
      </c>
      <c r="D399" s="4" t="s">
        <v>10</v>
      </c>
      <c r="E399" s="6" t="s">
        <v>127</v>
      </c>
      <c r="F399" s="12">
        <f>INDEX('PEDIDO JULIO'!A10:N33,1,14)</f>
        <v>0</v>
      </c>
      <c r="G399" s="8">
        <f>IFERROR(VLOOKUP($B399,'[1]INSUMO POR SEDES MARZO PRUEBA'!$B$6:$CD$109,26,0),"NO BD")</f>
        <v>0</v>
      </c>
      <c r="H399" s="8"/>
      <c r="I399" s="8">
        <f t="shared" si="36"/>
        <v>0</v>
      </c>
      <c r="J399" s="14">
        <f t="shared" si="33"/>
        <v>0</v>
      </c>
      <c r="K399" s="14">
        <f t="shared" si="34"/>
        <v>0</v>
      </c>
      <c r="L399" s="14">
        <f t="shared" si="35"/>
        <v>0</v>
      </c>
    </row>
    <row r="400" spans="1:12" ht="15">
      <c r="A400" s="3">
        <v>629</v>
      </c>
      <c r="B400" s="26">
        <v>13</v>
      </c>
      <c r="C400" s="7" t="s">
        <v>156</v>
      </c>
      <c r="D400" s="5" t="s">
        <v>11</v>
      </c>
      <c r="E400" s="6" t="s">
        <v>127</v>
      </c>
      <c r="F400" s="12">
        <f>INDEX('PEDIDO JULIO'!A11:N33,1,14)</f>
        <v>0</v>
      </c>
      <c r="G400" s="8">
        <f>IFERROR(VLOOKUP($B400,'[1]INSUMO POR SEDES MARZO PRUEBA'!$B$6:$CD$109,26,0),"NO BD")</f>
        <v>6507.7919999999995</v>
      </c>
      <c r="H400" s="8"/>
      <c r="I400" s="8">
        <f t="shared" si="36"/>
        <v>0</v>
      </c>
      <c r="J400" s="14">
        <f t="shared" si="33"/>
        <v>0</v>
      </c>
      <c r="K400" s="14">
        <f t="shared" si="34"/>
        <v>0</v>
      </c>
      <c r="L400" s="14">
        <f t="shared" si="35"/>
        <v>0</v>
      </c>
    </row>
    <row r="401" spans="1:12" ht="27">
      <c r="A401" s="3">
        <v>630</v>
      </c>
      <c r="B401" s="26">
        <v>17</v>
      </c>
      <c r="C401" s="7" t="s">
        <v>157</v>
      </c>
      <c r="D401" s="4" t="s">
        <v>12</v>
      </c>
      <c r="E401" s="6" t="s">
        <v>127</v>
      </c>
      <c r="F401" s="12">
        <f>INDEX('PEDIDO JULIO'!A12:N33,1,14)</f>
        <v>0</v>
      </c>
      <c r="G401" s="8">
        <f>IFERROR(VLOOKUP($B401,'[1]INSUMO POR SEDES MARZO PRUEBA'!$B$6:$CD$109,26,0),"NO BD")</f>
        <v>5647.0229999999992</v>
      </c>
      <c r="H401" s="8"/>
      <c r="I401" s="8">
        <f t="shared" si="36"/>
        <v>0</v>
      </c>
      <c r="J401" s="14">
        <f t="shared" si="33"/>
        <v>0</v>
      </c>
      <c r="K401" s="14">
        <f t="shared" si="34"/>
        <v>0</v>
      </c>
      <c r="L401" s="14">
        <f t="shared" si="35"/>
        <v>0</v>
      </c>
    </row>
    <row r="402" spans="1:12" ht="15">
      <c r="A402" s="3">
        <v>631</v>
      </c>
      <c r="B402" s="31">
        <v>20</v>
      </c>
      <c r="C402" s="7" t="s">
        <v>13</v>
      </c>
      <c r="D402" s="4" t="s">
        <v>14</v>
      </c>
      <c r="E402" s="6" t="s">
        <v>127</v>
      </c>
      <c r="F402" s="12">
        <f>INDEX('PEDIDO JULIO'!A12:N33,1,14)</f>
        <v>0</v>
      </c>
      <c r="G402" s="8">
        <f>IFERROR(VLOOKUP($B402,'[1]INSUMO POR SEDES MARZO PRUEBA'!$B$6:$CD$109,26,0),"NO BD")</f>
        <v>0</v>
      </c>
      <c r="H402" s="8"/>
      <c r="I402" s="8">
        <f t="shared" si="36"/>
        <v>0</v>
      </c>
      <c r="J402" s="14">
        <f t="shared" si="33"/>
        <v>0</v>
      </c>
      <c r="K402" s="14">
        <f t="shared" si="34"/>
        <v>0</v>
      </c>
      <c r="L402" s="14">
        <f t="shared" si="35"/>
        <v>0</v>
      </c>
    </row>
    <row r="403" spans="1:12" ht="27">
      <c r="A403" s="3">
        <v>632</v>
      </c>
      <c r="B403" s="26">
        <v>21</v>
      </c>
      <c r="C403" s="7" t="s">
        <v>13</v>
      </c>
      <c r="D403" s="4" t="s">
        <v>15</v>
      </c>
      <c r="E403" s="6" t="s">
        <v>127</v>
      </c>
      <c r="F403" s="12">
        <f>INDEX('PEDIDO JULIO'!A13:N34,1,14)</f>
        <v>0</v>
      </c>
      <c r="G403" s="8">
        <f>IFERROR(VLOOKUP($B403,'[1]INSUMO POR SEDES MARZO PRUEBA'!$B$6:$CD$109,26,0),"NO BD")</f>
        <v>5932.8950000000013</v>
      </c>
      <c r="H403" s="8"/>
      <c r="I403" s="8">
        <f t="shared" si="36"/>
        <v>0</v>
      </c>
      <c r="J403" s="14">
        <f t="shared" si="33"/>
        <v>0</v>
      </c>
      <c r="K403" s="14">
        <f t="shared" si="34"/>
        <v>0</v>
      </c>
      <c r="L403" s="14">
        <f t="shared" si="35"/>
        <v>0</v>
      </c>
    </row>
    <row r="404" spans="1:12" ht="15">
      <c r="A404" s="3">
        <v>633</v>
      </c>
      <c r="B404" s="26">
        <v>28</v>
      </c>
      <c r="C404" s="7" t="s">
        <v>16</v>
      </c>
      <c r="D404" s="4" t="s">
        <v>17</v>
      </c>
      <c r="E404" s="6" t="s">
        <v>127</v>
      </c>
      <c r="F404" s="12">
        <f>INDEX('PEDIDO JULIO'!A14:N34,1,14)</f>
        <v>0</v>
      </c>
      <c r="G404" s="8">
        <f>IFERROR(VLOOKUP($B404,'[1]INSUMO POR SEDES MARZO PRUEBA'!$B$6:$CD$109,26,0),"NO BD")</f>
        <v>2764.13</v>
      </c>
      <c r="H404" s="8"/>
      <c r="I404" s="8">
        <f t="shared" si="36"/>
        <v>0</v>
      </c>
      <c r="J404" s="14">
        <f t="shared" si="33"/>
        <v>0</v>
      </c>
      <c r="K404" s="14">
        <f t="shared" si="34"/>
        <v>0</v>
      </c>
      <c r="L404" s="14">
        <f t="shared" si="35"/>
        <v>0</v>
      </c>
    </row>
    <row r="405" spans="1:12" ht="27">
      <c r="A405" s="3">
        <v>634</v>
      </c>
      <c r="B405" s="26">
        <v>29</v>
      </c>
      <c r="C405" s="7" t="s">
        <v>18</v>
      </c>
      <c r="D405" s="4" t="s">
        <v>19</v>
      </c>
      <c r="E405" s="6" t="s">
        <v>127</v>
      </c>
      <c r="F405" s="12">
        <f>INDEX('PEDIDO JULIO'!A15:N34,1,14)</f>
        <v>0</v>
      </c>
      <c r="G405" s="8">
        <f>IFERROR(VLOOKUP($B405,'[1]INSUMO POR SEDES MARZO PRUEBA'!$B$6:$CD$109,26,0),"NO BD")</f>
        <v>4829.3450000000012</v>
      </c>
      <c r="H405" s="8"/>
      <c r="I405" s="8">
        <f t="shared" si="36"/>
        <v>0</v>
      </c>
      <c r="J405" s="14">
        <f t="shared" si="33"/>
        <v>0</v>
      </c>
      <c r="K405" s="14">
        <f t="shared" si="34"/>
        <v>0</v>
      </c>
      <c r="L405" s="14">
        <f t="shared" si="35"/>
        <v>0</v>
      </c>
    </row>
    <row r="406" spans="1:12" ht="27">
      <c r="A406" s="3">
        <v>635</v>
      </c>
      <c r="B406" s="26">
        <v>32</v>
      </c>
      <c r="C406" s="7" t="s">
        <v>20</v>
      </c>
      <c r="D406" s="4" t="s">
        <v>21</v>
      </c>
      <c r="E406" s="6" t="s">
        <v>127</v>
      </c>
      <c r="F406" s="12">
        <f>INDEX('PEDIDO JULIO'!A16:N34,1,14)</f>
        <v>0</v>
      </c>
      <c r="G406" s="8">
        <f>IFERROR(VLOOKUP($B406,'[1]INSUMO POR SEDES MARZO PRUEBA'!$B$6:$CD$109,26,0),"NO BD")</f>
        <v>4115.7160000000003</v>
      </c>
      <c r="H406" s="8"/>
      <c r="I406" s="8">
        <f t="shared" si="36"/>
        <v>0</v>
      </c>
      <c r="J406" s="14">
        <f t="shared" si="33"/>
        <v>0</v>
      </c>
      <c r="K406" s="14">
        <f t="shared" si="34"/>
        <v>0</v>
      </c>
      <c r="L406" s="14">
        <f t="shared" si="35"/>
        <v>0</v>
      </c>
    </row>
    <row r="407" spans="1:12" ht="27">
      <c r="A407" s="3">
        <v>636</v>
      </c>
      <c r="B407" s="26">
        <v>38</v>
      </c>
      <c r="C407" s="7" t="s">
        <v>22</v>
      </c>
      <c r="D407" s="4" t="s">
        <v>23</v>
      </c>
      <c r="E407" s="6" t="s">
        <v>127</v>
      </c>
      <c r="F407" s="12">
        <f>INDEX('PEDIDO JULIO'!A17:N34,1,14)</f>
        <v>0</v>
      </c>
      <c r="G407" s="8">
        <f>IFERROR(VLOOKUP($B407,'[1]INSUMO POR SEDES MARZO PRUEBA'!$B$6:$CD$109,26,0),"NO BD")</f>
        <v>11100.662</v>
      </c>
      <c r="H407" s="8"/>
      <c r="I407" s="8">
        <f t="shared" si="36"/>
        <v>0</v>
      </c>
      <c r="J407" s="14">
        <f t="shared" si="33"/>
        <v>0</v>
      </c>
      <c r="K407" s="14">
        <f t="shared" si="34"/>
        <v>0</v>
      </c>
      <c r="L407" s="14">
        <f t="shared" si="35"/>
        <v>0</v>
      </c>
    </row>
    <row r="408" spans="1:12" ht="15">
      <c r="A408" s="3">
        <v>637</v>
      </c>
      <c r="B408" s="26">
        <v>44</v>
      </c>
      <c r="C408" s="7" t="s">
        <v>18</v>
      </c>
      <c r="D408" s="4" t="s">
        <v>24</v>
      </c>
      <c r="E408" s="6" t="s">
        <v>127</v>
      </c>
      <c r="F408" s="12">
        <f>INDEX('PEDIDO JULIO'!A17:N34,1,14)</f>
        <v>0</v>
      </c>
      <c r="G408" s="8">
        <f>IFERROR(VLOOKUP($B408,'[1]INSUMO POR SEDES MARZO PRUEBA'!$B$6:$CD$109,26,0),"NO BD")</f>
        <v>0</v>
      </c>
      <c r="H408" s="8"/>
      <c r="I408" s="8">
        <f t="shared" si="36"/>
        <v>0</v>
      </c>
      <c r="J408" s="14">
        <f t="shared" si="33"/>
        <v>0</v>
      </c>
      <c r="K408" s="14">
        <f t="shared" si="34"/>
        <v>0</v>
      </c>
      <c r="L408" s="14">
        <f t="shared" si="35"/>
        <v>0</v>
      </c>
    </row>
    <row r="409" spans="1:12" ht="27">
      <c r="A409" s="3">
        <v>638</v>
      </c>
      <c r="B409" s="26">
        <v>50</v>
      </c>
      <c r="C409" s="7" t="s">
        <v>155</v>
      </c>
      <c r="D409" s="4" t="s">
        <v>25</v>
      </c>
      <c r="E409" s="6" t="s">
        <v>127</v>
      </c>
      <c r="F409" s="12">
        <f>INDEX('PEDIDO JULIO'!A18:N35,1,14)</f>
        <v>0</v>
      </c>
      <c r="G409" s="8">
        <f>IFERROR(VLOOKUP($B409,'[1]INSUMO POR SEDES MARZO PRUEBA'!$B$6:$CD$109,26,0),"NO BD")</f>
        <v>0</v>
      </c>
      <c r="H409" s="8"/>
      <c r="I409" s="8">
        <f t="shared" si="36"/>
        <v>0</v>
      </c>
      <c r="J409" s="14">
        <f t="shared" si="33"/>
        <v>0</v>
      </c>
      <c r="K409" s="14">
        <f t="shared" si="34"/>
        <v>0</v>
      </c>
      <c r="L409" s="14">
        <f t="shared" si="35"/>
        <v>0</v>
      </c>
    </row>
    <row r="410" spans="1:12" ht="27">
      <c r="A410" s="3">
        <v>639</v>
      </c>
      <c r="B410" s="26">
        <v>52</v>
      </c>
      <c r="C410" s="7" t="s">
        <v>16</v>
      </c>
      <c r="D410" s="4" t="s">
        <v>26</v>
      </c>
      <c r="E410" s="6" t="s">
        <v>127</v>
      </c>
      <c r="F410" s="12">
        <f>INDEX('PEDIDO JULIO'!A18:N35,1,14)</f>
        <v>0</v>
      </c>
      <c r="G410" s="8">
        <f>IFERROR(VLOOKUP($B410,'[1]INSUMO POR SEDES MARZO PRUEBA'!$B$6:$CD$109,26,0),"NO BD")</f>
        <v>0</v>
      </c>
      <c r="H410" s="8"/>
      <c r="I410" s="8">
        <f t="shared" si="36"/>
        <v>0</v>
      </c>
      <c r="J410" s="14">
        <f t="shared" si="33"/>
        <v>0</v>
      </c>
      <c r="K410" s="14">
        <f t="shared" si="34"/>
        <v>0</v>
      </c>
      <c r="L410" s="14">
        <f t="shared" si="35"/>
        <v>0</v>
      </c>
    </row>
    <row r="411" spans="1:12" ht="15">
      <c r="A411" s="3">
        <v>640</v>
      </c>
      <c r="B411" s="26">
        <v>57</v>
      </c>
      <c r="C411" s="7" t="s">
        <v>27</v>
      </c>
      <c r="D411" s="4" t="s">
        <v>28</v>
      </c>
      <c r="E411" s="6" t="s">
        <v>127</v>
      </c>
      <c r="F411" s="12">
        <f>INDEX('PEDIDO JULIO'!A18:N35,1,14)</f>
        <v>0</v>
      </c>
      <c r="G411" s="8">
        <f>IFERROR(VLOOKUP($B411,'[1]INSUMO POR SEDES MARZO PRUEBA'!$B$6:$CD$109,26,0),"NO BD")</f>
        <v>12823.251000000004</v>
      </c>
      <c r="H411" s="8"/>
      <c r="I411" s="8">
        <f t="shared" si="36"/>
        <v>0</v>
      </c>
      <c r="J411" s="14">
        <f t="shared" si="33"/>
        <v>0</v>
      </c>
      <c r="K411" s="14">
        <f t="shared" si="34"/>
        <v>0</v>
      </c>
      <c r="L411" s="14">
        <f t="shared" si="35"/>
        <v>0</v>
      </c>
    </row>
    <row r="412" spans="1:12" ht="15">
      <c r="A412" s="3">
        <v>641</v>
      </c>
      <c r="B412" s="26">
        <v>59</v>
      </c>
      <c r="C412" s="7" t="s">
        <v>13</v>
      </c>
      <c r="D412" s="4" t="s">
        <v>29</v>
      </c>
      <c r="E412" s="6" t="s">
        <v>127</v>
      </c>
      <c r="F412" s="12">
        <f>INDEX('PEDIDO JULIO'!A19:N35,1,14)</f>
        <v>3</v>
      </c>
      <c r="G412" s="8">
        <f>IFERROR(VLOOKUP($B412,'[1]INSUMO POR SEDES MARZO PRUEBA'!$B$6:$CD$109,26,0),"NO BD")</f>
        <v>0</v>
      </c>
      <c r="H412" s="8"/>
      <c r="I412" s="8">
        <f t="shared" si="36"/>
        <v>0</v>
      </c>
      <c r="J412" s="14">
        <f t="shared" si="33"/>
        <v>0</v>
      </c>
      <c r="K412" s="14">
        <f t="shared" si="34"/>
        <v>0</v>
      </c>
      <c r="L412" s="14">
        <f t="shared" si="35"/>
        <v>0</v>
      </c>
    </row>
    <row r="413" spans="1:12" ht="15">
      <c r="A413" s="3">
        <v>642</v>
      </c>
      <c r="B413" s="26">
        <v>62</v>
      </c>
      <c r="C413" s="7" t="s">
        <v>13</v>
      </c>
      <c r="D413" s="4" t="s">
        <v>30</v>
      </c>
      <c r="E413" s="6" t="s">
        <v>127</v>
      </c>
      <c r="F413" s="12">
        <f>INDEX('PEDIDO JULIO'!A19:N35,1,14)</f>
        <v>3</v>
      </c>
      <c r="G413" s="8">
        <f>IFERROR(VLOOKUP($B413,'[1]INSUMO POR SEDES MARZO PRUEBA'!$B$6:$CD$109,26,0),"NO BD")</f>
        <v>10100.3202</v>
      </c>
      <c r="H413" s="8"/>
      <c r="I413" s="8">
        <f t="shared" si="36"/>
        <v>30300.960599999999</v>
      </c>
      <c r="J413" s="14">
        <f t="shared" ref="J413:J460" si="37">+I413*10%</f>
        <v>3030.0960599999999</v>
      </c>
      <c r="K413" s="14">
        <f t="shared" ref="K413:K460" si="38">+J413*19%</f>
        <v>575.71825139999999</v>
      </c>
      <c r="L413" s="14">
        <f t="shared" ref="L413:L460" si="39">SUM(I413:K413)</f>
        <v>33906.774911400003</v>
      </c>
    </row>
    <row r="414" spans="1:12" ht="15">
      <c r="A414" s="3">
        <v>643</v>
      </c>
      <c r="B414" s="26">
        <v>63</v>
      </c>
      <c r="C414" s="7" t="s">
        <v>13</v>
      </c>
      <c r="D414" s="4" t="s">
        <v>31</v>
      </c>
      <c r="E414" s="6" t="s">
        <v>127</v>
      </c>
      <c r="F414" s="12">
        <f>INDEX('PEDIDO JULIO'!A20:N35,1,14)</f>
        <v>3</v>
      </c>
      <c r="G414" s="8">
        <f>IFERROR(VLOOKUP($B414,'[1]INSUMO POR SEDES MARZO PRUEBA'!$B$6:$CD$109,26,0),"NO BD")</f>
        <v>11443.4982</v>
      </c>
      <c r="H414" s="8"/>
      <c r="I414" s="8">
        <f t="shared" si="36"/>
        <v>34330.494599999998</v>
      </c>
      <c r="J414" s="14">
        <f t="shared" si="37"/>
        <v>3433.0494600000002</v>
      </c>
      <c r="K414" s="14">
        <f t="shared" si="38"/>
        <v>652.27939739999999</v>
      </c>
      <c r="L414" s="14">
        <f t="shared" si="39"/>
        <v>38415.823457400002</v>
      </c>
    </row>
    <row r="415" spans="1:12" ht="15">
      <c r="A415" s="3">
        <v>644</v>
      </c>
      <c r="B415" s="26">
        <v>64</v>
      </c>
      <c r="C415" s="7" t="s">
        <v>13</v>
      </c>
      <c r="D415" s="4" t="s">
        <v>32</v>
      </c>
      <c r="E415" s="6" t="s">
        <v>127</v>
      </c>
      <c r="F415" s="12">
        <f>INDEX('PEDIDO JULIO'!A20:N35,1,14)</f>
        <v>3</v>
      </c>
      <c r="G415" s="8">
        <f>IFERROR(VLOOKUP($B415,'[1]INSUMO POR SEDES MARZO PRUEBA'!$B$6:$CD$109,26,0),"NO BD")</f>
        <v>0</v>
      </c>
      <c r="H415" s="8"/>
      <c r="I415" s="8">
        <f t="shared" si="36"/>
        <v>0</v>
      </c>
      <c r="J415" s="14">
        <f t="shared" si="37"/>
        <v>0</v>
      </c>
      <c r="K415" s="14">
        <f t="shared" si="38"/>
        <v>0</v>
      </c>
      <c r="L415" s="14">
        <f t="shared" si="39"/>
        <v>0</v>
      </c>
    </row>
    <row r="416" spans="1:12" ht="15">
      <c r="A416" s="3">
        <v>645</v>
      </c>
      <c r="B416" s="26">
        <v>65</v>
      </c>
      <c r="C416" s="7" t="s">
        <v>33</v>
      </c>
      <c r="D416" s="4" t="s">
        <v>34</v>
      </c>
      <c r="E416" s="6" t="s">
        <v>127</v>
      </c>
      <c r="F416" s="12">
        <f>INDEX('PEDIDO JULIO'!A21:N35,1,14)</f>
        <v>0</v>
      </c>
      <c r="G416" s="8">
        <f>IFERROR(VLOOKUP($B416,'[1]INSUMO POR SEDES MARZO PRUEBA'!$B$6:$CD$109,26,0),"NO BD")</f>
        <v>21295.046699999999</v>
      </c>
      <c r="H416" s="8"/>
      <c r="I416" s="8">
        <f t="shared" si="36"/>
        <v>0</v>
      </c>
      <c r="J416" s="14">
        <f t="shared" si="37"/>
        <v>0</v>
      </c>
      <c r="K416" s="14">
        <f t="shared" si="38"/>
        <v>0</v>
      </c>
      <c r="L416" s="14">
        <f t="shared" si="39"/>
        <v>0</v>
      </c>
    </row>
    <row r="417" spans="1:12" ht="15">
      <c r="A417" s="3">
        <v>646</v>
      </c>
      <c r="B417" s="26">
        <v>66</v>
      </c>
      <c r="C417" s="7" t="s">
        <v>16</v>
      </c>
      <c r="D417" s="4" t="s">
        <v>35</v>
      </c>
      <c r="E417" s="6" t="s">
        <v>127</v>
      </c>
      <c r="F417" s="12">
        <f>INDEX('PEDIDO JULIO'!A22:N35,1,14)</f>
        <v>2</v>
      </c>
      <c r="G417" s="8">
        <f>IFERROR(VLOOKUP($B417,'[1]INSUMO POR SEDES MARZO PRUEBA'!$B$6:$CD$109,26,0),"NO BD")</f>
        <v>2887.0970000000002</v>
      </c>
      <c r="H417" s="8"/>
      <c r="I417" s="8">
        <f t="shared" si="36"/>
        <v>5774.1940000000004</v>
      </c>
      <c r="J417" s="14">
        <f t="shared" si="37"/>
        <v>577.41940000000011</v>
      </c>
      <c r="K417" s="14">
        <f t="shared" si="38"/>
        <v>109.70968600000002</v>
      </c>
      <c r="L417" s="14">
        <f t="shared" si="39"/>
        <v>6461.3230860000003</v>
      </c>
    </row>
    <row r="418" spans="1:12" ht="15">
      <c r="A418" s="3">
        <v>647</v>
      </c>
      <c r="B418" s="26">
        <v>71</v>
      </c>
      <c r="C418" s="7" t="s">
        <v>36</v>
      </c>
      <c r="D418" s="4" t="s">
        <v>37</v>
      </c>
      <c r="E418" s="6" t="s">
        <v>127</v>
      </c>
      <c r="F418" s="12">
        <f>INDEX('PEDIDO JULIO'!A23:N36,1,14)</f>
        <v>2</v>
      </c>
      <c r="G418" s="8">
        <f>IFERROR(VLOOKUP($B418,'[1]INSUMO POR SEDES MARZO PRUEBA'!$B$6:$CD$109,26,0),"NO BD")</f>
        <v>7960.6944000000003</v>
      </c>
      <c r="H418" s="8"/>
      <c r="I418" s="8">
        <f t="shared" si="36"/>
        <v>15921.388800000001</v>
      </c>
      <c r="J418" s="14">
        <f t="shared" si="37"/>
        <v>1592.1388800000002</v>
      </c>
      <c r="K418" s="14">
        <f t="shared" si="38"/>
        <v>302.50638720000006</v>
      </c>
      <c r="L418" s="14">
        <f t="shared" si="39"/>
        <v>17816.034067199998</v>
      </c>
    </row>
    <row r="419" spans="1:12" ht="15">
      <c r="A419" s="3">
        <v>648</v>
      </c>
      <c r="B419" s="26">
        <v>72</v>
      </c>
      <c r="C419" s="7" t="s">
        <v>36</v>
      </c>
      <c r="D419" s="4" t="s">
        <v>38</v>
      </c>
      <c r="E419" s="6" t="s">
        <v>127</v>
      </c>
      <c r="F419" s="12">
        <f>INDEX('PEDIDO JULIO'!A23:N37,1,14)</f>
        <v>2</v>
      </c>
      <c r="G419" s="8">
        <f>IFERROR(VLOOKUP($B419,'[1]INSUMO POR SEDES MARZO PRUEBA'!$B$6:$CD$109,26,0),"NO BD")</f>
        <v>7861.3749000000007</v>
      </c>
      <c r="H419" s="8"/>
      <c r="I419" s="8">
        <f t="shared" si="36"/>
        <v>15722.749800000001</v>
      </c>
      <c r="J419" s="14">
        <f t="shared" si="37"/>
        <v>1572.2749800000001</v>
      </c>
      <c r="K419" s="14">
        <f t="shared" si="38"/>
        <v>298.73224620000002</v>
      </c>
      <c r="L419" s="14">
        <f t="shared" si="39"/>
        <v>17593.757026200001</v>
      </c>
    </row>
    <row r="420" spans="1:12" ht="15">
      <c r="A420" s="3">
        <v>649</v>
      </c>
      <c r="B420" s="26">
        <v>73</v>
      </c>
      <c r="C420" s="7" t="s">
        <v>39</v>
      </c>
      <c r="D420" s="4" t="s">
        <v>40</v>
      </c>
      <c r="E420" s="6" t="s">
        <v>127</v>
      </c>
      <c r="F420" s="12">
        <f>INDEX('PEDIDO JULIO'!A24:N37,1,14)</f>
        <v>6</v>
      </c>
      <c r="G420" s="8">
        <f>IFERROR(VLOOKUP($B420,'[1]INSUMO POR SEDES MARZO PRUEBA'!$B$6:$CD$109,26,0),"NO BD")</f>
        <v>4975.4340000000011</v>
      </c>
      <c r="H420" s="8"/>
      <c r="I420" s="8">
        <f t="shared" si="36"/>
        <v>29852.604000000007</v>
      </c>
      <c r="J420" s="14">
        <f t="shared" si="37"/>
        <v>2985.260400000001</v>
      </c>
      <c r="K420" s="14">
        <f t="shared" si="38"/>
        <v>567.19947600000023</v>
      </c>
      <c r="L420" s="14">
        <f t="shared" si="39"/>
        <v>33405.063876000007</v>
      </c>
    </row>
    <row r="421" spans="1:12" ht="15">
      <c r="A421" s="3">
        <v>650</v>
      </c>
      <c r="B421" s="26">
        <v>74</v>
      </c>
      <c r="C421" s="7" t="s">
        <v>39</v>
      </c>
      <c r="D421" s="4" t="s">
        <v>41</v>
      </c>
      <c r="E421" s="6" t="s">
        <v>127</v>
      </c>
      <c r="F421" s="12">
        <f>INDEX('PEDIDO JULIO'!A25:N37,1,14)</f>
        <v>0</v>
      </c>
      <c r="G421" s="8">
        <f>IFERROR(VLOOKUP($B421,'[1]INSUMO POR SEDES MARZO PRUEBA'!$B$6:$CD$109,26,0),"NO BD")</f>
        <v>3261.2529999999997</v>
      </c>
      <c r="H421" s="8"/>
      <c r="I421" s="8">
        <f t="shared" si="36"/>
        <v>0</v>
      </c>
      <c r="J421" s="14">
        <f t="shared" si="37"/>
        <v>0</v>
      </c>
      <c r="K421" s="14">
        <f t="shared" si="38"/>
        <v>0</v>
      </c>
      <c r="L421" s="14">
        <f t="shared" si="39"/>
        <v>0</v>
      </c>
    </row>
    <row r="422" spans="1:12" ht="15">
      <c r="A422" s="3">
        <v>651</v>
      </c>
      <c r="B422" s="26">
        <v>79</v>
      </c>
      <c r="C422" s="7" t="s">
        <v>151</v>
      </c>
      <c r="D422" s="4" t="s">
        <v>42</v>
      </c>
      <c r="E422" s="6" t="s">
        <v>127</v>
      </c>
      <c r="F422" s="12">
        <f>INDEX('PEDIDO JULIO'!A26:N37,1,14)</f>
        <v>0</v>
      </c>
      <c r="G422" s="8">
        <f>IFERROR(VLOOKUP($B422,'[1]INSUMO POR SEDES MARZO PRUEBA'!$B$6:$CD$109,26,0),"NO BD")</f>
        <v>935.49510000000009</v>
      </c>
      <c r="H422" s="8"/>
      <c r="I422" s="8">
        <f t="shared" si="36"/>
        <v>0</v>
      </c>
      <c r="J422" s="14">
        <f t="shared" si="37"/>
        <v>0</v>
      </c>
      <c r="K422" s="14">
        <f t="shared" si="38"/>
        <v>0</v>
      </c>
      <c r="L422" s="14">
        <f t="shared" si="39"/>
        <v>0</v>
      </c>
    </row>
    <row r="423" spans="1:12" ht="15">
      <c r="A423" s="3">
        <v>652</v>
      </c>
      <c r="B423" s="26">
        <v>80</v>
      </c>
      <c r="C423" s="7" t="s">
        <v>151</v>
      </c>
      <c r="D423" s="4" t="s">
        <v>43</v>
      </c>
      <c r="E423" s="6" t="s">
        <v>127</v>
      </c>
      <c r="F423" s="12">
        <f>INDEX('PEDIDO JULIO'!A27:N37,1,14)</f>
        <v>0</v>
      </c>
      <c r="G423" s="8">
        <f>IFERROR(VLOOKUP($B423,'[1]INSUMO POR SEDES MARZO PRUEBA'!$B$6:$CD$109,26,0),"NO BD")</f>
        <v>607.26779999999997</v>
      </c>
      <c r="H423" s="8"/>
      <c r="I423" s="8">
        <f t="shared" si="36"/>
        <v>0</v>
      </c>
      <c r="J423" s="14">
        <f t="shared" si="37"/>
        <v>0</v>
      </c>
      <c r="K423" s="14">
        <f t="shared" si="38"/>
        <v>0</v>
      </c>
      <c r="L423" s="14">
        <f t="shared" si="39"/>
        <v>0</v>
      </c>
    </row>
    <row r="424" spans="1:12" ht="15">
      <c r="A424" s="3">
        <v>653</v>
      </c>
      <c r="B424" s="26">
        <v>81</v>
      </c>
      <c r="C424" s="7" t="s">
        <v>151</v>
      </c>
      <c r="D424" s="4" t="s">
        <v>44</v>
      </c>
      <c r="E424" s="6" t="s">
        <v>127</v>
      </c>
      <c r="F424" s="12">
        <f>INDEX('PEDIDO JULIO'!A28:N37,1,14)</f>
        <v>0</v>
      </c>
      <c r="G424" s="8">
        <f>IFERROR(VLOOKUP($B424,'[1]INSUMO POR SEDES MARZO PRUEBA'!$B$6:$CD$109,26,0),"NO BD")</f>
        <v>387.81900000000002</v>
      </c>
      <c r="H424" s="8"/>
      <c r="I424" s="8">
        <f t="shared" si="36"/>
        <v>0</v>
      </c>
      <c r="J424" s="14">
        <f t="shared" si="37"/>
        <v>0</v>
      </c>
      <c r="K424" s="14">
        <f t="shared" si="38"/>
        <v>0</v>
      </c>
      <c r="L424" s="14">
        <f t="shared" si="39"/>
        <v>0</v>
      </c>
    </row>
    <row r="425" spans="1:12" ht="40.5">
      <c r="A425" s="3">
        <v>654</v>
      </c>
      <c r="B425" s="26">
        <v>82</v>
      </c>
      <c r="C425" s="7" t="s">
        <v>151</v>
      </c>
      <c r="D425" s="4" t="s">
        <v>45</v>
      </c>
      <c r="E425" s="6" t="s">
        <v>127</v>
      </c>
      <c r="F425" s="12">
        <f>INDEX('PEDIDO JULIO'!A28:N37,1,14)</f>
        <v>0</v>
      </c>
      <c r="G425" s="8">
        <f>IFERROR(VLOOKUP($B425,'[1]INSUMO POR SEDES MARZO PRUEBA'!$B$6:$CD$109,26,0),"NO BD")</f>
        <v>1003.7049999999999</v>
      </c>
      <c r="H425" s="8"/>
      <c r="I425" s="8">
        <f t="shared" si="36"/>
        <v>0</v>
      </c>
      <c r="J425" s="14">
        <f t="shared" si="37"/>
        <v>0</v>
      </c>
      <c r="K425" s="14">
        <f t="shared" si="38"/>
        <v>0</v>
      </c>
      <c r="L425" s="14">
        <f t="shared" si="39"/>
        <v>0</v>
      </c>
    </row>
    <row r="426" spans="1:12" ht="27">
      <c r="A426" s="3">
        <v>655</v>
      </c>
      <c r="B426" s="26">
        <v>83</v>
      </c>
      <c r="C426" s="7" t="s">
        <v>46</v>
      </c>
      <c r="D426" s="4" t="s">
        <v>47</v>
      </c>
      <c r="E426" s="6" t="s">
        <v>127</v>
      </c>
      <c r="F426" s="12">
        <f>INDEX('PEDIDO JULIO'!A29:N37,1,14)</f>
        <v>4</v>
      </c>
      <c r="G426" s="8">
        <f>IFERROR(VLOOKUP($B426,'[1]INSUMO POR SEDES MARZO PRUEBA'!$B$6:$CD$109,26,0),"NO BD")</f>
        <v>336.32</v>
      </c>
      <c r="H426" s="8"/>
      <c r="I426" s="8">
        <f t="shared" si="36"/>
        <v>1345.28</v>
      </c>
      <c r="J426" s="14">
        <f t="shared" si="37"/>
        <v>134.52799999999999</v>
      </c>
      <c r="K426" s="14">
        <f t="shared" si="38"/>
        <v>25.560319999999997</v>
      </c>
      <c r="L426" s="14">
        <f t="shared" si="39"/>
        <v>1505.36832</v>
      </c>
    </row>
    <row r="427" spans="1:12" ht="15">
      <c r="A427" s="3">
        <v>656</v>
      </c>
      <c r="B427" s="26">
        <v>88</v>
      </c>
      <c r="C427" s="7" t="s">
        <v>159</v>
      </c>
      <c r="D427" s="4" t="s">
        <v>48</v>
      </c>
      <c r="E427" s="6" t="s">
        <v>127</v>
      </c>
      <c r="F427" s="12">
        <f>INDEX('PEDIDO JULIO'!A30:N37,1,14)</f>
        <v>0</v>
      </c>
      <c r="G427" s="8">
        <f>IFERROR(VLOOKUP($B427,'[1]INSUMO POR SEDES MARZO PRUEBA'!$B$6:$CD$109,26,0),"NO BD")</f>
        <v>0</v>
      </c>
      <c r="H427" s="8"/>
      <c r="I427" s="8">
        <f t="shared" si="36"/>
        <v>0</v>
      </c>
      <c r="J427" s="14">
        <f t="shared" si="37"/>
        <v>0</v>
      </c>
      <c r="K427" s="14">
        <f t="shared" si="38"/>
        <v>0</v>
      </c>
      <c r="L427" s="14">
        <f t="shared" si="39"/>
        <v>0</v>
      </c>
    </row>
    <row r="428" spans="1:12" ht="15">
      <c r="A428" s="3">
        <v>657</v>
      </c>
      <c r="B428" s="26">
        <v>92</v>
      </c>
      <c r="C428" s="7" t="s">
        <v>159</v>
      </c>
      <c r="D428" s="4" t="s">
        <v>49</v>
      </c>
      <c r="E428" s="6" t="s">
        <v>127</v>
      </c>
      <c r="F428" s="12">
        <f>INDEX('PEDIDO JULIO'!A31:N37,1,14)</f>
        <v>0</v>
      </c>
      <c r="G428" s="8">
        <f>IFERROR(VLOOKUP($B428,'[1]INSUMO POR SEDES MARZO PRUEBA'!$B$6:$CD$109,26,0),"NO BD")</f>
        <v>2380.5149999999999</v>
      </c>
      <c r="H428" s="8"/>
      <c r="I428" s="8">
        <f t="shared" si="36"/>
        <v>0</v>
      </c>
      <c r="J428" s="14">
        <f t="shared" si="37"/>
        <v>0</v>
      </c>
      <c r="K428" s="14">
        <f t="shared" si="38"/>
        <v>0</v>
      </c>
      <c r="L428" s="14">
        <f t="shared" si="39"/>
        <v>0</v>
      </c>
    </row>
    <row r="429" spans="1:12" ht="15">
      <c r="A429" s="3">
        <v>658</v>
      </c>
      <c r="B429" s="26">
        <v>94</v>
      </c>
      <c r="C429" s="7" t="s">
        <v>159</v>
      </c>
      <c r="D429" s="4" t="s">
        <v>50</v>
      </c>
      <c r="E429" s="6" t="s">
        <v>127</v>
      </c>
      <c r="F429" s="12">
        <f>INDEX('PEDIDO JULIO'!A32:N37,1,14)</f>
        <v>0</v>
      </c>
      <c r="G429" s="8">
        <f>IFERROR(VLOOKUP($B429,'[1]INSUMO POR SEDES MARZO PRUEBA'!$B$6:$CD$109,26,0),"NO BD")</f>
        <v>3316.9560000000001</v>
      </c>
      <c r="H429" s="8"/>
      <c r="I429" s="8">
        <f t="shared" si="36"/>
        <v>0</v>
      </c>
      <c r="J429" s="14">
        <f t="shared" si="37"/>
        <v>0</v>
      </c>
      <c r="K429" s="14">
        <f t="shared" si="38"/>
        <v>0</v>
      </c>
      <c r="L429" s="14">
        <f t="shared" si="39"/>
        <v>0</v>
      </c>
    </row>
    <row r="430" spans="1:12" ht="15">
      <c r="A430" s="3">
        <v>659</v>
      </c>
      <c r="B430" s="26">
        <v>98</v>
      </c>
      <c r="C430" s="7" t="s">
        <v>159</v>
      </c>
      <c r="D430" s="4" t="s">
        <v>51</v>
      </c>
      <c r="E430" s="6" t="s">
        <v>127</v>
      </c>
      <c r="F430" s="12">
        <f>INDEX('PEDIDO JULIO'!A33:N37,1,14)</f>
        <v>0</v>
      </c>
      <c r="G430" s="8">
        <f>IFERROR(VLOOKUP($B430,'[1]INSUMO POR SEDES MARZO PRUEBA'!$B$6:$CD$109,26,0),"NO BD")</f>
        <v>9503.4573</v>
      </c>
      <c r="H430" s="8"/>
      <c r="I430" s="8">
        <f t="shared" si="36"/>
        <v>0</v>
      </c>
      <c r="J430" s="14">
        <f t="shared" si="37"/>
        <v>0</v>
      </c>
      <c r="K430" s="14">
        <f t="shared" si="38"/>
        <v>0</v>
      </c>
      <c r="L430" s="14">
        <f t="shared" si="39"/>
        <v>0</v>
      </c>
    </row>
    <row r="431" spans="1:12" ht="15">
      <c r="A431" s="3">
        <v>660</v>
      </c>
      <c r="B431" s="26">
        <v>100</v>
      </c>
      <c r="C431" s="7" t="s">
        <v>159</v>
      </c>
      <c r="D431" s="4" t="s">
        <v>52</v>
      </c>
      <c r="E431" s="6" t="s">
        <v>127</v>
      </c>
      <c r="F431" s="12">
        <f>INDEX('PEDIDO JULIO'!A33:N38,1,14)</f>
        <v>0</v>
      </c>
      <c r="G431" s="8">
        <f>IFERROR(VLOOKUP($B431,'[1]INSUMO POR SEDES MARZO PRUEBA'!$B$6:$CD$109,26,0),"NO BD")</f>
        <v>0</v>
      </c>
      <c r="H431" s="8"/>
      <c r="I431" s="8">
        <f t="shared" si="36"/>
        <v>0</v>
      </c>
      <c r="J431" s="14">
        <f t="shared" si="37"/>
        <v>0</v>
      </c>
      <c r="K431" s="14">
        <f t="shared" si="38"/>
        <v>0</v>
      </c>
      <c r="L431" s="14">
        <f t="shared" si="39"/>
        <v>0</v>
      </c>
    </row>
    <row r="432" spans="1:12" ht="15">
      <c r="A432" s="3">
        <v>661</v>
      </c>
      <c r="B432" s="26">
        <v>102</v>
      </c>
      <c r="C432" s="7" t="s">
        <v>53</v>
      </c>
      <c r="D432" s="4" t="s">
        <v>54</v>
      </c>
      <c r="E432" s="6" t="s">
        <v>127</v>
      </c>
      <c r="F432" s="12">
        <f>INDEX('PEDIDO JULIO'!A33:N38,1,14)</f>
        <v>0</v>
      </c>
      <c r="G432" s="8">
        <f>IFERROR(VLOOKUP($B432,'[1]INSUMO POR SEDES MARZO PRUEBA'!$B$6:$CD$109,26,0),"NO BD")</f>
        <v>5422.8446999999996</v>
      </c>
      <c r="H432" s="8"/>
      <c r="I432" s="8">
        <f t="shared" si="36"/>
        <v>0</v>
      </c>
      <c r="J432" s="14">
        <f t="shared" si="37"/>
        <v>0</v>
      </c>
      <c r="K432" s="14">
        <f t="shared" si="38"/>
        <v>0</v>
      </c>
      <c r="L432" s="14">
        <f t="shared" si="39"/>
        <v>0</v>
      </c>
    </row>
    <row r="433" spans="1:12" ht="15">
      <c r="A433" s="3">
        <v>662</v>
      </c>
      <c r="B433" s="26">
        <v>110</v>
      </c>
      <c r="C433" s="7" t="s">
        <v>53</v>
      </c>
      <c r="D433" s="4" t="s">
        <v>55</v>
      </c>
      <c r="E433" s="6" t="s">
        <v>127</v>
      </c>
      <c r="F433" s="12">
        <f>INDEX('PEDIDO JULIO'!A33:N39,1,14)</f>
        <v>0</v>
      </c>
      <c r="G433" s="8">
        <f>IFERROR(VLOOKUP($B433,'[1]INSUMO POR SEDES MARZO PRUEBA'!$B$6:$CD$109,26,0),"NO BD")</f>
        <v>1442.4974999999999</v>
      </c>
      <c r="H433" s="8"/>
      <c r="I433" s="8">
        <f t="shared" si="36"/>
        <v>0</v>
      </c>
      <c r="J433" s="14">
        <f t="shared" si="37"/>
        <v>0</v>
      </c>
      <c r="K433" s="14">
        <f t="shared" si="38"/>
        <v>0</v>
      </c>
      <c r="L433" s="14">
        <f t="shared" si="39"/>
        <v>0</v>
      </c>
    </row>
    <row r="434" spans="1:12" ht="15">
      <c r="A434" s="3">
        <v>663</v>
      </c>
      <c r="B434" s="26">
        <v>118</v>
      </c>
      <c r="C434" s="7" t="s">
        <v>53</v>
      </c>
      <c r="D434" s="4" t="s">
        <v>56</v>
      </c>
      <c r="E434" s="6" t="s">
        <v>127</v>
      </c>
      <c r="F434" s="12">
        <f>INDEX('PEDIDO JULIO'!A33:N40,1,14)</f>
        <v>0</v>
      </c>
      <c r="G434" s="8">
        <f>IFERROR(VLOOKUP($B434,'[1]INSUMO POR SEDES MARZO PRUEBA'!$B$6:$CD$109,26,0),"NO BD")</f>
        <v>4129.7993999999999</v>
      </c>
      <c r="H434" s="8"/>
      <c r="I434" s="8">
        <f t="shared" si="36"/>
        <v>0</v>
      </c>
      <c r="J434" s="14">
        <f t="shared" si="37"/>
        <v>0</v>
      </c>
      <c r="K434" s="14">
        <f t="shared" si="38"/>
        <v>0</v>
      </c>
      <c r="L434" s="14">
        <f t="shared" si="39"/>
        <v>0</v>
      </c>
    </row>
    <row r="435" spans="1:12" ht="15">
      <c r="A435" s="3">
        <v>664</v>
      </c>
      <c r="B435" s="26">
        <v>119</v>
      </c>
      <c r="C435" s="7" t="s">
        <v>53</v>
      </c>
      <c r="D435" s="4" t="s">
        <v>57</v>
      </c>
      <c r="E435" s="6" t="s">
        <v>127</v>
      </c>
      <c r="F435" s="12">
        <f>INDEX('PEDIDO JULIO'!A33:N40,1,14)</f>
        <v>0</v>
      </c>
      <c r="G435" s="8">
        <f>IFERROR(VLOOKUP($B435,'[1]INSUMO POR SEDES MARZO PRUEBA'!$B$6:$CD$109,26,0),"NO BD")</f>
        <v>2821.9350000000004</v>
      </c>
      <c r="H435" s="8"/>
      <c r="I435" s="8">
        <f t="shared" si="36"/>
        <v>0</v>
      </c>
      <c r="J435" s="14">
        <f t="shared" si="37"/>
        <v>0</v>
      </c>
      <c r="K435" s="14">
        <f t="shared" si="38"/>
        <v>0</v>
      </c>
      <c r="L435" s="14">
        <f t="shared" si="39"/>
        <v>0</v>
      </c>
    </row>
    <row r="436" spans="1:12" ht="27">
      <c r="A436" s="3">
        <v>665</v>
      </c>
      <c r="B436" s="26">
        <v>120</v>
      </c>
      <c r="C436" s="7" t="s">
        <v>160</v>
      </c>
      <c r="D436" s="4" t="s">
        <v>58</v>
      </c>
      <c r="E436" s="6" t="s">
        <v>127</v>
      </c>
      <c r="F436" s="12">
        <f>INDEX('PEDIDO JULIO'!A33:N40,1,14)</f>
        <v>0</v>
      </c>
      <c r="G436" s="8">
        <f>IFERROR(VLOOKUP($B436,'[1]INSUMO POR SEDES MARZO PRUEBA'!$B$6:$CD$109,26,0),"NO BD")</f>
        <v>2821.9350000000004</v>
      </c>
      <c r="H436" s="8"/>
      <c r="I436" s="8">
        <f t="shared" si="36"/>
        <v>0</v>
      </c>
      <c r="J436" s="14">
        <f t="shared" si="37"/>
        <v>0</v>
      </c>
      <c r="K436" s="14">
        <f t="shared" si="38"/>
        <v>0</v>
      </c>
      <c r="L436" s="14">
        <f t="shared" si="39"/>
        <v>0</v>
      </c>
    </row>
    <row r="437" spans="1:12" ht="15">
      <c r="A437" s="3">
        <v>666</v>
      </c>
      <c r="B437" s="26">
        <v>122</v>
      </c>
      <c r="C437" s="7" t="s">
        <v>160</v>
      </c>
      <c r="D437" s="4" t="s">
        <v>59</v>
      </c>
      <c r="E437" s="6" t="s">
        <v>127</v>
      </c>
      <c r="F437" s="12">
        <f>INDEX('PEDIDO JULIO'!A33:N41,1,14)</f>
        <v>0</v>
      </c>
      <c r="G437" s="8">
        <f>IFERROR(VLOOKUP($B437,'[1]INSUMO POR SEDES MARZO PRUEBA'!$B$6:$CD$109,26,0),"NO BD")</f>
        <v>5223.4699999999993</v>
      </c>
      <c r="H437" s="8"/>
      <c r="I437" s="8">
        <f t="shared" si="36"/>
        <v>0</v>
      </c>
      <c r="J437" s="14">
        <f t="shared" si="37"/>
        <v>0</v>
      </c>
      <c r="K437" s="14">
        <f t="shared" si="38"/>
        <v>0</v>
      </c>
      <c r="L437" s="14">
        <f t="shared" si="39"/>
        <v>0</v>
      </c>
    </row>
    <row r="438" spans="1:12" ht="15">
      <c r="A438" s="3">
        <v>667</v>
      </c>
      <c r="B438" s="26">
        <v>123</v>
      </c>
      <c r="C438" s="7" t="s">
        <v>60</v>
      </c>
      <c r="D438" s="4" t="s">
        <v>61</v>
      </c>
      <c r="E438" s="6" t="s">
        <v>127</v>
      </c>
      <c r="F438" s="12">
        <f>INDEX('PEDIDO JULIO'!A33:N41,1,14)</f>
        <v>0</v>
      </c>
      <c r="G438" s="8">
        <f>IFERROR(VLOOKUP($B438,'[1]INSUMO POR SEDES MARZO PRUEBA'!$B$6:$CD$109,26,0),"NO BD")</f>
        <v>6169.1598000000004</v>
      </c>
      <c r="H438" s="8"/>
      <c r="I438" s="8">
        <f t="shared" si="36"/>
        <v>0</v>
      </c>
      <c r="J438" s="14">
        <f t="shared" si="37"/>
        <v>0</v>
      </c>
      <c r="K438" s="14">
        <f t="shared" si="38"/>
        <v>0</v>
      </c>
      <c r="L438" s="14">
        <f t="shared" si="39"/>
        <v>0</v>
      </c>
    </row>
    <row r="439" spans="1:12" ht="15">
      <c r="A439" s="3">
        <v>668</v>
      </c>
      <c r="B439" s="26">
        <v>124</v>
      </c>
      <c r="C439" s="7" t="s">
        <v>60</v>
      </c>
      <c r="D439" s="4" t="s">
        <v>62</v>
      </c>
      <c r="E439" s="6" t="s">
        <v>127</v>
      </c>
      <c r="F439" s="12">
        <f>INDEX('PEDIDO JULIO'!A33:N42,1,14)</f>
        <v>0</v>
      </c>
      <c r="G439" s="8">
        <f>IFERROR(VLOOKUP($B439,'[1]INSUMO POR SEDES MARZO PRUEBA'!$B$6:$CD$109,26,0),"NO BD")</f>
        <v>6169.1598000000004</v>
      </c>
      <c r="H439" s="8"/>
      <c r="I439" s="8">
        <f t="shared" si="36"/>
        <v>0</v>
      </c>
      <c r="J439" s="14">
        <f t="shared" si="37"/>
        <v>0</v>
      </c>
      <c r="K439" s="14">
        <f t="shared" si="38"/>
        <v>0</v>
      </c>
      <c r="L439" s="14">
        <f t="shared" si="39"/>
        <v>0</v>
      </c>
    </row>
    <row r="440" spans="1:12" ht="15">
      <c r="A440" s="3">
        <v>669</v>
      </c>
      <c r="B440" s="26">
        <v>137</v>
      </c>
      <c r="C440" s="7" t="s">
        <v>151</v>
      </c>
      <c r="D440" s="4" t="s">
        <v>63</v>
      </c>
      <c r="E440" s="6" t="s">
        <v>127</v>
      </c>
      <c r="F440" s="12">
        <f>INDEX('PEDIDO JULIO'!A33:N42,1,14)</f>
        <v>0</v>
      </c>
      <c r="G440" s="8">
        <f>IFERROR(VLOOKUP($B440,'[1]INSUMO POR SEDES MARZO PRUEBA'!$B$6:$CD$109,26,0),"NO BD")</f>
        <v>0</v>
      </c>
      <c r="H440" s="8"/>
      <c r="I440" s="8">
        <f t="shared" si="36"/>
        <v>0</v>
      </c>
      <c r="J440" s="14">
        <f t="shared" si="37"/>
        <v>0</v>
      </c>
      <c r="K440" s="14">
        <f t="shared" si="38"/>
        <v>0</v>
      </c>
      <c r="L440" s="14">
        <f t="shared" si="39"/>
        <v>0</v>
      </c>
    </row>
    <row r="441" spans="1:12" ht="15">
      <c r="A441" s="3">
        <v>670</v>
      </c>
      <c r="B441" s="26">
        <v>139</v>
      </c>
      <c r="C441" s="7" t="s">
        <v>160</v>
      </c>
      <c r="D441" s="4" t="s">
        <v>64</v>
      </c>
      <c r="E441" s="6" t="s">
        <v>127</v>
      </c>
      <c r="F441" s="12">
        <f>INDEX('PEDIDO JULIO'!A33:N42,1,14)</f>
        <v>0</v>
      </c>
      <c r="G441" s="8">
        <f>IFERROR(VLOOKUP($B441,'[1]INSUMO POR SEDES MARZO PRUEBA'!$B$6:$CD$109,26,0),"NO BD")</f>
        <v>51246.970200000003</v>
      </c>
      <c r="H441" s="8"/>
      <c r="I441" s="8">
        <f t="shared" si="36"/>
        <v>0</v>
      </c>
      <c r="J441" s="14">
        <f t="shared" si="37"/>
        <v>0</v>
      </c>
      <c r="K441" s="14">
        <f t="shared" si="38"/>
        <v>0</v>
      </c>
      <c r="L441" s="14">
        <f t="shared" si="39"/>
        <v>0</v>
      </c>
    </row>
    <row r="442" spans="1:12" ht="27">
      <c r="A442" s="3">
        <v>671</v>
      </c>
      <c r="B442" s="26">
        <v>151</v>
      </c>
      <c r="C442" s="7" t="s">
        <v>60</v>
      </c>
      <c r="D442" s="4" t="s">
        <v>65</v>
      </c>
      <c r="E442" s="6" t="s">
        <v>127</v>
      </c>
      <c r="F442" s="12">
        <f>INDEX('PEDIDO JULIO'!A33:N42,1,14)</f>
        <v>0</v>
      </c>
      <c r="G442" s="8">
        <f>IFERROR(VLOOKUP($B442,'[1]INSUMO POR SEDES MARZO PRUEBA'!$B$6:$CD$109,26,0),"NO BD")</f>
        <v>4422.6080000000002</v>
      </c>
      <c r="H442" s="8"/>
      <c r="I442" s="8">
        <f t="shared" si="36"/>
        <v>0</v>
      </c>
      <c r="J442" s="14">
        <f t="shared" si="37"/>
        <v>0</v>
      </c>
      <c r="K442" s="14">
        <f t="shared" si="38"/>
        <v>0</v>
      </c>
      <c r="L442" s="14">
        <f t="shared" si="39"/>
        <v>0</v>
      </c>
    </row>
    <row r="443" spans="1:12" ht="15">
      <c r="A443" s="3">
        <v>672</v>
      </c>
      <c r="B443" s="26">
        <v>155</v>
      </c>
      <c r="C443" s="7" t="s">
        <v>66</v>
      </c>
      <c r="D443" s="4" t="s">
        <v>67</v>
      </c>
      <c r="E443" s="6" t="s">
        <v>127</v>
      </c>
      <c r="F443" s="12">
        <f>INDEX('PEDIDO JULIO'!A33:N43,1,14)</f>
        <v>0</v>
      </c>
      <c r="G443" s="8">
        <f>IFERROR(VLOOKUP($B443,'[1]INSUMO POR SEDES MARZO PRUEBA'!$B$6:$CD$109,26,0),"NO BD")</f>
        <v>5005.7028</v>
      </c>
      <c r="H443" s="8"/>
      <c r="I443" s="8">
        <f t="shared" si="36"/>
        <v>0</v>
      </c>
      <c r="J443" s="14">
        <f t="shared" si="37"/>
        <v>0</v>
      </c>
      <c r="K443" s="14">
        <f t="shared" si="38"/>
        <v>0</v>
      </c>
      <c r="L443" s="14">
        <f t="shared" si="39"/>
        <v>0</v>
      </c>
    </row>
    <row r="444" spans="1:12" ht="15">
      <c r="A444" s="3">
        <v>673</v>
      </c>
      <c r="B444" s="26">
        <v>156</v>
      </c>
      <c r="C444" s="7" t="s">
        <v>66</v>
      </c>
      <c r="D444" s="4" t="s">
        <v>68</v>
      </c>
      <c r="E444" s="6" t="s">
        <v>127</v>
      </c>
      <c r="F444" s="12">
        <f>INDEX('PEDIDO JULIO'!A33:N43,1,14)</f>
        <v>0</v>
      </c>
      <c r="G444" s="8">
        <f>IFERROR(VLOOKUP($B444,'[1]INSUMO POR SEDES MARZO PRUEBA'!$B$6:$CD$109,26,0),"NO BD")</f>
        <v>7711.9227000000001</v>
      </c>
      <c r="H444" s="8"/>
      <c r="I444" s="8">
        <f t="shared" si="36"/>
        <v>0</v>
      </c>
      <c r="J444" s="14">
        <f t="shared" si="37"/>
        <v>0</v>
      </c>
      <c r="K444" s="14">
        <f t="shared" si="38"/>
        <v>0</v>
      </c>
      <c r="L444" s="14">
        <f t="shared" si="39"/>
        <v>0</v>
      </c>
    </row>
    <row r="445" spans="1:12" ht="15">
      <c r="A445" s="3">
        <v>674</v>
      </c>
      <c r="B445" s="26">
        <v>157</v>
      </c>
      <c r="C445" s="7" t="s">
        <v>66</v>
      </c>
      <c r="D445" s="4" t="s">
        <v>69</v>
      </c>
      <c r="E445" s="6" t="s">
        <v>127</v>
      </c>
      <c r="F445" s="12">
        <f>INDEX('PEDIDO JULIO'!A33:N43,1,14)</f>
        <v>0</v>
      </c>
      <c r="G445" s="8">
        <f>IFERROR(VLOOKUP($B445,'[1]INSUMO POR SEDES MARZO PRUEBA'!$B$6:$CD$109,26,0),"NO BD")</f>
        <v>8955.7812000000013</v>
      </c>
      <c r="H445" s="8"/>
      <c r="I445" s="8">
        <f t="shared" si="36"/>
        <v>0</v>
      </c>
      <c r="J445" s="14">
        <f t="shared" si="37"/>
        <v>0</v>
      </c>
      <c r="K445" s="14">
        <f t="shared" si="38"/>
        <v>0</v>
      </c>
      <c r="L445" s="14">
        <f t="shared" si="39"/>
        <v>0</v>
      </c>
    </row>
    <row r="446" spans="1:12" ht="15">
      <c r="A446" s="3">
        <v>675</v>
      </c>
      <c r="B446" s="31">
        <v>159</v>
      </c>
      <c r="C446" s="7" t="s">
        <v>66</v>
      </c>
      <c r="D446" s="4" t="s">
        <v>70</v>
      </c>
      <c r="E446" s="6" t="s">
        <v>127</v>
      </c>
      <c r="F446" s="12">
        <f>INDEX('PEDIDO JULIO'!A33:N44,1,14)</f>
        <v>0</v>
      </c>
      <c r="G446" s="8">
        <f>IFERROR(VLOOKUP($B446,'[1]INSUMO POR SEDES MARZO PRUEBA'!$B$6:$CD$109,26,0),"NO BD")</f>
        <v>6716.8359</v>
      </c>
      <c r="H446" s="8"/>
      <c r="I446" s="8">
        <f t="shared" si="36"/>
        <v>0</v>
      </c>
      <c r="J446" s="14">
        <f t="shared" si="37"/>
        <v>0</v>
      </c>
      <c r="K446" s="14">
        <f t="shared" si="38"/>
        <v>0</v>
      </c>
      <c r="L446" s="14">
        <f t="shared" si="39"/>
        <v>0</v>
      </c>
    </row>
    <row r="447" spans="1:12" ht="15">
      <c r="A447" s="3">
        <v>676</v>
      </c>
      <c r="B447" s="26">
        <v>160</v>
      </c>
      <c r="C447" s="7" t="s">
        <v>66</v>
      </c>
      <c r="D447" s="4" t="s">
        <v>71</v>
      </c>
      <c r="E447" s="6" t="s">
        <v>127</v>
      </c>
      <c r="F447" s="12">
        <f>INDEX('PEDIDO JULIO'!A33:N44,1,14)</f>
        <v>0</v>
      </c>
      <c r="G447" s="8">
        <f>IFERROR(VLOOKUP($B447,'[1]INSUMO POR SEDES MARZO PRUEBA'!$B$6:$CD$109,26,0),"NO BD")</f>
        <v>3035.3931000000002</v>
      </c>
      <c r="H447" s="8"/>
      <c r="I447" s="8">
        <f t="shared" si="36"/>
        <v>0</v>
      </c>
      <c r="J447" s="14">
        <f t="shared" si="37"/>
        <v>0</v>
      </c>
      <c r="K447" s="14">
        <f t="shared" si="38"/>
        <v>0</v>
      </c>
      <c r="L447" s="14">
        <f t="shared" si="39"/>
        <v>0</v>
      </c>
    </row>
    <row r="448" spans="1:12" ht="15">
      <c r="A448" s="3">
        <v>677</v>
      </c>
      <c r="B448" s="26">
        <v>162</v>
      </c>
      <c r="C448" s="7" t="s">
        <v>66</v>
      </c>
      <c r="D448" s="4" t="s">
        <v>72</v>
      </c>
      <c r="E448" s="6" t="s">
        <v>127</v>
      </c>
      <c r="F448" s="12">
        <f>INDEX('PEDIDO JULIO'!A33:N44,1,14)</f>
        <v>0</v>
      </c>
      <c r="G448" s="8">
        <f>IFERROR(VLOOKUP($B448,'[1]INSUMO POR SEDES MARZO PRUEBA'!$B$6:$CD$109,26,0),"NO BD")</f>
        <v>4030.4798999999998</v>
      </c>
      <c r="H448" s="8"/>
      <c r="I448" s="8">
        <f t="shared" si="36"/>
        <v>0</v>
      </c>
      <c r="J448" s="14">
        <f t="shared" si="37"/>
        <v>0</v>
      </c>
      <c r="K448" s="14">
        <f t="shared" si="38"/>
        <v>0</v>
      </c>
      <c r="L448" s="14">
        <f t="shared" si="39"/>
        <v>0</v>
      </c>
    </row>
    <row r="449" spans="1:12" ht="15">
      <c r="A449" s="3">
        <v>678</v>
      </c>
      <c r="B449" s="26">
        <v>164</v>
      </c>
      <c r="C449" s="7" t="s">
        <v>158</v>
      </c>
      <c r="D449" s="4" t="s">
        <v>73</v>
      </c>
      <c r="E449" s="6" t="s">
        <v>127</v>
      </c>
      <c r="F449" s="12">
        <f>INDEX('PEDIDO JULIO'!A33:N44,1,14)</f>
        <v>0</v>
      </c>
      <c r="G449" s="8">
        <f>IFERROR(VLOOKUP($B449,'[1]INSUMO POR SEDES MARZO PRUEBA'!$B$6:$CD$109,26,0),"NO BD")</f>
        <v>0</v>
      </c>
      <c r="H449" s="8"/>
      <c r="I449" s="8">
        <f t="shared" si="36"/>
        <v>0</v>
      </c>
      <c r="J449" s="14">
        <f t="shared" si="37"/>
        <v>0</v>
      </c>
      <c r="K449" s="14">
        <f t="shared" si="38"/>
        <v>0</v>
      </c>
      <c r="L449" s="14">
        <f t="shared" si="39"/>
        <v>0</v>
      </c>
    </row>
    <row r="450" spans="1:12" ht="15">
      <c r="A450" s="3">
        <v>679</v>
      </c>
      <c r="B450" s="26">
        <v>169</v>
      </c>
      <c r="C450" s="7" t="s">
        <v>158</v>
      </c>
      <c r="D450" s="4" t="s">
        <v>74</v>
      </c>
      <c r="E450" s="6" t="s">
        <v>127</v>
      </c>
      <c r="F450" s="12">
        <f>INDEX('PEDIDO JULIO'!A33:N45,1,14)</f>
        <v>0</v>
      </c>
      <c r="G450" s="8">
        <f>IFERROR(VLOOKUP($B450,'[1]INSUMO POR SEDES MARZO PRUEBA'!$B$6:$CD$109,26,0),"NO BD")</f>
        <v>0</v>
      </c>
      <c r="H450" s="8"/>
      <c r="I450" s="8">
        <f t="shared" si="36"/>
        <v>0</v>
      </c>
      <c r="J450" s="14">
        <f t="shared" si="37"/>
        <v>0</v>
      </c>
      <c r="K450" s="14">
        <f t="shared" si="38"/>
        <v>0</v>
      </c>
      <c r="L450" s="14">
        <f t="shared" si="39"/>
        <v>0</v>
      </c>
    </row>
    <row r="451" spans="1:12" ht="15">
      <c r="A451" s="3">
        <v>680</v>
      </c>
      <c r="B451" s="26">
        <v>170</v>
      </c>
      <c r="C451" s="7" t="s">
        <v>158</v>
      </c>
      <c r="D451" s="4" t="s">
        <v>75</v>
      </c>
      <c r="E451" s="6" t="s">
        <v>127</v>
      </c>
      <c r="F451" s="12">
        <f>INDEX('PEDIDO JULIO'!A33:N46,1,14)</f>
        <v>0</v>
      </c>
      <c r="G451" s="8">
        <f>IFERROR(VLOOKUP($B451,'[1]INSUMO POR SEDES MARZO PRUEBA'!$B$6:$CD$109,26,0),"NO BD")</f>
        <v>45575.353799999997</v>
      </c>
      <c r="H451" s="8"/>
      <c r="I451" s="8">
        <f t="shared" si="36"/>
        <v>0</v>
      </c>
      <c r="J451" s="14">
        <f t="shared" si="37"/>
        <v>0</v>
      </c>
      <c r="K451" s="14">
        <f t="shared" si="38"/>
        <v>0</v>
      </c>
      <c r="L451" s="14">
        <f t="shared" si="39"/>
        <v>0</v>
      </c>
    </row>
    <row r="452" spans="1:12" ht="15">
      <c r="A452" s="3">
        <v>681</v>
      </c>
      <c r="B452" s="26">
        <v>174</v>
      </c>
      <c r="C452" s="7" t="s">
        <v>158</v>
      </c>
      <c r="D452" s="4" t="s">
        <v>76</v>
      </c>
      <c r="E452" s="6" t="s">
        <v>127</v>
      </c>
      <c r="F452" s="12">
        <f>INDEX('PEDIDO JULIO'!A33:N47,1,14)</f>
        <v>0</v>
      </c>
      <c r="G452" s="8">
        <f>IFERROR(VLOOKUP($B452,'[1]INSUMO POR SEDES MARZO PRUEBA'!$B$6:$CD$109,26,0),"NO BD")</f>
        <v>10050.1875</v>
      </c>
      <c r="H452" s="8"/>
      <c r="I452" s="8">
        <f t="shared" si="36"/>
        <v>0</v>
      </c>
      <c r="J452" s="14">
        <f t="shared" si="37"/>
        <v>0</v>
      </c>
      <c r="K452" s="14">
        <f t="shared" si="38"/>
        <v>0</v>
      </c>
      <c r="L452" s="14">
        <f t="shared" si="39"/>
        <v>0</v>
      </c>
    </row>
    <row r="453" spans="1:12" ht="15">
      <c r="A453" s="3">
        <v>682</v>
      </c>
      <c r="B453" s="26">
        <v>192</v>
      </c>
      <c r="C453" s="7" t="s">
        <v>158</v>
      </c>
      <c r="D453" s="4" t="s">
        <v>77</v>
      </c>
      <c r="E453" s="6" t="s">
        <v>127</v>
      </c>
      <c r="F453" s="12">
        <f>INDEX('PEDIDO JULIO'!A33:N47,1,14)</f>
        <v>0</v>
      </c>
      <c r="G453" s="8">
        <f>IFERROR(VLOOKUP($B453,'[1]INSUMO POR SEDES MARZO PRUEBA'!$B$6:$CD$109,26,0),"NO BD")</f>
        <v>6866.2880999999998</v>
      </c>
      <c r="H453" s="8"/>
      <c r="I453" s="8">
        <f t="shared" si="36"/>
        <v>0</v>
      </c>
      <c r="J453" s="14">
        <f t="shared" si="37"/>
        <v>0</v>
      </c>
      <c r="K453" s="14">
        <f t="shared" si="38"/>
        <v>0</v>
      </c>
      <c r="L453" s="14">
        <f t="shared" si="39"/>
        <v>0</v>
      </c>
    </row>
    <row r="454" spans="1:12" ht="15">
      <c r="A454" s="3">
        <v>683</v>
      </c>
      <c r="B454" s="26">
        <v>195</v>
      </c>
      <c r="C454" s="7" t="s">
        <v>158</v>
      </c>
      <c r="D454" s="4" t="s">
        <v>78</v>
      </c>
      <c r="E454" s="6" t="s">
        <v>127</v>
      </c>
      <c r="F454" s="12">
        <f>INDEX('PEDIDO JULIO'!A33:N47,1,14)</f>
        <v>0</v>
      </c>
      <c r="G454" s="8">
        <f>IFERROR(VLOOKUP($B454,'[1]INSUMO POR SEDES MARZO PRUEBA'!$B$6:$CD$109,26,0),"NO BD")</f>
        <v>6431.0690000000004</v>
      </c>
      <c r="H454" s="8"/>
      <c r="I454" s="8">
        <f t="shared" ref="I454:I517" si="40">+F454*G454</f>
        <v>0</v>
      </c>
      <c r="J454" s="14">
        <f t="shared" si="37"/>
        <v>0</v>
      </c>
      <c r="K454" s="14">
        <f t="shared" si="38"/>
        <v>0</v>
      </c>
      <c r="L454" s="14">
        <f t="shared" si="39"/>
        <v>0</v>
      </c>
    </row>
    <row r="455" spans="1:12" ht="15">
      <c r="A455" s="3">
        <v>684</v>
      </c>
      <c r="B455" s="26">
        <v>204</v>
      </c>
      <c r="C455" s="7" t="s">
        <v>158</v>
      </c>
      <c r="D455" s="4" t="s">
        <v>79</v>
      </c>
      <c r="E455" s="6" t="s">
        <v>127</v>
      </c>
      <c r="F455" s="12">
        <f>INDEX('PEDIDO JULIO'!A33:N47,1,14)</f>
        <v>0</v>
      </c>
      <c r="G455" s="8">
        <f>IFERROR(VLOOKUP($B455,'[1]INSUMO POR SEDES MARZO PRUEBA'!$B$6:$CD$109,26,0),"NO BD")</f>
        <v>14760.243999999999</v>
      </c>
      <c r="H455" s="8"/>
      <c r="I455" s="8">
        <f t="shared" si="40"/>
        <v>0</v>
      </c>
      <c r="J455" s="14">
        <f t="shared" si="37"/>
        <v>0</v>
      </c>
      <c r="K455" s="14">
        <f t="shared" si="38"/>
        <v>0</v>
      </c>
      <c r="L455" s="14">
        <f t="shared" si="39"/>
        <v>0</v>
      </c>
    </row>
    <row r="456" spans="1:12" ht="15">
      <c r="A456" s="3">
        <v>685</v>
      </c>
      <c r="B456" s="26">
        <v>205</v>
      </c>
      <c r="C456" s="7" t="s">
        <v>158</v>
      </c>
      <c r="D456" s="4" t="s">
        <v>80</v>
      </c>
      <c r="E456" s="6" t="s">
        <v>127</v>
      </c>
      <c r="F456" s="12">
        <f>INDEX('PEDIDO JULIO'!A33:N47,1,14)</f>
        <v>0</v>
      </c>
      <c r="G456" s="8">
        <f>IFERROR(VLOOKUP($B456,'[1]INSUMO POR SEDES MARZO PRUEBA'!$B$6:$CD$109,26,0),"NO BD")</f>
        <v>32639.225399999996</v>
      </c>
      <c r="H456" s="8"/>
      <c r="I456" s="8">
        <f t="shared" si="40"/>
        <v>0</v>
      </c>
      <c r="J456" s="14">
        <f t="shared" si="37"/>
        <v>0</v>
      </c>
      <c r="K456" s="14">
        <f t="shared" si="38"/>
        <v>0</v>
      </c>
      <c r="L456" s="14">
        <f t="shared" si="39"/>
        <v>0</v>
      </c>
    </row>
    <row r="457" spans="1:12" ht="15">
      <c r="A457" s="3">
        <v>686</v>
      </c>
      <c r="B457" s="26">
        <v>207</v>
      </c>
      <c r="C457" s="7" t="s">
        <v>158</v>
      </c>
      <c r="D457" s="4" t="s">
        <v>81</v>
      </c>
      <c r="E457" s="6" t="s">
        <v>127</v>
      </c>
      <c r="F457" s="12">
        <f>INDEX('PEDIDO JULIO'!A33:N47,1,14)</f>
        <v>0</v>
      </c>
      <c r="G457" s="8">
        <f>IFERROR(VLOOKUP($B457,'[1]INSUMO POR SEDES MARZO PRUEBA'!$B$6:$CD$109,26,0),"NO BD")</f>
        <v>0</v>
      </c>
      <c r="H457" s="8"/>
      <c r="I457" s="8">
        <f t="shared" si="40"/>
        <v>0</v>
      </c>
      <c r="J457" s="14">
        <f t="shared" si="37"/>
        <v>0</v>
      </c>
      <c r="K457" s="14">
        <f t="shared" si="38"/>
        <v>0</v>
      </c>
      <c r="L457" s="14">
        <f t="shared" si="39"/>
        <v>0</v>
      </c>
    </row>
    <row r="458" spans="1:12" ht="15">
      <c r="A458" s="3">
        <v>687</v>
      </c>
      <c r="B458" s="26">
        <v>212</v>
      </c>
      <c r="C458" s="7" t="s">
        <v>158</v>
      </c>
      <c r="D458" s="4" t="s">
        <v>82</v>
      </c>
      <c r="E458" s="6" t="s">
        <v>127</v>
      </c>
      <c r="F458" s="12">
        <f>INDEX('PEDIDO JULIO'!A33:N47,1,14)</f>
        <v>0</v>
      </c>
      <c r="G458" s="8">
        <f>IFERROR(VLOOKUP($B458,'[1]INSUMO POR SEDES MARZO PRUEBA'!$B$6:$CD$109,26,0),"NO BD")</f>
        <v>0</v>
      </c>
      <c r="H458" s="8"/>
      <c r="I458" s="8">
        <f t="shared" si="40"/>
        <v>0</v>
      </c>
      <c r="J458" s="14">
        <f t="shared" si="37"/>
        <v>0</v>
      </c>
      <c r="K458" s="14">
        <f t="shared" si="38"/>
        <v>0</v>
      </c>
      <c r="L458" s="14">
        <f t="shared" si="39"/>
        <v>0</v>
      </c>
    </row>
    <row r="459" spans="1:12" ht="15">
      <c r="A459" s="3">
        <v>688</v>
      </c>
      <c r="B459" s="26">
        <v>218</v>
      </c>
      <c r="C459" s="7" t="s">
        <v>158</v>
      </c>
      <c r="D459" s="4" t="s">
        <v>83</v>
      </c>
      <c r="E459" s="6" t="s">
        <v>127</v>
      </c>
      <c r="F459" s="12">
        <f>INDEX('PEDIDO JULIO'!A33:N47,1,14)</f>
        <v>0</v>
      </c>
      <c r="G459" s="8">
        <f>IFERROR(VLOOKUP($B459,'[1]INSUMO POR SEDES MARZO PRUEBA'!$B$6:$CD$109,26,0),"NO BD")</f>
        <v>2587.0365000000002</v>
      </c>
      <c r="H459" s="8"/>
      <c r="I459" s="8">
        <f t="shared" si="40"/>
        <v>0</v>
      </c>
      <c r="J459" s="14">
        <f t="shared" si="37"/>
        <v>0</v>
      </c>
      <c r="K459" s="14">
        <f t="shared" si="38"/>
        <v>0</v>
      </c>
      <c r="L459" s="14">
        <f t="shared" si="39"/>
        <v>0</v>
      </c>
    </row>
    <row r="460" spans="1:12" ht="15">
      <c r="A460" s="3">
        <v>689</v>
      </c>
      <c r="B460" s="26">
        <v>251</v>
      </c>
      <c r="C460" s="7" t="s">
        <v>158</v>
      </c>
      <c r="D460" s="4" t="s">
        <v>84</v>
      </c>
      <c r="E460" s="6" t="s">
        <v>127</v>
      </c>
      <c r="F460" s="12">
        <f>INDEX('PEDIDO JULIO'!A33:N47,1,14)</f>
        <v>0</v>
      </c>
      <c r="G460" s="8">
        <f>IFERROR(VLOOKUP($B460,'[1]INSUMO POR SEDES MARZO PRUEBA'!$B$6:$CD$109,26,0),"NO BD")</f>
        <v>20399.279400000003</v>
      </c>
      <c r="H460" s="8"/>
      <c r="I460" s="8">
        <f t="shared" si="40"/>
        <v>0</v>
      </c>
      <c r="J460" s="14">
        <f t="shared" si="37"/>
        <v>0</v>
      </c>
      <c r="K460" s="14">
        <f t="shared" si="38"/>
        <v>0</v>
      </c>
      <c r="L460" s="14">
        <f t="shared" si="39"/>
        <v>0</v>
      </c>
    </row>
    <row r="461" spans="1:12" ht="15">
      <c r="A461" s="3">
        <v>729</v>
      </c>
      <c r="B461" s="39">
        <v>3</v>
      </c>
      <c r="C461" s="7" t="s">
        <v>155</v>
      </c>
      <c r="D461" s="4" t="s">
        <v>5</v>
      </c>
      <c r="E461" s="6" t="s">
        <v>128</v>
      </c>
      <c r="F461" s="12">
        <f>INDEX('PEDIDO JULIO'!A10:O32,1,15)</f>
        <v>0</v>
      </c>
      <c r="G461" s="8">
        <f>IFERROR(VLOOKUP($B461,'[1]INSUMO POR SEDES MARZO PRUEBA'!$B$6:$CD$109,29,0),"NO BD")</f>
        <v>7268.7160000000003</v>
      </c>
      <c r="H461" s="8"/>
      <c r="I461" s="8">
        <f t="shared" si="40"/>
        <v>0</v>
      </c>
      <c r="J461" s="14">
        <f t="shared" ref="J461:J501" si="41">+I461*10%</f>
        <v>0</v>
      </c>
      <c r="K461" s="14">
        <f t="shared" ref="K461:K501" si="42">+J461*19%</f>
        <v>0</v>
      </c>
      <c r="L461" s="14">
        <f t="shared" ref="L461:L501" si="43">SUM(I461:K461)</f>
        <v>0</v>
      </c>
    </row>
    <row r="462" spans="1:12" ht="15">
      <c r="A462" s="3">
        <v>730</v>
      </c>
      <c r="B462" s="39">
        <v>5</v>
      </c>
      <c r="C462" s="7" t="s">
        <v>6</v>
      </c>
      <c r="D462" s="4" t="s">
        <v>7</v>
      </c>
      <c r="E462" s="6" t="s">
        <v>128</v>
      </c>
      <c r="F462" s="12">
        <f>INDEX('PEDIDO JULIO'!A10:O32,1,15)</f>
        <v>0</v>
      </c>
      <c r="G462" s="8">
        <f>IFERROR(VLOOKUP($B462,'[1]INSUMO POR SEDES MARZO PRUEBA'!$B$6:$CD$109,29,0),"NO BD")</f>
        <v>0</v>
      </c>
      <c r="H462" s="8"/>
      <c r="I462" s="8">
        <f t="shared" si="40"/>
        <v>0</v>
      </c>
      <c r="J462" s="14">
        <f t="shared" si="41"/>
        <v>0</v>
      </c>
      <c r="K462" s="14">
        <f t="shared" si="42"/>
        <v>0</v>
      </c>
      <c r="L462" s="14">
        <f t="shared" si="43"/>
        <v>0</v>
      </c>
    </row>
    <row r="463" spans="1:12" ht="15">
      <c r="A463" s="3">
        <v>731</v>
      </c>
      <c r="B463" s="39">
        <v>8</v>
      </c>
      <c r="C463" s="7" t="s">
        <v>6</v>
      </c>
      <c r="D463" s="4" t="s">
        <v>8</v>
      </c>
      <c r="E463" s="6" t="s">
        <v>128</v>
      </c>
      <c r="F463" s="12">
        <f>INDEX('PEDIDO JULIO'!A10:O33,1,15)</f>
        <v>0</v>
      </c>
      <c r="G463" s="8">
        <f>IFERROR(VLOOKUP($B463,'[1]INSUMO POR SEDES MARZO PRUEBA'!$B$6:$CD$109,29,0),"NO BD")</f>
        <v>0</v>
      </c>
      <c r="H463" s="8"/>
      <c r="I463" s="8">
        <f t="shared" si="40"/>
        <v>0</v>
      </c>
      <c r="J463" s="14">
        <f t="shared" si="41"/>
        <v>0</v>
      </c>
      <c r="K463" s="14">
        <f t="shared" si="42"/>
        <v>0</v>
      </c>
      <c r="L463" s="14">
        <f t="shared" si="43"/>
        <v>0</v>
      </c>
    </row>
    <row r="464" spans="1:12" ht="15">
      <c r="A464" s="3">
        <v>732</v>
      </c>
      <c r="B464" s="39">
        <v>9</v>
      </c>
      <c r="C464" s="7" t="s">
        <v>9</v>
      </c>
      <c r="D464" s="4" t="s">
        <v>10</v>
      </c>
      <c r="E464" s="6" t="s">
        <v>128</v>
      </c>
      <c r="F464" s="12">
        <f>INDEX('PEDIDO JULIO'!A10:O33,1,15)</f>
        <v>0</v>
      </c>
      <c r="G464" s="8">
        <f>IFERROR(VLOOKUP($B464,'[1]INSUMO POR SEDES MARZO PRUEBA'!$B$6:$CD$109,29,0),"NO BD")</f>
        <v>0</v>
      </c>
      <c r="H464" s="8"/>
      <c r="I464" s="8">
        <f t="shared" si="40"/>
        <v>0</v>
      </c>
      <c r="J464" s="14">
        <f t="shared" si="41"/>
        <v>0</v>
      </c>
      <c r="K464" s="14">
        <f t="shared" si="42"/>
        <v>0</v>
      </c>
      <c r="L464" s="14">
        <f t="shared" si="43"/>
        <v>0</v>
      </c>
    </row>
    <row r="465" spans="1:12" ht="15">
      <c r="A465" s="3">
        <v>733</v>
      </c>
      <c r="B465" s="39">
        <v>13</v>
      </c>
      <c r="C465" s="7" t="s">
        <v>156</v>
      </c>
      <c r="D465" s="5" t="s">
        <v>11</v>
      </c>
      <c r="E465" s="6" t="s">
        <v>128</v>
      </c>
      <c r="F465" s="12">
        <f>INDEX('PEDIDO JULIO'!A11:O33,1,15)</f>
        <v>0</v>
      </c>
      <c r="G465" s="8">
        <f>IFERROR(VLOOKUP($B465,'[1]INSUMO POR SEDES MARZO PRUEBA'!$B$6:$CD$109,29,0),"NO BD")</f>
        <v>0</v>
      </c>
      <c r="H465" s="8"/>
      <c r="I465" s="8">
        <f t="shared" si="40"/>
        <v>0</v>
      </c>
      <c r="J465" s="14">
        <f t="shared" si="41"/>
        <v>0</v>
      </c>
      <c r="K465" s="14">
        <f t="shared" si="42"/>
        <v>0</v>
      </c>
      <c r="L465" s="14">
        <f t="shared" si="43"/>
        <v>0</v>
      </c>
    </row>
    <row r="466" spans="1:12" ht="27">
      <c r="A466" s="3">
        <v>734</v>
      </c>
      <c r="B466" s="39">
        <v>17</v>
      </c>
      <c r="C466" s="7" t="s">
        <v>157</v>
      </c>
      <c r="D466" s="4" t="s">
        <v>12</v>
      </c>
      <c r="E466" s="6" t="s">
        <v>128</v>
      </c>
      <c r="F466" s="12">
        <f>INDEX('PEDIDO JULIO'!A12:O33,1,15)</f>
        <v>0</v>
      </c>
      <c r="G466" s="8">
        <f>IFERROR(VLOOKUP($B466,'[1]INSUMO POR SEDES MARZO PRUEBA'!$B$6:$CD$109,29,0),"NO BD")</f>
        <v>5647.0229999999992</v>
      </c>
      <c r="H466" s="8"/>
      <c r="I466" s="8">
        <f t="shared" si="40"/>
        <v>0</v>
      </c>
      <c r="J466" s="14">
        <f t="shared" si="41"/>
        <v>0</v>
      </c>
      <c r="K466" s="14">
        <f t="shared" si="42"/>
        <v>0</v>
      </c>
      <c r="L466" s="14">
        <f t="shared" si="43"/>
        <v>0</v>
      </c>
    </row>
    <row r="467" spans="1:12" ht="15">
      <c r="A467" s="3">
        <v>735</v>
      </c>
      <c r="B467" s="39">
        <v>20</v>
      </c>
      <c r="C467" s="7" t="s">
        <v>13</v>
      </c>
      <c r="D467" s="4" t="s">
        <v>14</v>
      </c>
      <c r="E467" s="6" t="s">
        <v>128</v>
      </c>
      <c r="F467" s="12">
        <f>INDEX('PEDIDO JULIO'!A12:O33,1,15)</f>
        <v>0</v>
      </c>
      <c r="G467" s="8">
        <f>IFERROR(VLOOKUP($B467,'[1]INSUMO POR SEDES MARZO PRUEBA'!$B$6:$CD$109,29,0),"NO BD")</f>
        <v>0</v>
      </c>
      <c r="H467" s="8"/>
      <c r="I467" s="8">
        <f t="shared" si="40"/>
        <v>0</v>
      </c>
      <c r="J467" s="14">
        <f t="shared" si="41"/>
        <v>0</v>
      </c>
      <c r="K467" s="14">
        <f t="shared" si="42"/>
        <v>0</v>
      </c>
      <c r="L467" s="14">
        <f t="shared" si="43"/>
        <v>0</v>
      </c>
    </row>
    <row r="468" spans="1:12" ht="27">
      <c r="A468" s="3">
        <v>736</v>
      </c>
      <c r="B468" s="39">
        <v>21</v>
      </c>
      <c r="C468" s="7" t="s">
        <v>13</v>
      </c>
      <c r="D468" s="4" t="s">
        <v>15</v>
      </c>
      <c r="E468" s="6" t="s">
        <v>128</v>
      </c>
      <c r="F468" s="12">
        <f>INDEX('PEDIDO JULIO'!A13:O34,1,15)</f>
        <v>3</v>
      </c>
      <c r="G468" s="8">
        <f>IFERROR(VLOOKUP($B468,'[1]INSUMO POR SEDES MARZO PRUEBA'!$B$6:$CD$109,29,0),"NO BD")</f>
        <v>0</v>
      </c>
      <c r="H468" s="8"/>
      <c r="I468" s="8">
        <f t="shared" si="40"/>
        <v>0</v>
      </c>
      <c r="J468" s="14">
        <f t="shared" si="41"/>
        <v>0</v>
      </c>
      <c r="K468" s="14">
        <f t="shared" si="42"/>
        <v>0</v>
      </c>
      <c r="L468" s="14">
        <f t="shared" si="43"/>
        <v>0</v>
      </c>
    </row>
    <row r="469" spans="1:12" ht="15">
      <c r="A469" s="3">
        <v>737</v>
      </c>
      <c r="B469" s="39">
        <v>28</v>
      </c>
      <c r="C469" s="7" t="s">
        <v>16</v>
      </c>
      <c r="D469" s="4" t="s">
        <v>17</v>
      </c>
      <c r="E469" s="6" t="s">
        <v>128</v>
      </c>
      <c r="F469" s="12">
        <f>INDEX('PEDIDO JULIO'!A14:O34,1,15)</f>
        <v>0</v>
      </c>
      <c r="G469" s="8">
        <f>IFERROR(VLOOKUP($B469,'[1]INSUMO POR SEDES MARZO PRUEBA'!$B$6:$CD$109,29,0),"NO BD")</f>
        <v>0</v>
      </c>
      <c r="H469" s="8"/>
      <c r="I469" s="8">
        <f t="shared" si="40"/>
        <v>0</v>
      </c>
      <c r="J469" s="14">
        <f t="shared" si="41"/>
        <v>0</v>
      </c>
      <c r="K469" s="14">
        <f t="shared" si="42"/>
        <v>0</v>
      </c>
      <c r="L469" s="14">
        <f t="shared" si="43"/>
        <v>0</v>
      </c>
    </row>
    <row r="470" spans="1:12" ht="27">
      <c r="A470" s="3">
        <v>738</v>
      </c>
      <c r="B470" s="39">
        <v>29</v>
      </c>
      <c r="C470" s="7" t="s">
        <v>18</v>
      </c>
      <c r="D470" s="4" t="s">
        <v>19</v>
      </c>
      <c r="E470" s="6" t="s">
        <v>128</v>
      </c>
      <c r="F470" s="12">
        <f>INDEX('PEDIDO JULIO'!A15:O34,1,15)</f>
        <v>0</v>
      </c>
      <c r="G470" s="8">
        <f>IFERROR(VLOOKUP($B470,'[1]INSUMO POR SEDES MARZO PRUEBA'!$B$6:$CD$109,29,0),"NO BD")</f>
        <v>0</v>
      </c>
      <c r="H470" s="8"/>
      <c r="I470" s="8">
        <f t="shared" si="40"/>
        <v>0</v>
      </c>
      <c r="J470" s="14">
        <f t="shared" si="41"/>
        <v>0</v>
      </c>
      <c r="K470" s="14">
        <f t="shared" si="42"/>
        <v>0</v>
      </c>
      <c r="L470" s="14">
        <f t="shared" si="43"/>
        <v>0</v>
      </c>
    </row>
    <row r="471" spans="1:12" ht="27">
      <c r="A471" s="3">
        <v>739</v>
      </c>
      <c r="B471" s="39">
        <v>32</v>
      </c>
      <c r="C471" s="7" t="s">
        <v>20</v>
      </c>
      <c r="D471" s="4" t="s">
        <v>21</v>
      </c>
      <c r="E471" s="6" t="s">
        <v>128</v>
      </c>
      <c r="F471" s="12">
        <f>INDEX('PEDIDO JULIO'!A16:O34,1,15)</f>
        <v>0</v>
      </c>
      <c r="G471" s="8">
        <f>IFERROR(VLOOKUP($B471,'[1]INSUMO POR SEDES MARZO PRUEBA'!$B$6:$CD$109,29,0),"NO BD")</f>
        <v>4115.7160000000003</v>
      </c>
      <c r="H471" s="8"/>
      <c r="I471" s="8">
        <f t="shared" si="40"/>
        <v>0</v>
      </c>
      <c r="J471" s="14">
        <f t="shared" si="41"/>
        <v>0</v>
      </c>
      <c r="K471" s="14">
        <f t="shared" si="42"/>
        <v>0</v>
      </c>
      <c r="L471" s="14">
        <f t="shared" si="43"/>
        <v>0</v>
      </c>
    </row>
    <row r="472" spans="1:12" ht="27">
      <c r="A472" s="3">
        <v>740</v>
      </c>
      <c r="B472" s="39">
        <v>38</v>
      </c>
      <c r="C472" s="7" t="s">
        <v>22</v>
      </c>
      <c r="D472" s="4" t="s">
        <v>23</v>
      </c>
      <c r="E472" s="6" t="s">
        <v>128</v>
      </c>
      <c r="F472" s="12">
        <f>INDEX('PEDIDO JULIO'!A17:O34,1,15)</f>
        <v>2</v>
      </c>
      <c r="G472" s="8">
        <f>IFERROR(VLOOKUP($B472,'[1]INSUMO POR SEDES MARZO PRUEBA'!$B$6:$CD$109,29,0),"NO BD")</f>
        <v>15622.484399999999</v>
      </c>
      <c r="H472" s="8"/>
      <c r="I472" s="8">
        <f t="shared" si="40"/>
        <v>31244.968799999999</v>
      </c>
      <c r="J472" s="14">
        <f t="shared" si="41"/>
        <v>3124.4968800000001</v>
      </c>
      <c r="K472" s="14">
        <f t="shared" si="42"/>
        <v>593.65440720000004</v>
      </c>
      <c r="L472" s="14">
        <f t="shared" si="43"/>
        <v>34963.120087200004</v>
      </c>
    </row>
    <row r="473" spans="1:12" ht="15">
      <c r="A473" s="3">
        <v>741</v>
      </c>
      <c r="B473" s="39">
        <v>44</v>
      </c>
      <c r="C473" s="7" t="s">
        <v>18</v>
      </c>
      <c r="D473" s="4" t="s">
        <v>24</v>
      </c>
      <c r="E473" s="6" t="s">
        <v>128</v>
      </c>
      <c r="F473" s="12">
        <f>INDEX('PEDIDO JULIO'!A17:O34,1,15)</f>
        <v>2</v>
      </c>
      <c r="G473" s="8">
        <f>IFERROR(VLOOKUP($B473,'[1]INSUMO POR SEDES MARZO PRUEBA'!$B$6:$CD$109,29,0),"NO BD")</f>
        <v>0</v>
      </c>
      <c r="H473" s="8"/>
      <c r="I473" s="8">
        <f t="shared" si="40"/>
        <v>0</v>
      </c>
      <c r="J473" s="14">
        <f t="shared" si="41"/>
        <v>0</v>
      </c>
      <c r="K473" s="14">
        <f t="shared" si="42"/>
        <v>0</v>
      </c>
      <c r="L473" s="14">
        <f t="shared" si="43"/>
        <v>0</v>
      </c>
    </row>
    <row r="474" spans="1:12" ht="27">
      <c r="A474" s="3">
        <v>742</v>
      </c>
      <c r="B474" s="39">
        <v>50</v>
      </c>
      <c r="C474" s="7" t="s">
        <v>155</v>
      </c>
      <c r="D474" s="4" t="s">
        <v>25</v>
      </c>
      <c r="E474" s="6" t="s">
        <v>128</v>
      </c>
      <c r="F474" s="12">
        <f>INDEX('PEDIDO JULIO'!A18:O35,1,15)</f>
        <v>0</v>
      </c>
      <c r="G474" s="8">
        <f>IFERROR(VLOOKUP($B474,'[1]INSUMO POR SEDES MARZO PRUEBA'!$B$6:$CD$109,29,0),"NO BD")</f>
        <v>0</v>
      </c>
      <c r="H474" s="8"/>
      <c r="I474" s="8">
        <f t="shared" si="40"/>
        <v>0</v>
      </c>
      <c r="J474" s="14">
        <f t="shared" si="41"/>
        <v>0</v>
      </c>
      <c r="K474" s="14">
        <f t="shared" si="42"/>
        <v>0</v>
      </c>
      <c r="L474" s="14">
        <f t="shared" si="43"/>
        <v>0</v>
      </c>
    </row>
    <row r="475" spans="1:12" ht="27">
      <c r="A475" s="3">
        <v>743</v>
      </c>
      <c r="B475" s="39">
        <v>52</v>
      </c>
      <c r="C475" s="7" t="s">
        <v>16</v>
      </c>
      <c r="D475" s="4" t="s">
        <v>26</v>
      </c>
      <c r="E475" s="6" t="s">
        <v>128</v>
      </c>
      <c r="F475" s="12">
        <f>INDEX('PEDIDO JULIO'!A18:O35,1,15)</f>
        <v>0</v>
      </c>
      <c r="G475" s="8">
        <f>IFERROR(VLOOKUP($B475,'[1]INSUMO POR SEDES MARZO PRUEBA'!$B$6:$CD$109,29,0),"NO BD")</f>
        <v>0</v>
      </c>
      <c r="H475" s="8"/>
      <c r="I475" s="8">
        <f t="shared" si="40"/>
        <v>0</v>
      </c>
      <c r="J475" s="14">
        <f t="shared" si="41"/>
        <v>0</v>
      </c>
      <c r="K475" s="14">
        <f t="shared" si="42"/>
        <v>0</v>
      </c>
      <c r="L475" s="14">
        <f t="shared" si="43"/>
        <v>0</v>
      </c>
    </row>
    <row r="476" spans="1:12" ht="15">
      <c r="A476" s="3">
        <v>744</v>
      </c>
      <c r="B476" s="39">
        <v>57</v>
      </c>
      <c r="C476" s="7" t="s">
        <v>27</v>
      </c>
      <c r="D476" s="4" t="s">
        <v>28</v>
      </c>
      <c r="E476" s="6" t="s">
        <v>128</v>
      </c>
      <c r="F476" s="12">
        <f>INDEX('PEDIDO JULIO'!A18:O35,1,15)</f>
        <v>0</v>
      </c>
      <c r="G476" s="8">
        <f>IFERROR(VLOOKUP($B476,'[1]INSUMO POR SEDES MARZO PRUEBA'!$B$6:$CD$109,29,0),"NO BD")</f>
        <v>27464.2065</v>
      </c>
      <c r="H476" s="8"/>
      <c r="I476" s="8">
        <f t="shared" si="40"/>
        <v>0</v>
      </c>
      <c r="J476" s="14">
        <f t="shared" si="41"/>
        <v>0</v>
      </c>
      <c r="K476" s="14">
        <f t="shared" si="42"/>
        <v>0</v>
      </c>
      <c r="L476" s="14">
        <f t="shared" si="43"/>
        <v>0</v>
      </c>
    </row>
    <row r="477" spans="1:12" ht="15">
      <c r="A477" s="3">
        <v>745</v>
      </c>
      <c r="B477" s="39">
        <v>59</v>
      </c>
      <c r="C477" s="7" t="s">
        <v>13</v>
      </c>
      <c r="D477" s="4" t="s">
        <v>29</v>
      </c>
      <c r="E477" s="6" t="s">
        <v>128</v>
      </c>
      <c r="F477" s="12">
        <f>INDEX('PEDIDO JULIO'!A19:O35,1,15)</f>
        <v>0</v>
      </c>
      <c r="G477" s="8">
        <f>IFERROR(VLOOKUP($B477,'[1]INSUMO POR SEDES MARZO PRUEBA'!$B$6:$CD$109,29,0),"NO BD")</f>
        <v>0</v>
      </c>
      <c r="H477" s="8"/>
      <c r="I477" s="8">
        <f t="shared" si="40"/>
        <v>0</v>
      </c>
      <c r="J477" s="14">
        <f t="shared" si="41"/>
        <v>0</v>
      </c>
      <c r="K477" s="14">
        <f t="shared" si="42"/>
        <v>0</v>
      </c>
      <c r="L477" s="14">
        <f t="shared" si="43"/>
        <v>0</v>
      </c>
    </row>
    <row r="478" spans="1:12" ht="15">
      <c r="A478" s="3">
        <v>746</v>
      </c>
      <c r="B478" s="39">
        <v>62</v>
      </c>
      <c r="C478" s="7" t="s">
        <v>13</v>
      </c>
      <c r="D478" s="4" t="s">
        <v>30</v>
      </c>
      <c r="E478" s="6" t="s">
        <v>128</v>
      </c>
      <c r="F478" s="12">
        <f>INDEX('PEDIDO JULIO'!A19:O35,1,15)</f>
        <v>0</v>
      </c>
      <c r="G478" s="8">
        <f>IFERROR(VLOOKUP($B478,'[1]INSUMO POR SEDES MARZO PRUEBA'!$B$6:$CD$109,29,0),"NO BD")</f>
        <v>5167.7669999999998</v>
      </c>
      <c r="H478" s="8"/>
      <c r="I478" s="8">
        <f t="shared" si="40"/>
        <v>0</v>
      </c>
      <c r="J478" s="14">
        <f t="shared" si="41"/>
        <v>0</v>
      </c>
      <c r="K478" s="14">
        <f t="shared" si="42"/>
        <v>0</v>
      </c>
      <c r="L478" s="14">
        <f t="shared" si="43"/>
        <v>0</v>
      </c>
    </row>
    <row r="479" spans="1:12" ht="15">
      <c r="A479" s="3">
        <v>747</v>
      </c>
      <c r="B479" s="39">
        <v>63</v>
      </c>
      <c r="C479" s="7" t="s">
        <v>13</v>
      </c>
      <c r="D479" s="4" t="s">
        <v>31</v>
      </c>
      <c r="E479" s="6" t="s">
        <v>128</v>
      </c>
      <c r="F479" s="12">
        <f>INDEX('PEDIDO JULIO'!A20:O35,1,15)</f>
        <v>0</v>
      </c>
      <c r="G479" s="8">
        <f>IFERROR(VLOOKUP($B479,'[1]INSUMO POR SEDES MARZO PRUEBA'!$B$6:$CD$109,29,0),"NO BD")</f>
        <v>11443.4982</v>
      </c>
      <c r="H479" s="8"/>
      <c r="I479" s="8">
        <f t="shared" si="40"/>
        <v>0</v>
      </c>
      <c r="J479" s="14">
        <f t="shared" si="41"/>
        <v>0</v>
      </c>
      <c r="K479" s="14">
        <f t="shared" si="42"/>
        <v>0</v>
      </c>
      <c r="L479" s="14">
        <f t="shared" si="43"/>
        <v>0</v>
      </c>
    </row>
    <row r="480" spans="1:12" ht="15">
      <c r="A480" s="3">
        <v>748</v>
      </c>
      <c r="B480" s="39">
        <v>64</v>
      </c>
      <c r="C480" s="7" t="s">
        <v>13</v>
      </c>
      <c r="D480" s="4" t="s">
        <v>32</v>
      </c>
      <c r="E480" s="6" t="s">
        <v>128</v>
      </c>
      <c r="F480" s="12">
        <f>INDEX('PEDIDO JULIO'!A20:O35,1,15)</f>
        <v>0</v>
      </c>
      <c r="G480" s="8">
        <f>IFERROR(VLOOKUP($B480,'[1]INSUMO POR SEDES MARZO PRUEBA'!$B$6:$CD$109,29,0),"NO BD")</f>
        <v>0</v>
      </c>
      <c r="H480" s="8"/>
      <c r="I480" s="8">
        <f t="shared" si="40"/>
        <v>0</v>
      </c>
      <c r="J480" s="14">
        <f t="shared" si="41"/>
        <v>0</v>
      </c>
      <c r="K480" s="14">
        <f t="shared" si="42"/>
        <v>0</v>
      </c>
      <c r="L480" s="14">
        <f t="shared" si="43"/>
        <v>0</v>
      </c>
    </row>
    <row r="481" spans="1:12" ht="15">
      <c r="A481" s="3">
        <v>749</v>
      </c>
      <c r="B481" s="39">
        <v>65</v>
      </c>
      <c r="C481" s="7" t="s">
        <v>33</v>
      </c>
      <c r="D481" s="4" t="s">
        <v>34</v>
      </c>
      <c r="E481" s="6" t="s">
        <v>128</v>
      </c>
      <c r="F481" s="12">
        <f>INDEX('PEDIDO JULIO'!A21:O35,1,15)</f>
        <v>0</v>
      </c>
      <c r="G481" s="8">
        <f>IFERROR(VLOOKUP($B481,'[1]INSUMO POR SEDES MARZO PRUEBA'!$B$6:$CD$109,29,0),"NO BD")</f>
        <v>21295.046699999999</v>
      </c>
      <c r="H481" s="8"/>
      <c r="I481" s="8">
        <f t="shared" si="40"/>
        <v>0</v>
      </c>
      <c r="J481" s="14">
        <f t="shared" si="41"/>
        <v>0</v>
      </c>
      <c r="K481" s="14">
        <f t="shared" si="42"/>
        <v>0</v>
      </c>
      <c r="L481" s="14">
        <f t="shared" si="43"/>
        <v>0</v>
      </c>
    </row>
    <row r="482" spans="1:12" ht="15">
      <c r="A482" s="3">
        <v>750</v>
      </c>
      <c r="B482" s="39">
        <v>66</v>
      </c>
      <c r="C482" s="7" t="s">
        <v>16</v>
      </c>
      <c r="D482" s="4" t="s">
        <v>35</v>
      </c>
      <c r="E482" s="6" t="s">
        <v>128</v>
      </c>
      <c r="F482" s="12">
        <f>INDEX('PEDIDO JULIO'!A22:O35,1,15)</f>
        <v>0</v>
      </c>
      <c r="G482" s="8">
        <f>IFERROR(VLOOKUP($B482,'[1]INSUMO POR SEDES MARZO PRUEBA'!$B$6:$CD$109,29,0),"NO BD")</f>
        <v>4178.9862000000003</v>
      </c>
      <c r="H482" s="8"/>
      <c r="I482" s="8">
        <f t="shared" si="40"/>
        <v>0</v>
      </c>
      <c r="J482" s="14">
        <f t="shared" si="41"/>
        <v>0</v>
      </c>
      <c r="K482" s="14">
        <f t="shared" si="42"/>
        <v>0</v>
      </c>
      <c r="L482" s="14">
        <f t="shared" si="43"/>
        <v>0</v>
      </c>
    </row>
    <row r="483" spans="1:12" ht="15">
      <c r="A483" s="3">
        <v>751</v>
      </c>
      <c r="B483" s="39">
        <v>71</v>
      </c>
      <c r="C483" s="7" t="s">
        <v>36</v>
      </c>
      <c r="D483" s="4" t="s">
        <v>37</v>
      </c>
      <c r="E483" s="6" t="s">
        <v>128</v>
      </c>
      <c r="F483" s="12">
        <f>INDEX('PEDIDO JULIO'!A23:O36,1,15)</f>
        <v>6</v>
      </c>
      <c r="G483" s="8">
        <f>IFERROR(VLOOKUP($B483,'[1]INSUMO POR SEDES MARZO PRUEBA'!$B$6:$CD$109,29,0),"NO BD")</f>
        <v>7960.6944000000003</v>
      </c>
      <c r="H483" s="8"/>
      <c r="I483" s="8">
        <f t="shared" si="40"/>
        <v>47764.166400000002</v>
      </c>
      <c r="J483" s="14">
        <f t="shared" si="41"/>
        <v>4776.4166400000004</v>
      </c>
      <c r="K483" s="14">
        <f t="shared" si="42"/>
        <v>907.51916160000007</v>
      </c>
      <c r="L483" s="14">
        <f t="shared" si="43"/>
        <v>53448.102201600006</v>
      </c>
    </row>
    <row r="484" spans="1:12" ht="15">
      <c r="A484" s="3">
        <v>752</v>
      </c>
      <c r="B484" s="39">
        <v>72</v>
      </c>
      <c r="C484" s="7" t="s">
        <v>36</v>
      </c>
      <c r="D484" s="4" t="s">
        <v>38</v>
      </c>
      <c r="E484" s="6" t="s">
        <v>128</v>
      </c>
      <c r="F484" s="12">
        <f>INDEX('PEDIDO JULIO'!A23:O37,1,15)</f>
        <v>6</v>
      </c>
      <c r="G484" s="8">
        <f>IFERROR(VLOOKUP($B484,'[1]INSUMO POR SEDES MARZO PRUEBA'!$B$6:$CD$109,29,0),"NO BD")</f>
        <v>7861.3749000000007</v>
      </c>
      <c r="H484" s="8"/>
      <c r="I484" s="8">
        <f t="shared" si="40"/>
        <v>47168.249400000001</v>
      </c>
      <c r="J484" s="14">
        <f t="shared" si="41"/>
        <v>4716.8249400000004</v>
      </c>
      <c r="K484" s="14">
        <f t="shared" si="42"/>
        <v>896.19673860000012</v>
      </c>
      <c r="L484" s="14">
        <f t="shared" si="43"/>
        <v>52781.271078600003</v>
      </c>
    </row>
    <row r="485" spans="1:12" ht="15">
      <c r="A485" s="3">
        <v>753</v>
      </c>
      <c r="B485" s="39">
        <v>73</v>
      </c>
      <c r="C485" s="7" t="s">
        <v>39</v>
      </c>
      <c r="D485" s="4" t="s">
        <v>40</v>
      </c>
      <c r="E485" s="6" t="s">
        <v>128</v>
      </c>
      <c r="F485" s="12">
        <f>INDEX('PEDIDO JULIO'!A24:O37,1,15)</f>
        <v>0</v>
      </c>
      <c r="G485" s="8">
        <f>IFERROR(VLOOKUP($B485,'[1]INSUMO POR SEDES MARZO PRUEBA'!$B$6:$CD$109,29,0),"NO BD")</f>
        <v>21493.685699999998</v>
      </c>
      <c r="H485" s="8"/>
      <c r="I485" s="8">
        <f t="shared" si="40"/>
        <v>0</v>
      </c>
      <c r="J485" s="14">
        <f t="shared" si="41"/>
        <v>0</v>
      </c>
      <c r="K485" s="14">
        <f t="shared" si="42"/>
        <v>0</v>
      </c>
      <c r="L485" s="14">
        <f t="shared" si="43"/>
        <v>0</v>
      </c>
    </row>
    <row r="486" spans="1:12" ht="15">
      <c r="A486" s="3">
        <v>754</v>
      </c>
      <c r="B486" s="39">
        <v>74</v>
      </c>
      <c r="C486" s="7" t="s">
        <v>39</v>
      </c>
      <c r="D486" s="4" t="s">
        <v>41</v>
      </c>
      <c r="E486" s="6" t="s">
        <v>128</v>
      </c>
      <c r="F486" s="12">
        <f>INDEX('PEDIDO JULIO'!A25:O37,1,15)</f>
        <v>0</v>
      </c>
      <c r="G486" s="8">
        <f>IFERROR(VLOOKUP($B486,'[1]INSUMO POR SEDES MARZO PRUEBA'!$B$6:$CD$109,29,0),"NO BD")</f>
        <v>6915.4749000000002</v>
      </c>
      <c r="H486" s="8"/>
      <c r="I486" s="8">
        <f t="shared" si="40"/>
        <v>0</v>
      </c>
      <c r="J486" s="14">
        <f t="shared" si="41"/>
        <v>0</v>
      </c>
      <c r="K486" s="14">
        <f t="shared" si="42"/>
        <v>0</v>
      </c>
      <c r="L486" s="14">
        <f t="shared" si="43"/>
        <v>0</v>
      </c>
    </row>
    <row r="487" spans="1:12" ht="15">
      <c r="A487" s="3">
        <v>755</v>
      </c>
      <c r="B487" s="39">
        <v>79</v>
      </c>
      <c r="C487" s="7" t="s">
        <v>151</v>
      </c>
      <c r="D487" s="4" t="s">
        <v>42</v>
      </c>
      <c r="E487" s="6" t="s">
        <v>128</v>
      </c>
      <c r="F487" s="12">
        <f>INDEX('PEDIDO JULIO'!A26:O37,1,15)</f>
        <v>0</v>
      </c>
      <c r="G487" s="8">
        <f>IFERROR(VLOOKUP($B487,'[1]INSUMO POR SEDES MARZO PRUEBA'!$B$6:$CD$109,29,0),"NO BD")</f>
        <v>541.2650000000001</v>
      </c>
      <c r="H487" s="8"/>
      <c r="I487" s="8">
        <f t="shared" si="40"/>
        <v>0</v>
      </c>
      <c r="J487" s="14">
        <f t="shared" si="41"/>
        <v>0</v>
      </c>
      <c r="K487" s="14">
        <f t="shared" si="42"/>
        <v>0</v>
      </c>
      <c r="L487" s="14">
        <f t="shared" si="43"/>
        <v>0</v>
      </c>
    </row>
    <row r="488" spans="1:12" ht="15">
      <c r="A488" s="3">
        <v>756</v>
      </c>
      <c r="B488" s="39">
        <v>80</v>
      </c>
      <c r="C488" s="7" t="s">
        <v>151</v>
      </c>
      <c r="D488" s="4" t="s">
        <v>43</v>
      </c>
      <c r="E488" s="6" t="s">
        <v>128</v>
      </c>
      <c r="F488" s="12">
        <f>INDEX('PEDIDO JULIO'!A27:O37,1,15)</f>
        <v>0</v>
      </c>
      <c r="G488" s="8">
        <f>IFERROR(VLOOKUP($B488,'[1]INSUMO POR SEDES MARZO PRUEBA'!$B$6:$CD$109,29,0),"NO BD")</f>
        <v>433.01199999999994</v>
      </c>
      <c r="H488" s="8"/>
      <c r="I488" s="8">
        <f t="shared" si="40"/>
        <v>0</v>
      </c>
      <c r="J488" s="14">
        <f t="shared" si="41"/>
        <v>0</v>
      </c>
      <c r="K488" s="14">
        <f t="shared" si="42"/>
        <v>0</v>
      </c>
      <c r="L488" s="14">
        <f t="shared" si="43"/>
        <v>0</v>
      </c>
    </row>
    <row r="489" spans="1:12" ht="15">
      <c r="A489" s="3">
        <v>757</v>
      </c>
      <c r="B489" s="39">
        <v>81</v>
      </c>
      <c r="C489" s="7" t="s">
        <v>151</v>
      </c>
      <c r="D489" s="4" t="s">
        <v>44</v>
      </c>
      <c r="E489" s="6" t="s">
        <v>128</v>
      </c>
      <c r="F489" s="12">
        <f>INDEX('PEDIDO JULIO'!A28:O37,1,15)</f>
        <v>0</v>
      </c>
      <c r="G489" s="8">
        <f>IFERROR(VLOOKUP($B489,'[1]INSUMO POR SEDES MARZO PRUEBA'!$B$6:$CD$109,29,0),"NO BD")</f>
        <v>211.251</v>
      </c>
      <c r="H489" s="8"/>
      <c r="I489" s="8">
        <f t="shared" si="40"/>
        <v>0</v>
      </c>
      <c r="J489" s="14">
        <f t="shared" si="41"/>
        <v>0</v>
      </c>
      <c r="K489" s="14">
        <f t="shared" si="42"/>
        <v>0</v>
      </c>
      <c r="L489" s="14">
        <f t="shared" si="43"/>
        <v>0</v>
      </c>
    </row>
    <row r="490" spans="1:12" ht="40.5">
      <c r="A490" s="3">
        <v>758</v>
      </c>
      <c r="B490" s="39">
        <v>82</v>
      </c>
      <c r="C490" s="7" t="s">
        <v>151</v>
      </c>
      <c r="D490" s="4" t="s">
        <v>45</v>
      </c>
      <c r="E490" s="6" t="s">
        <v>128</v>
      </c>
      <c r="F490" s="12">
        <f>INDEX('PEDIDO JULIO'!A28:O37,1,15)</f>
        <v>0</v>
      </c>
      <c r="G490" s="8">
        <f>IFERROR(VLOOKUP($B490,'[1]INSUMO POR SEDES MARZO PRUEBA'!$B$6:$CD$109,29,0),"NO BD")</f>
        <v>1003.7049999999999</v>
      </c>
      <c r="H490" s="8"/>
      <c r="I490" s="8">
        <f t="shared" si="40"/>
        <v>0</v>
      </c>
      <c r="J490" s="14">
        <f t="shared" si="41"/>
        <v>0</v>
      </c>
      <c r="K490" s="14">
        <f t="shared" si="42"/>
        <v>0</v>
      </c>
      <c r="L490" s="14">
        <f t="shared" si="43"/>
        <v>0</v>
      </c>
    </row>
    <row r="491" spans="1:12" ht="27">
      <c r="A491" s="3">
        <v>759</v>
      </c>
      <c r="B491" s="39">
        <v>83</v>
      </c>
      <c r="C491" s="7" t="s">
        <v>46</v>
      </c>
      <c r="D491" s="4" t="s">
        <v>47</v>
      </c>
      <c r="E491" s="6" t="s">
        <v>128</v>
      </c>
      <c r="F491" s="12">
        <f>INDEX('PEDIDO JULIO'!A29:O37,1,15)</f>
        <v>0</v>
      </c>
      <c r="G491" s="8">
        <f>IFERROR(VLOOKUP($B491,'[1]INSUMO POR SEDES MARZO PRUEBA'!$B$6:$CD$109,29,0),"NO BD")</f>
        <v>0</v>
      </c>
      <c r="H491" s="8"/>
      <c r="I491" s="8">
        <f t="shared" si="40"/>
        <v>0</v>
      </c>
      <c r="J491" s="14">
        <f t="shared" si="41"/>
        <v>0</v>
      </c>
      <c r="K491" s="14">
        <f t="shared" si="42"/>
        <v>0</v>
      </c>
      <c r="L491" s="14">
        <f t="shared" si="43"/>
        <v>0</v>
      </c>
    </row>
    <row r="492" spans="1:12" ht="15">
      <c r="A492" s="3">
        <v>760</v>
      </c>
      <c r="B492" s="39">
        <v>88</v>
      </c>
      <c r="C492" s="7" t="s">
        <v>159</v>
      </c>
      <c r="D492" s="4" t="s">
        <v>48</v>
      </c>
      <c r="E492" s="6" t="s">
        <v>128</v>
      </c>
      <c r="F492" s="12">
        <f>INDEX('PEDIDO JULIO'!A30:O37,1,15)</f>
        <v>0</v>
      </c>
      <c r="G492" s="8">
        <f>IFERROR(VLOOKUP($B492,'[1]INSUMO POR SEDES MARZO PRUEBA'!$B$6:$CD$109,29,0),"NO BD")</f>
        <v>0</v>
      </c>
      <c r="H492" s="8"/>
      <c r="I492" s="8">
        <f t="shared" si="40"/>
        <v>0</v>
      </c>
      <c r="J492" s="14">
        <f t="shared" si="41"/>
        <v>0</v>
      </c>
      <c r="K492" s="14">
        <f t="shared" si="42"/>
        <v>0</v>
      </c>
      <c r="L492" s="14">
        <f t="shared" si="43"/>
        <v>0</v>
      </c>
    </row>
    <row r="493" spans="1:12" ht="15">
      <c r="A493" s="3">
        <v>761</v>
      </c>
      <c r="B493" s="39">
        <v>92</v>
      </c>
      <c r="C493" s="7" t="s">
        <v>159</v>
      </c>
      <c r="D493" s="4" t="s">
        <v>49</v>
      </c>
      <c r="E493" s="6" t="s">
        <v>128</v>
      </c>
      <c r="F493" s="12">
        <f>INDEX('PEDIDO JULIO'!A31:O37,1,15)</f>
        <v>0</v>
      </c>
      <c r="G493" s="8">
        <f>IFERROR(VLOOKUP($B493,'[1]INSUMO POR SEDES MARZO PRUEBA'!$B$6:$CD$109,29,0),"NO BD")</f>
        <v>2380.5149999999999</v>
      </c>
      <c r="H493" s="8"/>
      <c r="I493" s="8">
        <f t="shared" si="40"/>
        <v>0</v>
      </c>
      <c r="J493" s="14">
        <f t="shared" si="41"/>
        <v>0</v>
      </c>
      <c r="K493" s="14">
        <f t="shared" si="42"/>
        <v>0</v>
      </c>
      <c r="L493" s="14">
        <f t="shared" si="43"/>
        <v>0</v>
      </c>
    </row>
    <row r="494" spans="1:12" ht="15">
      <c r="A494" s="3">
        <v>762</v>
      </c>
      <c r="B494" s="39">
        <v>94</v>
      </c>
      <c r="C494" s="7" t="s">
        <v>159</v>
      </c>
      <c r="D494" s="4" t="s">
        <v>50</v>
      </c>
      <c r="E494" s="6" t="s">
        <v>128</v>
      </c>
      <c r="F494" s="12">
        <f>INDEX('PEDIDO JULIO'!A32:O37,1,15)</f>
        <v>0</v>
      </c>
      <c r="G494" s="8">
        <f>IFERROR(VLOOKUP($B494,'[1]INSUMO POR SEDES MARZO PRUEBA'!$B$6:$CD$109,29,0),"NO BD")</f>
        <v>0</v>
      </c>
      <c r="H494" s="8"/>
      <c r="I494" s="8">
        <f t="shared" si="40"/>
        <v>0</v>
      </c>
      <c r="J494" s="14">
        <f t="shared" si="41"/>
        <v>0</v>
      </c>
      <c r="K494" s="14">
        <f t="shared" si="42"/>
        <v>0</v>
      </c>
      <c r="L494" s="14">
        <f t="shared" si="43"/>
        <v>0</v>
      </c>
    </row>
    <row r="495" spans="1:12" ht="15">
      <c r="A495" s="3">
        <v>763</v>
      </c>
      <c r="B495" s="39">
        <v>98</v>
      </c>
      <c r="C495" s="7" t="s">
        <v>159</v>
      </c>
      <c r="D495" s="4" t="s">
        <v>51</v>
      </c>
      <c r="E495" s="6" t="s">
        <v>128</v>
      </c>
      <c r="F495" s="12">
        <f>INDEX('PEDIDO JULIO'!A33:O37,1,15)</f>
        <v>0</v>
      </c>
      <c r="G495" s="8">
        <f>IFERROR(VLOOKUP($B495,'[1]INSUMO POR SEDES MARZO PRUEBA'!$B$6:$CD$109,29,0),"NO BD")</f>
        <v>9503.4573</v>
      </c>
      <c r="H495" s="8"/>
      <c r="I495" s="8">
        <f t="shared" si="40"/>
        <v>0</v>
      </c>
      <c r="J495" s="14">
        <f t="shared" si="41"/>
        <v>0</v>
      </c>
      <c r="K495" s="14">
        <f t="shared" si="42"/>
        <v>0</v>
      </c>
      <c r="L495" s="14">
        <f t="shared" si="43"/>
        <v>0</v>
      </c>
    </row>
    <row r="496" spans="1:12" ht="15">
      <c r="A496" s="3">
        <v>764</v>
      </c>
      <c r="B496" s="39">
        <v>100</v>
      </c>
      <c r="C496" s="7" t="s">
        <v>159</v>
      </c>
      <c r="D496" s="4" t="s">
        <v>52</v>
      </c>
      <c r="E496" s="6" t="s">
        <v>128</v>
      </c>
      <c r="F496" s="12">
        <f>INDEX('PEDIDO JULIO'!A33:O38,1,15)</f>
        <v>0</v>
      </c>
      <c r="G496" s="8">
        <f>IFERROR(VLOOKUP($B496,'[1]INSUMO POR SEDES MARZO PRUEBA'!$B$6:$CD$109,29,0),"NO BD")</f>
        <v>0</v>
      </c>
      <c r="H496" s="8"/>
      <c r="I496" s="8">
        <f t="shared" si="40"/>
        <v>0</v>
      </c>
      <c r="J496" s="14">
        <f t="shared" si="41"/>
        <v>0</v>
      </c>
      <c r="K496" s="14">
        <f t="shared" si="42"/>
        <v>0</v>
      </c>
      <c r="L496" s="14">
        <f t="shared" si="43"/>
        <v>0</v>
      </c>
    </row>
    <row r="497" spans="1:12" ht="15">
      <c r="A497" s="3">
        <v>765</v>
      </c>
      <c r="B497" s="39">
        <v>102</v>
      </c>
      <c r="C497" s="7" t="s">
        <v>53</v>
      </c>
      <c r="D497" s="4" t="s">
        <v>54</v>
      </c>
      <c r="E497" s="6" t="s">
        <v>128</v>
      </c>
      <c r="F497" s="12">
        <f>INDEX('PEDIDO JULIO'!A33:O38,1,15)</f>
        <v>0</v>
      </c>
      <c r="G497" s="8">
        <f>IFERROR(VLOOKUP($B497,'[1]INSUMO POR SEDES MARZO PRUEBA'!$B$6:$CD$109,29,0),"NO BD")</f>
        <v>5422.8446999999996</v>
      </c>
      <c r="H497" s="8"/>
      <c r="I497" s="8">
        <f t="shared" si="40"/>
        <v>0</v>
      </c>
      <c r="J497" s="14">
        <f t="shared" si="41"/>
        <v>0</v>
      </c>
      <c r="K497" s="14">
        <f t="shared" si="42"/>
        <v>0</v>
      </c>
      <c r="L497" s="14">
        <f t="shared" si="43"/>
        <v>0</v>
      </c>
    </row>
    <row r="498" spans="1:12" ht="15">
      <c r="A498" s="3">
        <v>766</v>
      </c>
      <c r="B498" s="39">
        <v>110</v>
      </c>
      <c r="C498" s="7" t="s">
        <v>53</v>
      </c>
      <c r="D498" s="4" t="s">
        <v>55</v>
      </c>
      <c r="E498" s="6" t="s">
        <v>128</v>
      </c>
      <c r="F498" s="12">
        <f>INDEX('PEDIDO JULIO'!A33:O39,1,15)</f>
        <v>0</v>
      </c>
      <c r="G498" s="8">
        <f>IFERROR(VLOOKUP($B498,'[1]INSUMO POR SEDES MARZO PRUEBA'!$B$6:$CD$109,29,0),"NO BD")</f>
        <v>470.84799999999996</v>
      </c>
      <c r="H498" s="8"/>
      <c r="I498" s="8">
        <f t="shared" si="40"/>
        <v>0</v>
      </c>
      <c r="J498" s="14">
        <f t="shared" si="41"/>
        <v>0</v>
      </c>
      <c r="K498" s="14">
        <f t="shared" si="42"/>
        <v>0</v>
      </c>
      <c r="L498" s="14">
        <f t="shared" si="43"/>
        <v>0</v>
      </c>
    </row>
    <row r="499" spans="1:12" ht="15">
      <c r="A499" s="3">
        <v>767</v>
      </c>
      <c r="B499" s="39">
        <v>118</v>
      </c>
      <c r="C499" s="7" t="s">
        <v>53</v>
      </c>
      <c r="D499" s="4" t="s">
        <v>56</v>
      </c>
      <c r="E499" s="6" t="s">
        <v>128</v>
      </c>
      <c r="F499" s="12">
        <f>INDEX('PEDIDO JULIO'!A33:O40,1,15)</f>
        <v>0</v>
      </c>
      <c r="G499" s="8">
        <f>IFERROR(VLOOKUP($B499,'[1]INSUMO POR SEDES MARZO PRUEBA'!$B$6:$CD$109,29,0),"NO BD")</f>
        <v>4129.7993999999999</v>
      </c>
      <c r="H499" s="8"/>
      <c r="I499" s="8">
        <f t="shared" si="40"/>
        <v>0</v>
      </c>
      <c r="J499" s="14">
        <f t="shared" si="41"/>
        <v>0</v>
      </c>
      <c r="K499" s="14">
        <f t="shared" si="42"/>
        <v>0</v>
      </c>
      <c r="L499" s="14">
        <f t="shared" si="43"/>
        <v>0</v>
      </c>
    </row>
    <row r="500" spans="1:12" ht="15">
      <c r="A500" s="3">
        <v>768</v>
      </c>
      <c r="B500" s="39">
        <v>119</v>
      </c>
      <c r="C500" s="7" t="s">
        <v>53</v>
      </c>
      <c r="D500" s="4" t="s">
        <v>57</v>
      </c>
      <c r="E500" s="6" t="s">
        <v>128</v>
      </c>
      <c r="F500" s="12">
        <f>INDEX('PEDIDO JULIO'!A33:O40,1,15)</f>
        <v>0</v>
      </c>
      <c r="G500" s="8">
        <f>IFERROR(VLOOKUP($B500,'[1]INSUMO POR SEDES MARZO PRUEBA'!$B$6:$CD$109,29,0),"NO BD")</f>
        <v>4259.3877000000002</v>
      </c>
      <c r="H500" s="8"/>
      <c r="I500" s="8">
        <f t="shared" si="40"/>
        <v>0</v>
      </c>
      <c r="J500" s="14">
        <f t="shared" si="41"/>
        <v>0</v>
      </c>
      <c r="K500" s="14">
        <f t="shared" si="42"/>
        <v>0</v>
      </c>
      <c r="L500" s="14">
        <f t="shared" si="43"/>
        <v>0</v>
      </c>
    </row>
    <row r="501" spans="1:12" ht="27">
      <c r="A501" s="3">
        <v>769</v>
      </c>
      <c r="B501" s="39">
        <v>120</v>
      </c>
      <c r="C501" s="7" t="s">
        <v>160</v>
      </c>
      <c r="D501" s="4" t="s">
        <v>58</v>
      </c>
      <c r="E501" s="6" t="s">
        <v>128</v>
      </c>
      <c r="F501" s="12">
        <f>INDEX('PEDIDO JULIO'!A33:O40,1,15)</f>
        <v>0</v>
      </c>
      <c r="G501" s="8">
        <f>IFERROR(VLOOKUP($B501,'[1]INSUMO POR SEDES MARZO PRUEBA'!$B$6:$CD$109,29,0),"NO BD")</f>
        <v>4259.3877000000002</v>
      </c>
      <c r="H501" s="8"/>
      <c r="I501" s="8">
        <f t="shared" si="40"/>
        <v>0</v>
      </c>
      <c r="J501" s="14">
        <f t="shared" si="41"/>
        <v>0</v>
      </c>
      <c r="K501" s="14">
        <f t="shared" si="42"/>
        <v>0</v>
      </c>
      <c r="L501" s="14">
        <f t="shared" si="43"/>
        <v>0</v>
      </c>
    </row>
    <row r="502" spans="1:12" ht="15">
      <c r="A502" s="3">
        <v>770</v>
      </c>
      <c r="B502" s="39">
        <v>122</v>
      </c>
      <c r="C502" s="7" t="s">
        <v>160</v>
      </c>
      <c r="D502" s="4" t="s">
        <v>59</v>
      </c>
      <c r="E502" s="6" t="s">
        <v>128</v>
      </c>
      <c r="F502" s="12">
        <f>INDEX('PEDIDO JULIO'!A33:O41,1,15)</f>
        <v>0</v>
      </c>
      <c r="G502" s="8">
        <f>IFERROR(VLOOKUP($B502,'[1]INSUMO POR SEDES MARZO PRUEBA'!$B$6:$CD$109,29,0),"NO BD")</f>
        <v>5920.3881000000001</v>
      </c>
      <c r="H502" s="8"/>
      <c r="I502" s="8">
        <f t="shared" si="40"/>
        <v>0</v>
      </c>
      <c r="J502" s="14">
        <f t="shared" ref="J502:J526" si="44">+I502*10%</f>
        <v>0</v>
      </c>
      <c r="K502" s="14">
        <f t="shared" ref="K502:K526" si="45">+J502*19%</f>
        <v>0</v>
      </c>
      <c r="L502" s="14">
        <f t="shared" ref="L502:L526" si="46">SUM(I502:K502)</f>
        <v>0</v>
      </c>
    </row>
    <row r="503" spans="1:12" ht="15">
      <c r="A503" s="3">
        <v>771</v>
      </c>
      <c r="B503" s="39">
        <v>123</v>
      </c>
      <c r="C503" s="7" t="s">
        <v>60</v>
      </c>
      <c r="D503" s="4" t="s">
        <v>61</v>
      </c>
      <c r="E503" s="6" t="s">
        <v>128</v>
      </c>
      <c r="F503" s="12">
        <f>INDEX('PEDIDO JULIO'!A33:O41,1,15)</f>
        <v>0</v>
      </c>
      <c r="G503" s="8">
        <f>IFERROR(VLOOKUP($B503,'[1]INSUMO POR SEDES MARZO PRUEBA'!$B$6:$CD$109,29,0),"NO BD")</f>
        <v>6169.1598000000004</v>
      </c>
      <c r="H503" s="8"/>
      <c r="I503" s="8">
        <f t="shared" si="40"/>
        <v>0</v>
      </c>
      <c r="J503" s="14">
        <f t="shared" si="44"/>
        <v>0</v>
      </c>
      <c r="K503" s="14">
        <f t="shared" si="45"/>
        <v>0</v>
      </c>
      <c r="L503" s="14">
        <f t="shared" si="46"/>
        <v>0</v>
      </c>
    </row>
    <row r="504" spans="1:12" ht="15">
      <c r="A504" s="3">
        <v>772</v>
      </c>
      <c r="B504" s="39">
        <v>124</v>
      </c>
      <c r="C504" s="7" t="s">
        <v>60</v>
      </c>
      <c r="D504" s="4" t="s">
        <v>62</v>
      </c>
      <c r="E504" s="6" t="s">
        <v>128</v>
      </c>
      <c r="F504" s="12">
        <f>INDEX('PEDIDO JULIO'!A33:O42,1,15)</f>
        <v>0</v>
      </c>
      <c r="G504" s="8">
        <f>IFERROR(VLOOKUP($B504,'[1]INSUMO POR SEDES MARZO PRUEBA'!$B$6:$CD$109,29,0),"NO BD")</f>
        <v>6169.1598000000004</v>
      </c>
      <c r="H504" s="8"/>
      <c r="I504" s="8">
        <f t="shared" si="40"/>
        <v>0</v>
      </c>
      <c r="J504" s="14">
        <f t="shared" si="44"/>
        <v>0</v>
      </c>
      <c r="K504" s="14">
        <f t="shared" si="45"/>
        <v>0</v>
      </c>
      <c r="L504" s="14">
        <f t="shared" si="46"/>
        <v>0</v>
      </c>
    </row>
    <row r="505" spans="1:12" ht="15">
      <c r="A505" s="3">
        <v>773</v>
      </c>
      <c r="B505" s="39">
        <v>137</v>
      </c>
      <c r="C505" s="7" t="s">
        <v>151</v>
      </c>
      <c r="D505" s="4" t="s">
        <v>63</v>
      </c>
      <c r="E505" s="6" t="s">
        <v>128</v>
      </c>
      <c r="F505" s="12">
        <f>INDEX('PEDIDO JULIO'!A33:O42,1,15)</f>
        <v>0</v>
      </c>
      <c r="G505" s="8">
        <f>IFERROR(VLOOKUP($B505,'[1]INSUMO POR SEDES MARZO PRUEBA'!$B$6:$CD$109,29,0),"NO BD")</f>
        <v>0</v>
      </c>
      <c r="H505" s="8"/>
      <c r="I505" s="8">
        <f t="shared" si="40"/>
        <v>0</v>
      </c>
      <c r="J505" s="14">
        <f t="shared" si="44"/>
        <v>0</v>
      </c>
      <c r="K505" s="14">
        <f t="shared" si="45"/>
        <v>0</v>
      </c>
      <c r="L505" s="14">
        <f t="shared" si="46"/>
        <v>0</v>
      </c>
    </row>
    <row r="506" spans="1:12" ht="15">
      <c r="A506" s="3">
        <v>774</v>
      </c>
      <c r="B506" s="39">
        <v>139</v>
      </c>
      <c r="C506" s="7" t="s">
        <v>160</v>
      </c>
      <c r="D506" s="4" t="s">
        <v>64</v>
      </c>
      <c r="E506" s="6" t="s">
        <v>128</v>
      </c>
      <c r="F506" s="12">
        <f>INDEX('PEDIDO JULIO'!A33:O42,1,15)</f>
        <v>0</v>
      </c>
      <c r="G506" s="8">
        <f>IFERROR(VLOOKUP($B506,'[1]INSUMO POR SEDES MARZO PRUEBA'!$B$6:$CD$109,29,0),"NO BD")</f>
        <v>51246.970200000003</v>
      </c>
      <c r="H506" s="8"/>
      <c r="I506" s="8">
        <f t="shared" si="40"/>
        <v>0</v>
      </c>
      <c r="J506" s="14">
        <f t="shared" si="44"/>
        <v>0</v>
      </c>
      <c r="K506" s="14">
        <f t="shared" si="45"/>
        <v>0</v>
      </c>
      <c r="L506" s="14">
        <f t="shared" si="46"/>
        <v>0</v>
      </c>
    </row>
    <row r="507" spans="1:12" ht="27">
      <c r="A507" s="3">
        <v>775</v>
      </c>
      <c r="B507" s="39">
        <v>151</v>
      </c>
      <c r="C507" s="7" t="s">
        <v>60</v>
      </c>
      <c r="D507" s="4" t="s">
        <v>65</v>
      </c>
      <c r="E507" s="6" t="s">
        <v>128</v>
      </c>
      <c r="F507" s="12">
        <f>INDEX('PEDIDO JULIO'!A33:O42,1,15)</f>
        <v>0</v>
      </c>
      <c r="G507" s="8">
        <f>IFERROR(VLOOKUP($B507,'[1]INSUMO POR SEDES MARZO PRUEBA'!$B$6:$CD$109,29,0),"NO BD")</f>
        <v>7960.6944000000003</v>
      </c>
      <c r="H507" s="8"/>
      <c r="I507" s="8">
        <f t="shared" si="40"/>
        <v>0</v>
      </c>
      <c r="J507" s="14">
        <f t="shared" si="44"/>
        <v>0</v>
      </c>
      <c r="K507" s="14">
        <f t="shared" si="45"/>
        <v>0</v>
      </c>
      <c r="L507" s="14">
        <f t="shared" si="46"/>
        <v>0</v>
      </c>
    </row>
    <row r="508" spans="1:12" ht="15">
      <c r="A508" s="3">
        <v>776</v>
      </c>
      <c r="B508" s="39">
        <v>155</v>
      </c>
      <c r="C508" s="7" t="s">
        <v>66</v>
      </c>
      <c r="D508" s="4" t="s">
        <v>67</v>
      </c>
      <c r="E508" s="6" t="s">
        <v>128</v>
      </c>
      <c r="F508" s="12">
        <f>INDEX('PEDIDO JULIO'!A33:O43,1,15)</f>
        <v>0</v>
      </c>
      <c r="G508" s="8">
        <f>IFERROR(VLOOKUP($B508,'[1]INSUMO POR SEDES MARZO PRUEBA'!$B$6:$CD$109,29,0),"NO BD")</f>
        <v>5005.7028</v>
      </c>
      <c r="H508" s="8"/>
      <c r="I508" s="8">
        <f t="shared" si="40"/>
        <v>0</v>
      </c>
      <c r="J508" s="14">
        <f t="shared" si="44"/>
        <v>0</v>
      </c>
      <c r="K508" s="14">
        <f t="shared" si="45"/>
        <v>0</v>
      </c>
      <c r="L508" s="14">
        <f t="shared" si="46"/>
        <v>0</v>
      </c>
    </row>
    <row r="509" spans="1:12" ht="15">
      <c r="A509" s="3">
        <v>777</v>
      </c>
      <c r="B509" s="39">
        <v>156</v>
      </c>
      <c r="C509" s="7" t="s">
        <v>66</v>
      </c>
      <c r="D509" s="4" t="s">
        <v>68</v>
      </c>
      <c r="E509" s="6" t="s">
        <v>128</v>
      </c>
      <c r="F509" s="12">
        <f>INDEX('PEDIDO JULIO'!A33:O43,1,15)</f>
        <v>0</v>
      </c>
      <c r="G509" s="8">
        <f>IFERROR(VLOOKUP($B509,'[1]INSUMO POR SEDES MARZO PRUEBA'!$B$6:$CD$109,29,0),"NO BD")</f>
        <v>7711.9227000000001</v>
      </c>
      <c r="H509" s="8"/>
      <c r="I509" s="8">
        <f t="shared" si="40"/>
        <v>0</v>
      </c>
      <c r="J509" s="14">
        <f t="shared" si="44"/>
        <v>0</v>
      </c>
      <c r="K509" s="14">
        <f t="shared" si="45"/>
        <v>0</v>
      </c>
      <c r="L509" s="14">
        <f t="shared" si="46"/>
        <v>0</v>
      </c>
    </row>
    <row r="510" spans="1:12" ht="15">
      <c r="A510" s="3">
        <v>778</v>
      </c>
      <c r="B510" s="39">
        <v>157</v>
      </c>
      <c r="C510" s="7" t="s">
        <v>66</v>
      </c>
      <c r="D510" s="4" t="s">
        <v>69</v>
      </c>
      <c r="E510" s="6" t="s">
        <v>128</v>
      </c>
      <c r="F510" s="12">
        <f>INDEX('PEDIDO JULIO'!A33:O43,1,15)</f>
        <v>0</v>
      </c>
      <c r="G510" s="8">
        <f>IFERROR(VLOOKUP($B510,'[1]INSUMO POR SEDES MARZO PRUEBA'!$B$6:$CD$109,29,0),"NO BD")</f>
        <v>8955.7812000000013</v>
      </c>
      <c r="H510" s="8"/>
      <c r="I510" s="8">
        <f t="shared" si="40"/>
        <v>0</v>
      </c>
      <c r="J510" s="14">
        <f t="shared" si="44"/>
        <v>0</v>
      </c>
      <c r="K510" s="14">
        <f t="shared" si="45"/>
        <v>0</v>
      </c>
      <c r="L510" s="14">
        <f t="shared" si="46"/>
        <v>0</v>
      </c>
    </row>
    <row r="511" spans="1:12" ht="15">
      <c r="A511" s="3">
        <v>779</v>
      </c>
      <c r="B511" s="39">
        <v>159</v>
      </c>
      <c r="C511" s="7" t="s">
        <v>66</v>
      </c>
      <c r="D511" s="4" t="s">
        <v>70</v>
      </c>
      <c r="E511" s="6" t="s">
        <v>128</v>
      </c>
      <c r="F511" s="12">
        <f>INDEX('PEDIDO JULIO'!A33:O44,1,15)</f>
        <v>0</v>
      </c>
      <c r="G511" s="8">
        <f>IFERROR(VLOOKUP($B511,'[1]INSUMO POR SEDES MARZO PRUEBA'!$B$6:$CD$109,29,0),"NO BD")</f>
        <v>6716.8359</v>
      </c>
      <c r="H511" s="8"/>
      <c r="I511" s="8">
        <f t="shared" si="40"/>
        <v>0</v>
      </c>
      <c r="J511" s="14">
        <f t="shared" si="44"/>
        <v>0</v>
      </c>
      <c r="K511" s="14">
        <f t="shared" si="45"/>
        <v>0</v>
      </c>
      <c r="L511" s="14">
        <f t="shared" si="46"/>
        <v>0</v>
      </c>
    </row>
    <row r="512" spans="1:12" ht="15">
      <c r="A512" s="3">
        <v>780</v>
      </c>
      <c r="B512" s="39">
        <v>160</v>
      </c>
      <c r="C512" s="7" t="s">
        <v>66</v>
      </c>
      <c r="D512" s="4" t="s">
        <v>71</v>
      </c>
      <c r="E512" s="6" t="s">
        <v>128</v>
      </c>
      <c r="F512" s="12">
        <f>INDEX('PEDIDO JULIO'!A33:O44,1,15)</f>
        <v>0</v>
      </c>
      <c r="G512" s="8">
        <f>IFERROR(VLOOKUP($B512,'[1]INSUMO POR SEDES MARZO PRUEBA'!$B$6:$CD$109,29,0),"NO BD")</f>
        <v>3035.3931000000002</v>
      </c>
      <c r="H512" s="8"/>
      <c r="I512" s="8">
        <f t="shared" si="40"/>
        <v>0</v>
      </c>
      <c r="J512" s="14">
        <f t="shared" si="44"/>
        <v>0</v>
      </c>
      <c r="K512" s="14">
        <f t="shared" si="45"/>
        <v>0</v>
      </c>
      <c r="L512" s="14">
        <f t="shared" si="46"/>
        <v>0</v>
      </c>
    </row>
    <row r="513" spans="1:12" ht="15">
      <c r="A513" s="3">
        <v>781</v>
      </c>
      <c r="B513" s="39">
        <v>162</v>
      </c>
      <c r="C513" s="7" t="s">
        <v>66</v>
      </c>
      <c r="D513" s="4" t="s">
        <v>72</v>
      </c>
      <c r="E513" s="6" t="s">
        <v>128</v>
      </c>
      <c r="F513" s="12">
        <f>INDEX('PEDIDO JULIO'!A33:O44,1,15)</f>
        <v>0</v>
      </c>
      <c r="G513" s="8">
        <f>IFERROR(VLOOKUP($B513,'[1]INSUMO POR SEDES MARZO PRUEBA'!$B$6:$CD$109,29,0),"NO BD")</f>
        <v>2684.2539999999999</v>
      </c>
      <c r="H513" s="8"/>
      <c r="I513" s="8">
        <f t="shared" si="40"/>
        <v>0</v>
      </c>
      <c r="J513" s="14">
        <f t="shared" si="44"/>
        <v>0</v>
      </c>
      <c r="K513" s="14">
        <f t="shared" si="45"/>
        <v>0</v>
      </c>
      <c r="L513" s="14">
        <f t="shared" si="46"/>
        <v>0</v>
      </c>
    </row>
    <row r="514" spans="1:12" ht="15">
      <c r="A514" s="3">
        <v>782</v>
      </c>
      <c r="B514" s="39">
        <v>164</v>
      </c>
      <c r="C514" s="7" t="s">
        <v>158</v>
      </c>
      <c r="D514" s="4" t="s">
        <v>73</v>
      </c>
      <c r="E514" s="6" t="s">
        <v>128</v>
      </c>
      <c r="F514" s="12">
        <f>INDEX('PEDIDO JULIO'!A33:O44,1,15)</f>
        <v>0</v>
      </c>
      <c r="G514" s="8">
        <f>IFERROR(VLOOKUP($B514,'[1]INSUMO POR SEDES MARZO PRUEBA'!$B$6:$CD$109,29,0),"NO BD")</f>
        <v>0</v>
      </c>
      <c r="H514" s="8"/>
      <c r="I514" s="8">
        <f t="shared" si="40"/>
        <v>0</v>
      </c>
      <c r="J514" s="14">
        <f t="shared" si="44"/>
        <v>0</v>
      </c>
      <c r="K514" s="14">
        <f t="shared" si="45"/>
        <v>0</v>
      </c>
      <c r="L514" s="14">
        <f t="shared" si="46"/>
        <v>0</v>
      </c>
    </row>
    <row r="515" spans="1:12" ht="15">
      <c r="A515" s="3">
        <v>783</v>
      </c>
      <c r="B515" s="39">
        <v>169</v>
      </c>
      <c r="C515" s="7" t="s">
        <v>158</v>
      </c>
      <c r="D515" s="4" t="s">
        <v>74</v>
      </c>
      <c r="E515" s="6" t="s">
        <v>128</v>
      </c>
      <c r="F515" s="12">
        <f>INDEX('PEDIDO JULIO'!A33:O45,1,15)</f>
        <v>0</v>
      </c>
      <c r="G515" s="8">
        <f>IFERROR(VLOOKUP($B515,'[1]INSUMO POR SEDES MARZO PRUEBA'!$B$6:$CD$109,29,0),"NO BD")</f>
        <v>0</v>
      </c>
      <c r="H515" s="8"/>
      <c r="I515" s="8">
        <f t="shared" si="40"/>
        <v>0</v>
      </c>
      <c r="J515" s="14">
        <f t="shared" si="44"/>
        <v>0</v>
      </c>
      <c r="K515" s="14">
        <f t="shared" si="45"/>
        <v>0</v>
      </c>
      <c r="L515" s="14">
        <f t="shared" si="46"/>
        <v>0</v>
      </c>
    </row>
    <row r="516" spans="1:12" ht="15">
      <c r="A516" s="3">
        <v>784</v>
      </c>
      <c r="B516" s="39">
        <v>170</v>
      </c>
      <c r="C516" s="7" t="s">
        <v>158</v>
      </c>
      <c r="D516" s="4" t="s">
        <v>75</v>
      </c>
      <c r="E516" s="6" t="s">
        <v>128</v>
      </c>
      <c r="F516" s="12">
        <f>INDEX('PEDIDO JULIO'!A33:O46,1,15)</f>
        <v>0</v>
      </c>
      <c r="G516" s="8">
        <f>IFERROR(VLOOKUP($B516,'[1]INSUMO POR SEDES MARZO PRUEBA'!$B$6:$CD$109,29,0),"NO BD")</f>
        <v>45575.353799999997</v>
      </c>
      <c r="H516" s="8"/>
      <c r="I516" s="8">
        <f t="shared" si="40"/>
        <v>0</v>
      </c>
      <c r="J516" s="14">
        <f t="shared" si="44"/>
        <v>0</v>
      </c>
      <c r="K516" s="14">
        <f t="shared" si="45"/>
        <v>0</v>
      </c>
      <c r="L516" s="14">
        <f t="shared" si="46"/>
        <v>0</v>
      </c>
    </row>
    <row r="517" spans="1:12" ht="15">
      <c r="A517" s="3">
        <v>785</v>
      </c>
      <c r="B517" s="39">
        <v>174</v>
      </c>
      <c r="C517" s="7" t="s">
        <v>158</v>
      </c>
      <c r="D517" s="4" t="s">
        <v>76</v>
      </c>
      <c r="E517" s="6" t="s">
        <v>128</v>
      </c>
      <c r="F517" s="12">
        <f>INDEX('PEDIDO JULIO'!A33:O47,1,15)</f>
        <v>0</v>
      </c>
      <c r="G517" s="8">
        <f>IFERROR(VLOOKUP($B517,'[1]INSUMO POR SEDES MARZO PRUEBA'!$B$6:$CD$109,29,0),"NO BD")</f>
        <v>10050.1875</v>
      </c>
      <c r="H517" s="8"/>
      <c r="I517" s="8">
        <f t="shared" si="40"/>
        <v>0</v>
      </c>
      <c r="J517" s="14">
        <f t="shared" si="44"/>
        <v>0</v>
      </c>
      <c r="K517" s="14">
        <f t="shared" si="45"/>
        <v>0</v>
      </c>
      <c r="L517" s="14">
        <f t="shared" si="46"/>
        <v>0</v>
      </c>
    </row>
    <row r="518" spans="1:12" ht="15">
      <c r="A518" s="3">
        <v>786</v>
      </c>
      <c r="B518" s="39">
        <v>192</v>
      </c>
      <c r="C518" s="7" t="s">
        <v>158</v>
      </c>
      <c r="D518" s="4" t="s">
        <v>77</v>
      </c>
      <c r="E518" s="6" t="s">
        <v>128</v>
      </c>
      <c r="F518" s="12">
        <f>INDEX('PEDIDO JULIO'!A33:O47,1,15)</f>
        <v>0</v>
      </c>
      <c r="G518" s="8">
        <f>IFERROR(VLOOKUP($B518,'[1]INSUMO POR SEDES MARZO PRUEBA'!$B$6:$CD$109,29,0),"NO BD")</f>
        <v>6866.2880999999998</v>
      </c>
      <c r="H518" s="8"/>
      <c r="I518" s="8">
        <f t="shared" ref="I518:I581" si="47">+F518*G518</f>
        <v>0</v>
      </c>
      <c r="J518" s="14">
        <f t="shared" si="44"/>
        <v>0</v>
      </c>
      <c r="K518" s="14">
        <f t="shared" si="45"/>
        <v>0</v>
      </c>
      <c r="L518" s="14">
        <f t="shared" si="46"/>
        <v>0</v>
      </c>
    </row>
    <row r="519" spans="1:12" ht="15">
      <c r="A519" s="3">
        <v>787</v>
      </c>
      <c r="B519" s="39">
        <v>195</v>
      </c>
      <c r="C519" s="7" t="s">
        <v>158</v>
      </c>
      <c r="D519" s="4" t="s">
        <v>78</v>
      </c>
      <c r="E519" s="6" t="s">
        <v>128</v>
      </c>
      <c r="F519" s="12">
        <f>INDEX('PEDIDO JULIO'!A33:O47,1,15)</f>
        <v>0</v>
      </c>
      <c r="G519" s="8">
        <f>IFERROR(VLOOKUP($B519,'[1]INSUMO POR SEDES MARZO PRUEBA'!$B$6:$CD$109,29,0),"NO BD")</f>
        <v>10697.1831</v>
      </c>
      <c r="H519" s="8"/>
      <c r="I519" s="8">
        <f t="shared" si="47"/>
        <v>0</v>
      </c>
      <c r="J519" s="14">
        <f t="shared" si="44"/>
        <v>0</v>
      </c>
      <c r="K519" s="14">
        <f t="shared" si="45"/>
        <v>0</v>
      </c>
      <c r="L519" s="14">
        <f t="shared" si="46"/>
        <v>0</v>
      </c>
    </row>
    <row r="520" spans="1:12" ht="15">
      <c r="A520" s="3">
        <v>788</v>
      </c>
      <c r="B520" s="39">
        <v>204</v>
      </c>
      <c r="C520" s="7" t="s">
        <v>158</v>
      </c>
      <c r="D520" s="4" t="s">
        <v>79</v>
      </c>
      <c r="E520" s="6" t="s">
        <v>128</v>
      </c>
      <c r="F520" s="12">
        <f>INDEX('PEDIDO JULIO'!A33:O47,1,15)</f>
        <v>0</v>
      </c>
      <c r="G520" s="8">
        <f>IFERROR(VLOOKUP($B520,'[1]INSUMO POR SEDES MARZO PRUEBA'!$B$6:$CD$109,29,0),"NO BD")</f>
        <v>14760.243999999999</v>
      </c>
      <c r="H520" s="8"/>
      <c r="I520" s="8">
        <f t="shared" si="47"/>
        <v>0</v>
      </c>
      <c r="J520" s="14">
        <f t="shared" si="44"/>
        <v>0</v>
      </c>
      <c r="K520" s="14">
        <f t="shared" si="45"/>
        <v>0</v>
      </c>
      <c r="L520" s="14">
        <f t="shared" si="46"/>
        <v>0</v>
      </c>
    </row>
    <row r="521" spans="1:12" ht="15">
      <c r="A521" s="3">
        <v>789</v>
      </c>
      <c r="B521" s="39">
        <v>205</v>
      </c>
      <c r="C521" s="7" t="s">
        <v>158</v>
      </c>
      <c r="D521" s="4" t="s">
        <v>80</v>
      </c>
      <c r="E521" s="6" t="s">
        <v>128</v>
      </c>
      <c r="F521" s="12">
        <f>INDEX('PEDIDO JULIO'!A33:O47,1,15)</f>
        <v>0</v>
      </c>
      <c r="G521" s="8">
        <f>IFERROR(VLOOKUP($B521,'[1]INSUMO POR SEDES MARZO PRUEBA'!$B$6:$CD$109,29,0),"NO BD")</f>
        <v>32639.225399999996</v>
      </c>
      <c r="H521" s="8"/>
      <c r="I521" s="8">
        <f t="shared" si="47"/>
        <v>0</v>
      </c>
      <c r="J521" s="14">
        <f t="shared" si="44"/>
        <v>0</v>
      </c>
      <c r="K521" s="14">
        <f t="shared" si="45"/>
        <v>0</v>
      </c>
      <c r="L521" s="14">
        <f t="shared" si="46"/>
        <v>0</v>
      </c>
    </row>
    <row r="522" spans="1:12" ht="15">
      <c r="A522" s="3">
        <v>790</v>
      </c>
      <c r="B522" s="39">
        <v>207</v>
      </c>
      <c r="C522" s="7" t="s">
        <v>158</v>
      </c>
      <c r="D522" s="4" t="s">
        <v>81</v>
      </c>
      <c r="E522" s="6" t="s">
        <v>128</v>
      </c>
      <c r="F522" s="12">
        <f>INDEX('PEDIDO JULIO'!A33:O47,1,15)</f>
        <v>0</v>
      </c>
      <c r="G522" s="8">
        <f>IFERROR(VLOOKUP($B522,'[1]INSUMO POR SEDES MARZO PRUEBA'!$B$6:$CD$109,29,0),"NO BD")</f>
        <v>0</v>
      </c>
      <c r="H522" s="8"/>
      <c r="I522" s="8">
        <f t="shared" si="47"/>
        <v>0</v>
      </c>
      <c r="J522" s="14">
        <f t="shared" si="44"/>
        <v>0</v>
      </c>
      <c r="K522" s="14">
        <f t="shared" si="45"/>
        <v>0</v>
      </c>
      <c r="L522" s="14">
        <f t="shared" si="46"/>
        <v>0</v>
      </c>
    </row>
    <row r="523" spans="1:12" ht="15">
      <c r="A523" s="3">
        <v>791</v>
      </c>
      <c r="B523" s="39">
        <v>212</v>
      </c>
      <c r="C523" s="7" t="s">
        <v>158</v>
      </c>
      <c r="D523" s="4" t="s">
        <v>82</v>
      </c>
      <c r="E523" s="6" t="s">
        <v>128</v>
      </c>
      <c r="F523" s="12">
        <f>INDEX('PEDIDO JULIO'!A33:O47,1,15)</f>
        <v>0</v>
      </c>
      <c r="G523" s="8">
        <f>IFERROR(VLOOKUP($B523,'[1]INSUMO POR SEDES MARZO PRUEBA'!$B$6:$CD$109,29,0),"NO BD")</f>
        <v>0</v>
      </c>
      <c r="H523" s="8"/>
      <c r="I523" s="8">
        <f t="shared" si="47"/>
        <v>0</v>
      </c>
      <c r="J523" s="14">
        <f t="shared" si="44"/>
        <v>0</v>
      </c>
      <c r="K523" s="14">
        <f t="shared" si="45"/>
        <v>0</v>
      </c>
      <c r="L523" s="14">
        <f t="shared" si="46"/>
        <v>0</v>
      </c>
    </row>
    <row r="524" spans="1:12" ht="15">
      <c r="A524" s="3">
        <v>792</v>
      </c>
      <c r="B524" s="39">
        <v>218</v>
      </c>
      <c r="C524" s="7" t="s">
        <v>158</v>
      </c>
      <c r="D524" s="4" t="s">
        <v>83</v>
      </c>
      <c r="E524" s="6" t="s">
        <v>128</v>
      </c>
      <c r="F524" s="12">
        <f>INDEX('PEDIDO JULIO'!A33:O47,1,15)</f>
        <v>0</v>
      </c>
      <c r="G524" s="8">
        <f>IFERROR(VLOOKUP($B524,'[1]INSUMO POR SEDES MARZO PRUEBA'!$B$6:$CD$109,29,0),"NO BD")</f>
        <v>1437.768</v>
      </c>
      <c r="H524" s="8"/>
      <c r="I524" s="8">
        <f t="shared" si="47"/>
        <v>0</v>
      </c>
      <c r="J524" s="14">
        <f t="shared" si="44"/>
        <v>0</v>
      </c>
      <c r="K524" s="14">
        <f t="shared" si="45"/>
        <v>0</v>
      </c>
      <c r="L524" s="14">
        <f t="shared" si="46"/>
        <v>0</v>
      </c>
    </row>
    <row r="525" spans="1:12" ht="15">
      <c r="A525" s="3">
        <v>793</v>
      </c>
      <c r="B525" s="39">
        <v>251</v>
      </c>
      <c r="C525" s="7" t="s">
        <v>158</v>
      </c>
      <c r="D525" s="4" t="s">
        <v>84</v>
      </c>
      <c r="E525" s="6" t="s">
        <v>128</v>
      </c>
      <c r="F525" s="12">
        <f>INDEX('PEDIDO JULIO'!A33:O47,1,15)</f>
        <v>0</v>
      </c>
      <c r="G525" s="8">
        <f>IFERROR(VLOOKUP($B525,'[1]INSUMO POR SEDES MARZO PRUEBA'!$B$6:$CD$109,29,0),"NO BD")</f>
        <v>0</v>
      </c>
      <c r="H525" s="8"/>
      <c r="I525" s="8">
        <f t="shared" si="47"/>
        <v>0</v>
      </c>
      <c r="J525" s="14">
        <f t="shared" si="44"/>
        <v>0</v>
      </c>
      <c r="K525" s="14">
        <f t="shared" si="45"/>
        <v>0</v>
      </c>
      <c r="L525" s="14">
        <f t="shared" si="46"/>
        <v>0</v>
      </c>
    </row>
    <row r="526" spans="1:12" ht="15">
      <c r="A526" s="3">
        <v>833</v>
      </c>
      <c r="B526" s="26">
        <v>3</v>
      </c>
      <c r="C526" s="7" t="s">
        <v>155</v>
      </c>
      <c r="D526" s="4" t="s">
        <v>5</v>
      </c>
      <c r="E526" s="6" t="s">
        <v>129</v>
      </c>
      <c r="F526" s="12">
        <f>INDEX('PEDIDO JULIO'!A10:P32,1,16)</f>
        <v>0</v>
      </c>
      <c r="G526" s="8">
        <f>IFERROR(VLOOKUP($B526,'[1]INSUMO POR SEDES MARZO PRUEBA'!$B$6:$CD$109,32,0),"NO BD")</f>
        <v>7268.7160000000003</v>
      </c>
      <c r="H526" s="8"/>
      <c r="I526" s="8">
        <f t="shared" si="47"/>
        <v>0</v>
      </c>
      <c r="J526" s="14">
        <f t="shared" si="44"/>
        <v>0</v>
      </c>
      <c r="K526" s="14">
        <f t="shared" si="45"/>
        <v>0</v>
      </c>
      <c r="L526" s="14">
        <f t="shared" si="46"/>
        <v>0</v>
      </c>
    </row>
    <row r="527" spans="1:12" ht="15">
      <c r="A527" s="3">
        <v>834</v>
      </c>
      <c r="B527" s="26">
        <v>5</v>
      </c>
      <c r="C527" s="7" t="s">
        <v>6</v>
      </c>
      <c r="D527" s="4" t="s">
        <v>7</v>
      </c>
      <c r="E527" s="6" t="s">
        <v>129</v>
      </c>
      <c r="F527" s="12">
        <f>INDEX('PEDIDO JULIO'!A10:P32,1,16)</f>
        <v>0</v>
      </c>
      <c r="G527" s="8">
        <f>IFERROR(VLOOKUP($B527,'[1]INSUMO POR SEDES MARZO PRUEBA'!$B$6:$CD$109,32,0),"NO BD")</f>
        <v>0</v>
      </c>
      <c r="H527" s="8"/>
      <c r="I527" s="8">
        <f t="shared" si="47"/>
        <v>0</v>
      </c>
      <c r="J527" s="14">
        <f t="shared" ref="J527:J590" si="48">+I527*10%</f>
        <v>0</v>
      </c>
      <c r="K527" s="14">
        <f t="shared" ref="K527:K590" si="49">+J527*19%</f>
        <v>0</v>
      </c>
      <c r="L527" s="14">
        <f t="shared" ref="L527:L590" si="50">SUM(I527:K527)</f>
        <v>0</v>
      </c>
    </row>
    <row r="528" spans="1:12" ht="15">
      <c r="A528" s="3">
        <v>835</v>
      </c>
      <c r="B528" s="26">
        <v>8</v>
      </c>
      <c r="C528" s="7" t="s">
        <v>6</v>
      </c>
      <c r="D528" s="4" t="s">
        <v>8</v>
      </c>
      <c r="E528" s="6" t="s">
        <v>129</v>
      </c>
      <c r="F528" s="12">
        <f>INDEX('PEDIDO JULIO'!A10:P33,1,16)</f>
        <v>0</v>
      </c>
      <c r="G528" s="8">
        <f>IFERROR(VLOOKUP($B528,'[1]INSUMO POR SEDES MARZO PRUEBA'!$B$6:$CD$109,32,0),"NO BD")</f>
        <v>0</v>
      </c>
      <c r="H528" s="8"/>
      <c r="I528" s="8">
        <f t="shared" si="47"/>
        <v>0</v>
      </c>
      <c r="J528" s="14">
        <f t="shared" si="48"/>
        <v>0</v>
      </c>
      <c r="K528" s="14">
        <f t="shared" si="49"/>
        <v>0</v>
      </c>
      <c r="L528" s="14">
        <f t="shared" si="50"/>
        <v>0</v>
      </c>
    </row>
    <row r="529" spans="1:12" ht="15">
      <c r="A529" s="3">
        <v>836</v>
      </c>
      <c r="B529" s="26">
        <v>9</v>
      </c>
      <c r="C529" s="7" t="s">
        <v>9</v>
      </c>
      <c r="D529" s="4" t="s">
        <v>10</v>
      </c>
      <c r="E529" s="6" t="s">
        <v>129</v>
      </c>
      <c r="F529" s="12">
        <f>INDEX('PEDIDO JULIO'!A10:P33,1,16)</f>
        <v>0</v>
      </c>
      <c r="G529" s="8">
        <f>IFERROR(VLOOKUP($B529,'[1]INSUMO POR SEDES MARZO PRUEBA'!$B$6:$CD$109,32,0),"NO BD")</f>
        <v>0</v>
      </c>
      <c r="H529" s="8"/>
      <c r="I529" s="8">
        <f t="shared" si="47"/>
        <v>0</v>
      </c>
      <c r="J529" s="14">
        <f t="shared" si="48"/>
        <v>0</v>
      </c>
      <c r="K529" s="14">
        <f t="shared" si="49"/>
        <v>0</v>
      </c>
      <c r="L529" s="14">
        <f t="shared" si="50"/>
        <v>0</v>
      </c>
    </row>
    <row r="530" spans="1:12" ht="15">
      <c r="A530" s="3">
        <v>837</v>
      </c>
      <c r="B530" s="26">
        <v>13</v>
      </c>
      <c r="C530" s="7" t="s">
        <v>156</v>
      </c>
      <c r="D530" s="5" t="s">
        <v>11</v>
      </c>
      <c r="E530" s="6" t="s">
        <v>129</v>
      </c>
      <c r="F530" s="12">
        <f>INDEX('PEDIDO JULIO'!A11:P33,1,16)</f>
        <v>0</v>
      </c>
      <c r="G530" s="8">
        <f>IFERROR(VLOOKUP($B530,'[1]INSUMO POR SEDES MARZO PRUEBA'!$B$6:$CD$109,32,0),"NO BD")</f>
        <v>6507.7919999999995</v>
      </c>
      <c r="H530" s="8"/>
      <c r="I530" s="8">
        <f t="shared" si="47"/>
        <v>0</v>
      </c>
      <c r="J530" s="14">
        <f t="shared" si="48"/>
        <v>0</v>
      </c>
      <c r="K530" s="14">
        <f t="shared" si="49"/>
        <v>0</v>
      </c>
      <c r="L530" s="14">
        <f t="shared" si="50"/>
        <v>0</v>
      </c>
    </row>
    <row r="531" spans="1:12" ht="27">
      <c r="A531" s="3">
        <v>838</v>
      </c>
      <c r="B531" s="26">
        <v>17</v>
      </c>
      <c r="C531" s="7" t="s">
        <v>157</v>
      </c>
      <c r="D531" s="4" t="s">
        <v>12</v>
      </c>
      <c r="E531" s="6" t="s">
        <v>129</v>
      </c>
      <c r="F531" s="12">
        <f>INDEX('PEDIDO JULIO'!A12:P33,1,16)</f>
        <v>0</v>
      </c>
      <c r="G531" s="8">
        <f>IFERROR(VLOOKUP($B531,'[1]INSUMO POR SEDES MARZO PRUEBA'!$B$6:$CD$109,32,0),"NO BD")</f>
        <v>5647.0229999999992</v>
      </c>
      <c r="H531" s="8"/>
      <c r="I531" s="8">
        <f t="shared" si="47"/>
        <v>0</v>
      </c>
      <c r="J531" s="14">
        <f t="shared" si="48"/>
        <v>0</v>
      </c>
      <c r="K531" s="14">
        <f t="shared" si="49"/>
        <v>0</v>
      </c>
      <c r="L531" s="14">
        <f t="shared" si="50"/>
        <v>0</v>
      </c>
    </row>
    <row r="532" spans="1:12" ht="15">
      <c r="A532" s="3">
        <v>839</v>
      </c>
      <c r="B532" s="31">
        <v>20</v>
      </c>
      <c r="C532" s="7" t="s">
        <v>13</v>
      </c>
      <c r="D532" s="4" t="s">
        <v>14</v>
      </c>
      <c r="E532" s="6" t="s">
        <v>129</v>
      </c>
      <c r="F532" s="12">
        <f>INDEX('PEDIDO JULIO'!A12:P33,1,16)</f>
        <v>0</v>
      </c>
      <c r="G532" s="8">
        <f>IFERROR(VLOOKUP($B532,'[1]INSUMO POR SEDES MARZO PRUEBA'!$B$6:$CD$109,32,0),"NO BD")</f>
        <v>0</v>
      </c>
      <c r="H532" s="8"/>
      <c r="I532" s="8">
        <f t="shared" si="47"/>
        <v>0</v>
      </c>
      <c r="J532" s="14">
        <f t="shared" si="48"/>
        <v>0</v>
      </c>
      <c r="K532" s="14">
        <f t="shared" si="49"/>
        <v>0</v>
      </c>
      <c r="L532" s="14">
        <f t="shared" si="50"/>
        <v>0</v>
      </c>
    </row>
    <row r="533" spans="1:12" ht="27">
      <c r="A533" s="3">
        <v>840</v>
      </c>
      <c r="B533" s="26">
        <v>21</v>
      </c>
      <c r="C533" s="7" t="s">
        <v>13</v>
      </c>
      <c r="D533" s="4" t="s">
        <v>15</v>
      </c>
      <c r="E533" s="6" t="s">
        <v>129</v>
      </c>
      <c r="F533" s="12">
        <f>INDEX('PEDIDO JULIO'!A13:P34,1,16)</f>
        <v>3</v>
      </c>
      <c r="G533" s="8">
        <f>IFERROR(VLOOKUP($B533,'[1]INSUMO POR SEDES MARZO PRUEBA'!$B$6:$CD$109,32,0),"NO BD")</f>
        <v>0</v>
      </c>
      <c r="H533" s="8"/>
      <c r="I533" s="8">
        <f t="shared" si="47"/>
        <v>0</v>
      </c>
      <c r="J533" s="14">
        <f t="shared" si="48"/>
        <v>0</v>
      </c>
      <c r="K533" s="14">
        <f t="shared" si="49"/>
        <v>0</v>
      </c>
      <c r="L533" s="14">
        <f t="shared" si="50"/>
        <v>0</v>
      </c>
    </row>
    <row r="534" spans="1:12" ht="15">
      <c r="A534" s="3">
        <v>841</v>
      </c>
      <c r="B534" s="26">
        <v>28</v>
      </c>
      <c r="C534" s="7" t="s">
        <v>16</v>
      </c>
      <c r="D534" s="4" t="s">
        <v>17</v>
      </c>
      <c r="E534" s="6" t="s">
        <v>129</v>
      </c>
      <c r="F534" s="12">
        <f>INDEX('PEDIDO JULIO'!A14:P34,1,16)</f>
        <v>0</v>
      </c>
      <c r="G534" s="8">
        <f>IFERROR(VLOOKUP($B534,'[1]INSUMO POR SEDES MARZO PRUEBA'!$B$6:$CD$109,32,0),"NO BD")</f>
        <v>0</v>
      </c>
      <c r="H534" s="8"/>
      <c r="I534" s="8">
        <f t="shared" si="47"/>
        <v>0</v>
      </c>
      <c r="J534" s="14">
        <f t="shared" si="48"/>
        <v>0</v>
      </c>
      <c r="K534" s="14">
        <f t="shared" si="49"/>
        <v>0</v>
      </c>
      <c r="L534" s="14">
        <f t="shared" si="50"/>
        <v>0</v>
      </c>
    </row>
    <row r="535" spans="1:12" ht="27">
      <c r="A535" s="3">
        <v>842</v>
      </c>
      <c r="B535" s="26">
        <v>29</v>
      </c>
      <c r="C535" s="7" t="s">
        <v>18</v>
      </c>
      <c r="D535" s="4" t="s">
        <v>19</v>
      </c>
      <c r="E535" s="6" t="s">
        <v>129</v>
      </c>
      <c r="F535" s="12">
        <f>INDEX('PEDIDO JULIO'!A15:P34,1,16)</f>
        <v>0</v>
      </c>
      <c r="G535" s="8">
        <f>IFERROR(VLOOKUP($B535,'[1]INSUMO POR SEDES MARZO PRUEBA'!$B$6:$CD$109,32,0),"NO BD")</f>
        <v>4829.3450000000012</v>
      </c>
      <c r="H535" s="8"/>
      <c r="I535" s="8">
        <f t="shared" si="47"/>
        <v>0</v>
      </c>
      <c r="J535" s="14">
        <f t="shared" si="48"/>
        <v>0</v>
      </c>
      <c r="K535" s="14">
        <f t="shared" si="49"/>
        <v>0</v>
      </c>
      <c r="L535" s="14">
        <f t="shared" si="50"/>
        <v>0</v>
      </c>
    </row>
    <row r="536" spans="1:12" ht="27">
      <c r="A536" s="3">
        <v>843</v>
      </c>
      <c r="B536" s="26">
        <v>32</v>
      </c>
      <c r="C536" s="7" t="s">
        <v>20</v>
      </c>
      <c r="D536" s="4" t="s">
        <v>21</v>
      </c>
      <c r="E536" s="6" t="s">
        <v>129</v>
      </c>
      <c r="F536" s="12">
        <f>INDEX('PEDIDO JULIO'!A16:P34,1,16)</f>
        <v>0</v>
      </c>
      <c r="G536" s="8">
        <f>IFERROR(VLOOKUP($B536,'[1]INSUMO POR SEDES MARZO PRUEBA'!$B$6:$CD$109,32,0),"NO BD")</f>
        <v>0</v>
      </c>
      <c r="H536" s="8"/>
      <c r="I536" s="8">
        <f t="shared" si="47"/>
        <v>0</v>
      </c>
      <c r="J536" s="14">
        <f t="shared" si="48"/>
        <v>0</v>
      </c>
      <c r="K536" s="14">
        <f t="shared" si="49"/>
        <v>0</v>
      </c>
      <c r="L536" s="14">
        <f t="shared" si="50"/>
        <v>0</v>
      </c>
    </row>
    <row r="537" spans="1:12" ht="27">
      <c r="A537" s="3">
        <v>844</v>
      </c>
      <c r="B537" s="26">
        <v>38</v>
      </c>
      <c r="C537" s="7" t="s">
        <v>22</v>
      </c>
      <c r="D537" s="4" t="s">
        <v>23</v>
      </c>
      <c r="E537" s="6" t="s">
        <v>129</v>
      </c>
      <c r="F537" s="12">
        <f>INDEX('PEDIDO JULIO'!A17:P34,1,16)</f>
        <v>3</v>
      </c>
      <c r="G537" s="8">
        <f>IFERROR(VLOOKUP($B537,'[1]INSUMO POR SEDES MARZO PRUEBA'!$B$6:$CD$109,32,0),"NO BD")</f>
        <v>11100.662</v>
      </c>
      <c r="H537" s="8"/>
      <c r="I537" s="8">
        <f t="shared" si="47"/>
        <v>33301.986000000004</v>
      </c>
      <c r="J537" s="14">
        <f t="shared" si="48"/>
        <v>3330.1986000000006</v>
      </c>
      <c r="K537" s="14">
        <f t="shared" si="49"/>
        <v>632.73773400000016</v>
      </c>
      <c r="L537" s="14">
        <f t="shared" si="50"/>
        <v>37264.92233400001</v>
      </c>
    </row>
    <row r="538" spans="1:12" ht="15">
      <c r="A538" s="3">
        <v>845</v>
      </c>
      <c r="B538" s="26">
        <v>44</v>
      </c>
      <c r="C538" s="7" t="s">
        <v>18</v>
      </c>
      <c r="D538" s="4" t="s">
        <v>24</v>
      </c>
      <c r="E538" s="6" t="s">
        <v>129</v>
      </c>
      <c r="F538" s="12">
        <f>INDEX('PEDIDO JULIO'!A17:P34,1,16)</f>
        <v>3</v>
      </c>
      <c r="G538" s="8">
        <f>IFERROR(VLOOKUP($B538,'[1]INSUMO POR SEDES MARZO PRUEBA'!$B$6:$CD$109,32,0),"NO BD")</f>
        <v>0</v>
      </c>
      <c r="H538" s="8"/>
      <c r="I538" s="8">
        <f t="shared" si="47"/>
        <v>0</v>
      </c>
      <c r="J538" s="14">
        <f t="shared" si="48"/>
        <v>0</v>
      </c>
      <c r="K538" s="14">
        <f t="shared" si="49"/>
        <v>0</v>
      </c>
      <c r="L538" s="14">
        <f t="shared" si="50"/>
        <v>0</v>
      </c>
    </row>
    <row r="539" spans="1:12" ht="27">
      <c r="A539" s="3">
        <v>846</v>
      </c>
      <c r="B539" s="26">
        <v>50</v>
      </c>
      <c r="C539" s="7" t="s">
        <v>155</v>
      </c>
      <c r="D539" s="4" t="s">
        <v>25</v>
      </c>
      <c r="E539" s="6" t="s">
        <v>129</v>
      </c>
      <c r="F539" s="12">
        <f>INDEX('PEDIDO JULIO'!A18:P35,1,16)</f>
        <v>0</v>
      </c>
      <c r="G539" s="8">
        <f>IFERROR(VLOOKUP($B539,'[1]INSUMO POR SEDES MARZO PRUEBA'!$B$6:$CD$109,32,0),"NO BD")</f>
        <v>0</v>
      </c>
      <c r="H539" s="8"/>
      <c r="I539" s="8">
        <f t="shared" si="47"/>
        <v>0</v>
      </c>
      <c r="J539" s="14">
        <f t="shared" si="48"/>
        <v>0</v>
      </c>
      <c r="K539" s="14">
        <f t="shared" si="49"/>
        <v>0</v>
      </c>
      <c r="L539" s="14">
        <f t="shared" si="50"/>
        <v>0</v>
      </c>
    </row>
    <row r="540" spans="1:12" ht="27">
      <c r="A540" s="3">
        <v>847</v>
      </c>
      <c r="B540" s="26">
        <v>52</v>
      </c>
      <c r="C540" s="7" t="s">
        <v>16</v>
      </c>
      <c r="D540" s="4" t="s">
        <v>26</v>
      </c>
      <c r="E540" s="6" t="s">
        <v>129</v>
      </c>
      <c r="F540" s="12">
        <f>INDEX('PEDIDO JULIO'!A18:P35,1,16)</f>
        <v>0</v>
      </c>
      <c r="G540" s="8">
        <f>IFERROR(VLOOKUP($B540,'[1]INSUMO POR SEDES MARZO PRUEBA'!$B$6:$CD$109,32,0),"NO BD")</f>
        <v>0</v>
      </c>
      <c r="H540" s="8"/>
      <c r="I540" s="8">
        <f t="shared" si="47"/>
        <v>0</v>
      </c>
      <c r="J540" s="14">
        <f t="shared" si="48"/>
        <v>0</v>
      </c>
      <c r="K540" s="14">
        <f t="shared" si="49"/>
        <v>0</v>
      </c>
      <c r="L540" s="14">
        <f t="shared" si="50"/>
        <v>0</v>
      </c>
    </row>
    <row r="541" spans="1:12" ht="15">
      <c r="A541" s="3">
        <v>848</v>
      </c>
      <c r="B541" s="26">
        <v>57</v>
      </c>
      <c r="C541" s="7" t="s">
        <v>27</v>
      </c>
      <c r="D541" s="4" t="s">
        <v>28</v>
      </c>
      <c r="E541" s="6" t="s">
        <v>129</v>
      </c>
      <c r="F541" s="12">
        <f>INDEX('PEDIDO JULIO'!A18:P35,1,16)</f>
        <v>0</v>
      </c>
      <c r="G541" s="8">
        <f>IFERROR(VLOOKUP($B541,'[1]INSUMO POR SEDES MARZO PRUEBA'!$B$6:$CD$109,32,0),"NO BD")</f>
        <v>27464.2065</v>
      </c>
      <c r="H541" s="8"/>
      <c r="I541" s="8">
        <f t="shared" si="47"/>
        <v>0</v>
      </c>
      <c r="J541" s="14">
        <f t="shared" si="48"/>
        <v>0</v>
      </c>
      <c r="K541" s="14">
        <f t="shared" si="49"/>
        <v>0</v>
      </c>
      <c r="L541" s="14">
        <f t="shared" si="50"/>
        <v>0</v>
      </c>
    </row>
    <row r="542" spans="1:12" ht="15">
      <c r="A542" s="3">
        <v>849</v>
      </c>
      <c r="B542" s="26">
        <v>59</v>
      </c>
      <c r="C542" s="7" t="s">
        <v>13</v>
      </c>
      <c r="D542" s="4" t="s">
        <v>29</v>
      </c>
      <c r="E542" s="6" t="s">
        <v>129</v>
      </c>
      <c r="F542" s="12">
        <f>INDEX('PEDIDO JULIO'!A19:P35,1,16)</f>
        <v>5</v>
      </c>
      <c r="G542" s="8">
        <f>IFERROR(VLOOKUP($B542,'[1]INSUMO POR SEDES MARZO PRUEBA'!$B$6:$CD$109,32,0),"NO BD")</f>
        <v>0</v>
      </c>
      <c r="H542" s="8"/>
      <c r="I542" s="8">
        <f t="shared" si="47"/>
        <v>0</v>
      </c>
      <c r="J542" s="14">
        <f t="shared" si="48"/>
        <v>0</v>
      </c>
      <c r="K542" s="14">
        <f t="shared" si="49"/>
        <v>0</v>
      </c>
      <c r="L542" s="14">
        <f t="shared" si="50"/>
        <v>0</v>
      </c>
    </row>
    <row r="543" spans="1:12" ht="15">
      <c r="A543" s="3">
        <v>850</v>
      </c>
      <c r="B543" s="26">
        <v>62</v>
      </c>
      <c r="C543" s="7" t="s">
        <v>13</v>
      </c>
      <c r="D543" s="4" t="s">
        <v>30</v>
      </c>
      <c r="E543" s="6" t="s">
        <v>129</v>
      </c>
      <c r="F543" s="12">
        <f>INDEX('PEDIDO JULIO'!A19:P35,1,16)</f>
        <v>5</v>
      </c>
      <c r="G543" s="8">
        <f>IFERROR(VLOOKUP($B543,'[1]INSUMO POR SEDES MARZO PRUEBA'!$B$6:$CD$109,32,0),"NO BD")</f>
        <v>5167.7669999999998</v>
      </c>
      <c r="H543" s="8"/>
      <c r="I543" s="8">
        <f t="shared" si="47"/>
        <v>25838.834999999999</v>
      </c>
      <c r="J543" s="14">
        <f t="shared" si="48"/>
        <v>2583.8834999999999</v>
      </c>
      <c r="K543" s="14">
        <f t="shared" si="49"/>
        <v>490.93786499999999</v>
      </c>
      <c r="L543" s="14">
        <f t="shared" si="50"/>
        <v>28913.656364999999</v>
      </c>
    </row>
    <row r="544" spans="1:12" ht="15">
      <c r="A544" s="3">
        <v>851</v>
      </c>
      <c r="B544" s="26">
        <v>63</v>
      </c>
      <c r="C544" s="7" t="s">
        <v>13</v>
      </c>
      <c r="D544" s="4" t="s">
        <v>31</v>
      </c>
      <c r="E544" s="6" t="s">
        <v>129</v>
      </c>
      <c r="F544" s="12">
        <f>INDEX('PEDIDO JULIO'!A20:P35,1,16)</f>
        <v>0</v>
      </c>
      <c r="G544" s="8">
        <f>IFERROR(VLOOKUP($B544,'[1]INSUMO POR SEDES MARZO PRUEBA'!$B$6:$CD$109,32,0),"NO BD")</f>
        <v>11443.4982</v>
      </c>
      <c r="H544" s="8"/>
      <c r="I544" s="8">
        <f t="shared" si="47"/>
        <v>0</v>
      </c>
      <c r="J544" s="14">
        <f t="shared" si="48"/>
        <v>0</v>
      </c>
      <c r="K544" s="14">
        <f t="shared" si="49"/>
        <v>0</v>
      </c>
      <c r="L544" s="14">
        <f t="shared" si="50"/>
        <v>0</v>
      </c>
    </row>
    <row r="545" spans="1:12" ht="15">
      <c r="A545" s="3">
        <v>852</v>
      </c>
      <c r="B545" s="26">
        <v>64</v>
      </c>
      <c r="C545" s="7" t="s">
        <v>13</v>
      </c>
      <c r="D545" s="4" t="s">
        <v>32</v>
      </c>
      <c r="E545" s="6" t="s">
        <v>129</v>
      </c>
      <c r="F545" s="12">
        <f>INDEX('PEDIDO JULIO'!A20:P35,1,16)</f>
        <v>0</v>
      </c>
      <c r="G545" s="8">
        <f>IFERROR(VLOOKUP($B545,'[1]INSUMO POR SEDES MARZO PRUEBA'!$B$6:$CD$109,32,0),"NO BD")</f>
        <v>0</v>
      </c>
      <c r="H545" s="8"/>
      <c r="I545" s="8">
        <f t="shared" si="47"/>
        <v>0</v>
      </c>
      <c r="J545" s="14">
        <f t="shared" si="48"/>
        <v>0</v>
      </c>
      <c r="K545" s="14">
        <f t="shared" si="49"/>
        <v>0</v>
      </c>
      <c r="L545" s="14">
        <f t="shared" si="50"/>
        <v>0</v>
      </c>
    </row>
    <row r="546" spans="1:12" ht="15">
      <c r="A546" s="3">
        <v>853</v>
      </c>
      <c r="B546" s="26">
        <v>65</v>
      </c>
      <c r="C546" s="7" t="s">
        <v>33</v>
      </c>
      <c r="D546" s="4" t="s">
        <v>34</v>
      </c>
      <c r="E546" s="6" t="s">
        <v>129</v>
      </c>
      <c r="F546" s="12">
        <f>INDEX('PEDIDO JULIO'!A21:P35,1,16)</f>
        <v>0</v>
      </c>
      <c r="G546" s="8">
        <f>IFERROR(VLOOKUP($B546,'[1]INSUMO POR SEDES MARZO PRUEBA'!$B$6:$CD$109,32,0),"NO BD")</f>
        <v>21295.046699999999</v>
      </c>
      <c r="H546" s="8"/>
      <c r="I546" s="8">
        <f t="shared" si="47"/>
        <v>0</v>
      </c>
      <c r="J546" s="14">
        <f t="shared" si="48"/>
        <v>0</v>
      </c>
      <c r="K546" s="14">
        <f t="shared" si="49"/>
        <v>0</v>
      </c>
      <c r="L546" s="14">
        <f t="shared" si="50"/>
        <v>0</v>
      </c>
    </row>
    <row r="547" spans="1:12" ht="15">
      <c r="A547" s="3">
        <v>854</v>
      </c>
      <c r="B547" s="26">
        <v>66</v>
      </c>
      <c r="C547" s="7" t="s">
        <v>16</v>
      </c>
      <c r="D547" s="4" t="s">
        <v>35</v>
      </c>
      <c r="E547" s="6" t="s">
        <v>129</v>
      </c>
      <c r="F547" s="12">
        <f>INDEX('PEDIDO JULIO'!A22:P35,1,16)</f>
        <v>0</v>
      </c>
      <c r="G547" s="8">
        <f>IFERROR(VLOOKUP($B547,'[1]INSUMO POR SEDES MARZO PRUEBA'!$B$6:$CD$109,32,0),"NO BD")</f>
        <v>2887.0970000000002</v>
      </c>
      <c r="H547" s="8"/>
      <c r="I547" s="8">
        <f t="shared" si="47"/>
        <v>0</v>
      </c>
      <c r="J547" s="14">
        <f t="shared" si="48"/>
        <v>0</v>
      </c>
      <c r="K547" s="14">
        <f t="shared" si="49"/>
        <v>0</v>
      </c>
      <c r="L547" s="14">
        <f t="shared" si="50"/>
        <v>0</v>
      </c>
    </row>
    <row r="548" spans="1:12" ht="15">
      <c r="A548" s="3">
        <v>855</v>
      </c>
      <c r="B548" s="26">
        <v>71</v>
      </c>
      <c r="C548" s="7" t="s">
        <v>36</v>
      </c>
      <c r="D548" s="4" t="s">
        <v>37</v>
      </c>
      <c r="E548" s="6" t="s">
        <v>129</v>
      </c>
      <c r="F548" s="12">
        <f>INDEX('PEDIDO JULIO'!A23:P36,1,16)</f>
        <v>4</v>
      </c>
      <c r="G548" s="8">
        <f>IFERROR(VLOOKUP($B548,'[1]INSUMO POR SEDES MARZO PRUEBA'!$B$6:$CD$109,32,0),"NO BD")</f>
        <v>7960.6944000000003</v>
      </c>
      <c r="H548" s="8"/>
      <c r="I548" s="8">
        <f t="shared" si="47"/>
        <v>31842.777600000001</v>
      </c>
      <c r="J548" s="14">
        <f t="shared" si="48"/>
        <v>3184.2777600000004</v>
      </c>
      <c r="K548" s="14">
        <f t="shared" si="49"/>
        <v>605.01277440000013</v>
      </c>
      <c r="L548" s="14">
        <f t="shared" si="50"/>
        <v>35632.068134399997</v>
      </c>
    </row>
    <row r="549" spans="1:12" ht="15">
      <c r="A549" s="3">
        <v>856</v>
      </c>
      <c r="B549" s="26">
        <v>72</v>
      </c>
      <c r="C549" s="7" t="s">
        <v>36</v>
      </c>
      <c r="D549" s="4" t="s">
        <v>38</v>
      </c>
      <c r="E549" s="6" t="s">
        <v>129</v>
      </c>
      <c r="F549" s="12">
        <f>INDEX('PEDIDO JULIO'!A23:P37,1,16)</f>
        <v>4</v>
      </c>
      <c r="G549" s="8">
        <f>IFERROR(VLOOKUP($B549,'[1]INSUMO POR SEDES MARZO PRUEBA'!$B$6:$CD$109,32,0),"NO BD")</f>
        <v>7861.3749000000007</v>
      </c>
      <c r="H549" s="8"/>
      <c r="I549" s="8">
        <f t="shared" si="47"/>
        <v>31445.499600000003</v>
      </c>
      <c r="J549" s="14">
        <f t="shared" si="48"/>
        <v>3144.5499600000003</v>
      </c>
      <c r="K549" s="14">
        <f t="shared" si="49"/>
        <v>597.46449240000004</v>
      </c>
      <c r="L549" s="14">
        <f t="shared" si="50"/>
        <v>35187.514052400002</v>
      </c>
    </row>
    <row r="550" spans="1:12" ht="15">
      <c r="A550" s="3">
        <v>857</v>
      </c>
      <c r="B550" s="26">
        <v>73</v>
      </c>
      <c r="C550" s="7" t="s">
        <v>39</v>
      </c>
      <c r="D550" s="4" t="s">
        <v>40</v>
      </c>
      <c r="E550" s="6" t="s">
        <v>129</v>
      </c>
      <c r="F550" s="12">
        <f>INDEX('PEDIDO JULIO'!A24:P37,1,16)</f>
        <v>3</v>
      </c>
      <c r="G550" s="8">
        <f>IFERROR(VLOOKUP($B550,'[1]INSUMO POR SEDES MARZO PRUEBA'!$B$6:$CD$109,32,0),"NO BD")</f>
        <v>21493.685699999998</v>
      </c>
      <c r="H550" s="8"/>
      <c r="I550" s="8">
        <f t="shared" si="47"/>
        <v>64481.057099999991</v>
      </c>
      <c r="J550" s="14">
        <f t="shared" si="48"/>
        <v>6448.1057099999998</v>
      </c>
      <c r="K550" s="14">
        <f t="shared" si="49"/>
        <v>1225.1400848999999</v>
      </c>
      <c r="L550" s="14">
        <f t="shared" si="50"/>
        <v>72154.3028949</v>
      </c>
    </row>
    <row r="551" spans="1:12" ht="15">
      <c r="A551" s="3">
        <v>858</v>
      </c>
      <c r="B551" s="26">
        <v>74</v>
      </c>
      <c r="C551" s="7" t="s">
        <v>39</v>
      </c>
      <c r="D551" s="4" t="s">
        <v>41</v>
      </c>
      <c r="E551" s="6" t="s">
        <v>129</v>
      </c>
      <c r="F551" s="12">
        <f>INDEX('PEDIDO JULIO'!A25:P37,1,16)</f>
        <v>0</v>
      </c>
      <c r="G551" s="8">
        <f>IFERROR(VLOOKUP($B551,'[1]INSUMO POR SEDES MARZO PRUEBA'!$B$6:$CD$109,32,0),"NO BD")</f>
        <v>6915.4749000000002</v>
      </c>
      <c r="H551" s="8"/>
      <c r="I551" s="8">
        <f t="shared" si="47"/>
        <v>0</v>
      </c>
      <c r="J551" s="14">
        <f t="shared" si="48"/>
        <v>0</v>
      </c>
      <c r="K551" s="14">
        <f t="shared" si="49"/>
        <v>0</v>
      </c>
      <c r="L551" s="14">
        <f t="shared" si="50"/>
        <v>0</v>
      </c>
    </row>
    <row r="552" spans="1:12" ht="15">
      <c r="A552" s="3">
        <v>859</v>
      </c>
      <c r="B552" s="26">
        <v>79</v>
      </c>
      <c r="C552" s="7" t="s">
        <v>151</v>
      </c>
      <c r="D552" s="4" t="s">
        <v>42</v>
      </c>
      <c r="E552" s="6" t="s">
        <v>129</v>
      </c>
      <c r="F552" s="12">
        <f>INDEX('PEDIDO JULIO'!A26:P37,1,16)</f>
        <v>0</v>
      </c>
      <c r="G552" s="8">
        <f>IFERROR(VLOOKUP($B552,'[1]INSUMO POR SEDES MARZO PRUEBA'!$B$6:$CD$109,32,0),"NO BD")</f>
        <v>935.49510000000009</v>
      </c>
      <c r="H552" s="8"/>
      <c r="I552" s="8">
        <f t="shared" si="47"/>
        <v>0</v>
      </c>
      <c r="J552" s="14">
        <f t="shared" si="48"/>
        <v>0</v>
      </c>
      <c r="K552" s="14">
        <f t="shared" si="49"/>
        <v>0</v>
      </c>
      <c r="L552" s="14">
        <f t="shared" si="50"/>
        <v>0</v>
      </c>
    </row>
    <row r="553" spans="1:12" ht="15">
      <c r="A553" s="3">
        <v>860</v>
      </c>
      <c r="B553" s="26">
        <v>80</v>
      </c>
      <c r="C553" s="7" t="s">
        <v>151</v>
      </c>
      <c r="D553" s="4" t="s">
        <v>43</v>
      </c>
      <c r="E553" s="6" t="s">
        <v>129</v>
      </c>
      <c r="F553" s="12">
        <f>INDEX('PEDIDO JULIO'!A27:P37,1,16)</f>
        <v>3</v>
      </c>
      <c r="G553" s="8">
        <f>IFERROR(VLOOKUP($B553,'[1]INSUMO POR SEDES MARZO PRUEBA'!$B$6:$CD$109,32,0),"NO BD")</f>
        <v>607.26779999999997</v>
      </c>
      <c r="H553" s="8"/>
      <c r="I553" s="8">
        <f t="shared" si="47"/>
        <v>1821.8033999999998</v>
      </c>
      <c r="J553" s="14">
        <f t="shared" si="48"/>
        <v>182.18034</v>
      </c>
      <c r="K553" s="14">
        <f t="shared" si="49"/>
        <v>34.614264599999998</v>
      </c>
      <c r="L553" s="14">
        <f t="shared" si="50"/>
        <v>2038.5980045999997</v>
      </c>
    </row>
    <row r="554" spans="1:12" ht="15">
      <c r="A554" s="3">
        <v>861</v>
      </c>
      <c r="B554" s="26">
        <v>81</v>
      </c>
      <c r="C554" s="7" t="s">
        <v>151</v>
      </c>
      <c r="D554" s="4" t="s">
        <v>44</v>
      </c>
      <c r="E554" s="6" t="s">
        <v>129</v>
      </c>
      <c r="F554" s="12">
        <f>INDEX('PEDIDO JULIO'!A28:P37,1,16)</f>
        <v>0</v>
      </c>
      <c r="G554" s="8">
        <f>IFERROR(VLOOKUP($B554,'[1]INSUMO POR SEDES MARZO PRUEBA'!$B$6:$CD$109,32,0),"NO BD")</f>
        <v>211.251</v>
      </c>
      <c r="H554" s="8"/>
      <c r="I554" s="8">
        <f t="shared" si="47"/>
        <v>0</v>
      </c>
      <c r="J554" s="14">
        <f t="shared" si="48"/>
        <v>0</v>
      </c>
      <c r="K554" s="14">
        <f t="shared" si="49"/>
        <v>0</v>
      </c>
      <c r="L554" s="14">
        <f t="shared" si="50"/>
        <v>0</v>
      </c>
    </row>
    <row r="555" spans="1:12" ht="40.5">
      <c r="A555" s="3">
        <v>862</v>
      </c>
      <c r="B555" s="26">
        <v>82</v>
      </c>
      <c r="C555" s="7" t="s">
        <v>151</v>
      </c>
      <c r="D555" s="4" t="s">
        <v>45</v>
      </c>
      <c r="E555" s="6" t="s">
        <v>129</v>
      </c>
      <c r="F555" s="12">
        <f>INDEX('PEDIDO JULIO'!A28:P37,1,16)</f>
        <v>0</v>
      </c>
      <c r="G555" s="8">
        <f>IFERROR(VLOOKUP($B555,'[1]INSUMO POR SEDES MARZO PRUEBA'!$B$6:$CD$109,32,0),"NO BD")</f>
        <v>1003.7049999999999</v>
      </c>
      <c r="H555" s="8"/>
      <c r="I555" s="8">
        <f t="shared" si="47"/>
        <v>0</v>
      </c>
      <c r="J555" s="14">
        <f t="shared" si="48"/>
        <v>0</v>
      </c>
      <c r="K555" s="14">
        <f t="shared" si="49"/>
        <v>0</v>
      </c>
      <c r="L555" s="14">
        <f t="shared" si="50"/>
        <v>0</v>
      </c>
    </row>
    <row r="556" spans="1:12" ht="27">
      <c r="A556" s="3">
        <v>863</v>
      </c>
      <c r="B556" s="26">
        <v>83</v>
      </c>
      <c r="C556" s="7" t="s">
        <v>46</v>
      </c>
      <c r="D556" s="4" t="s">
        <v>47</v>
      </c>
      <c r="E556" s="6" t="s">
        <v>129</v>
      </c>
      <c r="F556" s="12">
        <f>INDEX('PEDIDO JULIO'!A29:P37,1,16)</f>
        <v>0</v>
      </c>
      <c r="G556" s="8">
        <f>IFERROR(VLOOKUP($B556,'[1]INSUMO POR SEDES MARZO PRUEBA'!$B$6:$CD$109,32,0),"NO BD")</f>
        <v>0</v>
      </c>
      <c r="H556" s="8"/>
      <c r="I556" s="8">
        <f t="shared" si="47"/>
        <v>0</v>
      </c>
      <c r="J556" s="14">
        <f t="shared" si="48"/>
        <v>0</v>
      </c>
      <c r="K556" s="14">
        <f t="shared" si="49"/>
        <v>0</v>
      </c>
      <c r="L556" s="14">
        <f t="shared" si="50"/>
        <v>0</v>
      </c>
    </row>
    <row r="557" spans="1:12" ht="15">
      <c r="A557" s="3">
        <v>864</v>
      </c>
      <c r="B557" s="26">
        <v>88</v>
      </c>
      <c r="C557" s="7" t="s">
        <v>159</v>
      </c>
      <c r="D557" s="4" t="s">
        <v>48</v>
      </c>
      <c r="E557" s="6" t="s">
        <v>129</v>
      </c>
      <c r="F557" s="12">
        <f>INDEX('PEDIDO JULIO'!A30:P37,1,16)</f>
        <v>3</v>
      </c>
      <c r="G557" s="8">
        <f>IFERROR(VLOOKUP($B557,'[1]INSUMO POR SEDES MARZO PRUEBA'!$B$6:$CD$109,32,0),"NO BD")</f>
        <v>0</v>
      </c>
      <c r="H557" s="8"/>
      <c r="I557" s="8">
        <f t="shared" si="47"/>
        <v>0</v>
      </c>
      <c r="J557" s="14">
        <f t="shared" si="48"/>
        <v>0</v>
      </c>
      <c r="K557" s="14">
        <f t="shared" si="49"/>
        <v>0</v>
      </c>
      <c r="L557" s="14">
        <f t="shared" si="50"/>
        <v>0</v>
      </c>
    </row>
    <row r="558" spans="1:12" ht="15">
      <c r="A558" s="3">
        <v>865</v>
      </c>
      <c r="B558" s="26">
        <v>92</v>
      </c>
      <c r="C558" s="7" t="s">
        <v>159</v>
      </c>
      <c r="D558" s="4" t="s">
        <v>49</v>
      </c>
      <c r="E558" s="6" t="s">
        <v>129</v>
      </c>
      <c r="F558" s="12">
        <f>INDEX('PEDIDO JULIO'!A31:P37,1,16)</f>
        <v>0</v>
      </c>
      <c r="G558" s="8">
        <f>IFERROR(VLOOKUP($B558,'[1]INSUMO POR SEDES MARZO PRUEBA'!$B$6:$CD$109,32,0),"NO BD")</f>
        <v>2380.5149999999999</v>
      </c>
      <c r="H558" s="8"/>
      <c r="I558" s="8">
        <f t="shared" si="47"/>
        <v>0</v>
      </c>
      <c r="J558" s="14">
        <f t="shared" si="48"/>
        <v>0</v>
      </c>
      <c r="K558" s="14">
        <f t="shared" si="49"/>
        <v>0</v>
      </c>
      <c r="L558" s="14">
        <f t="shared" si="50"/>
        <v>0</v>
      </c>
    </row>
    <row r="559" spans="1:12" ht="15">
      <c r="A559" s="3">
        <v>866</v>
      </c>
      <c r="B559" s="26">
        <v>94</v>
      </c>
      <c r="C559" s="7" t="s">
        <v>159</v>
      </c>
      <c r="D559" s="4" t="s">
        <v>50</v>
      </c>
      <c r="E559" s="6" t="s">
        <v>129</v>
      </c>
      <c r="F559" s="12">
        <f>INDEX('PEDIDO JULIO'!A32:P37,1,16)</f>
        <v>0</v>
      </c>
      <c r="G559" s="8">
        <f>IFERROR(VLOOKUP($B559,'[1]INSUMO POR SEDES MARZO PRUEBA'!$B$6:$CD$109,32,0),"NO BD")</f>
        <v>0</v>
      </c>
      <c r="H559" s="8"/>
      <c r="I559" s="8">
        <f t="shared" si="47"/>
        <v>0</v>
      </c>
      <c r="J559" s="14">
        <f t="shared" si="48"/>
        <v>0</v>
      </c>
      <c r="K559" s="14">
        <f t="shared" si="49"/>
        <v>0</v>
      </c>
      <c r="L559" s="14">
        <f t="shared" si="50"/>
        <v>0</v>
      </c>
    </row>
    <row r="560" spans="1:12" ht="15">
      <c r="A560" s="3">
        <v>867</v>
      </c>
      <c r="B560" s="26">
        <v>98</v>
      </c>
      <c r="C560" s="7" t="s">
        <v>159</v>
      </c>
      <c r="D560" s="4" t="s">
        <v>51</v>
      </c>
      <c r="E560" s="6" t="s">
        <v>129</v>
      </c>
      <c r="F560" s="12">
        <f>INDEX('PEDIDO JULIO'!A33:P37,1,16)</f>
        <v>10</v>
      </c>
      <c r="G560" s="8">
        <f>IFERROR(VLOOKUP($B560,'[1]INSUMO POR SEDES MARZO PRUEBA'!$B$6:$CD$109,32,0),"NO BD")</f>
        <v>9503.4573</v>
      </c>
      <c r="H560" s="8"/>
      <c r="I560" s="8">
        <f t="shared" si="47"/>
        <v>95034.573000000004</v>
      </c>
      <c r="J560" s="14">
        <f t="shared" si="48"/>
        <v>9503.4573</v>
      </c>
      <c r="K560" s="14">
        <f t="shared" si="49"/>
        <v>1805.6568870000001</v>
      </c>
      <c r="L560" s="14">
        <f t="shared" si="50"/>
        <v>106343.687187</v>
      </c>
    </row>
    <row r="561" spans="1:12" ht="15">
      <c r="A561" s="3">
        <v>868</v>
      </c>
      <c r="B561" s="26">
        <v>100</v>
      </c>
      <c r="C561" s="7" t="s">
        <v>159</v>
      </c>
      <c r="D561" s="4" t="s">
        <v>52</v>
      </c>
      <c r="E561" s="6" t="s">
        <v>129</v>
      </c>
      <c r="F561" s="12">
        <f>INDEX('PEDIDO JULIO'!A33:P38,1,16)</f>
        <v>10</v>
      </c>
      <c r="G561" s="8">
        <f>IFERROR(VLOOKUP($B561,'[1]INSUMO POR SEDES MARZO PRUEBA'!$B$6:$CD$109,32,0),"NO BD")</f>
        <v>0</v>
      </c>
      <c r="H561" s="8"/>
      <c r="I561" s="8">
        <f t="shared" si="47"/>
        <v>0</v>
      </c>
      <c r="J561" s="14">
        <f t="shared" si="48"/>
        <v>0</v>
      </c>
      <c r="K561" s="14">
        <f t="shared" si="49"/>
        <v>0</v>
      </c>
      <c r="L561" s="14">
        <f t="shared" si="50"/>
        <v>0</v>
      </c>
    </row>
    <row r="562" spans="1:12" ht="15">
      <c r="A562" s="3">
        <v>869</v>
      </c>
      <c r="B562" s="26">
        <v>102</v>
      </c>
      <c r="C562" s="7" t="s">
        <v>53</v>
      </c>
      <c r="D562" s="4" t="s">
        <v>54</v>
      </c>
      <c r="E562" s="6" t="s">
        <v>129</v>
      </c>
      <c r="F562" s="12">
        <f>INDEX('PEDIDO JULIO'!A33:P38,1,16)</f>
        <v>10</v>
      </c>
      <c r="G562" s="8">
        <f>IFERROR(VLOOKUP($B562,'[1]INSUMO POR SEDES MARZO PRUEBA'!$B$6:$CD$109,32,0),"NO BD")</f>
        <v>5422.8446999999996</v>
      </c>
      <c r="H562" s="8"/>
      <c r="I562" s="8">
        <f t="shared" si="47"/>
        <v>54228.447</v>
      </c>
      <c r="J562" s="14">
        <f t="shared" si="48"/>
        <v>5422.8447000000006</v>
      </c>
      <c r="K562" s="14">
        <f t="shared" si="49"/>
        <v>1030.3404930000002</v>
      </c>
      <c r="L562" s="14">
        <f t="shared" si="50"/>
        <v>60681.632193000005</v>
      </c>
    </row>
    <row r="563" spans="1:12" ht="15">
      <c r="A563" s="3">
        <v>870</v>
      </c>
      <c r="B563" s="26">
        <v>110</v>
      </c>
      <c r="C563" s="7" t="s">
        <v>53</v>
      </c>
      <c r="D563" s="4" t="s">
        <v>55</v>
      </c>
      <c r="E563" s="6" t="s">
        <v>129</v>
      </c>
      <c r="F563" s="12">
        <f>INDEX('PEDIDO JULIO'!A33:P39,1,16)</f>
        <v>10</v>
      </c>
      <c r="G563" s="8">
        <f>IFERROR(VLOOKUP($B563,'[1]INSUMO POR SEDES MARZO PRUEBA'!$B$6:$CD$109,32,0),"NO BD")</f>
        <v>1442.4974999999999</v>
      </c>
      <c r="H563" s="8"/>
      <c r="I563" s="8">
        <f t="shared" si="47"/>
        <v>14424.974999999999</v>
      </c>
      <c r="J563" s="14">
        <f t="shared" si="48"/>
        <v>1442.4974999999999</v>
      </c>
      <c r="K563" s="14">
        <f t="shared" si="49"/>
        <v>274.07452499999999</v>
      </c>
      <c r="L563" s="14">
        <f t="shared" si="50"/>
        <v>16141.547024999998</v>
      </c>
    </row>
    <row r="564" spans="1:12" ht="15">
      <c r="A564" s="3">
        <v>871</v>
      </c>
      <c r="B564" s="26">
        <v>118</v>
      </c>
      <c r="C564" s="7" t="s">
        <v>53</v>
      </c>
      <c r="D564" s="4" t="s">
        <v>56</v>
      </c>
      <c r="E564" s="6" t="s">
        <v>129</v>
      </c>
      <c r="F564" s="12">
        <f>INDEX('PEDIDO JULIO'!A33:P40,1,16)</f>
        <v>10</v>
      </c>
      <c r="G564" s="8">
        <f>IFERROR(VLOOKUP($B564,'[1]INSUMO POR SEDES MARZO PRUEBA'!$B$6:$CD$109,32,0),"NO BD")</f>
        <v>4129.7993999999999</v>
      </c>
      <c r="H564" s="8"/>
      <c r="I564" s="8">
        <f t="shared" si="47"/>
        <v>41297.993999999999</v>
      </c>
      <c r="J564" s="14">
        <f t="shared" si="48"/>
        <v>4129.7993999999999</v>
      </c>
      <c r="K564" s="14">
        <f t="shared" si="49"/>
        <v>784.66188599999998</v>
      </c>
      <c r="L564" s="14">
        <f t="shared" si="50"/>
        <v>46212.455285999997</v>
      </c>
    </row>
    <row r="565" spans="1:12" ht="15">
      <c r="A565" s="3">
        <v>872</v>
      </c>
      <c r="B565" s="26">
        <v>119</v>
      </c>
      <c r="C565" s="7" t="s">
        <v>53</v>
      </c>
      <c r="D565" s="4" t="s">
        <v>57</v>
      </c>
      <c r="E565" s="6" t="s">
        <v>129</v>
      </c>
      <c r="F565" s="12">
        <f>INDEX('PEDIDO JULIO'!A33:P40,1,16)</f>
        <v>10</v>
      </c>
      <c r="G565" s="8">
        <f>IFERROR(VLOOKUP($B565,'[1]INSUMO POR SEDES MARZO PRUEBA'!$B$6:$CD$109,32,0),"NO BD")</f>
        <v>4259.3877000000002</v>
      </c>
      <c r="H565" s="8"/>
      <c r="I565" s="8">
        <f t="shared" si="47"/>
        <v>42593.877</v>
      </c>
      <c r="J565" s="14">
        <f t="shared" si="48"/>
        <v>4259.3877000000002</v>
      </c>
      <c r="K565" s="14">
        <f t="shared" si="49"/>
        <v>809.28366300000005</v>
      </c>
      <c r="L565" s="14">
        <f t="shared" si="50"/>
        <v>47662.548363000002</v>
      </c>
    </row>
    <row r="566" spans="1:12" ht="27">
      <c r="A566" s="3">
        <v>873</v>
      </c>
      <c r="B566" s="26">
        <v>120</v>
      </c>
      <c r="C566" s="7" t="s">
        <v>160</v>
      </c>
      <c r="D566" s="4" t="s">
        <v>58</v>
      </c>
      <c r="E566" s="6" t="s">
        <v>129</v>
      </c>
      <c r="F566" s="12">
        <f>INDEX('PEDIDO JULIO'!A33:P40,1,16)</f>
        <v>10</v>
      </c>
      <c r="G566" s="8">
        <f>IFERROR(VLOOKUP($B566,'[1]INSUMO POR SEDES MARZO PRUEBA'!$B$6:$CD$109,32,0),"NO BD")</f>
        <v>4259.3877000000002</v>
      </c>
      <c r="H566" s="8"/>
      <c r="I566" s="8">
        <f t="shared" si="47"/>
        <v>42593.877</v>
      </c>
      <c r="J566" s="14">
        <f t="shared" si="48"/>
        <v>4259.3877000000002</v>
      </c>
      <c r="K566" s="14">
        <f t="shared" si="49"/>
        <v>809.28366300000005</v>
      </c>
      <c r="L566" s="14">
        <f t="shared" si="50"/>
        <v>47662.548363000002</v>
      </c>
    </row>
    <row r="567" spans="1:12" ht="15">
      <c r="A567" s="3">
        <v>874</v>
      </c>
      <c r="B567" s="26">
        <v>122</v>
      </c>
      <c r="C567" s="7" t="s">
        <v>160</v>
      </c>
      <c r="D567" s="4" t="s">
        <v>59</v>
      </c>
      <c r="E567" s="6" t="s">
        <v>129</v>
      </c>
      <c r="F567" s="12">
        <f>INDEX('PEDIDO JULIO'!A33:P41,1,16)</f>
        <v>10</v>
      </c>
      <c r="G567" s="8">
        <f>IFERROR(VLOOKUP($B567,'[1]INSUMO POR SEDES MARZO PRUEBA'!$B$6:$CD$109,32,0),"NO BD")</f>
        <v>5223.4699999999993</v>
      </c>
      <c r="H567" s="8"/>
      <c r="I567" s="8">
        <f t="shared" si="47"/>
        <v>52234.7</v>
      </c>
      <c r="J567" s="14">
        <f t="shared" si="48"/>
        <v>5223.47</v>
      </c>
      <c r="K567" s="14">
        <f t="shared" si="49"/>
        <v>992.4593000000001</v>
      </c>
      <c r="L567" s="14">
        <f t="shared" si="50"/>
        <v>58450.629300000001</v>
      </c>
    </row>
    <row r="568" spans="1:12" ht="15">
      <c r="A568" s="3">
        <v>875</v>
      </c>
      <c r="B568" s="26">
        <v>123</v>
      </c>
      <c r="C568" s="7" t="s">
        <v>60</v>
      </c>
      <c r="D568" s="4" t="s">
        <v>61</v>
      </c>
      <c r="E568" s="6" t="s">
        <v>129</v>
      </c>
      <c r="F568" s="12">
        <f>INDEX('PEDIDO JULIO'!A33:P41,1,16)</f>
        <v>10</v>
      </c>
      <c r="G568" s="8">
        <f>IFERROR(VLOOKUP($B568,'[1]INSUMO POR SEDES MARZO PRUEBA'!$B$6:$CD$109,32,0),"NO BD")</f>
        <v>6169.1598000000004</v>
      </c>
      <c r="H568" s="8"/>
      <c r="I568" s="8">
        <f t="shared" si="47"/>
        <v>61691.598000000005</v>
      </c>
      <c r="J568" s="14">
        <f t="shared" si="48"/>
        <v>6169.1598000000013</v>
      </c>
      <c r="K568" s="14">
        <f t="shared" si="49"/>
        <v>1172.1403620000003</v>
      </c>
      <c r="L568" s="14">
        <f t="shared" si="50"/>
        <v>69032.898162000012</v>
      </c>
    </row>
    <row r="569" spans="1:12" ht="15">
      <c r="A569" s="3">
        <v>876</v>
      </c>
      <c r="B569" s="26">
        <v>124</v>
      </c>
      <c r="C569" s="7" t="s">
        <v>60</v>
      </c>
      <c r="D569" s="4" t="s">
        <v>62</v>
      </c>
      <c r="E569" s="6" t="s">
        <v>129</v>
      </c>
      <c r="F569" s="12">
        <f>INDEX('PEDIDO JULIO'!A33:P42,1,16)</f>
        <v>10</v>
      </c>
      <c r="G569" s="8">
        <f>IFERROR(VLOOKUP($B569,'[1]INSUMO POR SEDES MARZO PRUEBA'!$B$6:$CD$109,32,0),"NO BD")</f>
        <v>6169.1598000000004</v>
      </c>
      <c r="H569" s="8"/>
      <c r="I569" s="8">
        <f t="shared" si="47"/>
        <v>61691.598000000005</v>
      </c>
      <c r="J569" s="14">
        <f t="shared" si="48"/>
        <v>6169.1598000000013</v>
      </c>
      <c r="K569" s="14">
        <f t="shared" si="49"/>
        <v>1172.1403620000003</v>
      </c>
      <c r="L569" s="14">
        <f t="shared" si="50"/>
        <v>69032.898162000012</v>
      </c>
    </row>
    <row r="570" spans="1:12" ht="15">
      <c r="A570" s="3">
        <v>877</v>
      </c>
      <c r="B570" s="26">
        <v>137</v>
      </c>
      <c r="C570" s="7" t="s">
        <v>151</v>
      </c>
      <c r="D570" s="4" t="s">
        <v>63</v>
      </c>
      <c r="E570" s="6" t="s">
        <v>129</v>
      </c>
      <c r="F570" s="12">
        <f>INDEX('PEDIDO JULIO'!A33:P42,1,16)</f>
        <v>10</v>
      </c>
      <c r="G570" s="8">
        <f>IFERROR(VLOOKUP($B570,'[1]INSUMO POR SEDES MARZO PRUEBA'!$B$6:$CD$109,32,0),"NO BD")</f>
        <v>0</v>
      </c>
      <c r="H570" s="8"/>
      <c r="I570" s="8">
        <f t="shared" si="47"/>
        <v>0</v>
      </c>
      <c r="J570" s="14">
        <f t="shared" si="48"/>
        <v>0</v>
      </c>
      <c r="K570" s="14">
        <f t="shared" si="49"/>
        <v>0</v>
      </c>
      <c r="L570" s="14">
        <f t="shared" si="50"/>
        <v>0</v>
      </c>
    </row>
    <row r="571" spans="1:12" ht="15">
      <c r="A571" s="3">
        <v>878</v>
      </c>
      <c r="B571" s="26">
        <v>139</v>
      </c>
      <c r="C571" s="7" t="s">
        <v>160</v>
      </c>
      <c r="D571" s="4" t="s">
        <v>64</v>
      </c>
      <c r="E571" s="6" t="s">
        <v>129</v>
      </c>
      <c r="F571" s="12">
        <f>INDEX('PEDIDO JULIO'!A33:P42,1,16)</f>
        <v>10</v>
      </c>
      <c r="G571" s="8">
        <f>IFERROR(VLOOKUP($B571,'[1]INSUMO POR SEDES MARZO PRUEBA'!$B$6:$CD$109,32,0),"NO BD")</f>
        <v>51246.970200000003</v>
      </c>
      <c r="H571" s="8"/>
      <c r="I571" s="8">
        <f t="shared" si="47"/>
        <v>512469.70200000005</v>
      </c>
      <c r="J571" s="14">
        <f t="shared" si="48"/>
        <v>51246.970200000011</v>
      </c>
      <c r="K571" s="14">
        <f t="shared" si="49"/>
        <v>9736.9243380000025</v>
      </c>
      <c r="L571" s="14">
        <f t="shared" si="50"/>
        <v>573453.59653800004</v>
      </c>
    </row>
    <row r="572" spans="1:12" ht="27">
      <c r="A572" s="3">
        <v>879</v>
      </c>
      <c r="B572" s="26">
        <v>151</v>
      </c>
      <c r="C572" s="7" t="s">
        <v>60</v>
      </c>
      <c r="D572" s="4" t="s">
        <v>65</v>
      </c>
      <c r="E572" s="6" t="s">
        <v>129</v>
      </c>
      <c r="F572" s="12">
        <f>INDEX('PEDIDO JULIO'!A33:P42,1,16)</f>
        <v>10</v>
      </c>
      <c r="G572" s="8">
        <f>IFERROR(VLOOKUP($B572,'[1]INSUMO POR SEDES MARZO PRUEBA'!$B$6:$CD$109,32,0),"NO BD")</f>
        <v>7960.6944000000003</v>
      </c>
      <c r="H572" s="8"/>
      <c r="I572" s="8">
        <f t="shared" si="47"/>
        <v>79606.944000000003</v>
      </c>
      <c r="J572" s="14">
        <f t="shared" si="48"/>
        <v>7960.6944000000003</v>
      </c>
      <c r="K572" s="14">
        <f t="shared" si="49"/>
        <v>1512.5319360000001</v>
      </c>
      <c r="L572" s="14">
        <f t="shared" si="50"/>
        <v>89080.170335999996</v>
      </c>
    </row>
    <row r="573" spans="1:12" ht="15">
      <c r="A573" s="3">
        <v>880</v>
      </c>
      <c r="B573" s="26">
        <v>155</v>
      </c>
      <c r="C573" s="7" t="s">
        <v>66</v>
      </c>
      <c r="D573" s="4" t="s">
        <v>67</v>
      </c>
      <c r="E573" s="6" t="s">
        <v>129</v>
      </c>
      <c r="F573" s="12">
        <f>INDEX('PEDIDO JULIO'!A33:P43,1,16)</f>
        <v>10</v>
      </c>
      <c r="G573" s="8">
        <f>IFERROR(VLOOKUP($B573,'[1]INSUMO POR SEDES MARZO PRUEBA'!$B$6:$CD$109,32,0),"NO BD")</f>
        <v>5005.7028</v>
      </c>
      <c r="H573" s="8"/>
      <c r="I573" s="8">
        <f t="shared" si="47"/>
        <v>50057.027999999998</v>
      </c>
      <c r="J573" s="14">
        <f t="shared" si="48"/>
        <v>5005.7028</v>
      </c>
      <c r="K573" s="14">
        <f t="shared" si="49"/>
        <v>951.08353199999999</v>
      </c>
      <c r="L573" s="14">
        <f t="shared" si="50"/>
        <v>56013.814331999994</v>
      </c>
    </row>
    <row r="574" spans="1:12" ht="15">
      <c r="A574" s="3">
        <v>881</v>
      </c>
      <c r="B574" s="26">
        <v>156</v>
      </c>
      <c r="C574" s="7" t="s">
        <v>66</v>
      </c>
      <c r="D574" s="4" t="s">
        <v>68</v>
      </c>
      <c r="E574" s="6" t="s">
        <v>129</v>
      </c>
      <c r="F574" s="12">
        <f>INDEX('PEDIDO JULIO'!A33:P43,1,16)</f>
        <v>10</v>
      </c>
      <c r="G574" s="8">
        <f>IFERROR(VLOOKUP($B574,'[1]INSUMO POR SEDES MARZO PRUEBA'!$B$6:$CD$109,32,0),"NO BD")</f>
        <v>7711.9227000000001</v>
      </c>
      <c r="H574" s="8"/>
      <c r="I574" s="8">
        <f t="shared" si="47"/>
        <v>77119.226999999999</v>
      </c>
      <c r="J574" s="14">
        <f t="shared" si="48"/>
        <v>7711.9227000000001</v>
      </c>
      <c r="K574" s="14">
        <f t="shared" si="49"/>
        <v>1465.2653130000001</v>
      </c>
      <c r="L574" s="14">
        <f t="shared" si="50"/>
        <v>86296.415012999991</v>
      </c>
    </row>
    <row r="575" spans="1:12" ht="15">
      <c r="A575" s="3">
        <v>882</v>
      </c>
      <c r="B575" s="26">
        <v>157</v>
      </c>
      <c r="C575" s="7" t="s">
        <v>66</v>
      </c>
      <c r="D575" s="4" t="s">
        <v>69</v>
      </c>
      <c r="E575" s="6" t="s">
        <v>129</v>
      </c>
      <c r="F575" s="12">
        <f>INDEX('PEDIDO JULIO'!A33:P43,1,16)</f>
        <v>10</v>
      </c>
      <c r="G575" s="8">
        <f>IFERROR(VLOOKUP($B575,'[1]INSUMO POR SEDES MARZO PRUEBA'!$B$6:$CD$109,32,0),"NO BD")</f>
        <v>8955.7812000000013</v>
      </c>
      <c r="H575" s="8"/>
      <c r="I575" s="8">
        <f t="shared" si="47"/>
        <v>89557.812000000005</v>
      </c>
      <c r="J575" s="14">
        <f t="shared" si="48"/>
        <v>8955.7812000000013</v>
      </c>
      <c r="K575" s="14">
        <f t="shared" si="49"/>
        <v>1701.5984280000002</v>
      </c>
      <c r="L575" s="14">
        <f t="shared" si="50"/>
        <v>100215.191628</v>
      </c>
    </row>
    <row r="576" spans="1:12" ht="15">
      <c r="A576" s="3">
        <v>883</v>
      </c>
      <c r="B576" s="31">
        <v>159</v>
      </c>
      <c r="C576" s="7" t="s">
        <v>66</v>
      </c>
      <c r="D576" s="4" t="s">
        <v>70</v>
      </c>
      <c r="E576" s="6" t="s">
        <v>129</v>
      </c>
      <c r="F576" s="12">
        <f>INDEX('PEDIDO JULIO'!A33:P44,1,16)</f>
        <v>10</v>
      </c>
      <c r="G576" s="8">
        <f>IFERROR(VLOOKUP($B576,'[1]INSUMO POR SEDES MARZO PRUEBA'!$B$6:$CD$109,32,0),"NO BD")</f>
        <v>6716.8359</v>
      </c>
      <c r="H576" s="8"/>
      <c r="I576" s="8">
        <f t="shared" si="47"/>
        <v>67168.358999999997</v>
      </c>
      <c r="J576" s="14">
        <f t="shared" si="48"/>
        <v>6716.8359</v>
      </c>
      <c r="K576" s="14">
        <f t="shared" si="49"/>
        <v>1276.198821</v>
      </c>
      <c r="L576" s="14">
        <f t="shared" si="50"/>
        <v>75161.393721</v>
      </c>
    </row>
    <row r="577" spans="1:12" ht="15">
      <c r="A577" s="3">
        <v>884</v>
      </c>
      <c r="B577" s="26">
        <v>160</v>
      </c>
      <c r="C577" s="7" t="s">
        <v>66</v>
      </c>
      <c r="D577" s="4" t="s">
        <v>71</v>
      </c>
      <c r="E577" s="6" t="s">
        <v>129</v>
      </c>
      <c r="F577" s="12">
        <f>INDEX('PEDIDO JULIO'!A33:P44,1,16)</f>
        <v>10</v>
      </c>
      <c r="G577" s="8">
        <f>IFERROR(VLOOKUP($B577,'[1]INSUMO POR SEDES MARZO PRUEBA'!$B$6:$CD$109,32,0),"NO BD")</f>
        <v>3035.3931000000002</v>
      </c>
      <c r="H577" s="8"/>
      <c r="I577" s="8">
        <f t="shared" si="47"/>
        <v>30353.931000000004</v>
      </c>
      <c r="J577" s="14">
        <f t="shared" si="48"/>
        <v>3035.3931000000007</v>
      </c>
      <c r="K577" s="14">
        <f t="shared" si="49"/>
        <v>576.72468900000013</v>
      </c>
      <c r="L577" s="14">
        <f t="shared" si="50"/>
        <v>33966.048789000008</v>
      </c>
    </row>
    <row r="578" spans="1:12" ht="15">
      <c r="A578" s="3">
        <v>885</v>
      </c>
      <c r="B578" s="26">
        <v>162</v>
      </c>
      <c r="C578" s="7" t="s">
        <v>66</v>
      </c>
      <c r="D578" s="4" t="s">
        <v>72</v>
      </c>
      <c r="E578" s="6" t="s">
        <v>129</v>
      </c>
      <c r="F578" s="12">
        <f>INDEX('PEDIDO JULIO'!A33:P44,1,16)</f>
        <v>10</v>
      </c>
      <c r="G578" s="8">
        <f>IFERROR(VLOOKUP($B578,'[1]INSUMO POR SEDES MARZO PRUEBA'!$B$6:$CD$109,32,0),"NO BD")</f>
        <v>2684.2539999999999</v>
      </c>
      <c r="H578" s="8"/>
      <c r="I578" s="8">
        <f t="shared" si="47"/>
        <v>26842.54</v>
      </c>
      <c r="J578" s="14">
        <f t="shared" si="48"/>
        <v>2684.2540000000004</v>
      </c>
      <c r="K578" s="14">
        <f t="shared" si="49"/>
        <v>510.00826000000006</v>
      </c>
      <c r="L578" s="14">
        <f t="shared" si="50"/>
        <v>30036.80226</v>
      </c>
    </row>
    <row r="579" spans="1:12" ht="15">
      <c r="A579" s="3">
        <v>886</v>
      </c>
      <c r="B579" s="26">
        <v>164</v>
      </c>
      <c r="C579" s="7" t="s">
        <v>158</v>
      </c>
      <c r="D579" s="4" t="s">
        <v>73</v>
      </c>
      <c r="E579" s="6" t="s">
        <v>129</v>
      </c>
      <c r="F579" s="12">
        <f>INDEX('PEDIDO JULIO'!A33:P44,1,16)</f>
        <v>10</v>
      </c>
      <c r="G579" s="8">
        <f>IFERROR(VLOOKUP($B579,'[1]INSUMO POR SEDES MARZO PRUEBA'!$B$6:$CD$109,32,0),"NO BD")</f>
        <v>0</v>
      </c>
      <c r="H579" s="8"/>
      <c r="I579" s="8">
        <f t="shared" si="47"/>
        <v>0</v>
      </c>
      <c r="J579" s="14">
        <f t="shared" si="48"/>
        <v>0</v>
      </c>
      <c r="K579" s="14">
        <f t="shared" si="49"/>
        <v>0</v>
      </c>
      <c r="L579" s="14">
        <f t="shared" si="50"/>
        <v>0</v>
      </c>
    </row>
    <row r="580" spans="1:12" ht="15">
      <c r="A580" s="3">
        <v>887</v>
      </c>
      <c r="B580" s="26">
        <v>169</v>
      </c>
      <c r="C580" s="7" t="s">
        <v>158</v>
      </c>
      <c r="D580" s="4" t="s">
        <v>74</v>
      </c>
      <c r="E580" s="6" t="s">
        <v>129</v>
      </c>
      <c r="F580" s="12">
        <f>INDEX('PEDIDO JULIO'!A33:P45,1,16)</f>
        <v>10</v>
      </c>
      <c r="G580" s="8">
        <f>IFERROR(VLOOKUP($B580,'[1]INSUMO POR SEDES MARZO PRUEBA'!$B$6:$CD$109,32,0),"NO BD")</f>
        <v>0</v>
      </c>
      <c r="H580" s="8"/>
      <c r="I580" s="8">
        <f t="shared" si="47"/>
        <v>0</v>
      </c>
      <c r="J580" s="14">
        <f t="shared" si="48"/>
        <v>0</v>
      </c>
      <c r="K580" s="14">
        <f t="shared" si="49"/>
        <v>0</v>
      </c>
      <c r="L580" s="14">
        <f t="shared" si="50"/>
        <v>0</v>
      </c>
    </row>
    <row r="581" spans="1:12" ht="15">
      <c r="A581" s="3">
        <v>888</v>
      </c>
      <c r="B581" s="26">
        <v>170</v>
      </c>
      <c r="C581" s="7" t="s">
        <v>158</v>
      </c>
      <c r="D581" s="4" t="s">
        <v>75</v>
      </c>
      <c r="E581" s="6" t="s">
        <v>129</v>
      </c>
      <c r="F581" s="12">
        <f>INDEX('PEDIDO JULIO'!A33:P46,1,16)</f>
        <v>10</v>
      </c>
      <c r="G581" s="8">
        <f>IFERROR(VLOOKUP($B581,'[1]INSUMO POR SEDES MARZO PRUEBA'!$B$6:$CD$109,32,0),"NO BD")</f>
        <v>19405.664000000001</v>
      </c>
      <c r="H581" s="8"/>
      <c r="I581" s="8">
        <f t="shared" si="47"/>
        <v>194056.64</v>
      </c>
      <c r="J581" s="14">
        <f t="shared" si="48"/>
        <v>19405.664000000001</v>
      </c>
      <c r="K581" s="14">
        <f t="shared" si="49"/>
        <v>3687.0761600000001</v>
      </c>
      <c r="L581" s="14">
        <f t="shared" si="50"/>
        <v>217149.38016</v>
      </c>
    </row>
    <row r="582" spans="1:12" ht="15">
      <c r="A582" s="3">
        <v>889</v>
      </c>
      <c r="B582" s="26">
        <v>174</v>
      </c>
      <c r="C582" s="7" t="s">
        <v>158</v>
      </c>
      <c r="D582" s="4" t="s">
        <v>76</v>
      </c>
      <c r="E582" s="6" t="s">
        <v>129</v>
      </c>
      <c r="F582" s="12">
        <f>INDEX('PEDIDO JULIO'!A33:P47,1,16)</f>
        <v>10</v>
      </c>
      <c r="G582" s="8">
        <f>IFERROR(VLOOKUP($B582,'[1]INSUMO POR SEDES MARZO PRUEBA'!$B$6:$CD$109,32,0),"NO BD")</f>
        <v>10050.1875</v>
      </c>
      <c r="H582" s="8"/>
      <c r="I582" s="8">
        <f t="shared" ref="I582:I645" si="51">+F582*G582</f>
        <v>100501.875</v>
      </c>
      <c r="J582" s="14">
        <f t="shared" si="48"/>
        <v>10050.1875</v>
      </c>
      <c r="K582" s="14">
        <f t="shared" si="49"/>
        <v>1909.535625</v>
      </c>
      <c r="L582" s="14">
        <f t="shared" si="50"/>
        <v>112461.598125</v>
      </c>
    </row>
    <row r="583" spans="1:12" ht="15">
      <c r="A583" s="3">
        <v>890</v>
      </c>
      <c r="B583" s="26">
        <v>192</v>
      </c>
      <c r="C583" s="7" t="s">
        <v>158</v>
      </c>
      <c r="D583" s="4" t="s">
        <v>77</v>
      </c>
      <c r="E583" s="6" t="s">
        <v>129</v>
      </c>
      <c r="F583" s="12">
        <f>INDEX('PEDIDO JULIO'!A33:P47,1,16)</f>
        <v>10</v>
      </c>
      <c r="G583" s="8">
        <f>IFERROR(VLOOKUP($B583,'[1]INSUMO POR SEDES MARZO PRUEBA'!$B$6:$CD$109,32,0),"NO BD")</f>
        <v>6866.2880999999998</v>
      </c>
      <c r="H583" s="8"/>
      <c r="I583" s="8">
        <f t="shared" si="51"/>
        <v>68662.880999999994</v>
      </c>
      <c r="J583" s="14">
        <f t="shared" si="48"/>
        <v>6866.2880999999998</v>
      </c>
      <c r="K583" s="14">
        <f t="shared" si="49"/>
        <v>1304.5947389999999</v>
      </c>
      <c r="L583" s="14">
        <f t="shared" si="50"/>
        <v>76833.763838999992</v>
      </c>
    </row>
    <row r="584" spans="1:12" ht="15">
      <c r="A584" s="3">
        <v>891</v>
      </c>
      <c r="B584" s="26">
        <v>195</v>
      </c>
      <c r="C584" s="7" t="s">
        <v>158</v>
      </c>
      <c r="D584" s="4" t="s">
        <v>78</v>
      </c>
      <c r="E584" s="6" t="s">
        <v>129</v>
      </c>
      <c r="F584" s="12">
        <f>INDEX('PEDIDO JULIO'!A33:P47,1,16)</f>
        <v>10</v>
      </c>
      <c r="G584" s="8">
        <f>IFERROR(VLOOKUP($B584,'[1]INSUMO POR SEDES MARZO PRUEBA'!$B$6:$CD$109,32,0),"NO BD")</f>
        <v>10697.1831</v>
      </c>
      <c r="H584" s="8"/>
      <c r="I584" s="8">
        <f t="shared" si="51"/>
        <v>106971.83100000001</v>
      </c>
      <c r="J584" s="14">
        <f t="shared" si="48"/>
        <v>10697.183100000002</v>
      </c>
      <c r="K584" s="14">
        <f t="shared" si="49"/>
        <v>2032.4647890000003</v>
      </c>
      <c r="L584" s="14">
        <f t="shared" si="50"/>
        <v>119701.47888900001</v>
      </c>
    </row>
    <row r="585" spans="1:12" ht="15">
      <c r="A585" s="3">
        <v>892</v>
      </c>
      <c r="B585" s="26">
        <v>204</v>
      </c>
      <c r="C585" s="7" t="s">
        <v>158</v>
      </c>
      <c r="D585" s="4" t="s">
        <v>79</v>
      </c>
      <c r="E585" s="6" t="s">
        <v>129</v>
      </c>
      <c r="F585" s="12">
        <f>INDEX('PEDIDO JULIO'!A33:P47,1,16)</f>
        <v>10</v>
      </c>
      <c r="G585" s="8">
        <f>IFERROR(VLOOKUP($B585,'[1]INSUMO POR SEDES MARZO PRUEBA'!$B$6:$CD$109,32,0),"NO BD")</f>
        <v>25673.6178</v>
      </c>
      <c r="H585" s="8"/>
      <c r="I585" s="8">
        <f t="shared" si="51"/>
        <v>256736.17800000001</v>
      </c>
      <c r="J585" s="14">
        <f t="shared" si="48"/>
        <v>25673.617800000004</v>
      </c>
      <c r="K585" s="14">
        <f t="shared" si="49"/>
        <v>4877.9873820000012</v>
      </c>
      <c r="L585" s="14">
        <f t="shared" si="50"/>
        <v>287287.78318200004</v>
      </c>
    </row>
    <row r="586" spans="1:12" ht="15">
      <c r="A586" s="3">
        <v>893</v>
      </c>
      <c r="B586" s="26">
        <v>205</v>
      </c>
      <c r="C586" s="7" t="s">
        <v>158</v>
      </c>
      <c r="D586" s="4" t="s">
        <v>80</v>
      </c>
      <c r="E586" s="6" t="s">
        <v>129</v>
      </c>
      <c r="F586" s="12">
        <f>INDEX('PEDIDO JULIO'!A33:P47,1,16)</f>
        <v>10</v>
      </c>
      <c r="G586" s="8">
        <f>IFERROR(VLOOKUP($B586,'[1]INSUMO POR SEDES MARZO PRUEBA'!$B$6:$CD$109,32,0),"NO BD")</f>
        <v>32639.225399999996</v>
      </c>
      <c r="H586" s="8"/>
      <c r="I586" s="8">
        <f t="shared" si="51"/>
        <v>326392.25399999996</v>
      </c>
      <c r="J586" s="14">
        <f t="shared" si="48"/>
        <v>32639.225399999996</v>
      </c>
      <c r="K586" s="14">
        <f t="shared" si="49"/>
        <v>6201.4528259999988</v>
      </c>
      <c r="L586" s="14">
        <f t="shared" si="50"/>
        <v>365232.93222599995</v>
      </c>
    </row>
    <row r="587" spans="1:12" ht="15">
      <c r="A587" s="3">
        <v>894</v>
      </c>
      <c r="B587" s="26">
        <v>207</v>
      </c>
      <c r="C587" s="7" t="s">
        <v>158</v>
      </c>
      <c r="D587" s="4" t="s">
        <v>81</v>
      </c>
      <c r="E587" s="6" t="s">
        <v>129</v>
      </c>
      <c r="F587" s="12">
        <f>INDEX('PEDIDO JULIO'!A33:P47,1,16)</f>
        <v>10</v>
      </c>
      <c r="G587" s="8">
        <f>IFERROR(VLOOKUP($B587,'[1]INSUMO POR SEDES MARZO PRUEBA'!$B$6:$CD$109,32,0),"NO BD")</f>
        <v>0</v>
      </c>
      <c r="H587" s="8"/>
      <c r="I587" s="8">
        <f t="shared" si="51"/>
        <v>0</v>
      </c>
      <c r="J587" s="14">
        <f t="shared" si="48"/>
        <v>0</v>
      </c>
      <c r="K587" s="14">
        <f t="shared" si="49"/>
        <v>0</v>
      </c>
      <c r="L587" s="14">
        <f t="shared" si="50"/>
        <v>0</v>
      </c>
    </row>
    <row r="588" spans="1:12" ht="15">
      <c r="A588" s="3">
        <v>895</v>
      </c>
      <c r="B588" s="26">
        <v>212</v>
      </c>
      <c r="C588" s="7" t="s">
        <v>158</v>
      </c>
      <c r="D588" s="4" t="s">
        <v>82</v>
      </c>
      <c r="E588" s="6" t="s">
        <v>129</v>
      </c>
      <c r="F588" s="12">
        <f>INDEX('PEDIDO JULIO'!A33:P47,1,16)</f>
        <v>10</v>
      </c>
      <c r="G588" s="8">
        <f>IFERROR(VLOOKUP($B588,'[1]INSUMO POR SEDES MARZO PRUEBA'!$B$6:$CD$109,32,0),"NO BD")</f>
        <v>0</v>
      </c>
      <c r="H588" s="8"/>
      <c r="I588" s="8">
        <f t="shared" si="51"/>
        <v>0</v>
      </c>
      <c r="J588" s="14">
        <f t="shared" si="48"/>
        <v>0</v>
      </c>
      <c r="K588" s="14">
        <f t="shared" si="49"/>
        <v>0</v>
      </c>
      <c r="L588" s="14">
        <f t="shared" si="50"/>
        <v>0</v>
      </c>
    </row>
    <row r="589" spans="1:12" ht="15">
      <c r="A589" s="3">
        <v>896</v>
      </c>
      <c r="B589" s="26">
        <v>218</v>
      </c>
      <c r="C589" s="7" t="s">
        <v>158</v>
      </c>
      <c r="D589" s="4" t="s">
        <v>83</v>
      </c>
      <c r="E589" s="6" t="s">
        <v>129</v>
      </c>
      <c r="F589" s="12">
        <f>INDEX('PEDIDO JULIO'!A33:P47,1,16)</f>
        <v>10</v>
      </c>
      <c r="G589" s="8">
        <f>IFERROR(VLOOKUP($B589,'[1]INSUMO POR SEDES MARZO PRUEBA'!$B$6:$CD$109,32,0),"NO BD")</f>
        <v>1437.768</v>
      </c>
      <c r="H589" s="8"/>
      <c r="I589" s="8">
        <f t="shared" si="51"/>
        <v>14377.68</v>
      </c>
      <c r="J589" s="14">
        <f t="shared" si="48"/>
        <v>1437.768</v>
      </c>
      <c r="K589" s="14">
        <f t="shared" si="49"/>
        <v>273.17592000000002</v>
      </c>
      <c r="L589" s="14">
        <f t="shared" si="50"/>
        <v>16088.62392</v>
      </c>
    </row>
    <row r="590" spans="1:12" ht="15">
      <c r="A590" s="3">
        <v>897</v>
      </c>
      <c r="B590" s="26">
        <v>251</v>
      </c>
      <c r="C590" s="7" t="s">
        <v>158</v>
      </c>
      <c r="D590" s="4" t="s">
        <v>84</v>
      </c>
      <c r="E590" s="6" t="s">
        <v>129</v>
      </c>
      <c r="F590" s="12">
        <f>INDEX('PEDIDO JULIO'!A33:P47,1,16)</f>
        <v>10</v>
      </c>
      <c r="G590" s="8">
        <f>IFERROR(VLOOKUP($B590,'[1]INSUMO POR SEDES MARZO PRUEBA'!$B$6:$CD$109,32,0),"NO BD")</f>
        <v>0</v>
      </c>
      <c r="H590" s="8"/>
      <c r="I590" s="8">
        <f t="shared" si="51"/>
        <v>0</v>
      </c>
      <c r="J590" s="14">
        <f t="shared" si="48"/>
        <v>0</v>
      </c>
      <c r="K590" s="14">
        <f t="shared" si="49"/>
        <v>0</v>
      </c>
      <c r="L590" s="14">
        <f t="shared" si="50"/>
        <v>0</v>
      </c>
    </row>
    <row r="591" spans="1:12" ht="15">
      <c r="A591" s="3">
        <v>941</v>
      </c>
      <c r="B591" s="39">
        <v>3</v>
      </c>
      <c r="C591" s="7" t="s">
        <v>156</v>
      </c>
      <c r="D591" s="5" t="s">
        <v>11</v>
      </c>
      <c r="E591" s="6" t="s">
        <v>130</v>
      </c>
      <c r="F591" s="12">
        <f>INDEX('PEDIDO JULIO'!A10:Q32,1,17)</f>
        <v>0</v>
      </c>
      <c r="G591" s="8">
        <f>IFERROR(VLOOKUP($B591,'[1]INSUMO POR SEDES MARZO PRUEBA'!$B$6:$CD$109,35,0),"NO BD")</f>
        <v>7268.7160000000003</v>
      </c>
      <c r="H591" s="8"/>
      <c r="I591" s="8">
        <f t="shared" si="51"/>
        <v>0</v>
      </c>
      <c r="J591" s="14">
        <f t="shared" ref="J591:J611" si="52">+I591*10%</f>
        <v>0</v>
      </c>
      <c r="K591" s="14">
        <f t="shared" ref="K591:K611" si="53">+J591*19%</f>
        <v>0</v>
      </c>
      <c r="L591" s="14">
        <f t="shared" ref="L591:L611" si="54">SUM(I591:K591)</f>
        <v>0</v>
      </c>
    </row>
    <row r="592" spans="1:12" ht="27">
      <c r="A592" s="3">
        <v>942</v>
      </c>
      <c r="B592" s="39">
        <v>5</v>
      </c>
      <c r="C592" s="7" t="s">
        <v>157</v>
      </c>
      <c r="D592" s="4" t="s">
        <v>12</v>
      </c>
      <c r="E592" s="6" t="s">
        <v>130</v>
      </c>
      <c r="F592" s="12">
        <f>INDEX('PEDIDO JULIO'!A10:Q32,1,17)</f>
        <v>0</v>
      </c>
      <c r="G592" s="8">
        <f>IFERROR(VLOOKUP($B592,'[1]INSUMO POR SEDES MARZO PRUEBA'!$B$6:$CD$109,35,0),"NO BD")</f>
        <v>6494.1289999999999</v>
      </c>
      <c r="H592" s="8"/>
      <c r="I592" s="8">
        <f t="shared" si="51"/>
        <v>0</v>
      </c>
      <c r="J592" s="14">
        <f t="shared" si="52"/>
        <v>0</v>
      </c>
      <c r="K592" s="14">
        <f t="shared" si="53"/>
        <v>0</v>
      </c>
      <c r="L592" s="14">
        <f t="shared" si="54"/>
        <v>0</v>
      </c>
    </row>
    <row r="593" spans="1:12" ht="15">
      <c r="A593" s="3">
        <v>943</v>
      </c>
      <c r="B593" s="39">
        <v>8</v>
      </c>
      <c r="C593" s="7" t="s">
        <v>13</v>
      </c>
      <c r="D593" s="4" t="s">
        <v>14</v>
      </c>
      <c r="E593" s="6" t="s">
        <v>130</v>
      </c>
      <c r="F593" s="12">
        <f>INDEX('PEDIDO JULIO'!A10:Q33,1,17)</f>
        <v>0</v>
      </c>
      <c r="G593" s="8">
        <f>IFERROR(VLOOKUP($B593,'[1]INSUMO POR SEDES MARZO PRUEBA'!$B$6:$CD$109,35,0),"NO BD")</f>
        <v>2211.3040000000001</v>
      </c>
      <c r="H593" s="8"/>
      <c r="I593" s="8">
        <f t="shared" si="51"/>
        <v>0</v>
      </c>
      <c r="J593" s="14">
        <f t="shared" si="52"/>
        <v>0</v>
      </c>
      <c r="K593" s="14">
        <f t="shared" si="53"/>
        <v>0</v>
      </c>
      <c r="L593" s="14">
        <f t="shared" si="54"/>
        <v>0</v>
      </c>
    </row>
    <row r="594" spans="1:12" ht="27">
      <c r="A594" s="3">
        <v>944</v>
      </c>
      <c r="B594" s="39">
        <v>9</v>
      </c>
      <c r="C594" s="7" t="s">
        <v>13</v>
      </c>
      <c r="D594" s="4" t="s">
        <v>15</v>
      </c>
      <c r="E594" s="6" t="s">
        <v>130</v>
      </c>
      <c r="F594" s="12">
        <f>INDEX('PEDIDO JULIO'!A10:Q33,1,17)</f>
        <v>0</v>
      </c>
      <c r="G594" s="8">
        <f>IFERROR(VLOOKUP($B594,'[1]INSUMO POR SEDES MARZO PRUEBA'!$B$6:$CD$109,35,0),"NO BD")</f>
        <v>3298.0379999999996</v>
      </c>
      <c r="H594" s="8"/>
      <c r="I594" s="8">
        <f t="shared" si="51"/>
        <v>0</v>
      </c>
      <c r="J594" s="14">
        <f t="shared" si="52"/>
        <v>0</v>
      </c>
      <c r="K594" s="14">
        <f t="shared" si="53"/>
        <v>0</v>
      </c>
      <c r="L594" s="14">
        <f t="shared" si="54"/>
        <v>0</v>
      </c>
    </row>
    <row r="595" spans="1:12" ht="15">
      <c r="A595" s="3">
        <v>945</v>
      </c>
      <c r="B595" s="39">
        <v>13</v>
      </c>
      <c r="C595" s="7" t="s">
        <v>16</v>
      </c>
      <c r="D595" s="4" t="s">
        <v>17</v>
      </c>
      <c r="E595" s="6" t="s">
        <v>130</v>
      </c>
      <c r="F595" s="12">
        <f>INDEX('PEDIDO JULIO'!A11:Q33,1,17)</f>
        <v>0</v>
      </c>
      <c r="G595" s="8">
        <f>IFERROR(VLOOKUP($B595,'[1]INSUMO POR SEDES MARZO PRUEBA'!$B$6:$CD$109,35,0),"NO BD")</f>
        <v>6507.7919999999995</v>
      </c>
      <c r="H595" s="8"/>
      <c r="I595" s="8">
        <f t="shared" si="51"/>
        <v>0</v>
      </c>
      <c r="J595" s="14">
        <f t="shared" si="52"/>
        <v>0</v>
      </c>
      <c r="K595" s="14">
        <f t="shared" si="53"/>
        <v>0</v>
      </c>
      <c r="L595" s="14">
        <f t="shared" si="54"/>
        <v>0</v>
      </c>
    </row>
    <row r="596" spans="1:12" ht="27">
      <c r="A596" s="3">
        <v>946</v>
      </c>
      <c r="B596" s="39">
        <v>17</v>
      </c>
      <c r="C596" s="7" t="s">
        <v>18</v>
      </c>
      <c r="D596" s="4" t="s">
        <v>19</v>
      </c>
      <c r="E596" s="6" t="s">
        <v>130</v>
      </c>
      <c r="F596" s="12">
        <f>INDEX('PEDIDO JULIO'!A12:Q33,1,17)</f>
        <v>0</v>
      </c>
      <c r="G596" s="8">
        <f>IFERROR(VLOOKUP($B596,'[1]INSUMO POR SEDES MARZO PRUEBA'!$B$6:$CD$109,35,0),"NO BD")</f>
        <v>5647.0229999999992</v>
      </c>
      <c r="H596" s="8"/>
      <c r="I596" s="8">
        <f t="shared" si="51"/>
        <v>0</v>
      </c>
      <c r="J596" s="14">
        <f t="shared" si="52"/>
        <v>0</v>
      </c>
      <c r="K596" s="14">
        <f t="shared" si="53"/>
        <v>0</v>
      </c>
      <c r="L596" s="14">
        <f t="shared" si="54"/>
        <v>0</v>
      </c>
    </row>
    <row r="597" spans="1:12" ht="27">
      <c r="A597" s="3">
        <v>947</v>
      </c>
      <c r="B597" s="39">
        <v>20</v>
      </c>
      <c r="C597" s="7" t="s">
        <v>20</v>
      </c>
      <c r="D597" s="4" t="s">
        <v>21</v>
      </c>
      <c r="E597" s="6" t="s">
        <v>130</v>
      </c>
      <c r="F597" s="12">
        <f>INDEX('PEDIDO JULIO'!A12:Q33,1,17)</f>
        <v>0</v>
      </c>
      <c r="G597" s="8">
        <f>IFERROR(VLOOKUP($B597,'[1]INSUMO POR SEDES MARZO PRUEBA'!$B$6:$CD$109,35,0),"NO BD")</f>
        <v>0</v>
      </c>
      <c r="H597" s="8"/>
      <c r="I597" s="8">
        <f t="shared" si="51"/>
        <v>0</v>
      </c>
      <c r="J597" s="14">
        <f t="shared" si="52"/>
        <v>0</v>
      </c>
      <c r="K597" s="14">
        <f t="shared" si="53"/>
        <v>0</v>
      </c>
      <c r="L597" s="14">
        <f t="shared" si="54"/>
        <v>0</v>
      </c>
    </row>
    <row r="598" spans="1:12" ht="27">
      <c r="A598" s="3">
        <v>948</v>
      </c>
      <c r="B598" s="39">
        <v>21</v>
      </c>
      <c r="C598" s="7" t="s">
        <v>22</v>
      </c>
      <c r="D598" s="4" t="s">
        <v>23</v>
      </c>
      <c r="E598" s="6" t="s">
        <v>130</v>
      </c>
      <c r="F598" s="12">
        <f>INDEX('PEDIDO JULIO'!A13:Q34,1,17)</f>
        <v>0</v>
      </c>
      <c r="G598" s="8">
        <f>IFERROR(VLOOKUP($B598,'[1]INSUMO POR SEDES MARZO PRUEBA'!$B$6:$CD$109,35,0),"NO BD")</f>
        <v>5932.8950000000013</v>
      </c>
      <c r="H598" s="8"/>
      <c r="I598" s="8">
        <f t="shared" si="51"/>
        <v>0</v>
      </c>
      <c r="J598" s="14">
        <f t="shared" si="52"/>
        <v>0</v>
      </c>
      <c r="K598" s="14">
        <f t="shared" si="53"/>
        <v>0</v>
      </c>
      <c r="L598" s="14">
        <f t="shared" si="54"/>
        <v>0</v>
      </c>
    </row>
    <row r="599" spans="1:12" ht="15">
      <c r="A599" s="3">
        <v>949</v>
      </c>
      <c r="B599" s="39">
        <v>28</v>
      </c>
      <c r="C599" s="7" t="s">
        <v>18</v>
      </c>
      <c r="D599" s="4" t="s">
        <v>24</v>
      </c>
      <c r="E599" s="6" t="s">
        <v>130</v>
      </c>
      <c r="F599" s="12">
        <f>INDEX('PEDIDO JULIO'!A14:Q34,1,17)</f>
        <v>8</v>
      </c>
      <c r="G599" s="8">
        <f>IFERROR(VLOOKUP($B599,'[1]INSUMO POR SEDES MARZO PRUEBA'!$B$6:$CD$109,35,0),"NO BD")</f>
        <v>0</v>
      </c>
      <c r="H599" s="8"/>
      <c r="I599" s="8">
        <f t="shared" si="51"/>
        <v>0</v>
      </c>
      <c r="J599" s="14">
        <f t="shared" si="52"/>
        <v>0</v>
      </c>
      <c r="K599" s="14">
        <f t="shared" si="53"/>
        <v>0</v>
      </c>
      <c r="L599" s="14">
        <f t="shared" si="54"/>
        <v>0</v>
      </c>
    </row>
    <row r="600" spans="1:12" ht="27">
      <c r="A600" s="3">
        <v>950</v>
      </c>
      <c r="B600" s="39">
        <v>29</v>
      </c>
      <c r="C600" s="7" t="s">
        <v>155</v>
      </c>
      <c r="D600" s="4" t="s">
        <v>25</v>
      </c>
      <c r="E600" s="6" t="s">
        <v>130</v>
      </c>
      <c r="F600" s="12">
        <f>INDEX('PEDIDO JULIO'!A15:Q34,1,17)</f>
        <v>10</v>
      </c>
      <c r="G600" s="8">
        <f>IFERROR(VLOOKUP($B600,'[1]INSUMO POR SEDES MARZO PRUEBA'!$B$6:$CD$109,35,0),"NO BD")</f>
        <v>4829.3450000000012</v>
      </c>
      <c r="H600" s="8"/>
      <c r="I600" s="8">
        <f t="shared" si="51"/>
        <v>48293.450000000012</v>
      </c>
      <c r="J600" s="14">
        <f t="shared" si="52"/>
        <v>4829.3450000000012</v>
      </c>
      <c r="K600" s="14">
        <f t="shared" si="53"/>
        <v>917.57555000000025</v>
      </c>
      <c r="L600" s="14">
        <f t="shared" si="54"/>
        <v>54040.370550000014</v>
      </c>
    </row>
    <row r="601" spans="1:12" ht="27">
      <c r="A601" s="3">
        <v>951</v>
      </c>
      <c r="B601" s="39">
        <v>32</v>
      </c>
      <c r="C601" s="7" t="s">
        <v>16</v>
      </c>
      <c r="D601" s="4" t="s">
        <v>26</v>
      </c>
      <c r="E601" s="6" t="s">
        <v>130</v>
      </c>
      <c r="F601" s="12">
        <f>INDEX('PEDIDO JULIO'!A16:Q34,1,17)</f>
        <v>0</v>
      </c>
      <c r="G601" s="8">
        <f>IFERROR(VLOOKUP($B601,'[1]INSUMO POR SEDES MARZO PRUEBA'!$B$6:$CD$109,35,0),"NO BD")</f>
        <v>4115.7160000000003</v>
      </c>
      <c r="H601" s="8"/>
      <c r="I601" s="8">
        <f t="shared" si="51"/>
        <v>0</v>
      </c>
      <c r="J601" s="14">
        <f t="shared" si="52"/>
        <v>0</v>
      </c>
      <c r="K601" s="14">
        <f t="shared" si="53"/>
        <v>0</v>
      </c>
      <c r="L601" s="14">
        <f t="shared" si="54"/>
        <v>0</v>
      </c>
    </row>
    <row r="602" spans="1:12" ht="15">
      <c r="A602" s="3">
        <v>952</v>
      </c>
      <c r="B602" s="39">
        <v>38</v>
      </c>
      <c r="C602" s="7" t="s">
        <v>27</v>
      </c>
      <c r="D602" s="4" t="s">
        <v>28</v>
      </c>
      <c r="E602" s="6" t="s">
        <v>130</v>
      </c>
      <c r="F602" s="12">
        <f>INDEX('PEDIDO JULIO'!A17:Q34,1,17)</f>
        <v>0</v>
      </c>
      <c r="G602" s="8">
        <f>IFERROR(VLOOKUP($B602,'[1]INSUMO POR SEDES MARZO PRUEBA'!$B$6:$CD$109,35,0),"NO BD")</f>
        <v>15622.484399999999</v>
      </c>
      <c r="H602" s="8"/>
      <c r="I602" s="8">
        <f t="shared" si="51"/>
        <v>0</v>
      </c>
      <c r="J602" s="14">
        <f t="shared" si="52"/>
        <v>0</v>
      </c>
      <c r="K602" s="14">
        <f t="shared" si="53"/>
        <v>0</v>
      </c>
      <c r="L602" s="14">
        <f t="shared" si="54"/>
        <v>0</v>
      </c>
    </row>
    <row r="603" spans="1:12" ht="15">
      <c r="A603" s="3">
        <v>953</v>
      </c>
      <c r="B603" s="39">
        <v>44</v>
      </c>
      <c r="C603" s="7" t="s">
        <v>13</v>
      </c>
      <c r="D603" s="4" t="s">
        <v>29</v>
      </c>
      <c r="E603" s="6" t="s">
        <v>130</v>
      </c>
      <c r="F603" s="12">
        <f>INDEX('PEDIDO JULIO'!A17:Q34,1,17)</f>
        <v>0</v>
      </c>
      <c r="G603" s="8">
        <f>IFERROR(VLOOKUP($B603,'[1]INSUMO POR SEDES MARZO PRUEBA'!$B$6:$CD$109,35,0),"NO BD")</f>
        <v>0</v>
      </c>
      <c r="H603" s="8"/>
      <c r="I603" s="8">
        <f t="shared" si="51"/>
        <v>0</v>
      </c>
      <c r="J603" s="14">
        <f t="shared" si="52"/>
        <v>0</v>
      </c>
      <c r="K603" s="14">
        <f t="shared" si="53"/>
        <v>0</v>
      </c>
      <c r="L603" s="14">
        <f t="shared" si="54"/>
        <v>0</v>
      </c>
    </row>
    <row r="604" spans="1:12" ht="15">
      <c r="A604" s="3">
        <v>954</v>
      </c>
      <c r="B604" s="39">
        <v>50</v>
      </c>
      <c r="C604" s="7" t="s">
        <v>13</v>
      </c>
      <c r="D604" s="4" t="s">
        <v>30</v>
      </c>
      <c r="E604" s="6" t="s">
        <v>130</v>
      </c>
      <c r="F604" s="12">
        <f>INDEX('PEDIDO JULIO'!A18:Q35,1,17)</f>
        <v>8</v>
      </c>
      <c r="G604" s="8">
        <f>IFERROR(VLOOKUP($B604,'[1]INSUMO POR SEDES MARZO PRUEBA'!$B$6:$CD$109,35,0),"NO BD")</f>
        <v>0</v>
      </c>
      <c r="H604" s="8"/>
      <c r="I604" s="8">
        <f t="shared" si="51"/>
        <v>0</v>
      </c>
      <c r="J604" s="14">
        <f t="shared" si="52"/>
        <v>0</v>
      </c>
      <c r="K604" s="14">
        <f t="shared" si="53"/>
        <v>0</v>
      </c>
      <c r="L604" s="14">
        <f t="shared" si="54"/>
        <v>0</v>
      </c>
    </row>
    <row r="605" spans="1:12" ht="15">
      <c r="A605" s="3">
        <v>955</v>
      </c>
      <c r="B605" s="39">
        <v>52</v>
      </c>
      <c r="C605" s="7" t="s">
        <v>13</v>
      </c>
      <c r="D605" s="4" t="s">
        <v>31</v>
      </c>
      <c r="E605" s="6" t="s">
        <v>130</v>
      </c>
      <c r="F605" s="12">
        <f>INDEX('PEDIDO JULIO'!A18:Q35,1,17)</f>
        <v>8</v>
      </c>
      <c r="G605" s="8">
        <f>IFERROR(VLOOKUP($B605,'[1]INSUMO POR SEDES MARZO PRUEBA'!$B$6:$CD$109,35,0),"NO BD")</f>
        <v>0</v>
      </c>
      <c r="H605" s="8"/>
      <c r="I605" s="8">
        <f t="shared" si="51"/>
        <v>0</v>
      </c>
      <c r="J605" s="14">
        <f t="shared" si="52"/>
        <v>0</v>
      </c>
      <c r="K605" s="14">
        <f t="shared" si="53"/>
        <v>0</v>
      </c>
      <c r="L605" s="14">
        <f t="shared" si="54"/>
        <v>0</v>
      </c>
    </row>
    <row r="606" spans="1:12" ht="15">
      <c r="A606" s="3">
        <v>956</v>
      </c>
      <c r="B606" s="39">
        <v>57</v>
      </c>
      <c r="C606" s="7" t="s">
        <v>13</v>
      </c>
      <c r="D606" s="4" t="s">
        <v>32</v>
      </c>
      <c r="E606" s="6" t="s">
        <v>130</v>
      </c>
      <c r="F606" s="12">
        <f>INDEX('PEDIDO JULIO'!A18:Q35,1,17)</f>
        <v>8</v>
      </c>
      <c r="G606" s="8">
        <f>IFERROR(VLOOKUP($B606,'[1]INSUMO POR SEDES MARZO PRUEBA'!$B$6:$CD$109,35,0),"NO BD")</f>
        <v>27464.2065</v>
      </c>
      <c r="H606" s="8"/>
      <c r="I606" s="8">
        <f t="shared" si="51"/>
        <v>219713.652</v>
      </c>
      <c r="J606" s="14">
        <f t="shared" si="52"/>
        <v>21971.3652</v>
      </c>
      <c r="K606" s="14">
        <f t="shared" si="53"/>
        <v>4174.5593879999997</v>
      </c>
      <c r="L606" s="14">
        <f t="shared" si="54"/>
        <v>245859.576588</v>
      </c>
    </row>
    <row r="607" spans="1:12" ht="15">
      <c r="A607" s="3">
        <v>957</v>
      </c>
      <c r="B607" s="39">
        <v>59</v>
      </c>
      <c r="C607" s="7" t="s">
        <v>33</v>
      </c>
      <c r="D607" s="4" t="s">
        <v>34</v>
      </c>
      <c r="E607" s="6" t="s">
        <v>130</v>
      </c>
      <c r="F607" s="12">
        <f>INDEX('PEDIDO JULIO'!A19:Q35,1,17)</f>
        <v>0</v>
      </c>
      <c r="G607" s="8">
        <f>IFERROR(VLOOKUP($B607,'[1]INSUMO POR SEDES MARZO PRUEBA'!$B$6:$CD$109,35,0),"NO BD")</f>
        <v>0</v>
      </c>
      <c r="H607" s="8"/>
      <c r="I607" s="8">
        <f t="shared" si="51"/>
        <v>0</v>
      </c>
      <c r="J607" s="14">
        <f t="shared" si="52"/>
        <v>0</v>
      </c>
      <c r="K607" s="14">
        <f t="shared" si="53"/>
        <v>0</v>
      </c>
      <c r="L607" s="14">
        <f t="shared" si="54"/>
        <v>0</v>
      </c>
    </row>
    <row r="608" spans="1:12" ht="15">
      <c r="A608" s="3">
        <v>958</v>
      </c>
      <c r="B608" s="39">
        <v>62</v>
      </c>
      <c r="C608" s="7" t="s">
        <v>16</v>
      </c>
      <c r="D608" s="4" t="s">
        <v>35</v>
      </c>
      <c r="E608" s="6" t="s">
        <v>130</v>
      </c>
      <c r="F608" s="12">
        <f>INDEX('PEDIDO JULIO'!A19:Q35,1,17)</f>
        <v>0</v>
      </c>
      <c r="G608" s="8">
        <f>IFERROR(VLOOKUP($B608,'[1]INSUMO POR SEDES MARZO PRUEBA'!$B$6:$CD$109,35,0),"NO BD")</f>
        <v>10100.3202</v>
      </c>
      <c r="H608" s="8"/>
      <c r="I608" s="8">
        <f t="shared" si="51"/>
        <v>0</v>
      </c>
      <c r="J608" s="14">
        <f t="shared" si="52"/>
        <v>0</v>
      </c>
      <c r="K608" s="14">
        <f t="shared" si="53"/>
        <v>0</v>
      </c>
      <c r="L608" s="14">
        <f t="shared" si="54"/>
        <v>0</v>
      </c>
    </row>
    <row r="609" spans="1:12" ht="15">
      <c r="A609" s="3">
        <v>959</v>
      </c>
      <c r="B609" s="39">
        <v>63</v>
      </c>
      <c r="C609" s="7" t="s">
        <v>36</v>
      </c>
      <c r="D609" s="4" t="s">
        <v>37</v>
      </c>
      <c r="E609" s="6" t="s">
        <v>130</v>
      </c>
      <c r="F609" s="12">
        <f>INDEX('PEDIDO JULIO'!A20:Q35,1,17)</f>
        <v>3</v>
      </c>
      <c r="G609" s="8">
        <f>IFERROR(VLOOKUP($B609,'[1]INSUMO POR SEDES MARZO PRUEBA'!$B$6:$CD$109,35,0),"NO BD")</f>
        <v>11443.4982</v>
      </c>
      <c r="H609" s="8"/>
      <c r="I609" s="8">
        <f t="shared" si="51"/>
        <v>34330.494599999998</v>
      </c>
      <c r="J609" s="14">
        <f t="shared" si="52"/>
        <v>3433.0494600000002</v>
      </c>
      <c r="K609" s="14">
        <f t="shared" si="53"/>
        <v>652.27939739999999</v>
      </c>
      <c r="L609" s="14">
        <f t="shared" si="54"/>
        <v>38415.823457400002</v>
      </c>
    </row>
    <row r="610" spans="1:12" ht="15">
      <c r="A610" s="3">
        <v>960</v>
      </c>
      <c r="B610" s="39">
        <v>64</v>
      </c>
      <c r="C610" s="7" t="s">
        <v>36</v>
      </c>
      <c r="D610" s="4" t="s">
        <v>38</v>
      </c>
      <c r="E610" s="6" t="s">
        <v>130</v>
      </c>
      <c r="F610" s="12">
        <f>INDEX('PEDIDO JULIO'!A20:Q35,1,17)</f>
        <v>3</v>
      </c>
      <c r="G610" s="8">
        <f>IFERROR(VLOOKUP($B610,'[1]INSUMO POR SEDES MARZO PRUEBA'!$B$6:$CD$109,35,0),"NO BD")</f>
        <v>0</v>
      </c>
      <c r="H610" s="8"/>
      <c r="I610" s="8">
        <f t="shared" si="51"/>
        <v>0</v>
      </c>
      <c r="J610" s="14">
        <f t="shared" si="52"/>
        <v>0</v>
      </c>
      <c r="K610" s="14">
        <f t="shared" si="53"/>
        <v>0</v>
      </c>
      <c r="L610" s="14">
        <f t="shared" si="54"/>
        <v>0</v>
      </c>
    </row>
    <row r="611" spans="1:12" ht="15">
      <c r="A611" s="3">
        <v>961</v>
      </c>
      <c r="B611" s="39">
        <v>65</v>
      </c>
      <c r="C611" s="7" t="s">
        <v>39</v>
      </c>
      <c r="D611" s="4" t="s">
        <v>40</v>
      </c>
      <c r="E611" s="6" t="s">
        <v>130</v>
      </c>
      <c r="F611" s="12">
        <f>INDEX('PEDIDO JULIO'!A21:Q35,1,17)</f>
        <v>5</v>
      </c>
      <c r="G611" s="8">
        <f>IFERROR(VLOOKUP($B611,'[1]INSUMO POR SEDES MARZO PRUEBA'!$B$6:$CD$109,35,0),"NO BD")</f>
        <v>21295.046699999999</v>
      </c>
      <c r="H611" s="8"/>
      <c r="I611" s="8">
        <f t="shared" si="51"/>
        <v>106475.2335</v>
      </c>
      <c r="J611" s="14">
        <f t="shared" si="52"/>
        <v>10647.523350000001</v>
      </c>
      <c r="K611" s="14">
        <f t="shared" si="53"/>
        <v>2023.0294365000002</v>
      </c>
      <c r="L611" s="14">
        <f t="shared" si="54"/>
        <v>119145.78628650001</v>
      </c>
    </row>
    <row r="612" spans="1:12" ht="15">
      <c r="A612" s="3">
        <v>962</v>
      </c>
      <c r="B612" s="39">
        <v>66</v>
      </c>
      <c r="C612" s="7" t="s">
        <v>39</v>
      </c>
      <c r="D612" s="4" t="s">
        <v>41</v>
      </c>
      <c r="E612" s="6" t="s">
        <v>130</v>
      </c>
      <c r="F612" s="12">
        <f>INDEX('PEDIDO JULIO'!A22:Q35,1,17)</f>
        <v>0</v>
      </c>
      <c r="G612" s="8">
        <f>IFERROR(VLOOKUP($B612,'[1]INSUMO POR SEDES MARZO PRUEBA'!$B$6:$CD$109,35,0),"NO BD")</f>
        <v>4178.9862000000003</v>
      </c>
      <c r="H612" s="8"/>
      <c r="I612" s="8">
        <f t="shared" si="51"/>
        <v>0</v>
      </c>
      <c r="J612" s="14">
        <f t="shared" ref="J612:J655" si="55">+I612*10%</f>
        <v>0</v>
      </c>
      <c r="K612" s="14">
        <f t="shared" ref="K612:K655" si="56">+J612*19%</f>
        <v>0</v>
      </c>
      <c r="L612" s="14">
        <f t="shared" ref="L612:L655" si="57">SUM(I612:K612)</f>
        <v>0</v>
      </c>
    </row>
    <row r="613" spans="1:12" ht="15">
      <c r="A613" s="3">
        <v>963</v>
      </c>
      <c r="B613" s="39">
        <v>71</v>
      </c>
      <c r="C613" s="7" t="s">
        <v>151</v>
      </c>
      <c r="D613" s="4" t="s">
        <v>42</v>
      </c>
      <c r="E613" s="6" t="s">
        <v>130</v>
      </c>
      <c r="F613" s="12">
        <f>INDEX('PEDIDO JULIO'!A23:Q36,1,17)</f>
        <v>5</v>
      </c>
      <c r="G613" s="8">
        <f>IFERROR(VLOOKUP($B613,'[1]INSUMO POR SEDES MARZO PRUEBA'!$B$6:$CD$109,35,0),"NO BD")</f>
        <v>7960.6944000000003</v>
      </c>
      <c r="H613" s="8"/>
      <c r="I613" s="8">
        <f t="shared" si="51"/>
        <v>39803.472000000002</v>
      </c>
      <c r="J613" s="14">
        <f t="shared" si="55"/>
        <v>3980.3472000000002</v>
      </c>
      <c r="K613" s="14">
        <f t="shared" si="56"/>
        <v>756.26596800000004</v>
      </c>
      <c r="L613" s="14">
        <f t="shared" si="57"/>
        <v>44540.085167999998</v>
      </c>
    </row>
    <row r="614" spans="1:12" ht="15">
      <c r="A614" s="3">
        <v>964</v>
      </c>
      <c r="B614" s="39">
        <v>72</v>
      </c>
      <c r="C614" s="7" t="s">
        <v>151</v>
      </c>
      <c r="D614" s="4" t="s">
        <v>43</v>
      </c>
      <c r="E614" s="6" t="s">
        <v>130</v>
      </c>
      <c r="F614" s="12">
        <f>INDEX('PEDIDO JULIO'!A23:Q37,1,17)</f>
        <v>5</v>
      </c>
      <c r="G614" s="8">
        <f>IFERROR(VLOOKUP($B614,'[1]INSUMO POR SEDES MARZO PRUEBA'!$B$6:$CD$109,35,0),"NO BD")</f>
        <v>5196.1440000000002</v>
      </c>
      <c r="H614" s="8"/>
      <c r="I614" s="8">
        <f t="shared" si="51"/>
        <v>25980.720000000001</v>
      </c>
      <c r="J614" s="14">
        <f t="shared" si="55"/>
        <v>2598.0720000000001</v>
      </c>
      <c r="K614" s="14">
        <f t="shared" si="56"/>
        <v>493.63368000000003</v>
      </c>
      <c r="L614" s="14">
        <f t="shared" si="57"/>
        <v>29072.42568</v>
      </c>
    </row>
    <row r="615" spans="1:12" ht="15">
      <c r="A615" s="3">
        <v>965</v>
      </c>
      <c r="B615" s="39">
        <v>73</v>
      </c>
      <c r="C615" s="7" t="s">
        <v>151</v>
      </c>
      <c r="D615" s="4" t="s">
        <v>44</v>
      </c>
      <c r="E615" s="6" t="s">
        <v>130</v>
      </c>
      <c r="F615" s="12">
        <f>INDEX('PEDIDO JULIO'!A24:Q37,1,17)</f>
        <v>5</v>
      </c>
      <c r="G615" s="8">
        <f>IFERROR(VLOOKUP($B615,'[1]INSUMO POR SEDES MARZO PRUEBA'!$B$6:$CD$109,35,0),"NO BD")</f>
        <v>21493.685699999998</v>
      </c>
      <c r="H615" s="8"/>
      <c r="I615" s="8">
        <f t="shared" si="51"/>
        <v>107468.42849999999</v>
      </c>
      <c r="J615" s="14">
        <f t="shared" si="55"/>
        <v>10746.842850000001</v>
      </c>
      <c r="K615" s="14">
        <f t="shared" si="56"/>
        <v>2041.9001415000002</v>
      </c>
      <c r="L615" s="14">
        <f t="shared" si="57"/>
        <v>120257.17149149999</v>
      </c>
    </row>
    <row r="616" spans="1:12" ht="40.5">
      <c r="A616" s="3">
        <v>966</v>
      </c>
      <c r="B616" s="39">
        <v>74</v>
      </c>
      <c r="C616" s="7" t="s">
        <v>151</v>
      </c>
      <c r="D616" s="4" t="s">
        <v>45</v>
      </c>
      <c r="E616" s="6" t="s">
        <v>130</v>
      </c>
      <c r="F616" s="12">
        <f>INDEX('PEDIDO JULIO'!A25:Q37,1,17)</f>
        <v>5</v>
      </c>
      <c r="G616" s="8">
        <f>IFERROR(VLOOKUP($B616,'[1]INSUMO POR SEDES MARZO PRUEBA'!$B$6:$CD$109,35,0),"NO BD")</f>
        <v>3261.2529999999997</v>
      </c>
      <c r="H616" s="8"/>
      <c r="I616" s="8">
        <f t="shared" si="51"/>
        <v>16306.264999999999</v>
      </c>
      <c r="J616" s="14">
        <f t="shared" si="55"/>
        <v>1630.6265000000001</v>
      </c>
      <c r="K616" s="14">
        <f t="shared" si="56"/>
        <v>309.81903500000004</v>
      </c>
      <c r="L616" s="14">
        <f t="shared" si="57"/>
        <v>18246.710534999998</v>
      </c>
    </row>
    <row r="617" spans="1:12" ht="27">
      <c r="A617" s="3">
        <v>967</v>
      </c>
      <c r="B617" s="39">
        <v>79</v>
      </c>
      <c r="C617" s="7" t="s">
        <v>46</v>
      </c>
      <c r="D617" s="4" t="s">
        <v>47</v>
      </c>
      <c r="E617" s="6" t="s">
        <v>130</v>
      </c>
      <c r="F617" s="12">
        <f>INDEX('PEDIDO JULIO'!A26:Q37,1,17)</f>
        <v>5</v>
      </c>
      <c r="G617" s="8">
        <f>IFERROR(VLOOKUP($B617,'[1]INSUMO POR SEDES MARZO PRUEBA'!$B$6:$CD$109,35,0),"NO BD")</f>
        <v>935.49510000000009</v>
      </c>
      <c r="H617" s="8"/>
      <c r="I617" s="8">
        <f t="shared" si="51"/>
        <v>4677.4755000000005</v>
      </c>
      <c r="J617" s="14">
        <f t="shared" si="55"/>
        <v>467.74755000000005</v>
      </c>
      <c r="K617" s="14">
        <f t="shared" si="56"/>
        <v>88.872034500000012</v>
      </c>
      <c r="L617" s="14">
        <f t="shared" si="57"/>
        <v>5234.0950845000007</v>
      </c>
    </row>
    <row r="618" spans="1:12" ht="15">
      <c r="A618" s="3">
        <v>968</v>
      </c>
      <c r="B618" s="39">
        <v>80</v>
      </c>
      <c r="C618" s="7" t="s">
        <v>159</v>
      </c>
      <c r="D618" s="4" t="s">
        <v>48</v>
      </c>
      <c r="E618" s="6" t="s">
        <v>130</v>
      </c>
      <c r="F618" s="12">
        <f>INDEX('PEDIDO JULIO'!A27:Q37,1,17)</f>
        <v>0</v>
      </c>
      <c r="G618" s="8">
        <f>IFERROR(VLOOKUP($B618,'[1]INSUMO POR SEDES MARZO PRUEBA'!$B$6:$CD$109,35,0),"NO BD")</f>
        <v>607.26779999999997</v>
      </c>
      <c r="H618" s="8"/>
      <c r="I618" s="8">
        <f t="shared" si="51"/>
        <v>0</v>
      </c>
      <c r="J618" s="14">
        <f t="shared" si="55"/>
        <v>0</v>
      </c>
      <c r="K618" s="14">
        <f t="shared" si="56"/>
        <v>0</v>
      </c>
      <c r="L618" s="14">
        <f t="shared" si="57"/>
        <v>0</v>
      </c>
    </row>
    <row r="619" spans="1:12" ht="15">
      <c r="A619" s="3">
        <v>969</v>
      </c>
      <c r="B619" s="39">
        <v>81</v>
      </c>
      <c r="C619" s="7" t="s">
        <v>159</v>
      </c>
      <c r="D619" s="4" t="s">
        <v>49</v>
      </c>
      <c r="E619" s="6" t="s">
        <v>130</v>
      </c>
      <c r="F619" s="12">
        <f>INDEX('PEDIDO JULIO'!A28:Q37,1,17)</f>
        <v>0</v>
      </c>
      <c r="G619" s="8">
        <f>IFERROR(VLOOKUP($B619,'[1]INSUMO POR SEDES MARZO PRUEBA'!$B$6:$CD$109,35,0),"NO BD")</f>
        <v>387.81900000000002</v>
      </c>
      <c r="H619" s="8"/>
      <c r="I619" s="8">
        <f t="shared" si="51"/>
        <v>0</v>
      </c>
      <c r="J619" s="14">
        <f t="shared" si="55"/>
        <v>0</v>
      </c>
      <c r="K619" s="14">
        <f t="shared" si="56"/>
        <v>0</v>
      </c>
      <c r="L619" s="14">
        <f t="shared" si="57"/>
        <v>0</v>
      </c>
    </row>
    <row r="620" spans="1:12" ht="15">
      <c r="A620" s="3">
        <v>970</v>
      </c>
      <c r="B620" s="39">
        <v>82</v>
      </c>
      <c r="C620" s="7" t="s">
        <v>159</v>
      </c>
      <c r="D620" s="4" t="s">
        <v>50</v>
      </c>
      <c r="E620" s="6" t="s">
        <v>130</v>
      </c>
      <c r="F620" s="12">
        <f>INDEX('PEDIDO JULIO'!A28:Q37,1,17)</f>
        <v>0</v>
      </c>
      <c r="G620" s="8">
        <f>IFERROR(VLOOKUP($B620,'[1]INSUMO POR SEDES MARZO PRUEBA'!$B$6:$CD$109,35,0),"NO BD")</f>
        <v>1003.7049999999999</v>
      </c>
      <c r="H620" s="8"/>
      <c r="I620" s="8">
        <f t="shared" si="51"/>
        <v>0</v>
      </c>
      <c r="J620" s="14">
        <f t="shared" si="55"/>
        <v>0</v>
      </c>
      <c r="K620" s="14">
        <f t="shared" si="56"/>
        <v>0</v>
      </c>
      <c r="L620" s="14">
        <f t="shared" si="57"/>
        <v>0</v>
      </c>
    </row>
    <row r="621" spans="1:12" ht="15">
      <c r="A621" s="3">
        <v>971</v>
      </c>
      <c r="B621" s="39">
        <v>83</v>
      </c>
      <c r="C621" s="7" t="s">
        <v>159</v>
      </c>
      <c r="D621" s="4" t="s">
        <v>51</v>
      </c>
      <c r="E621" s="6" t="s">
        <v>130</v>
      </c>
      <c r="F621" s="12">
        <f>INDEX('PEDIDO JULIO'!A29:Q37,1,17)</f>
        <v>0</v>
      </c>
      <c r="G621" s="8">
        <f>IFERROR(VLOOKUP($B621,'[1]INSUMO POR SEDES MARZO PRUEBA'!$B$6:$CD$109,35,0),"NO BD")</f>
        <v>336.32</v>
      </c>
      <c r="H621" s="8"/>
      <c r="I621" s="8">
        <f t="shared" si="51"/>
        <v>0</v>
      </c>
      <c r="J621" s="14">
        <f t="shared" si="55"/>
        <v>0</v>
      </c>
      <c r="K621" s="14">
        <f t="shared" si="56"/>
        <v>0</v>
      </c>
      <c r="L621" s="14">
        <f t="shared" si="57"/>
        <v>0</v>
      </c>
    </row>
    <row r="622" spans="1:12" ht="15">
      <c r="A622" s="3">
        <v>972</v>
      </c>
      <c r="B622" s="39">
        <v>88</v>
      </c>
      <c r="C622" s="7" t="s">
        <v>159</v>
      </c>
      <c r="D622" s="4" t="s">
        <v>52</v>
      </c>
      <c r="E622" s="6" t="s">
        <v>130</v>
      </c>
      <c r="F622" s="12">
        <f>INDEX('PEDIDO JULIO'!A30:Q37,1,17)</f>
        <v>0</v>
      </c>
      <c r="G622" s="8">
        <f>IFERROR(VLOOKUP($B622,'[1]INSUMO POR SEDES MARZO PRUEBA'!$B$6:$CD$109,35,0),"NO BD")</f>
        <v>0</v>
      </c>
      <c r="H622" s="8"/>
      <c r="I622" s="8">
        <f t="shared" si="51"/>
        <v>0</v>
      </c>
      <c r="J622" s="14">
        <f t="shared" si="55"/>
        <v>0</v>
      </c>
      <c r="K622" s="14">
        <f t="shared" si="56"/>
        <v>0</v>
      </c>
      <c r="L622" s="14">
        <f t="shared" si="57"/>
        <v>0</v>
      </c>
    </row>
    <row r="623" spans="1:12" ht="15">
      <c r="A623" s="3">
        <v>973</v>
      </c>
      <c r="B623" s="39">
        <v>92</v>
      </c>
      <c r="C623" s="7" t="s">
        <v>53</v>
      </c>
      <c r="D623" s="4" t="s">
        <v>54</v>
      </c>
      <c r="E623" s="6" t="s">
        <v>130</v>
      </c>
      <c r="F623" s="12">
        <f>INDEX('PEDIDO JULIO'!A31:Q37,1,17)</f>
        <v>0</v>
      </c>
      <c r="G623" s="8">
        <f>IFERROR(VLOOKUP($B623,'[1]INSUMO POR SEDES MARZO PRUEBA'!$B$6:$CD$109,35,0),"NO BD")</f>
        <v>2380.5149999999999</v>
      </c>
      <c r="H623" s="8"/>
      <c r="I623" s="8">
        <f t="shared" si="51"/>
        <v>0</v>
      </c>
      <c r="J623" s="14">
        <f t="shared" si="55"/>
        <v>0</v>
      </c>
      <c r="K623" s="14">
        <f t="shared" si="56"/>
        <v>0</v>
      </c>
      <c r="L623" s="14">
        <f t="shared" si="57"/>
        <v>0</v>
      </c>
    </row>
    <row r="624" spans="1:12" ht="15">
      <c r="A624" s="3">
        <v>974</v>
      </c>
      <c r="B624" s="39">
        <v>94</v>
      </c>
      <c r="C624" s="7" t="s">
        <v>53</v>
      </c>
      <c r="D624" s="4" t="s">
        <v>55</v>
      </c>
      <c r="E624" s="6" t="s">
        <v>130</v>
      </c>
      <c r="F624" s="12">
        <f>INDEX('PEDIDO JULIO'!A32:Q37,1,17)</f>
        <v>0</v>
      </c>
      <c r="G624" s="8">
        <f>IFERROR(VLOOKUP($B624,'[1]INSUMO POR SEDES MARZO PRUEBA'!$B$6:$CD$109,35,0),"NO BD")</f>
        <v>3316.9560000000001</v>
      </c>
      <c r="H624" s="8"/>
      <c r="I624" s="8">
        <f t="shared" si="51"/>
        <v>0</v>
      </c>
      <c r="J624" s="14">
        <f t="shared" si="55"/>
        <v>0</v>
      </c>
      <c r="K624" s="14">
        <f t="shared" si="56"/>
        <v>0</v>
      </c>
      <c r="L624" s="14">
        <f t="shared" si="57"/>
        <v>0</v>
      </c>
    </row>
    <row r="625" spans="1:12" ht="15">
      <c r="A625" s="3">
        <v>975</v>
      </c>
      <c r="B625" s="39">
        <v>98</v>
      </c>
      <c r="C625" s="7" t="s">
        <v>53</v>
      </c>
      <c r="D625" s="4" t="s">
        <v>56</v>
      </c>
      <c r="E625" s="6" t="s">
        <v>130</v>
      </c>
      <c r="F625" s="12">
        <f>INDEX('PEDIDO JULIO'!A33:Q37,1,17)</f>
        <v>0</v>
      </c>
      <c r="G625" s="8">
        <f>IFERROR(VLOOKUP($B625,'[1]INSUMO POR SEDES MARZO PRUEBA'!$B$6:$CD$109,35,0),"NO BD")</f>
        <v>9503.4573</v>
      </c>
      <c r="H625" s="8"/>
      <c r="I625" s="8">
        <f t="shared" si="51"/>
        <v>0</v>
      </c>
      <c r="J625" s="14">
        <f t="shared" si="55"/>
        <v>0</v>
      </c>
      <c r="K625" s="14">
        <f t="shared" si="56"/>
        <v>0</v>
      </c>
      <c r="L625" s="14">
        <f t="shared" si="57"/>
        <v>0</v>
      </c>
    </row>
    <row r="626" spans="1:12" ht="15">
      <c r="A626" s="3">
        <v>976</v>
      </c>
      <c r="B626" s="39">
        <v>100</v>
      </c>
      <c r="C626" s="7" t="s">
        <v>53</v>
      </c>
      <c r="D626" s="4" t="s">
        <v>57</v>
      </c>
      <c r="E626" s="6" t="s">
        <v>130</v>
      </c>
      <c r="F626" s="12">
        <f>INDEX('PEDIDO JULIO'!A33:Q38,1,17)</f>
        <v>0</v>
      </c>
      <c r="G626" s="8">
        <f>IFERROR(VLOOKUP($B626,'[1]INSUMO POR SEDES MARZO PRUEBA'!$B$6:$CD$109,35,0),"NO BD")</f>
        <v>0</v>
      </c>
      <c r="H626" s="8"/>
      <c r="I626" s="8">
        <f t="shared" si="51"/>
        <v>0</v>
      </c>
      <c r="J626" s="14">
        <f t="shared" si="55"/>
        <v>0</v>
      </c>
      <c r="K626" s="14">
        <f t="shared" si="56"/>
        <v>0</v>
      </c>
      <c r="L626" s="14">
        <f t="shared" si="57"/>
        <v>0</v>
      </c>
    </row>
    <row r="627" spans="1:12" ht="27">
      <c r="A627" s="3">
        <v>977</v>
      </c>
      <c r="B627" s="39">
        <v>102</v>
      </c>
      <c r="C627" s="7" t="s">
        <v>160</v>
      </c>
      <c r="D627" s="4" t="s">
        <v>58</v>
      </c>
      <c r="E627" s="6" t="s">
        <v>130</v>
      </c>
      <c r="F627" s="12">
        <f>INDEX('PEDIDO JULIO'!A33:Q38,1,17)</f>
        <v>0</v>
      </c>
      <c r="G627" s="8">
        <f>IFERROR(VLOOKUP($B627,'[1]INSUMO POR SEDES MARZO PRUEBA'!$B$6:$CD$109,35,0),"NO BD")</f>
        <v>5422.8446999999996</v>
      </c>
      <c r="H627" s="8"/>
      <c r="I627" s="8">
        <f t="shared" si="51"/>
        <v>0</v>
      </c>
      <c r="J627" s="14">
        <f t="shared" si="55"/>
        <v>0</v>
      </c>
      <c r="K627" s="14">
        <f t="shared" si="56"/>
        <v>0</v>
      </c>
      <c r="L627" s="14">
        <f t="shared" si="57"/>
        <v>0</v>
      </c>
    </row>
    <row r="628" spans="1:12" ht="15">
      <c r="A628" s="3">
        <v>978</v>
      </c>
      <c r="B628" s="39">
        <v>110</v>
      </c>
      <c r="C628" s="7" t="s">
        <v>160</v>
      </c>
      <c r="D628" s="4" t="s">
        <v>59</v>
      </c>
      <c r="E628" s="6" t="s">
        <v>130</v>
      </c>
      <c r="F628" s="12">
        <f>INDEX('PEDIDO JULIO'!A33:Q39,1,17)</f>
        <v>0</v>
      </c>
      <c r="G628" s="8">
        <f>IFERROR(VLOOKUP($B628,'[1]INSUMO POR SEDES MARZO PRUEBA'!$B$6:$CD$109,35,0),"NO BD")</f>
        <v>1442.4974999999999</v>
      </c>
      <c r="H628" s="8"/>
      <c r="I628" s="8">
        <f t="shared" si="51"/>
        <v>0</v>
      </c>
      <c r="J628" s="14">
        <f t="shared" si="55"/>
        <v>0</v>
      </c>
      <c r="K628" s="14">
        <f t="shared" si="56"/>
        <v>0</v>
      </c>
      <c r="L628" s="14">
        <f t="shared" si="57"/>
        <v>0</v>
      </c>
    </row>
    <row r="629" spans="1:12" ht="15">
      <c r="A629" s="3">
        <v>979</v>
      </c>
      <c r="B629" s="39">
        <v>118</v>
      </c>
      <c r="C629" s="7" t="s">
        <v>60</v>
      </c>
      <c r="D629" s="4" t="s">
        <v>61</v>
      </c>
      <c r="E629" s="6" t="s">
        <v>130</v>
      </c>
      <c r="F629" s="12">
        <f>INDEX('PEDIDO JULIO'!A33:Q40,1,17)</f>
        <v>0</v>
      </c>
      <c r="G629" s="8">
        <f>IFERROR(VLOOKUP($B629,'[1]INSUMO POR SEDES MARZO PRUEBA'!$B$6:$CD$109,35,0),"NO BD")</f>
        <v>4129.7993999999999</v>
      </c>
      <c r="H629" s="8"/>
      <c r="I629" s="8">
        <f t="shared" si="51"/>
        <v>0</v>
      </c>
      <c r="J629" s="14">
        <f t="shared" si="55"/>
        <v>0</v>
      </c>
      <c r="K629" s="14">
        <f t="shared" si="56"/>
        <v>0</v>
      </c>
      <c r="L629" s="14">
        <f t="shared" si="57"/>
        <v>0</v>
      </c>
    </row>
    <row r="630" spans="1:12" ht="15">
      <c r="A630" s="3">
        <v>980</v>
      </c>
      <c r="B630" s="39">
        <v>119</v>
      </c>
      <c r="C630" s="7" t="s">
        <v>60</v>
      </c>
      <c r="D630" s="4" t="s">
        <v>62</v>
      </c>
      <c r="E630" s="6" t="s">
        <v>130</v>
      </c>
      <c r="F630" s="12">
        <f>INDEX('PEDIDO JULIO'!A33:Q40,1,17)</f>
        <v>0</v>
      </c>
      <c r="G630" s="8">
        <f>IFERROR(VLOOKUP($B630,'[1]INSUMO POR SEDES MARZO PRUEBA'!$B$6:$CD$109,35,0),"NO BD")</f>
        <v>4259.3877000000002</v>
      </c>
      <c r="H630" s="8"/>
      <c r="I630" s="8">
        <f t="shared" si="51"/>
        <v>0</v>
      </c>
      <c r="J630" s="14">
        <f t="shared" si="55"/>
        <v>0</v>
      </c>
      <c r="K630" s="14">
        <f t="shared" si="56"/>
        <v>0</v>
      </c>
      <c r="L630" s="14">
        <f t="shared" si="57"/>
        <v>0</v>
      </c>
    </row>
    <row r="631" spans="1:12" ht="15">
      <c r="A631" s="3">
        <v>981</v>
      </c>
      <c r="B631" s="39">
        <v>120</v>
      </c>
      <c r="C631" s="7" t="s">
        <v>151</v>
      </c>
      <c r="D631" s="4" t="s">
        <v>63</v>
      </c>
      <c r="E631" s="6" t="s">
        <v>130</v>
      </c>
      <c r="F631" s="12">
        <f>INDEX('PEDIDO JULIO'!A33:Q40,1,17)</f>
        <v>0</v>
      </c>
      <c r="G631" s="8">
        <f>IFERROR(VLOOKUP($B631,'[1]INSUMO POR SEDES MARZO PRUEBA'!$B$6:$CD$109,35,0),"NO BD")</f>
        <v>4259.3877000000002</v>
      </c>
      <c r="H631" s="8"/>
      <c r="I631" s="8">
        <f t="shared" si="51"/>
        <v>0</v>
      </c>
      <c r="J631" s="14">
        <f t="shared" si="55"/>
        <v>0</v>
      </c>
      <c r="K631" s="14">
        <f t="shared" si="56"/>
        <v>0</v>
      </c>
      <c r="L631" s="14">
        <f t="shared" si="57"/>
        <v>0</v>
      </c>
    </row>
    <row r="632" spans="1:12" ht="15">
      <c r="A632" s="3">
        <v>982</v>
      </c>
      <c r="B632" s="39">
        <v>122</v>
      </c>
      <c r="C632" s="7" t="s">
        <v>160</v>
      </c>
      <c r="D632" s="4" t="s">
        <v>64</v>
      </c>
      <c r="E632" s="6" t="s">
        <v>130</v>
      </c>
      <c r="F632" s="12">
        <f>INDEX('PEDIDO JULIO'!A33:Q41,1,17)</f>
        <v>0</v>
      </c>
      <c r="G632" s="8">
        <f>IFERROR(VLOOKUP($B632,'[1]INSUMO POR SEDES MARZO PRUEBA'!$B$6:$CD$109,35,0),"NO BD")</f>
        <v>5920.3881000000001</v>
      </c>
      <c r="H632" s="8"/>
      <c r="I632" s="8">
        <f t="shared" si="51"/>
        <v>0</v>
      </c>
      <c r="J632" s="14">
        <f t="shared" si="55"/>
        <v>0</v>
      </c>
      <c r="K632" s="14">
        <f t="shared" si="56"/>
        <v>0</v>
      </c>
      <c r="L632" s="14">
        <f t="shared" si="57"/>
        <v>0</v>
      </c>
    </row>
    <row r="633" spans="1:12" ht="27">
      <c r="A633" s="3">
        <v>983</v>
      </c>
      <c r="B633" s="39">
        <v>123</v>
      </c>
      <c r="C633" s="7" t="s">
        <v>60</v>
      </c>
      <c r="D633" s="4" t="s">
        <v>65</v>
      </c>
      <c r="E633" s="6" t="s">
        <v>130</v>
      </c>
      <c r="F633" s="12">
        <f>INDEX('PEDIDO JULIO'!A33:Q41,1,17)</f>
        <v>0</v>
      </c>
      <c r="G633" s="8">
        <f>IFERROR(VLOOKUP($B633,'[1]INSUMO POR SEDES MARZO PRUEBA'!$B$6:$CD$109,35,0),"NO BD")</f>
        <v>6169.1598000000004</v>
      </c>
      <c r="H633" s="8"/>
      <c r="I633" s="8">
        <f t="shared" si="51"/>
        <v>0</v>
      </c>
      <c r="J633" s="14">
        <f t="shared" si="55"/>
        <v>0</v>
      </c>
      <c r="K633" s="14">
        <f t="shared" si="56"/>
        <v>0</v>
      </c>
      <c r="L633" s="14">
        <f t="shared" si="57"/>
        <v>0</v>
      </c>
    </row>
    <row r="634" spans="1:12" ht="15">
      <c r="A634" s="3">
        <v>984</v>
      </c>
      <c r="B634" s="39">
        <v>124</v>
      </c>
      <c r="C634" s="7" t="s">
        <v>66</v>
      </c>
      <c r="D634" s="4" t="s">
        <v>67</v>
      </c>
      <c r="E634" s="6" t="s">
        <v>130</v>
      </c>
      <c r="F634" s="12">
        <f>INDEX('PEDIDO JULIO'!A33:Q42,1,17)</f>
        <v>0</v>
      </c>
      <c r="G634" s="8">
        <f>IFERROR(VLOOKUP($B634,'[1]INSUMO POR SEDES MARZO PRUEBA'!$B$6:$CD$109,35,0),"NO BD")</f>
        <v>6169.1598000000004</v>
      </c>
      <c r="H634" s="8"/>
      <c r="I634" s="8">
        <f t="shared" si="51"/>
        <v>0</v>
      </c>
      <c r="J634" s="14">
        <f t="shared" si="55"/>
        <v>0</v>
      </c>
      <c r="K634" s="14">
        <f t="shared" si="56"/>
        <v>0</v>
      </c>
      <c r="L634" s="14">
        <f t="shared" si="57"/>
        <v>0</v>
      </c>
    </row>
    <row r="635" spans="1:12" ht="15">
      <c r="A635" s="3">
        <v>985</v>
      </c>
      <c r="B635" s="39">
        <v>137</v>
      </c>
      <c r="C635" s="7" t="s">
        <v>66</v>
      </c>
      <c r="D635" s="4" t="s">
        <v>68</v>
      </c>
      <c r="E635" s="6" t="s">
        <v>130</v>
      </c>
      <c r="F635" s="12">
        <f>INDEX('PEDIDO JULIO'!A33:Q42,1,17)</f>
        <v>0</v>
      </c>
      <c r="G635" s="8">
        <f>IFERROR(VLOOKUP($B635,'[1]INSUMO POR SEDES MARZO PRUEBA'!$B$6:$CD$109,35,0),"NO BD")</f>
        <v>0</v>
      </c>
      <c r="H635" s="8"/>
      <c r="I635" s="8">
        <f t="shared" si="51"/>
        <v>0</v>
      </c>
      <c r="J635" s="14">
        <f t="shared" si="55"/>
        <v>0</v>
      </c>
      <c r="K635" s="14">
        <f t="shared" si="56"/>
        <v>0</v>
      </c>
      <c r="L635" s="14">
        <f t="shared" si="57"/>
        <v>0</v>
      </c>
    </row>
    <row r="636" spans="1:12" ht="15">
      <c r="A636" s="3">
        <v>986</v>
      </c>
      <c r="B636" s="39">
        <v>139</v>
      </c>
      <c r="C636" s="7" t="s">
        <v>66</v>
      </c>
      <c r="D636" s="4" t="s">
        <v>69</v>
      </c>
      <c r="E636" s="6" t="s">
        <v>130</v>
      </c>
      <c r="F636" s="12">
        <f>INDEX('PEDIDO JULIO'!A33:Q42,1,17)</f>
        <v>0</v>
      </c>
      <c r="G636" s="8">
        <f>IFERROR(VLOOKUP($B636,'[1]INSUMO POR SEDES MARZO PRUEBA'!$B$6:$CD$109,35,0),"NO BD")</f>
        <v>51246.970200000003</v>
      </c>
      <c r="H636" s="8"/>
      <c r="I636" s="8">
        <f t="shared" si="51"/>
        <v>0</v>
      </c>
      <c r="J636" s="14">
        <f t="shared" si="55"/>
        <v>0</v>
      </c>
      <c r="K636" s="14">
        <f t="shared" si="56"/>
        <v>0</v>
      </c>
      <c r="L636" s="14">
        <f t="shared" si="57"/>
        <v>0</v>
      </c>
    </row>
    <row r="637" spans="1:12" ht="15">
      <c r="A637" s="3">
        <v>987</v>
      </c>
      <c r="B637" s="39">
        <v>151</v>
      </c>
      <c r="C637" s="7" t="s">
        <v>66</v>
      </c>
      <c r="D637" s="4" t="s">
        <v>70</v>
      </c>
      <c r="E637" s="6" t="s">
        <v>130</v>
      </c>
      <c r="F637" s="12">
        <f>INDEX('PEDIDO JULIO'!A33:Q42,1,17)</f>
        <v>0</v>
      </c>
      <c r="G637" s="8">
        <f>IFERROR(VLOOKUP($B637,'[1]INSUMO POR SEDES MARZO PRUEBA'!$B$6:$CD$109,35,0),"NO BD")</f>
        <v>4422.6080000000002</v>
      </c>
      <c r="H637" s="8"/>
      <c r="I637" s="8">
        <f t="shared" si="51"/>
        <v>0</v>
      </c>
      <c r="J637" s="14">
        <f t="shared" si="55"/>
        <v>0</v>
      </c>
      <c r="K637" s="14">
        <f t="shared" si="56"/>
        <v>0</v>
      </c>
      <c r="L637" s="14">
        <f t="shared" si="57"/>
        <v>0</v>
      </c>
    </row>
    <row r="638" spans="1:12" ht="15">
      <c r="A638" s="3">
        <v>988</v>
      </c>
      <c r="B638" s="39">
        <v>155</v>
      </c>
      <c r="C638" s="7" t="s">
        <v>66</v>
      </c>
      <c r="D638" s="4" t="s">
        <v>71</v>
      </c>
      <c r="E638" s="6" t="s">
        <v>130</v>
      </c>
      <c r="F638" s="12">
        <f>INDEX('PEDIDO JULIO'!A33:Q43,1,17)</f>
        <v>0</v>
      </c>
      <c r="G638" s="8">
        <f>IFERROR(VLOOKUP($B638,'[1]INSUMO POR SEDES MARZO PRUEBA'!$B$6:$CD$109,35,0),"NO BD")</f>
        <v>5005.7028</v>
      </c>
      <c r="H638" s="8"/>
      <c r="I638" s="8">
        <f t="shared" si="51"/>
        <v>0</v>
      </c>
      <c r="J638" s="14">
        <f t="shared" si="55"/>
        <v>0</v>
      </c>
      <c r="K638" s="14">
        <f t="shared" si="56"/>
        <v>0</v>
      </c>
      <c r="L638" s="14">
        <f t="shared" si="57"/>
        <v>0</v>
      </c>
    </row>
    <row r="639" spans="1:12" ht="15">
      <c r="A639" s="3">
        <v>989</v>
      </c>
      <c r="B639" s="39">
        <v>156</v>
      </c>
      <c r="C639" s="7" t="s">
        <v>66</v>
      </c>
      <c r="D639" s="4" t="s">
        <v>72</v>
      </c>
      <c r="E639" s="6" t="s">
        <v>130</v>
      </c>
      <c r="F639" s="12">
        <f>INDEX('PEDIDO JULIO'!A33:Q43,1,17)</f>
        <v>0</v>
      </c>
      <c r="G639" s="8">
        <f>IFERROR(VLOOKUP($B639,'[1]INSUMO POR SEDES MARZO PRUEBA'!$B$6:$CD$109,35,0),"NO BD")</f>
        <v>7711.9227000000001</v>
      </c>
      <c r="H639" s="8"/>
      <c r="I639" s="8">
        <f t="shared" si="51"/>
        <v>0</v>
      </c>
      <c r="J639" s="14">
        <f t="shared" si="55"/>
        <v>0</v>
      </c>
      <c r="K639" s="14">
        <f t="shared" si="56"/>
        <v>0</v>
      </c>
      <c r="L639" s="14">
        <f t="shared" si="57"/>
        <v>0</v>
      </c>
    </row>
    <row r="640" spans="1:12" ht="15">
      <c r="A640" s="3">
        <v>990</v>
      </c>
      <c r="B640" s="39">
        <v>157</v>
      </c>
      <c r="C640" s="7" t="s">
        <v>158</v>
      </c>
      <c r="D640" s="4" t="s">
        <v>73</v>
      </c>
      <c r="E640" s="6" t="s">
        <v>130</v>
      </c>
      <c r="F640" s="12">
        <f>INDEX('PEDIDO JULIO'!A33:Q43,1,17)</f>
        <v>0</v>
      </c>
      <c r="G640" s="8">
        <f>IFERROR(VLOOKUP($B640,'[1]INSUMO POR SEDES MARZO PRUEBA'!$B$6:$CD$109,35,0),"NO BD")</f>
        <v>5970.7309999999998</v>
      </c>
      <c r="H640" s="8"/>
      <c r="I640" s="8">
        <f t="shared" si="51"/>
        <v>0</v>
      </c>
      <c r="J640" s="14">
        <f t="shared" si="55"/>
        <v>0</v>
      </c>
      <c r="K640" s="14">
        <f t="shared" si="56"/>
        <v>0</v>
      </c>
      <c r="L640" s="14">
        <f t="shared" si="57"/>
        <v>0</v>
      </c>
    </row>
    <row r="641" spans="1:12" ht="15">
      <c r="A641" s="3">
        <v>991</v>
      </c>
      <c r="B641" s="39">
        <v>159</v>
      </c>
      <c r="C641" s="7" t="s">
        <v>158</v>
      </c>
      <c r="D641" s="4" t="s">
        <v>74</v>
      </c>
      <c r="E641" s="6" t="s">
        <v>130</v>
      </c>
      <c r="F641" s="12">
        <f>INDEX('PEDIDO JULIO'!A33:Q44,1,17)</f>
        <v>0</v>
      </c>
      <c r="G641" s="8">
        <f>IFERROR(VLOOKUP($B641,'[1]INSUMO POR SEDES MARZO PRUEBA'!$B$6:$CD$109,35,0),"NO BD")</f>
        <v>6716.8359</v>
      </c>
      <c r="H641" s="8"/>
      <c r="I641" s="8">
        <f t="shared" si="51"/>
        <v>0</v>
      </c>
      <c r="J641" s="14">
        <f t="shared" si="55"/>
        <v>0</v>
      </c>
      <c r="K641" s="14">
        <f t="shared" si="56"/>
        <v>0</v>
      </c>
      <c r="L641" s="14">
        <f t="shared" si="57"/>
        <v>0</v>
      </c>
    </row>
    <row r="642" spans="1:12" ht="15">
      <c r="A642" s="3">
        <v>992</v>
      </c>
      <c r="B642" s="39">
        <v>160</v>
      </c>
      <c r="C642" s="7" t="s">
        <v>158</v>
      </c>
      <c r="D642" s="4" t="s">
        <v>75</v>
      </c>
      <c r="E642" s="6" t="s">
        <v>130</v>
      </c>
      <c r="F642" s="12">
        <f>INDEX('PEDIDO JULIO'!A33:Q44,1,17)</f>
        <v>0</v>
      </c>
      <c r="G642" s="8">
        <f>IFERROR(VLOOKUP($B642,'[1]INSUMO POR SEDES MARZO PRUEBA'!$B$6:$CD$109,35,0),"NO BD")</f>
        <v>3035.3931000000002</v>
      </c>
      <c r="H642" s="8"/>
      <c r="I642" s="8">
        <f t="shared" si="51"/>
        <v>0</v>
      </c>
      <c r="J642" s="14">
        <f t="shared" si="55"/>
        <v>0</v>
      </c>
      <c r="K642" s="14">
        <f t="shared" si="56"/>
        <v>0</v>
      </c>
      <c r="L642" s="14">
        <f t="shared" si="57"/>
        <v>0</v>
      </c>
    </row>
    <row r="643" spans="1:12" ht="15">
      <c r="A643" s="3">
        <v>993</v>
      </c>
      <c r="B643" s="39">
        <v>162</v>
      </c>
      <c r="C643" s="7" t="s">
        <v>158</v>
      </c>
      <c r="D643" s="4" t="s">
        <v>76</v>
      </c>
      <c r="E643" s="6" t="s">
        <v>130</v>
      </c>
      <c r="F643" s="12">
        <f>INDEX('PEDIDO JULIO'!A33:Q44,1,17)</f>
        <v>0</v>
      </c>
      <c r="G643" s="8">
        <f>IFERROR(VLOOKUP($B643,'[1]INSUMO POR SEDES MARZO PRUEBA'!$B$6:$CD$109,35,0),"NO BD")</f>
        <v>4030.4798999999998</v>
      </c>
      <c r="H643" s="8"/>
      <c r="I643" s="8">
        <f t="shared" si="51"/>
        <v>0</v>
      </c>
      <c r="J643" s="14">
        <f t="shared" si="55"/>
        <v>0</v>
      </c>
      <c r="K643" s="14">
        <f t="shared" si="56"/>
        <v>0</v>
      </c>
      <c r="L643" s="14">
        <f t="shared" si="57"/>
        <v>0</v>
      </c>
    </row>
    <row r="644" spans="1:12" ht="15">
      <c r="A644" s="3">
        <v>994</v>
      </c>
      <c r="B644" s="39">
        <v>164</v>
      </c>
      <c r="C644" s="7" t="s">
        <v>158</v>
      </c>
      <c r="D644" s="4" t="s">
        <v>77</v>
      </c>
      <c r="E644" s="6" t="s">
        <v>130</v>
      </c>
      <c r="F644" s="12">
        <f>INDEX('PEDIDO JULIO'!A33:Q44,1,17)</f>
        <v>0</v>
      </c>
      <c r="G644" s="8">
        <f>IFERROR(VLOOKUP($B644,'[1]INSUMO POR SEDES MARZO PRUEBA'!$B$6:$CD$109,35,0),"NO BD")</f>
        <v>0</v>
      </c>
      <c r="H644" s="8"/>
      <c r="I644" s="8">
        <f t="shared" si="51"/>
        <v>0</v>
      </c>
      <c r="J644" s="14">
        <f t="shared" si="55"/>
        <v>0</v>
      </c>
      <c r="K644" s="14">
        <f t="shared" si="56"/>
        <v>0</v>
      </c>
      <c r="L644" s="14">
        <f t="shared" si="57"/>
        <v>0</v>
      </c>
    </row>
    <row r="645" spans="1:12" ht="15">
      <c r="A645" s="3">
        <v>995</v>
      </c>
      <c r="B645" s="39">
        <v>169</v>
      </c>
      <c r="C645" s="7" t="s">
        <v>158</v>
      </c>
      <c r="D645" s="4" t="s">
        <v>78</v>
      </c>
      <c r="E645" s="6" t="s">
        <v>130</v>
      </c>
      <c r="F645" s="12">
        <f>INDEX('PEDIDO JULIO'!A33:Q45,1,17)</f>
        <v>0</v>
      </c>
      <c r="G645" s="8">
        <f>IFERROR(VLOOKUP($B645,'[1]INSUMO POR SEDES MARZO PRUEBA'!$B$6:$CD$109,35,0),"NO BD")</f>
        <v>0</v>
      </c>
      <c r="H645" s="8"/>
      <c r="I645" s="8">
        <f t="shared" si="51"/>
        <v>0</v>
      </c>
      <c r="J645" s="14">
        <f t="shared" si="55"/>
        <v>0</v>
      </c>
      <c r="K645" s="14">
        <f t="shared" si="56"/>
        <v>0</v>
      </c>
      <c r="L645" s="14">
        <f t="shared" si="57"/>
        <v>0</v>
      </c>
    </row>
    <row r="646" spans="1:12" ht="15">
      <c r="A646" s="3">
        <v>996</v>
      </c>
      <c r="B646" s="39">
        <v>170</v>
      </c>
      <c r="C646" s="7" t="s">
        <v>158</v>
      </c>
      <c r="D646" s="4" t="s">
        <v>79</v>
      </c>
      <c r="E646" s="6" t="s">
        <v>130</v>
      </c>
      <c r="F646" s="12">
        <f>INDEX('PEDIDO JULIO'!A33:Q46,1,17)</f>
        <v>0</v>
      </c>
      <c r="G646" s="8">
        <f>IFERROR(VLOOKUP($B646,'[1]INSUMO POR SEDES MARZO PRUEBA'!$B$6:$CD$109,35,0),"NO BD")</f>
        <v>45575.353799999997</v>
      </c>
      <c r="H646" s="8"/>
      <c r="I646" s="8">
        <f t="shared" ref="I646:I709" si="58">+F646*G646</f>
        <v>0</v>
      </c>
      <c r="J646" s="14">
        <f t="shared" si="55"/>
        <v>0</v>
      </c>
      <c r="K646" s="14">
        <f t="shared" si="56"/>
        <v>0</v>
      </c>
      <c r="L646" s="14">
        <f t="shared" si="57"/>
        <v>0</v>
      </c>
    </row>
    <row r="647" spans="1:12" ht="15">
      <c r="A647" s="3">
        <v>997</v>
      </c>
      <c r="B647" s="39">
        <v>174</v>
      </c>
      <c r="C647" s="7" t="s">
        <v>158</v>
      </c>
      <c r="D647" s="4" t="s">
        <v>80</v>
      </c>
      <c r="E647" s="6" t="s">
        <v>130</v>
      </c>
      <c r="F647" s="12">
        <f>INDEX('PEDIDO JULIO'!A33:Q47,1,17)</f>
        <v>0</v>
      </c>
      <c r="G647" s="8">
        <f>IFERROR(VLOOKUP($B647,'[1]INSUMO POR SEDES MARZO PRUEBA'!$B$6:$CD$109,35,0),"NO BD")</f>
        <v>10050.1875</v>
      </c>
      <c r="H647" s="8"/>
      <c r="I647" s="8">
        <f t="shared" si="58"/>
        <v>0</v>
      </c>
      <c r="J647" s="14">
        <f t="shared" si="55"/>
        <v>0</v>
      </c>
      <c r="K647" s="14">
        <f t="shared" si="56"/>
        <v>0</v>
      </c>
      <c r="L647" s="14">
        <f t="shared" si="57"/>
        <v>0</v>
      </c>
    </row>
    <row r="648" spans="1:12" ht="15">
      <c r="A648" s="3">
        <v>998</v>
      </c>
      <c r="B648" s="39">
        <v>192</v>
      </c>
      <c r="C648" s="7" t="s">
        <v>158</v>
      </c>
      <c r="D648" s="4" t="s">
        <v>81</v>
      </c>
      <c r="E648" s="6" t="s">
        <v>130</v>
      </c>
      <c r="F648" s="12">
        <f>INDEX('PEDIDO JULIO'!A33:Q47,1,17)</f>
        <v>0</v>
      </c>
      <c r="G648" s="8">
        <f>IFERROR(VLOOKUP($B648,'[1]INSUMO POR SEDES MARZO PRUEBA'!$B$6:$CD$109,35,0),"NO BD")</f>
        <v>6866.2880999999998</v>
      </c>
      <c r="H648" s="8"/>
      <c r="I648" s="8">
        <f t="shared" si="58"/>
        <v>0</v>
      </c>
      <c r="J648" s="14">
        <f t="shared" si="55"/>
        <v>0</v>
      </c>
      <c r="K648" s="14">
        <f t="shared" si="56"/>
        <v>0</v>
      </c>
      <c r="L648" s="14">
        <f t="shared" si="57"/>
        <v>0</v>
      </c>
    </row>
    <row r="649" spans="1:12" ht="15">
      <c r="A649" s="3">
        <v>999</v>
      </c>
      <c r="B649" s="39">
        <v>195</v>
      </c>
      <c r="C649" s="7" t="s">
        <v>158</v>
      </c>
      <c r="D649" s="4" t="s">
        <v>82</v>
      </c>
      <c r="E649" s="6" t="s">
        <v>130</v>
      </c>
      <c r="F649" s="12">
        <f>INDEX('PEDIDO JULIO'!A33:Q47,1,17)</f>
        <v>0</v>
      </c>
      <c r="G649" s="8">
        <f>IFERROR(VLOOKUP($B649,'[1]INSUMO POR SEDES MARZO PRUEBA'!$B$6:$CD$109,35,0),"NO BD")</f>
        <v>6431.0690000000004</v>
      </c>
      <c r="H649" s="8"/>
      <c r="I649" s="8">
        <f t="shared" si="58"/>
        <v>0</v>
      </c>
      <c r="J649" s="14">
        <f t="shared" si="55"/>
        <v>0</v>
      </c>
      <c r="K649" s="14">
        <f t="shared" si="56"/>
        <v>0</v>
      </c>
      <c r="L649" s="14">
        <f t="shared" si="57"/>
        <v>0</v>
      </c>
    </row>
    <row r="650" spans="1:12" ht="15">
      <c r="A650" s="3">
        <v>1000</v>
      </c>
      <c r="B650" s="39">
        <v>204</v>
      </c>
      <c r="C650" s="7" t="s">
        <v>158</v>
      </c>
      <c r="D650" s="4" t="s">
        <v>83</v>
      </c>
      <c r="E650" s="6" t="s">
        <v>130</v>
      </c>
      <c r="F650" s="12">
        <f>INDEX('PEDIDO JULIO'!A33:Q47,1,17)</f>
        <v>0</v>
      </c>
      <c r="G650" s="8">
        <f>IFERROR(VLOOKUP($B650,'[1]INSUMO POR SEDES MARZO PRUEBA'!$B$6:$CD$109,35,0),"NO BD")</f>
        <v>14760.243999999999</v>
      </c>
      <c r="H650" s="8"/>
      <c r="I650" s="8">
        <f t="shared" si="58"/>
        <v>0</v>
      </c>
      <c r="J650" s="14">
        <f t="shared" si="55"/>
        <v>0</v>
      </c>
      <c r="K650" s="14">
        <f t="shared" si="56"/>
        <v>0</v>
      </c>
      <c r="L650" s="14">
        <f t="shared" si="57"/>
        <v>0</v>
      </c>
    </row>
    <row r="651" spans="1:12" ht="15">
      <c r="A651" s="3">
        <v>1001</v>
      </c>
      <c r="B651" s="39">
        <v>205</v>
      </c>
      <c r="C651" s="7" t="s">
        <v>158</v>
      </c>
      <c r="D651" s="4" t="s">
        <v>84</v>
      </c>
      <c r="E651" s="6" t="s">
        <v>130</v>
      </c>
      <c r="F651" s="12">
        <f>INDEX('PEDIDO JULIO'!A33:Q47,1,17)</f>
        <v>0</v>
      </c>
      <c r="G651" s="8">
        <f>IFERROR(VLOOKUP($B651,'[1]INSUMO POR SEDES MARZO PRUEBA'!$B$6:$CD$109,35,0),"NO BD")</f>
        <v>32639.225399999996</v>
      </c>
      <c r="H651" s="8"/>
      <c r="I651" s="8">
        <f t="shared" si="58"/>
        <v>0</v>
      </c>
      <c r="J651" s="14">
        <f t="shared" si="55"/>
        <v>0</v>
      </c>
      <c r="K651" s="14">
        <f t="shared" si="56"/>
        <v>0</v>
      </c>
      <c r="L651" s="14">
        <f t="shared" si="57"/>
        <v>0</v>
      </c>
    </row>
    <row r="652" spans="1:12" ht="15">
      <c r="A652" s="3">
        <v>1002</v>
      </c>
      <c r="B652" s="39">
        <v>207</v>
      </c>
      <c r="C652" s="7" t="s">
        <v>158</v>
      </c>
      <c r="D652" s="4" t="s">
        <v>85</v>
      </c>
      <c r="E652" s="6" t="s">
        <v>130</v>
      </c>
      <c r="F652" s="12">
        <f>INDEX('PEDIDO JULIO'!A33:Q47,1,17)</f>
        <v>0</v>
      </c>
      <c r="G652" s="8">
        <f>IFERROR(VLOOKUP($B652,'[1]INSUMO POR SEDES MARZO PRUEBA'!$B$6:$CD$109,35,0),"NO BD")</f>
        <v>0</v>
      </c>
      <c r="H652" s="8"/>
      <c r="I652" s="8">
        <f t="shared" si="58"/>
        <v>0</v>
      </c>
      <c r="J652" s="14">
        <f t="shared" si="55"/>
        <v>0</v>
      </c>
      <c r="K652" s="14">
        <f t="shared" si="56"/>
        <v>0</v>
      </c>
      <c r="L652" s="14">
        <f t="shared" si="57"/>
        <v>0</v>
      </c>
    </row>
    <row r="653" spans="1:12" ht="15">
      <c r="A653" s="3">
        <v>1003</v>
      </c>
      <c r="B653" s="39">
        <v>212</v>
      </c>
      <c r="C653" s="7" t="s">
        <v>152</v>
      </c>
      <c r="D653" s="4" t="s">
        <v>86</v>
      </c>
      <c r="E653" s="6" t="s">
        <v>130</v>
      </c>
      <c r="F653" s="12">
        <f>INDEX('PEDIDO JULIO'!A33:Q47,1,17)</f>
        <v>0</v>
      </c>
      <c r="G653" s="8">
        <f>IFERROR(VLOOKUP($B653,'[1]INSUMO POR SEDES MARZO PRUEBA'!$B$6:$CD$109,35,0),"NO BD")</f>
        <v>0</v>
      </c>
      <c r="H653" s="8"/>
      <c r="I653" s="8">
        <f t="shared" si="58"/>
        <v>0</v>
      </c>
      <c r="J653" s="14">
        <f t="shared" si="55"/>
        <v>0</v>
      </c>
      <c r="K653" s="14">
        <f t="shared" si="56"/>
        <v>0</v>
      </c>
      <c r="L653" s="14">
        <f t="shared" si="57"/>
        <v>0</v>
      </c>
    </row>
    <row r="654" spans="1:12" ht="15">
      <c r="A654" s="3">
        <v>1004</v>
      </c>
      <c r="B654" s="39">
        <v>218</v>
      </c>
      <c r="C654" s="7" t="s">
        <v>87</v>
      </c>
      <c r="D654" s="4" t="s">
        <v>88</v>
      </c>
      <c r="E654" s="6" t="s">
        <v>130</v>
      </c>
      <c r="F654" s="12">
        <f>INDEX('PEDIDO JULIO'!A33:Q47,1,17)</f>
        <v>0</v>
      </c>
      <c r="G654" s="8">
        <f>IFERROR(VLOOKUP($B654,'[1]INSUMO POR SEDES MARZO PRUEBA'!$B$6:$CD$109,35,0),"NO BD")</f>
        <v>1437.768</v>
      </c>
      <c r="H654" s="8"/>
      <c r="I654" s="8">
        <f t="shared" si="58"/>
        <v>0</v>
      </c>
      <c r="J654" s="14">
        <f t="shared" si="55"/>
        <v>0</v>
      </c>
      <c r="K654" s="14">
        <f t="shared" si="56"/>
        <v>0</v>
      </c>
      <c r="L654" s="14">
        <f t="shared" si="57"/>
        <v>0</v>
      </c>
    </row>
    <row r="655" spans="1:12" ht="15">
      <c r="A655" s="3">
        <v>1005</v>
      </c>
      <c r="B655" s="39">
        <v>251</v>
      </c>
      <c r="C655" s="7" t="s">
        <v>87</v>
      </c>
      <c r="D655" s="4" t="s">
        <v>89</v>
      </c>
      <c r="E655" s="6" t="s">
        <v>130</v>
      </c>
      <c r="F655" s="12">
        <f>INDEX('PEDIDO JULIO'!A33:Q47,1,17)</f>
        <v>0</v>
      </c>
      <c r="G655" s="8">
        <f>IFERROR(VLOOKUP($B655,'[1]INSUMO POR SEDES MARZO PRUEBA'!$B$6:$CD$109,35,0),"NO BD")</f>
        <v>0</v>
      </c>
      <c r="H655" s="8"/>
      <c r="I655" s="8">
        <f t="shared" si="58"/>
        <v>0</v>
      </c>
      <c r="J655" s="14">
        <f t="shared" si="55"/>
        <v>0</v>
      </c>
      <c r="K655" s="14">
        <f t="shared" si="56"/>
        <v>0</v>
      </c>
      <c r="L655" s="14">
        <f t="shared" si="57"/>
        <v>0</v>
      </c>
    </row>
    <row r="656" spans="1:12" ht="15">
      <c r="A656" s="3">
        <v>1043</v>
      </c>
      <c r="B656" s="26">
        <v>3</v>
      </c>
      <c r="C656" s="7" t="s">
        <v>6</v>
      </c>
      <c r="D656" s="4" t="s">
        <v>8</v>
      </c>
      <c r="E656" s="6" t="s">
        <v>131</v>
      </c>
      <c r="F656" s="12">
        <f>INDEX('PEDIDO JULIO'!A10:R32,1,18)</f>
        <v>0</v>
      </c>
      <c r="G656" s="8">
        <f>IFERROR(VLOOKUP($B656,'[1]INSUMO POR SEDES MARZO PRUEBA'!$B$6:$CD$109,38,0),"NO BD")</f>
        <v>7268.7160000000003</v>
      </c>
      <c r="H656" s="8"/>
      <c r="I656" s="8">
        <f t="shared" si="58"/>
        <v>0</v>
      </c>
      <c r="J656" s="14">
        <f t="shared" ref="J656:J702" si="59">+I656*10%</f>
        <v>0</v>
      </c>
      <c r="K656" s="14">
        <f t="shared" ref="K656:K702" si="60">+J656*19%</f>
        <v>0</v>
      </c>
      <c r="L656" s="14">
        <f t="shared" ref="L656:L702" si="61">SUM(I656:K656)</f>
        <v>0</v>
      </c>
    </row>
    <row r="657" spans="1:12" ht="15">
      <c r="A657" s="3">
        <v>1044</v>
      </c>
      <c r="B657" s="26">
        <v>5</v>
      </c>
      <c r="C657" s="7" t="s">
        <v>9</v>
      </c>
      <c r="D657" s="4" t="s">
        <v>10</v>
      </c>
      <c r="E657" s="6" t="s">
        <v>131</v>
      </c>
      <c r="F657" s="12">
        <f>INDEX('PEDIDO JULIO'!A10:R32,1,18)</f>
        <v>0</v>
      </c>
      <c r="G657" s="8">
        <f>IFERROR(VLOOKUP($B657,'[1]INSUMO POR SEDES MARZO PRUEBA'!$B$6:$CD$109,38,0),"NO BD")</f>
        <v>0</v>
      </c>
      <c r="H657" s="8"/>
      <c r="I657" s="8">
        <f t="shared" si="58"/>
        <v>0</v>
      </c>
      <c r="J657" s="14">
        <f t="shared" si="59"/>
        <v>0</v>
      </c>
      <c r="K657" s="14">
        <f t="shared" si="60"/>
        <v>0</v>
      </c>
      <c r="L657" s="14">
        <f t="shared" si="61"/>
        <v>0</v>
      </c>
    </row>
    <row r="658" spans="1:12" ht="15">
      <c r="A658" s="3">
        <v>1045</v>
      </c>
      <c r="B658" s="26">
        <v>8</v>
      </c>
      <c r="C658" s="7" t="s">
        <v>156</v>
      </c>
      <c r="D658" s="5" t="s">
        <v>11</v>
      </c>
      <c r="E658" s="6" t="s">
        <v>131</v>
      </c>
      <c r="F658" s="12">
        <f>INDEX('PEDIDO JULIO'!A10:R33,1,18)</f>
        <v>0</v>
      </c>
      <c r="G658" s="8">
        <f>IFERROR(VLOOKUP($B658,'[1]INSUMO POR SEDES MARZO PRUEBA'!$B$6:$CD$109,38,0),"NO BD")</f>
        <v>2211.3040000000001</v>
      </c>
      <c r="H658" s="8"/>
      <c r="I658" s="8">
        <f t="shared" si="58"/>
        <v>0</v>
      </c>
      <c r="J658" s="14">
        <f t="shared" si="59"/>
        <v>0</v>
      </c>
      <c r="K658" s="14">
        <f t="shared" si="60"/>
        <v>0</v>
      </c>
      <c r="L658" s="14">
        <f t="shared" si="61"/>
        <v>0</v>
      </c>
    </row>
    <row r="659" spans="1:12" ht="27">
      <c r="A659" s="3">
        <v>1046</v>
      </c>
      <c r="B659" s="26">
        <v>9</v>
      </c>
      <c r="C659" s="7" t="s">
        <v>157</v>
      </c>
      <c r="D659" s="4" t="s">
        <v>12</v>
      </c>
      <c r="E659" s="6" t="s">
        <v>131</v>
      </c>
      <c r="F659" s="12">
        <f>INDEX('PEDIDO JULIO'!A10:R33,1,18)</f>
        <v>0</v>
      </c>
      <c r="G659" s="8">
        <f>IFERROR(VLOOKUP($B659,'[1]INSUMO POR SEDES MARZO PRUEBA'!$B$6:$CD$109,38,0),"NO BD")</f>
        <v>3298.0379999999996</v>
      </c>
      <c r="H659" s="8"/>
      <c r="I659" s="8">
        <f t="shared" si="58"/>
        <v>0</v>
      </c>
      <c r="J659" s="14">
        <f t="shared" si="59"/>
        <v>0</v>
      </c>
      <c r="K659" s="14">
        <f t="shared" si="60"/>
        <v>0</v>
      </c>
      <c r="L659" s="14">
        <f t="shared" si="61"/>
        <v>0</v>
      </c>
    </row>
    <row r="660" spans="1:12" ht="15">
      <c r="A660" s="3">
        <v>1047</v>
      </c>
      <c r="B660" s="26">
        <v>13</v>
      </c>
      <c r="C660" s="7" t="s">
        <v>13</v>
      </c>
      <c r="D660" s="4" t="s">
        <v>14</v>
      </c>
      <c r="E660" s="6" t="s">
        <v>131</v>
      </c>
      <c r="F660" s="12">
        <f>INDEX('PEDIDO JULIO'!A11:R33,1,18)</f>
        <v>0</v>
      </c>
      <c r="G660" s="8">
        <f>IFERROR(VLOOKUP($B660,'[1]INSUMO POR SEDES MARZO PRUEBA'!$B$6:$CD$109,38,0),"NO BD")</f>
        <v>6507.7919999999995</v>
      </c>
      <c r="H660" s="8"/>
      <c r="I660" s="8">
        <f t="shared" si="58"/>
        <v>0</v>
      </c>
      <c r="J660" s="14">
        <f t="shared" si="59"/>
        <v>0</v>
      </c>
      <c r="K660" s="14">
        <f t="shared" si="60"/>
        <v>0</v>
      </c>
      <c r="L660" s="14">
        <f t="shared" si="61"/>
        <v>0</v>
      </c>
    </row>
    <row r="661" spans="1:12" ht="27">
      <c r="A661" s="3">
        <v>1048</v>
      </c>
      <c r="B661" s="26">
        <v>17</v>
      </c>
      <c r="C661" s="7" t="s">
        <v>13</v>
      </c>
      <c r="D661" s="4" t="s">
        <v>15</v>
      </c>
      <c r="E661" s="6" t="s">
        <v>131</v>
      </c>
      <c r="F661" s="12">
        <f>INDEX('PEDIDO JULIO'!A12:R33,1,18)</f>
        <v>0</v>
      </c>
      <c r="G661" s="8">
        <f>IFERROR(VLOOKUP($B661,'[1]INSUMO POR SEDES MARZO PRUEBA'!$B$6:$CD$109,38,0),"NO BD")</f>
        <v>5647.0229999999992</v>
      </c>
      <c r="H661" s="8"/>
      <c r="I661" s="8">
        <f t="shared" si="58"/>
        <v>0</v>
      </c>
      <c r="J661" s="14">
        <f t="shared" si="59"/>
        <v>0</v>
      </c>
      <c r="K661" s="14">
        <f t="shared" si="60"/>
        <v>0</v>
      </c>
      <c r="L661" s="14">
        <f t="shared" si="61"/>
        <v>0</v>
      </c>
    </row>
    <row r="662" spans="1:12" ht="15">
      <c r="A662" s="3">
        <v>1049</v>
      </c>
      <c r="B662" s="31">
        <v>20</v>
      </c>
      <c r="C662" s="7" t="s">
        <v>16</v>
      </c>
      <c r="D662" s="4" t="s">
        <v>17</v>
      </c>
      <c r="E662" s="6" t="s">
        <v>131</v>
      </c>
      <c r="F662" s="12">
        <f>INDEX('PEDIDO JULIO'!A12:R33,1,18)</f>
        <v>0</v>
      </c>
      <c r="G662" s="8">
        <f>IFERROR(VLOOKUP($B662,'[1]INSUMO POR SEDES MARZO PRUEBA'!$B$6:$CD$109,38,0),"NO BD")</f>
        <v>0</v>
      </c>
      <c r="H662" s="8"/>
      <c r="I662" s="8">
        <f t="shared" si="58"/>
        <v>0</v>
      </c>
      <c r="J662" s="14">
        <f t="shared" si="59"/>
        <v>0</v>
      </c>
      <c r="K662" s="14">
        <f t="shared" si="60"/>
        <v>0</v>
      </c>
      <c r="L662" s="14">
        <f t="shared" si="61"/>
        <v>0</v>
      </c>
    </row>
    <row r="663" spans="1:12" ht="27">
      <c r="A663" s="3">
        <v>1050</v>
      </c>
      <c r="B663" s="26">
        <v>21</v>
      </c>
      <c r="C663" s="7" t="s">
        <v>18</v>
      </c>
      <c r="D663" s="4" t="s">
        <v>19</v>
      </c>
      <c r="E663" s="6" t="s">
        <v>131</v>
      </c>
      <c r="F663" s="12">
        <f>INDEX('PEDIDO JULIO'!A13:R34,1,18)</f>
        <v>0</v>
      </c>
      <c r="G663" s="8">
        <f>IFERROR(VLOOKUP($B663,'[1]INSUMO POR SEDES MARZO PRUEBA'!$B$6:$CD$109,38,0),"NO BD")</f>
        <v>5932.8950000000013</v>
      </c>
      <c r="H663" s="8"/>
      <c r="I663" s="8">
        <f t="shared" si="58"/>
        <v>0</v>
      </c>
      <c r="J663" s="14">
        <f t="shared" si="59"/>
        <v>0</v>
      </c>
      <c r="K663" s="14">
        <f t="shared" si="60"/>
        <v>0</v>
      </c>
      <c r="L663" s="14">
        <f t="shared" si="61"/>
        <v>0</v>
      </c>
    </row>
    <row r="664" spans="1:12" ht="27">
      <c r="A664" s="3">
        <v>1051</v>
      </c>
      <c r="B664" s="26">
        <v>28</v>
      </c>
      <c r="C664" s="7" t="s">
        <v>20</v>
      </c>
      <c r="D664" s="4" t="s">
        <v>21</v>
      </c>
      <c r="E664" s="6" t="s">
        <v>131</v>
      </c>
      <c r="F664" s="12">
        <f>INDEX('PEDIDO JULIO'!A14:R34,1,18)</f>
        <v>0</v>
      </c>
      <c r="G664" s="8">
        <f>IFERROR(VLOOKUP($B664,'[1]INSUMO POR SEDES MARZO PRUEBA'!$B$6:$CD$109,38,0),"NO BD")</f>
        <v>2764.13</v>
      </c>
      <c r="H664" s="8"/>
      <c r="I664" s="8">
        <f t="shared" si="58"/>
        <v>0</v>
      </c>
      <c r="J664" s="14">
        <f t="shared" si="59"/>
        <v>0</v>
      </c>
      <c r="K664" s="14">
        <f t="shared" si="60"/>
        <v>0</v>
      </c>
      <c r="L664" s="14">
        <f t="shared" si="61"/>
        <v>0</v>
      </c>
    </row>
    <row r="665" spans="1:12" ht="27">
      <c r="A665" s="3">
        <v>1052</v>
      </c>
      <c r="B665" s="26">
        <v>29</v>
      </c>
      <c r="C665" s="7" t="s">
        <v>22</v>
      </c>
      <c r="D665" s="4" t="s">
        <v>23</v>
      </c>
      <c r="E665" s="6" t="s">
        <v>131</v>
      </c>
      <c r="F665" s="12">
        <f>INDEX('PEDIDO JULIO'!A15:R34,1,18)</f>
        <v>0</v>
      </c>
      <c r="G665" s="8">
        <f>IFERROR(VLOOKUP($B665,'[1]INSUMO POR SEDES MARZO PRUEBA'!$B$6:$CD$109,38,0),"NO BD")</f>
        <v>4829.3450000000012</v>
      </c>
      <c r="H665" s="8"/>
      <c r="I665" s="8">
        <f t="shared" si="58"/>
        <v>0</v>
      </c>
      <c r="J665" s="14">
        <f t="shared" si="59"/>
        <v>0</v>
      </c>
      <c r="K665" s="14">
        <f t="shared" si="60"/>
        <v>0</v>
      </c>
      <c r="L665" s="14">
        <f t="shared" si="61"/>
        <v>0</v>
      </c>
    </row>
    <row r="666" spans="1:12" ht="15">
      <c r="A666" s="3">
        <v>1053</v>
      </c>
      <c r="B666" s="26">
        <v>32</v>
      </c>
      <c r="C666" s="7" t="s">
        <v>18</v>
      </c>
      <c r="D666" s="4" t="s">
        <v>24</v>
      </c>
      <c r="E666" s="6" t="s">
        <v>131</v>
      </c>
      <c r="F666" s="12">
        <f>INDEX('PEDIDO JULIO'!A16:R34,1,18)</f>
        <v>0</v>
      </c>
      <c r="G666" s="8">
        <f>IFERROR(VLOOKUP($B666,'[1]INSUMO POR SEDES MARZO PRUEBA'!$B$6:$CD$109,38,0),"NO BD")</f>
        <v>4115.7160000000003</v>
      </c>
      <c r="H666" s="8"/>
      <c r="I666" s="8">
        <f t="shared" si="58"/>
        <v>0</v>
      </c>
      <c r="J666" s="14">
        <f t="shared" si="59"/>
        <v>0</v>
      </c>
      <c r="K666" s="14">
        <f t="shared" si="60"/>
        <v>0</v>
      </c>
      <c r="L666" s="14">
        <f t="shared" si="61"/>
        <v>0</v>
      </c>
    </row>
    <row r="667" spans="1:12" ht="27">
      <c r="A667" s="3">
        <v>1054</v>
      </c>
      <c r="B667" s="26">
        <v>38</v>
      </c>
      <c r="C667" s="7" t="s">
        <v>155</v>
      </c>
      <c r="D667" s="4" t="s">
        <v>25</v>
      </c>
      <c r="E667" s="6" t="s">
        <v>131</v>
      </c>
      <c r="F667" s="12">
        <f>INDEX('PEDIDO JULIO'!A17:R34,1,18)</f>
        <v>0</v>
      </c>
      <c r="G667" s="8">
        <f>IFERROR(VLOOKUP($B667,'[1]INSUMO POR SEDES MARZO PRUEBA'!$B$6:$CD$109,38,0),"NO BD")</f>
        <v>15622.484399999999</v>
      </c>
      <c r="H667" s="8"/>
      <c r="I667" s="8">
        <f t="shared" si="58"/>
        <v>0</v>
      </c>
      <c r="J667" s="14">
        <f t="shared" si="59"/>
        <v>0</v>
      </c>
      <c r="K667" s="14">
        <f t="shared" si="60"/>
        <v>0</v>
      </c>
      <c r="L667" s="14">
        <f t="shared" si="61"/>
        <v>0</v>
      </c>
    </row>
    <row r="668" spans="1:12" ht="27">
      <c r="A668" s="3">
        <v>1055</v>
      </c>
      <c r="B668" s="26">
        <v>44</v>
      </c>
      <c r="C668" s="7" t="s">
        <v>16</v>
      </c>
      <c r="D668" s="4" t="s">
        <v>26</v>
      </c>
      <c r="E668" s="6" t="s">
        <v>131</v>
      </c>
      <c r="F668" s="12">
        <f>INDEX('PEDIDO JULIO'!A17:R34,1,18)</f>
        <v>0</v>
      </c>
      <c r="G668" s="8">
        <f>IFERROR(VLOOKUP($B668,'[1]INSUMO POR SEDES MARZO PRUEBA'!$B$6:$CD$109,38,0),"NO BD")</f>
        <v>0</v>
      </c>
      <c r="H668" s="8"/>
      <c r="I668" s="8">
        <f t="shared" si="58"/>
        <v>0</v>
      </c>
      <c r="J668" s="14">
        <f t="shared" si="59"/>
        <v>0</v>
      </c>
      <c r="K668" s="14">
        <f t="shared" si="60"/>
        <v>0</v>
      </c>
      <c r="L668" s="14">
        <f t="shared" si="61"/>
        <v>0</v>
      </c>
    </row>
    <row r="669" spans="1:12" ht="15">
      <c r="A669" s="3">
        <v>1056</v>
      </c>
      <c r="B669" s="26">
        <v>50</v>
      </c>
      <c r="C669" s="7" t="s">
        <v>27</v>
      </c>
      <c r="D669" s="4" t="s">
        <v>28</v>
      </c>
      <c r="E669" s="6" t="s">
        <v>131</v>
      </c>
      <c r="F669" s="12">
        <f>INDEX('PEDIDO JULIO'!A18:R35,1,18)</f>
        <v>0</v>
      </c>
      <c r="G669" s="8">
        <f>IFERROR(VLOOKUP($B669,'[1]INSUMO POR SEDES MARZO PRUEBA'!$B$6:$CD$109,38,0),"NO BD")</f>
        <v>0</v>
      </c>
      <c r="H669" s="8"/>
      <c r="I669" s="8">
        <f t="shared" si="58"/>
        <v>0</v>
      </c>
      <c r="J669" s="14">
        <f t="shared" si="59"/>
        <v>0</v>
      </c>
      <c r="K669" s="14">
        <f t="shared" si="60"/>
        <v>0</v>
      </c>
      <c r="L669" s="14">
        <f t="shared" si="61"/>
        <v>0</v>
      </c>
    </row>
    <row r="670" spans="1:12" ht="15">
      <c r="A670" s="3">
        <v>1057</v>
      </c>
      <c r="B670" s="26">
        <v>52</v>
      </c>
      <c r="C670" s="7" t="s">
        <v>13</v>
      </c>
      <c r="D670" s="4" t="s">
        <v>29</v>
      </c>
      <c r="E670" s="6" t="s">
        <v>131</v>
      </c>
      <c r="F670" s="12">
        <f>INDEX('PEDIDO JULIO'!A18:R35,1,18)</f>
        <v>0</v>
      </c>
      <c r="G670" s="8">
        <f>IFERROR(VLOOKUP($B670,'[1]INSUMO POR SEDES MARZO PRUEBA'!$B$6:$CD$109,38,0),"NO BD")</f>
        <v>0</v>
      </c>
      <c r="H670" s="8"/>
      <c r="I670" s="8">
        <f t="shared" si="58"/>
        <v>0</v>
      </c>
      <c r="J670" s="14">
        <f t="shared" si="59"/>
        <v>0</v>
      </c>
      <c r="K670" s="14">
        <f t="shared" si="60"/>
        <v>0</v>
      </c>
      <c r="L670" s="14">
        <f t="shared" si="61"/>
        <v>0</v>
      </c>
    </row>
    <row r="671" spans="1:12" ht="15">
      <c r="A671" s="3">
        <v>1058</v>
      </c>
      <c r="B671" s="26">
        <v>57</v>
      </c>
      <c r="C671" s="7" t="s">
        <v>13</v>
      </c>
      <c r="D671" s="4" t="s">
        <v>30</v>
      </c>
      <c r="E671" s="6" t="s">
        <v>131</v>
      </c>
      <c r="F671" s="12">
        <f>INDEX('PEDIDO JULIO'!A18:R35,1,18)</f>
        <v>0</v>
      </c>
      <c r="G671" s="8">
        <f>IFERROR(VLOOKUP($B671,'[1]INSUMO POR SEDES MARZO PRUEBA'!$B$6:$CD$109,38,0),"NO BD")</f>
        <v>12823.251000000004</v>
      </c>
      <c r="H671" s="8"/>
      <c r="I671" s="8">
        <f t="shared" si="58"/>
        <v>0</v>
      </c>
      <c r="J671" s="14">
        <f t="shared" si="59"/>
        <v>0</v>
      </c>
      <c r="K671" s="14">
        <f t="shared" si="60"/>
        <v>0</v>
      </c>
      <c r="L671" s="14">
        <f t="shared" si="61"/>
        <v>0</v>
      </c>
    </row>
    <row r="672" spans="1:12" ht="15">
      <c r="A672" s="3">
        <v>1059</v>
      </c>
      <c r="B672" s="26">
        <v>59</v>
      </c>
      <c r="C672" s="7" t="s">
        <v>13</v>
      </c>
      <c r="D672" s="4" t="s">
        <v>31</v>
      </c>
      <c r="E672" s="6" t="s">
        <v>131</v>
      </c>
      <c r="F672" s="12">
        <f>INDEX('PEDIDO JULIO'!A19:R35,1,18)</f>
        <v>0</v>
      </c>
      <c r="G672" s="8">
        <f>IFERROR(VLOOKUP($B672,'[1]INSUMO POR SEDES MARZO PRUEBA'!$B$6:$CD$109,38,0),"NO BD")</f>
        <v>0</v>
      </c>
      <c r="H672" s="8"/>
      <c r="I672" s="8">
        <f t="shared" si="58"/>
        <v>0</v>
      </c>
      <c r="J672" s="14">
        <f t="shared" si="59"/>
        <v>0</v>
      </c>
      <c r="K672" s="14">
        <f t="shared" si="60"/>
        <v>0</v>
      </c>
      <c r="L672" s="14">
        <f t="shared" si="61"/>
        <v>0</v>
      </c>
    </row>
    <row r="673" spans="1:12" ht="15">
      <c r="A673" s="3">
        <v>1060</v>
      </c>
      <c r="B673" s="26">
        <v>62</v>
      </c>
      <c r="C673" s="7" t="s">
        <v>13</v>
      </c>
      <c r="D673" s="4" t="s">
        <v>32</v>
      </c>
      <c r="E673" s="6" t="s">
        <v>131</v>
      </c>
      <c r="F673" s="12">
        <f>INDEX('PEDIDO JULIO'!A19:R35,1,18)</f>
        <v>0</v>
      </c>
      <c r="G673" s="8">
        <f>IFERROR(VLOOKUP($B673,'[1]INSUMO POR SEDES MARZO PRUEBA'!$B$6:$CD$109,38,0),"NO BD")</f>
        <v>10100.3202</v>
      </c>
      <c r="H673" s="8"/>
      <c r="I673" s="8">
        <f t="shared" si="58"/>
        <v>0</v>
      </c>
      <c r="J673" s="14">
        <f t="shared" si="59"/>
        <v>0</v>
      </c>
      <c r="K673" s="14">
        <f t="shared" si="60"/>
        <v>0</v>
      </c>
      <c r="L673" s="14">
        <f t="shared" si="61"/>
        <v>0</v>
      </c>
    </row>
    <row r="674" spans="1:12" ht="15">
      <c r="A674" s="3">
        <v>1061</v>
      </c>
      <c r="B674" s="26">
        <v>63</v>
      </c>
      <c r="C674" s="7" t="s">
        <v>33</v>
      </c>
      <c r="D674" s="4" t="s">
        <v>34</v>
      </c>
      <c r="E674" s="6" t="s">
        <v>131</v>
      </c>
      <c r="F674" s="12">
        <f>INDEX('PEDIDO JULIO'!A20:R35,1,18)</f>
        <v>0</v>
      </c>
      <c r="G674" s="8">
        <f>IFERROR(VLOOKUP($B674,'[1]INSUMO POR SEDES MARZO PRUEBA'!$B$6:$CD$109,38,0),"NO BD")</f>
        <v>11443.4982</v>
      </c>
      <c r="H674" s="8"/>
      <c r="I674" s="8">
        <f t="shared" si="58"/>
        <v>0</v>
      </c>
      <c r="J674" s="14">
        <f t="shared" si="59"/>
        <v>0</v>
      </c>
      <c r="K674" s="14">
        <f t="shared" si="60"/>
        <v>0</v>
      </c>
      <c r="L674" s="14">
        <f t="shared" si="61"/>
        <v>0</v>
      </c>
    </row>
    <row r="675" spans="1:12" ht="15">
      <c r="A675" s="3">
        <v>1062</v>
      </c>
      <c r="B675" s="26">
        <v>64</v>
      </c>
      <c r="C675" s="7" t="s">
        <v>16</v>
      </c>
      <c r="D675" s="4" t="s">
        <v>35</v>
      </c>
      <c r="E675" s="6" t="s">
        <v>131</v>
      </c>
      <c r="F675" s="12">
        <f>INDEX('PEDIDO JULIO'!A20:R35,1,18)</f>
        <v>0</v>
      </c>
      <c r="G675" s="8">
        <f>IFERROR(VLOOKUP($B675,'[1]INSUMO POR SEDES MARZO PRUEBA'!$B$6:$CD$109,38,0),"NO BD")</f>
        <v>13820.650000000001</v>
      </c>
      <c r="H675" s="8"/>
      <c r="I675" s="8">
        <f t="shared" si="58"/>
        <v>0</v>
      </c>
      <c r="J675" s="14">
        <f t="shared" si="59"/>
        <v>0</v>
      </c>
      <c r="K675" s="14">
        <f t="shared" si="60"/>
        <v>0</v>
      </c>
      <c r="L675" s="14">
        <f t="shared" si="61"/>
        <v>0</v>
      </c>
    </row>
    <row r="676" spans="1:12" ht="15">
      <c r="A676" s="3">
        <v>1063</v>
      </c>
      <c r="B676" s="26">
        <v>65</v>
      </c>
      <c r="C676" s="7" t="s">
        <v>36</v>
      </c>
      <c r="D676" s="4" t="s">
        <v>37</v>
      </c>
      <c r="E676" s="6" t="s">
        <v>131</v>
      </c>
      <c r="F676" s="12">
        <f>INDEX('PEDIDO JULIO'!A21:R35,1,18)</f>
        <v>0</v>
      </c>
      <c r="G676" s="8">
        <f>IFERROR(VLOOKUP($B676,'[1]INSUMO POR SEDES MARZO PRUEBA'!$B$6:$CD$109,38,0),"NO BD")</f>
        <v>13820.650000000001</v>
      </c>
      <c r="H676" s="8"/>
      <c r="I676" s="8">
        <f t="shared" si="58"/>
        <v>0</v>
      </c>
      <c r="J676" s="14">
        <f t="shared" si="59"/>
        <v>0</v>
      </c>
      <c r="K676" s="14">
        <f t="shared" si="60"/>
        <v>0</v>
      </c>
      <c r="L676" s="14">
        <f t="shared" si="61"/>
        <v>0</v>
      </c>
    </row>
    <row r="677" spans="1:12" ht="15">
      <c r="A677" s="3">
        <v>1064</v>
      </c>
      <c r="B677" s="26">
        <v>66</v>
      </c>
      <c r="C677" s="7" t="s">
        <v>36</v>
      </c>
      <c r="D677" s="4" t="s">
        <v>38</v>
      </c>
      <c r="E677" s="6" t="s">
        <v>131</v>
      </c>
      <c r="F677" s="12">
        <f>INDEX('PEDIDO JULIO'!A22:R35,1,18)</f>
        <v>0</v>
      </c>
      <c r="G677" s="8">
        <f>IFERROR(VLOOKUP($B677,'[1]INSUMO POR SEDES MARZO PRUEBA'!$B$6:$CD$109,38,0),"NO BD")</f>
        <v>4178.9862000000003</v>
      </c>
      <c r="H677" s="8"/>
      <c r="I677" s="8">
        <f t="shared" si="58"/>
        <v>0</v>
      </c>
      <c r="J677" s="14">
        <f t="shared" si="59"/>
        <v>0</v>
      </c>
      <c r="K677" s="14">
        <f t="shared" si="60"/>
        <v>0</v>
      </c>
      <c r="L677" s="14">
        <f t="shared" si="61"/>
        <v>0</v>
      </c>
    </row>
    <row r="678" spans="1:12" ht="15">
      <c r="A678" s="3">
        <v>1065</v>
      </c>
      <c r="B678" s="26">
        <v>71</v>
      </c>
      <c r="C678" s="7" t="s">
        <v>39</v>
      </c>
      <c r="D678" s="4" t="s">
        <v>40</v>
      </c>
      <c r="E678" s="6" t="s">
        <v>131</v>
      </c>
      <c r="F678" s="12">
        <f>INDEX('PEDIDO JULIO'!A23:R36,1,18)</f>
        <v>0</v>
      </c>
      <c r="G678" s="8">
        <f>IFERROR(VLOOKUP($B678,'[1]INSUMO POR SEDES MARZO PRUEBA'!$B$6:$CD$109,38,0),"NO BD")</f>
        <v>5196.1440000000002</v>
      </c>
      <c r="H678" s="8"/>
      <c r="I678" s="8">
        <f t="shared" si="58"/>
        <v>0</v>
      </c>
      <c r="J678" s="14">
        <f t="shared" si="59"/>
        <v>0</v>
      </c>
      <c r="K678" s="14">
        <f t="shared" si="60"/>
        <v>0</v>
      </c>
      <c r="L678" s="14">
        <f t="shared" si="61"/>
        <v>0</v>
      </c>
    </row>
    <row r="679" spans="1:12" ht="15">
      <c r="A679" s="3">
        <v>1066</v>
      </c>
      <c r="B679" s="26">
        <v>72</v>
      </c>
      <c r="C679" s="7" t="s">
        <v>39</v>
      </c>
      <c r="D679" s="4" t="s">
        <v>41</v>
      </c>
      <c r="E679" s="6" t="s">
        <v>131</v>
      </c>
      <c r="F679" s="12">
        <f>INDEX('PEDIDO JULIO'!A23:R37,1,18)</f>
        <v>0</v>
      </c>
      <c r="G679" s="8">
        <f>IFERROR(VLOOKUP($B679,'[1]INSUMO POR SEDES MARZO PRUEBA'!$B$6:$CD$109,38,0),"NO BD")</f>
        <v>7861.3749000000007</v>
      </c>
      <c r="H679" s="8"/>
      <c r="I679" s="8">
        <f t="shared" si="58"/>
        <v>0</v>
      </c>
      <c r="J679" s="14">
        <f t="shared" si="59"/>
        <v>0</v>
      </c>
      <c r="K679" s="14">
        <f t="shared" si="60"/>
        <v>0</v>
      </c>
      <c r="L679" s="14">
        <f t="shared" si="61"/>
        <v>0</v>
      </c>
    </row>
    <row r="680" spans="1:12" ht="15">
      <c r="A680" s="3">
        <v>1067</v>
      </c>
      <c r="B680" s="26">
        <v>73</v>
      </c>
      <c r="C680" s="7" t="s">
        <v>151</v>
      </c>
      <c r="D680" s="4" t="s">
        <v>42</v>
      </c>
      <c r="E680" s="6" t="s">
        <v>131</v>
      </c>
      <c r="F680" s="12">
        <f>INDEX('PEDIDO JULIO'!A24:R37,1,18)</f>
        <v>0</v>
      </c>
      <c r="G680" s="8">
        <f>IFERROR(VLOOKUP($B680,'[1]INSUMO POR SEDES MARZO PRUEBA'!$B$6:$CD$109,38,0),"NO BD")</f>
        <v>21493.685699999998</v>
      </c>
      <c r="H680" s="8"/>
      <c r="I680" s="8">
        <f t="shared" si="58"/>
        <v>0</v>
      </c>
      <c r="J680" s="14">
        <f t="shared" si="59"/>
        <v>0</v>
      </c>
      <c r="K680" s="14">
        <f t="shared" si="60"/>
        <v>0</v>
      </c>
      <c r="L680" s="14">
        <f t="shared" si="61"/>
        <v>0</v>
      </c>
    </row>
    <row r="681" spans="1:12" ht="15">
      <c r="A681" s="3">
        <v>1068</v>
      </c>
      <c r="B681" s="26">
        <v>74</v>
      </c>
      <c r="C681" s="7" t="s">
        <v>151</v>
      </c>
      <c r="D681" s="4" t="s">
        <v>43</v>
      </c>
      <c r="E681" s="6" t="s">
        <v>131</v>
      </c>
      <c r="F681" s="12">
        <f>INDEX('PEDIDO JULIO'!A25:R37,1,18)</f>
        <v>0</v>
      </c>
      <c r="G681" s="8">
        <f>IFERROR(VLOOKUP($B681,'[1]INSUMO POR SEDES MARZO PRUEBA'!$B$6:$CD$109,38,0),"NO BD")</f>
        <v>3261.2529999999997</v>
      </c>
      <c r="H681" s="8"/>
      <c r="I681" s="8">
        <f t="shared" si="58"/>
        <v>0</v>
      </c>
      <c r="J681" s="14">
        <f t="shared" si="59"/>
        <v>0</v>
      </c>
      <c r="K681" s="14">
        <f t="shared" si="60"/>
        <v>0</v>
      </c>
      <c r="L681" s="14">
        <f t="shared" si="61"/>
        <v>0</v>
      </c>
    </row>
    <row r="682" spans="1:12" ht="15">
      <c r="A682" s="3">
        <v>1069</v>
      </c>
      <c r="B682" s="26">
        <v>79</v>
      </c>
      <c r="C682" s="7" t="s">
        <v>151</v>
      </c>
      <c r="D682" s="4" t="s">
        <v>44</v>
      </c>
      <c r="E682" s="6" t="s">
        <v>131</v>
      </c>
      <c r="F682" s="12">
        <f>INDEX('PEDIDO JULIO'!A26:R37,1,18)</f>
        <v>0</v>
      </c>
      <c r="G682" s="8">
        <f>IFERROR(VLOOKUP($B682,'[1]INSUMO POR SEDES MARZO PRUEBA'!$B$6:$CD$109,38,0),"NO BD")</f>
        <v>541.2650000000001</v>
      </c>
      <c r="H682" s="8"/>
      <c r="I682" s="8">
        <f t="shared" si="58"/>
        <v>0</v>
      </c>
      <c r="J682" s="14">
        <f t="shared" si="59"/>
        <v>0</v>
      </c>
      <c r="K682" s="14">
        <f t="shared" si="60"/>
        <v>0</v>
      </c>
      <c r="L682" s="14">
        <f t="shared" si="61"/>
        <v>0</v>
      </c>
    </row>
    <row r="683" spans="1:12" ht="40.5">
      <c r="A683" s="3">
        <v>1070</v>
      </c>
      <c r="B683" s="26">
        <v>80</v>
      </c>
      <c r="C683" s="7" t="s">
        <v>151</v>
      </c>
      <c r="D683" s="4" t="s">
        <v>45</v>
      </c>
      <c r="E683" s="6" t="s">
        <v>131</v>
      </c>
      <c r="F683" s="12">
        <f>INDEX('PEDIDO JULIO'!A27:R37,1,18)</f>
        <v>0</v>
      </c>
      <c r="G683" s="8">
        <f>IFERROR(VLOOKUP($B683,'[1]INSUMO POR SEDES MARZO PRUEBA'!$B$6:$CD$109,38,0),"NO BD")</f>
        <v>607.26779999999997</v>
      </c>
      <c r="H683" s="8"/>
      <c r="I683" s="8">
        <f t="shared" si="58"/>
        <v>0</v>
      </c>
      <c r="J683" s="14">
        <f t="shared" si="59"/>
        <v>0</v>
      </c>
      <c r="K683" s="14">
        <f t="shared" si="60"/>
        <v>0</v>
      </c>
      <c r="L683" s="14">
        <f t="shared" si="61"/>
        <v>0</v>
      </c>
    </row>
    <row r="684" spans="1:12" ht="27">
      <c r="A684" s="3">
        <v>1071</v>
      </c>
      <c r="B684" s="26">
        <v>81</v>
      </c>
      <c r="C684" s="7" t="s">
        <v>46</v>
      </c>
      <c r="D684" s="4" t="s">
        <v>47</v>
      </c>
      <c r="E684" s="6" t="s">
        <v>131</v>
      </c>
      <c r="F684" s="12">
        <f>INDEX('PEDIDO JULIO'!A28:R37,1,18)</f>
        <v>0</v>
      </c>
      <c r="G684" s="8">
        <f>IFERROR(VLOOKUP($B684,'[1]INSUMO POR SEDES MARZO PRUEBA'!$B$6:$CD$109,38,0),"NO BD")</f>
        <v>211.251</v>
      </c>
      <c r="H684" s="8"/>
      <c r="I684" s="8">
        <f t="shared" si="58"/>
        <v>0</v>
      </c>
      <c r="J684" s="14">
        <f t="shared" si="59"/>
        <v>0</v>
      </c>
      <c r="K684" s="14">
        <f t="shared" si="60"/>
        <v>0</v>
      </c>
      <c r="L684" s="14">
        <f t="shared" si="61"/>
        <v>0</v>
      </c>
    </row>
    <row r="685" spans="1:12" ht="15">
      <c r="A685" s="3">
        <v>1072</v>
      </c>
      <c r="B685" s="26">
        <v>82</v>
      </c>
      <c r="C685" s="7" t="s">
        <v>159</v>
      </c>
      <c r="D685" s="4" t="s">
        <v>48</v>
      </c>
      <c r="E685" s="6" t="s">
        <v>131</v>
      </c>
      <c r="F685" s="12">
        <f>INDEX('PEDIDO JULIO'!A28:R37,1,18)</f>
        <v>0</v>
      </c>
      <c r="G685" s="8">
        <f>IFERROR(VLOOKUP($B685,'[1]INSUMO POR SEDES MARZO PRUEBA'!$B$6:$CD$109,38,0),"NO BD")</f>
        <v>1003.7049999999999</v>
      </c>
      <c r="H685" s="8"/>
      <c r="I685" s="8">
        <f t="shared" si="58"/>
        <v>0</v>
      </c>
      <c r="J685" s="14">
        <f t="shared" si="59"/>
        <v>0</v>
      </c>
      <c r="K685" s="14">
        <f t="shared" si="60"/>
        <v>0</v>
      </c>
      <c r="L685" s="14">
        <f t="shared" si="61"/>
        <v>0</v>
      </c>
    </row>
    <row r="686" spans="1:12" ht="15">
      <c r="A686" s="3">
        <v>1073</v>
      </c>
      <c r="B686" s="26">
        <v>83</v>
      </c>
      <c r="C686" s="7" t="s">
        <v>159</v>
      </c>
      <c r="D686" s="4" t="s">
        <v>49</v>
      </c>
      <c r="E686" s="6" t="s">
        <v>131</v>
      </c>
      <c r="F686" s="12">
        <f>INDEX('PEDIDO JULIO'!A29:R37,1,18)</f>
        <v>0</v>
      </c>
      <c r="G686" s="8">
        <f>IFERROR(VLOOKUP($B686,'[1]INSUMO POR SEDES MARZO PRUEBA'!$B$6:$CD$109,38,0),"NO BD")</f>
        <v>336.32</v>
      </c>
      <c r="H686" s="8"/>
      <c r="I686" s="8">
        <f t="shared" si="58"/>
        <v>0</v>
      </c>
      <c r="J686" s="14">
        <f t="shared" si="59"/>
        <v>0</v>
      </c>
      <c r="K686" s="14">
        <f t="shared" si="60"/>
        <v>0</v>
      </c>
      <c r="L686" s="14">
        <f t="shared" si="61"/>
        <v>0</v>
      </c>
    </row>
    <row r="687" spans="1:12" ht="15">
      <c r="A687" s="3">
        <v>1074</v>
      </c>
      <c r="B687" s="26">
        <v>88</v>
      </c>
      <c r="C687" s="7" t="s">
        <v>159</v>
      </c>
      <c r="D687" s="4" t="s">
        <v>50</v>
      </c>
      <c r="E687" s="6" t="s">
        <v>131</v>
      </c>
      <c r="F687" s="12">
        <f>INDEX('PEDIDO JULIO'!A30:R37,1,18)</f>
        <v>0</v>
      </c>
      <c r="G687" s="8">
        <f>IFERROR(VLOOKUP($B687,'[1]INSUMO POR SEDES MARZO PRUEBA'!$B$6:$CD$109,38,0),"NO BD")</f>
        <v>0</v>
      </c>
      <c r="H687" s="8"/>
      <c r="I687" s="8">
        <f t="shared" si="58"/>
        <v>0</v>
      </c>
      <c r="J687" s="14">
        <f t="shared" si="59"/>
        <v>0</v>
      </c>
      <c r="K687" s="14">
        <f t="shared" si="60"/>
        <v>0</v>
      </c>
      <c r="L687" s="14">
        <f t="shared" si="61"/>
        <v>0</v>
      </c>
    </row>
    <row r="688" spans="1:12" ht="15">
      <c r="A688" s="3">
        <v>1075</v>
      </c>
      <c r="B688" s="26">
        <v>92</v>
      </c>
      <c r="C688" s="7" t="s">
        <v>159</v>
      </c>
      <c r="D688" s="4" t="s">
        <v>51</v>
      </c>
      <c r="E688" s="6" t="s">
        <v>131</v>
      </c>
      <c r="F688" s="12">
        <f>INDEX('PEDIDO JULIO'!A31:R37,1,18)</f>
        <v>0</v>
      </c>
      <c r="G688" s="8">
        <f>IFERROR(VLOOKUP($B688,'[1]INSUMO POR SEDES MARZO PRUEBA'!$B$6:$CD$109,38,0),"NO BD")</f>
        <v>2380.5149999999999</v>
      </c>
      <c r="H688" s="8"/>
      <c r="I688" s="8">
        <f t="shared" si="58"/>
        <v>0</v>
      </c>
      <c r="J688" s="14">
        <f t="shared" si="59"/>
        <v>0</v>
      </c>
      <c r="K688" s="14">
        <f t="shared" si="60"/>
        <v>0</v>
      </c>
      <c r="L688" s="14">
        <f t="shared" si="61"/>
        <v>0</v>
      </c>
    </row>
    <row r="689" spans="1:12" ht="15">
      <c r="A689" s="3">
        <v>1076</v>
      </c>
      <c r="B689" s="26">
        <v>94</v>
      </c>
      <c r="C689" s="7" t="s">
        <v>159</v>
      </c>
      <c r="D689" s="4" t="s">
        <v>52</v>
      </c>
      <c r="E689" s="6" t="s">
        <v>131</v>
      </c>
      <c r="F689" s="12">
        <f>INDEX('PEDIDO JULIO'!A32:R37,1,18)</f>
        <v>0</v>
      </c>
      <c r="G689" s="8">
        <f>IFERROR(VLOOKUP($B689,'[1]INSUMO POR SEDES MARZO PRUEBA'!$B$6:$CD$109,38,0),"NO BD")</f>
        <v>0</v>
      </c>
      <c r="H689" s="8"/>
      <c r="I689" s="8">
        <f t="shared" si="58"/>
        <v>0</v>
      </c>
      <c r="J689" s="14">
        <f t="shared" si="59"/>
        <v>0</v>
      </c>
      <c r="K689" s="14">
        <f t="shared" si="60"/>
        <v>0</v>
      </c>
      <c r="L689" s="14">
        <f t="shared" si="61"/>
        <v>0</v>
      </c>
    </row>
    <row r="690" spans="1:12" ht="15">
      <c r="A690" s="3">
        <v>1077</v>
      </c>
      <c r="B690" s="26">
        <v>98</v>
      </c>
      <c r="C690" s="7" t="s">
        <v>53</v>
      </c>
      <c r="D690" s="4" t="s">
        <v>54</v>
      </c>
      <c r="E690" s="6" t="s">
        <v>131</v>
      </c>
      <c r="F690" s="12">
        <f>INDEX('PEDIDO JULIO'!A33:R37,1,18)</f>
        <v>0</v>
      </c>
      <c r="G690" s="8">
        <f>IFERROR(VLOOKUP($B690,'[1]INSUMO POR SEDES MARZO PRUEBA'!$B$6:$CD$109,38,0),"NO BD")</f>
        <v>9503.4573</v>
      </c>
      <c r="H690" s="8"/>
      <c r="I690" s="8">
        <f t="shared" si="58"/>
        <v>0</v>
      </c>
      <c r="J690" s="14">
        <f t="shared" si="59"/>
        <v>0</v>
      </c>
      <c r="K690" s="14">
        <f t="shared" si="60"/>
        <v>0</v>
      </c>
      <c r="L690" s="14">
        <f t="shared" si="61"/>
        <v>0</v>
      </c>
    </row>
    <row r="691" spans="1:12" ht="15">
      <c r="A691" s="3">
        <v>1078</v>
      </c>
      <c r="B691" s="26">
        <v>100</v>
      </c>
      <c r="C691" s="7" t="s">
        <v>53</v>
      </c>
      <c r="D691" s="4" t="s">
        <v>55</v>
      </c>
      <c r="E691" s="6" t="s">
        <v>131</v>
      </c>
      <c r="F691" s="12">
        <f>INDEX('PEDIDO JULIO'!A33:R38,1,18)</f>
        <v>0</v>
      </c>
      <c r="G691" s="8">
        <f>IFERROR(VLOOKUP($B691,'[1]INSUMO POR SEDES MARZO PRUEBA'!$B$6:$CD$109,38,0),"NO BD")</f>
        <v>0</v>
      </c>
      <c r="H691" s="8"/>
      <c r="I691" s="8">
        <f t="shared" si="58"/>
        <v>0</v>
      </c>
      <c r="J691" s="14">
        <f t="shared" si="59"/>
        <v>0</v>
      </c>
      <c r="K691" s="14">
        <f t="shared" si="60"/>
        <v>0</v>
      </c>
      <c r="L691" s="14">
        <f t="shared" si="61"/>
        <v>0</v>
      </c>
    </row>
    <row r="692" spans="1:12" ht="15">
      <c r="A692" s="3">
        <v>1079</v>
      </c>
      <c r="B692" s="26">
        <v>102</v>
      </c>
      <c r="C692" s="7" t="s">
        <v>53</v>
      </c>
      <c r="D692" s="4" t="s">
        <v>56</v>
      </c>
      <c r="E692" s="6" t="s">
        <v>131</v>
      </c>
      <c r="F692" s="12">
        <f>INDEX('PEDIDO JULIO'!A33:R38,1,18)</f>
        <v>0</v>
      </c>
      <c r="G692" s="8">
        <f>IFERROR(VLOOKUP($B692,'[1]INSUMO POR SEDES MARZO PRUEBA'!$B$6:$CD$109,38,0),"NO BD")</f>
        <v>3811.9770000000003</v>
      </c>
      <c r="H692" s="8"/>
      <c r="I692" s="8">
        <f t="shared" si="58"/>
        <v>0</v>
      </c>
      <c r="J692" s="14">
        <f t="shared" si="59"/>
        <v>0</v>
      </c>
      <c r="K692" s="14">
        <f t="shared" si="60"/>
        <v>0</v>
      </c>
      <c r="L692" s="14">
        <f t="shared" si="61"/>
        <v>0</v>
      </c>
    </row>
    <row r="693" spans="1:12" ht="15">
      <c r="A693" s="3">
        <v>1080</v>
      </c>
      <c r="B693" s="26">
        <v>110</v>
      </c>
      <c r="C693" s="7" t="s">
        <v>53</v>
      </c>
      <c r="D693" s="4" t="s">
        <v>57</v>
      </c>
      <c r="E693" s="6" t="s">
        <v>131</v>
      </c>
      <c r="F693" s="12">
        <f>INDEX('PEDIDO JULIO'!A33:R39,1,18)</f>
        <v>0</v>
      </c>
      <c r="G693" s="8">
        <f>IFERROR(VLOOKUP($B693,'[1]INSUMO POR SEDES MARZO PRUEBA'!$B$6:$CD$109,38,0),"NO BD")</f>
        <v>1442.4974999999999</v>
      </c>
      <c r="H693" s="8"/>
      <c r="I693" s="8">
        <f t="shared" si="58"/>
        <v>0</v>
      </c>
      <c r="J693" s="14">
        <f t="shared" si="59"/>
        <v>0</v>
      </c>
      <c r="K693" s="14">
        <f t="shared" si="60"/>
        <v>0</v>
      </c>
      <c r="L693" s="14">
        <f t="shared" si="61"/>
        <v>0</v>
      </c>
    </row>
    <row r="694" spans="1:12" ht="27">
      <c r="A694" s="3">
        <v>1081</v>
      </c>
      <c r="B694" s="26">
        <v>118</v>
      </c>
      <c r="C694" s="7" t="s">
        <v>160</v>
      </c>
      <c r="D694" s="4" t="s">
        <v>58</v>
      </c>
      <c r="E694" s="6" t="s">
        <v>131</v>
      </c>
      <c r="F694" s="12">
        <f>INDEX('PEDIDO JULIO'!A33:R40,1,18)</f>
        <v>0</v>
      </c>
      <c r="G694" s="8">
        <f>IFERROR(VLOOKUP($B694,'[1]INSUMO POR SEDES MARZO PRUEBA'!$B$6:$CD$109,38,0),"NO BD")</f>
        <v>4129.7993999999999</v>
      </c>
      <c r="H694" s="8"/>
      <c r="I694" s="8">
        <f t="shared" si="58"/>
        <v>0</v>
      </c>
      <c r="J694" s="14">
        <f t="shared" si="59"/>
        <v>0</v>
      </c>
      <c r="K694" s="14">
        <f t="shared" si="60"/>
        <v>0</v>
      </c>
      <c r="L694" s="14">
        <f t="shared" si="61"/>
        <v>0</v>
      </c>
    </row>
    <row r="695" spans="1:12" ht="15">
      <c r="A695" s="3">
        <v>1082</v>
      </c>
      <c r="B695" s="26">
        <v>119</v>
      </c>
      <c r="C695" s="7" t="s">
        <v>160</v>
      </c>
      <c r="D695" s="4" t="s">
        <v>59</v>
      </c>
      <c r="E695" s="6" t="s">
        <v>131</v>
      </c>
      <c r="F695" s="12">
        <f>INDEX('PEDIDO JULIO'!A33:R40,1,18)</f>
        <v>0</v>
      </c>
      <c r="G695" s="8">
        <f>IFERROR(VLOOKUP($B695,'[1]INSUMO POR SEDES MARZO PRUEBA'!$B$6:$CD$109,38,0),"NO BD")</f>
        <v>4259.3877000000002</v>
      </c>
      <c r="H695" s="8"/>
      <c r="I695" s="8">
        <f t="shared" si="58"/>
        <v>0</v>
      </c>
      <c r="J695" s="14">
        <f t="shared" si="59"/>
        <v>0</v>
      </c>
      <c r="K695" s="14">
        <f t="shared" si="60"/>
        <v>0</v>
      </c>
      <c r="L695" s="14">
        <f t="shared" si="61"/>
        <v>0</v>
      </c>
    </row>
    <row r="696" spans="1:12" ht="15">
      <c r="A696" s="3">
        <v>1083</v>
      </c>
      <c r="B696" s="26">
        <v>120</v>
      </c>
      <c r="C696" s="7" t="s">
        <v>60</v>
      </c>
      <c r="D696" s="4" t="s">
        <v>61</v>
      </c>
      <c r="E696" s="6" t="s">
        <v>131</v>
      </c>
      <c r="F696" s="12">
        <f>INDEX('PEDIDO JULIO'!A33:R40,1,18)</f>
        <v>0</v>
      </c>
      <c r="G696" s="8">
        <f>IFERROR(VLOOKUP($B696,'[1]INSUMO POR SEDES MARZO PRUEBA'!$B$6:$CD$109,38,0),"NO BD")</f>
        <v>4259.3877000000002</v>
      </c>
      <c r="H696" s="8"/>
      <c r="I696" s="8">
        <f t="shared" si="58"/>
        <v>0</v>
      </c>
      <c r="J696" s="14">
        <f t="shared" si="59"/>
        <v>0</v>
      </c>
      <c r="K696" s="14">
        <f t="shared" si="60"/>
        <v>0</v>
      </c>
      <c r="L696" s="14">
        <f t="shared" si="61"/>
        <v>0</v>
      </c>
    </row>
    <row r="697" spans="1:12" ht="15">
      <c r="A697" s="3">
        <v>1084</v>
      </c>
      <c r="B697" s="26">
        <v>122</v>
      </c>
      <c r="C697" s="7" t="s">
        <v>60</v>
      </c>
      <c r="D697" s="4" t="s">
        <v>62</v>
      </c>
      <c r="E697" s="6" t="s">
        <v>131</v>
      </c>
      <c r="F697" s="12">
        <f>INDEX('PEDIDO JULIO'!A33:R41,1,18)</f>
        <v>0</v>
      </c>
      <c r="G697" s="8">
        <f>IFERROR(VLOOKUP($B697,'[1]INSUMO POR SEDES MARZO PRUEBA'!$B$6:$CD$109,38,0),"NO BD")</f>
        <v>5920.3881000000001</v>
      </c>
      <c r="H697" s="8"/>
      <c r="I697" s="8">
        <f t="shared" si="58"/>
        <v>0</v>
      </c>
      <c r="J697" s="14">
        <f t="shared" si="59"/>
        <v>0</v>
      </c>
      <c r="K697" s="14">
        <f t="shared" si="60"/>
        <v>0</v>
      </c>
      <c r="L697" s="14">
        <f t="shared" si="61"/>
        <v>0</v>
      </c>
    </row>
    <row r="698" spans="1:12" ht="15">
      <c r="A698" s="3">
        <v>1085</v>
      </c>
      <c r="B698" s="26">
        <v>123</v>
      </c>
      <c r="C698" s="7" t="s">
        <v>151</v>
      </c>
      <c r="D698" s="4" t="s">
        <v>63</v>
      </c>
      <c r="E698" s="6" t="s">
        <v>131</v>
      </c>
      <c r="F698" s="12">
        <f>INDEX('PEDIDO JULIO'!A33:R41,1,18)</f>
        <v>0</v>
      </c>
      <c r="G698" s="8">
        <f>IFERROR(VLOOKUP($B698,'[1]INSUMO POR SEDES MARZO PRUEBA'!$B$6:$CD$109,38,0),"NO BD")</f>
        <v>6169.1598000000004</v>
      </c>
      <c r="H698" s="8"/>
      <c r="I698" s="8">
        <f t="shared" si="58"/>
        <v>0</v>
      </c>
      <c r="J698" s="14">
        <f t="shared" si="59"/>
        <v>0</v>
      </c>
      <c r="K698" s="14">
        <f t="shared" si="60"/>
        <v>0</v>
      </c>
      <c r="L698" s="14">
        <f t="shared" si="61"/>
        <v>0</v>
      </c>
    </row>
    <row r="699" spans="1:12" ht="15">
      <c r="A699" s="3">
        <v>1086</v>
      </c>
      <c r="B699" s="26">
        <v>124</v>
      </c>
      <c r="C699" s="7" t="s">
        <v>160</v>
      </c>
      <c r="D699" s="4" t="s">
        <v>64</v>
      </c>
      <c r="E699" s="6" t="s">
        <v>131</v>
      </c>
      <c r="F699" s="12">
        <f>INDEX('PEDIDO JULIO'!A33:R42,1,18)</f>
        <v>0</v>
      </c>
      <c r="G699" s="8">
        <f>IFERROR(VLOOKUP($B699,'[1]INSUMO POR SEDES MARZO PRUEBA'!$B$6:$CD$109,38,0),"NO BD")</f>
        <v>5765.7860000000001</v>
      </c>
      <c r="H699" s="8"/>
      <c r="I699" s="8">
        <f t="shared" si="58"/>
        <v>0</v>
      </c>
      <c r="J699" s="14">
        <f t="shared" si="59"/>
        <v>0</v>
      </c>
      <c r="K699" s="14">
        <f t="shared" si="60"/>
        <v>0</v>
      </c>
      <c r="L699" s="14">
        <f t="shared" si="61"/>
        <v>0</v>
      </c>
    </row>
    <row r="700" spans="1:12" ht="27">
      <c r="A700" s="3">
        <v>1087</v>
      </c>
      <c r="B700" s="26">
        <v>137</v>
      </c>
      <c r="C700" s="7" t="s">
        <v>60</v>
      </c>
      <c r="D700" s="4" t="s">
        <v>65</v>
      </c>
      <c r="E700" s="6" t="s">
        <v>131</v>
      </c>
      <c r="F700" s="12">
        <f>INDEX('PEDIDO JULIO'!A33:R42,1,18)</f>
        <v>0</v>
      </c>
      <c r="G700" s="8">
        <f>IFERROR(VLOOKUP($B700,'[1]INSUMO POR SEDES MARZO PRUEBA'!$B$6:$CD$109,38,0),"NO BD")</f>
        <v>1542.7628999999999</v>
      </c>
      <c r="H700" s="8"/>
      <c r="I700" s="8">
        <f t="shared" si="58"/>
        <v>0</v>
      </c>
      <c r="J700" s="14">
        <f t="shared" si="59"/>
        <v>0</v>
      </c>
      <c r="K700" s="14">
        <f t="shared" si="60"/>
        <v>0</v>
      </c>
      <c r="L700" s="14">
        <f t="shared" si="61"/>
        <v>0</v>
      </c>
    </row>
    <row r="701" spans="1:12" ht="15">
      <c r="A701" s="3">
        <v>1088</v>
      </c>
      <c r="B701" s="26">
        <v>139</v>
      </c>
      <c r="C701" s="7" t="s">
        <v>66</v>
      </c>
      <c r="D701" s="4" t="s">
        <v>67</v>
      </c>
      <c r="E701" s="6" t="s">
        <v>131</v>
      </c>
      <c r="F701" s="12">
        <f>INDEX('PEDIDO JULIO'!A33:R42,1,18)</f>
        <v>0</v>
      </c>
      <c r="G701" s="8">
        <f>IFERROR(VLOOKUP($B701,'[1]INSUMO POR SEDES MARZO PRUEBA'!$B$6:$CD$109,38,0),"NO BD")</f>
        <v>25429.996000000003</v>
      </c>
      <c r="H701" s="8"/>
      <c r="I701" s="8">
        <f t="shared" si="58"/>
        <v>0</v>
      </c>
      <c r="J701" s="14">
        <f t="shared" si="59"/>
        <v>0</v>
      </c>
      <c r="K701" s="14">
        <f t="shared" si="60"/>
        <v>0</v>
      </c>
      <c r="L701" s="14">
        <f t="shared" si="61"/>
        <v>0</v>
      </c>
    </row>
    <row r="702" spans="1:12" ht="15">
      <c r="A702" s="3">
        <v>1089</v>
      </c>
      <c r="B702" s="26">
        <v>151</v>
      </c>
      <c r="C702" s="7" t="s">
        <v>66</v>
      </c>
      <c r="D702" s="4" t="s">
        <v>68</v>
      </c>
      <c r="E702" s="6" t="s">
        <v>131</v>
      </c>
      <c r="F702" s="12">
        <f>INDEX('PEDIDO JULIO'!A33:R42,1,18)</f>
        <v>0</v>
      </c>
      <c r="G702" s="8">
        <f>IFERROR(VLOOKUP($B702,'[1]INSUMO POR SEDES MARZO PRUEBA'!$B$6:$CD$109,38,0),"NO BD")</f>
        <v>4422.6080000000002</v>
      </c>
      <c r="H702" s="8"/>
      <c r="I702" s="8">
        <f t="shared" si="58"/>
        <v>0</v>
      </c>
      <c r="J702" s="14">
        <f t="shared" si="59"/>
        <v>0</v>
      </c>
      <c r="K702" s="14">
        <f t="shared" si="60"/>
        <v>0</v>
      </c>
      <c r="L702" s="14">
        <f t="shared" si="61"/>
        <v>0</v>
      </c>
    </row>
    <row r="703" spans="1:12" ht="15">
      <c r="A703" s="3">
        <v>1090</v>
      </c>
      <c r="B703" s="26">
        <v>155</v>
      </c>
      <c r="C703" s="7" t="s">
        <v>66</v>
      </c>
      <c r="D703" s="4" t="s">
        <v>69</v>
      </c>
      <c r="E703" s="6" t="s">
        <v>131</v>
      </c>
      <c r="F703" s="12">
        <f>INDEX('PEDIDO JULIO'!A33:R43,1,18)</f>
        <v>0</v>
      </c>
      <c r="G703" s="8">
        <f>IFERROR(VLOOKUP($B703,'[1]INSUMO POR SEDES MARZO PRUEBA'!$B$6:$CD$109,38,0),"NO BD")</f>
        <v>3703.7239999999997</v>
      </c>
      <c r="H703" s="8"/>
      <c r="I703" s="8">
        <f t="shared" si="58"/>
        <v>0</v>
      </c>
      <c r="J703" s="14">
        <f t="shared" ref="J703:J729" si="62">+I703*10%</f>
        <v>0</v>
      </c>
      <c r="K703" s="14">
        <f t="shared" ref="K703:K729" si="63">+J703*19%</f>
        <v>0</v>
      </c>
      <c r="L703" s="14">
        <f t="shared" ref="L703:L729" si="64">SUM(I703:K703)</f>
        <v>0</v>
      </c>
    </row>
    <row r="704" spans="1:12" ht="15">
      <c r="A704" s="3">
        <v>1091</v>
      </c>
      <c r="B704" s="26">
        <v>156</v>
      </c>
      <c r="C704" s="7" t="s">
        <v>66</v>
      </c>
      <c r="D704" s="4" t="s">
        <v>70</v>
      </c>
      <c r="E704" s="6" t="s">
        <v>131</v>
      </c>
      <c r="F704" s="12">
        <f>INDEX('PEDIDO JULIO'!A33:R43,1,18)</f>
        <v>0</v>
      </c>
      <c r="G704" s="8">
        <f>IFERROR(VLOOKUP($B704,'[1]INSUMO POR SEDES MARZO PRUEBA'!$B$6:$CD$109,38,0),"NO BD")</f>
        <v>4422.6080000000002</v>
      </c>
      <c r="H704" s="8"/>
      <c r="I704" s="8">
        <f t="shared" si="58"/>
        <v>0</v>
      </c>
      <c r="J704" s="14">
        <f t="shared" si="62"/>
        <v>0</v>
      </c>
      <c r="K704" s="14">
        <f t="shared" si="63"/>
        <v>0</v>
      </c>
      <c r="L704" s="14">
        <f t="shared" si="64"/>
        <v>0</v>
      </c>
    </row>
    <row r="705" spans="1:12" ht="15">
      <c r="A705" s="3">
        <v>1092</v>
      </c>
      <c r="B705" s="26">
        <v>157</v>
      </c>
      <c r="C705" s="7" t="s">
        <v>66</v>
      </c>
      <c r="D705" s="4" t="s">
        <v>71</v>
      </c>
      <c r="E705" s="6" t="s">
        <v>131</v>
      </c>
      <c r="F705" s="12">
        <f>INDEX('PEDIDO JULIO'!A33:R43,1,18)</f>
        <v>0</v>
      </c>
      <c r="G705" s="8">
        <f>IFERROR(VLOOKUP($B705,'[1]INSUMO POR SEDES MARZO PRUEBA'!$B$6:$CD$109,38,0),"NO BD")</f>
        <v>5970.7309999999998</v>
      </c>
      <c r="H705" s="8"/>
      <c r="I705" s="8">
        <f t="shared" si="58"/>
        <v>0</v>
      </c>
      <c r="J705" s="14">
        <f t="shared" si="62"/>
        <v>0</v>
      </c>
      <c r="K705" s="14">
        <f t="shared" si="63"/>
        <v>0</v>
      </c>
      <c r="L705" s="14">
        <f t="shared" si="64"/>
        <v>0</v>
      </c>
    </row>
    <row r="706" spans="1:12" ht="15">
      <c r="A706" s="3">
        <v>1093</v>
      </c>
      <c r="B706" s="31">
        <v>159</v>
      </c>
      <c r="C706" s="7" t="s">
        <v>66</v>
      </c>
      <c r="D706" s="4" t="s">
        <v>72</v>
      </c>
      <c r="E706" s="6" t="s">
        <v>131</v>
      </c>
      <c r="F706" s="12">
        <f>INDEX('PEDIDO JULIO'!A33:R44,1,18)</f>
        <v>0</v>
      </c>
      <c r="G706" s="8">
        <f>IFERROR(VLOOKUP($B706,'[1]INSUMO POR SEDES MARZO PRUEBA'!$B$6:$CD$109,38,0),"NO BD")</f>
        <v>6716.8359</v>
      </c>
      <c r="H706" s="8"/>
      <c r="I706" s="8">
        <f t="shared" si="58"/>
        <v>0</v>
      </c>
      <c r="J706" s="14">
        <f t="shared" si="62"/>
        <v>0</v>
      </c>
      <c r="K706" s="14">
        <f t="shared" si="63"/>
        <v>0</v>
      </c>
      <c r="L706" s="14">
        <f t="shared" si="64"/>
        <v>0</v>
      </c>
    </row>
    <row r="707" spans="1:12" ht="15">
      <c r="A707" s="3">
        <v>1094</v>
      </c>
      <c r="B707" s="26">
        <v>160</v>
      </c>
      <c r="C707" s="7" t="s">
        <v>158</v>
      </c>
      <c r="D707" s="4" t="s">
        <v>73</v>
      </c>
      <c r="E707" s="6" t="s">
        <v>131</v>
      </c>
      <c r="F707" s="12">
        <f>INDEX('PEDIDO JULIO'!A33:R44,1,18)</f>
        <v>0</v>
      </c>
      <c r="G707" s="8">
        <f>IFERROR(VLOOKUP($B707,'[1]INSUMO POR SEDES MARZO PRUEBA'!$B$6:$CD$109,38,0),"NO BD")</f>
        <v>3035.3931000000002</v>
      </c>
      <c r="H707" s="8"/>
      <c r="I707" s="8">
        <f t="shared" si="58"/>
        <v>0</v>
      </c>
      <c r="J707" s="14">
        <f t="shared" si="62"/>
        <v>0</v>
      </c>
      <c r="K707" s="14">
        <f t="shared" si="63"/>
        <v>0</v>
      </c>
      <c r="L707" s="14">
        <f t="shared" si="64"/>
        <v>0</v>
      </c>
    </row>
    <row r="708" spans="1:12" ht="15">
      <c r="A708" s="3">
        <v>1095</v>
      </c>
      <c r="B708" s="26">
        <v>162</v>
      </c>
      <c r="C708" s="7" t="s">
        <v>158</v>
      </c>
      <c r="D708" s="4" t="s">
        <v>74</v>
      </c>
      <c r="E708" s="6" t="s">
        <v>131</v>
      </c>
      <c r="F708" s="12">
        <f>INDEX('PEDIDO JULIO'!A33:R44,1,18)</f>
        <v>0</v>
      </c>
      <c r="G708" s="8">
        <f>IFERROR(VLOOKUP($B708,'[1]INSUMO POR SEDES MARZO PRUEBA'!$B$6:$CD$109,38,0),"NO BD")</f>
        <v>2684.2539999999999</v>
      </c>
      <c r="H708" s="8"/>
      <c r="I708" s="8">
        <f t="shared" si="58"/>
        <v>0</v>
      </c>
      <c r="J708" s="14">
        <f t="shared" si="62"/>
        <v>0</v>
      </c>
      <c r="K708" s="14">
        <f t="shared" si="63"/>
        <v>0</v>
      </c>
      <c r="L708" s="14">
        <f t="shared" si="64"/>
        <v>0</v>
      </c>
    </row>
    <row r="709" spans="1:12" ht="15">
      <c r="A709" s="3">
        <v>1096</v>
      </c>
      <c r="B709" s="26">
        <v>164</v>
      </c>
      <c r="C709" s="7" t="s">
        <v>158</v>
      </c>
      <c r="D709" s="4" t="s">
        <v>75</v>
      </c>
      <c r="E709" s="6" t="s">
        <v>131</v>
      </c>
      <c r="F709" s="12">
        <f>INDEX('PEDIDO JULIO'!A33:R44,1,18)</f>
        <v>0</v>
      </c>
      <c r="G709" s="8">
        <f>IFERROR(VLOOKUP($B709,'[1]INSUMO POR SEDES MARZO PRUEBA'!$B$6:$CD$109,38,0),"NO BD")</f>
        <v>0</v>
      </c>
      <c r="H709" s="8"/>
      <c r="I709" s="8">
        <f t="shared" si="58"/>
        <v>0</v>
      </c>
      <c r="J709" s="14">
        <f t="shared" si="62"/>
        <v>0</v>
      </c>
      <c r="K709" s="14">
        <f t="shared" si="63"/>
        <v>0</v>
      </c>
      <c r="L709" s="14">
        <f t="shared" si="64"/>
        <v>0</v>
      </c>
    </row>
    <row r="710" spans="1:12" ht="15">
      <c r="A710" s="3">
        <v>1097</v>
      </c>
      <c r="B710" s="26">
        <v>169</v>
      </c>
      <c r="C710" s="7" t="s">
        <v>158</v>
      </c>
      <c r="D710" s="4" t="s">
        <v>76</v>
      </c>
      <c r="E710" s="6" t="s">
        <v>131</v>
      </c>
      <c r="F710" s="12">
        <f>INDEX('PEDIDO JULIO'!A33:R45,1,18)</f>
        <v>0</v>
      </c>
      <c r="G710" s="8">
        <f>IFERROR(VLOOKUP($B710,'[1]INSUMO POR SEDES MARZO PRUEBA'!$B$6:$CD$109,38,0),"NO BD")</f>
        <v>85897.178999999989</v>
      </c>
      <c r="H710" s="8"/>
      <c r="I710" s="8">
        <f t="shared" ref="I710:I773" si="65">+F710*G710</f>
        <v>0</v>
      </c>
      <c r="J710" s="14">
        <f t="shared" si="62"/>
        <v>0</v>
      </c>
      <c r="K710" s="14">
        <f t="shared" si="63"/>
        <v>0</v>
      </c>
      <c r="L710" s="14">
        <f t="shared" si="64"/>
        <v>0</v>
      </c>
    </row>
    <row r="711" spans="1:12" ht="15">
      <c r="A711" s="3">
        <v>1098</v>
      </c>
      <c r="B711" s="26">
        <v>170</v>
      </c>
      <c r="C711" s="7" t="s">
        <v>158</v>
      </c>
      <c r="D711" s="4" t="s">
        <v>77</v>
      </c>
      <c r="E711" s="6" t="s">
        <v>131</v>
      </c>
      <c r="F711" s="12">
        <f>INDEX('PEDIDO JULIO'!A33:R46,1,18)</f>
        <v>0</v>
      </c>
      <c r="G711" s="8">
        <f>IFERROR(VLOOKUP($B711,'[1]INSUMO POR SEDES MARZO PRUEBA'!$B$6:$CD$109,38,0),"NO BD")</f>
        <v>45575.353799999997</v>
      </c>
      <c r="H711" s="8"/>
      <c r="I711" s="8">
        <f t="shared" si="65"/>
        <v>0</v>
      </c>
      <c r="J711" s="14">
        <f t="shared" si="62"/>
        <v>0</v>
      </c>
      <c r="K711" s="14">
        <f t="shared" si="63"/>
        <v>0</v>
      </c>
      <c r="L711" s="14">
        <f t="shared" si="64"/>
        <v>0</v>
      </c>
    </row>
    <row r="712" spans="1:12" ht="15">
      <c r="A712" s="3">
        <v>1099</v>
      </c>
      <c r="B712" s="26">
        <v>174</v>
      </c>
      <c r="C712" s="7" t="s">
        <v>158</v>
      </c>
      <c r="D712" s="4" t="s">
        <v>78</v>
      </c>
      <c r="E712" s="6" t="s">
        <v>131</v>
      </c>
      <c r="F712" s="12">
        <f>INDEX('PEDIDO JULIO'!A33:R47,1,18)</f>
        <v>0</v>
      </c>
      <c r="G712" s="8">
        <f>IFERROR(VLOOKUP($B712,'[1]INSUMO POR SEDES MARZO PRUEBA'!$B$6:$CD$109,38,0),"NO BD")</f>
        <v>10050.1875</v>
      </c>
      <c r="H712" s="8"/>
      <c r="I712" s="8">
        <f t="shared" si="65"/>
        <v>0</v>
      </c>
      <c r="J712" s="14">
        <f t="shared" si="62"/>
        <v>0</v>
      </c>
      <c r="K712" s="14">
        <f t="shared" si="63"/>
        <v>0</v>
      </c>
      <c r="L712" s="14">
        <f t="shared" si="64"/>
        <v>0</v>
      </c>
    </row>
    <row r="713" spans="1:12" ht="15">
      <c r="A713" s="3">
        <v>1100</v>
      </c>
      <c r="B713" s="26">
        <v>192</v>
      </c>
      <c r="C713" s="7" t="s">
        <v>158</v>
      </c>
      <c r="D713" s="4" t="s">
        <v>79</v>
      </c>
      <c r="E713" s="6" t="s">
        <v>131</v>
      </c>
      <c r="F713" s="12">
        <f>INDEX('PEDIDO JULIO'!A33:R47,1,18)</f>
        <v>0</v>
      </c>
      <c r="G713" s="8">
        <f>IFERROR(VLOOKUP($B713,'[1]INSUMO POR SEDES MARZO PRUEBA'!$B$6:$CD$109,38,0),"NO BD")</f>
        <v>6866.2880999999998</v>
      </c>
      <c r="H713" s="8"/>
      <c r="I713" s="8">
        <f t="shared" si="65"/>
        <v>0</v>
      </c>
      <c r="J713" s="14">
        <f t="shared" si="62"/>
        <v>0</v>
      </c>
      <c r="K713" s="14">
        <f t="shared" si="63"/>
        <v>0</v>
      </c>
      <c r="L713" s="14">
        <f t="shared" si="64"/>
        <v>0</v>
      </c>
    </row>
    <row r="714" spans="1:12" ht="15">
      <c r="A714" s="3">
        <v>1101</v>
      </c>
      <c r="B714" s="26">
        <v>195</v>
      </c>
      <c r="C714" s="7" t="s">
        <v>158</v>
      </c>
      <c r="D714" s="4" t="s">
        <v>80</v>
      </c>
      <c r="E714" s="6" t="s">
        <v>131</v>
      </c>
      <c r="F714" s="12">
        <f>INDEX('PEDIDO JULIO'!A33:R47,1,18)</f>
        <v>0</v>
      </c>
      <c r="G714" s="8">
        <f>IFERROR(VLOOKUP($B714,'[1]INSUMO POR SEDES MARZO PRUEBA'!$B$6:$CD$109,38,0),"NO BD")</f>
        <v>6431.0690000000004</v>
      </c>
      <c r="H714" s="8"/>
      <c r="I714" s="8">
        <f t="shared" si="65"/>
        <v>0</v>
      </c>
      <c r="J714" s="14">
        <f t="shared" si="62"/>
        <v>0</v>
      </c>
      <c r="K714" s="14">
        <f t="shared" si="63"/>
        <v>0</v>
      </c>
      <c r="L714" s="14">
        <f t="shared" si="64"/>
        <v>0</v>
      </c>
    </row>
    <row r="715" spans="1:12" ht="15">
      <c r="A715" s="3">
        <v>1102</v>
      </c>
      <c r="B715" s="26">
        <v>204</v>
      </c>
      <c r="C715" s="7" t="s">
        <v>158</v>
      </c>
      <c r="D715" s="4" t="s">
        <v>81</v>
      </c>
      <c r="E715" s="6" t="s">
        <v>131</v>
      </c>
      <c r="F715" s="12">
        <f>INDEX('PEDIDO JULIO'!A33:R47,1,18)</f>
        <v>0</v>
      </c>
      <c r="G715" s="8">
        <f>IFERROR(VLOOKUP($B715,'[1]INSUMO POR SEDES MARZO PRUEBA'!$B$6:$CD$109,38,0),"NO BD")</f>
        <v>14760.243999999999</v>
      </c>
      <c r="H715" s="8"/>
      <c r="I715" s="8">
        <f t="shared" si="65"/>
        <v>0</v>
      </c>
      <c r="J715" s="14">
        <f t="shared" si="62"/>
        <v>0</v>
      </c>
      <c r="K715" s="14">
        <f t="shared" si="63"/>
        <v>0</v>
      </c>
      <c r="L715" s="14">
        <f t="shared" si="64"/>
        <v>0</v>
      </c>
    </row>
    <row r="716" spans="1:12" ht="15">
      <c r="A716" s="3">
        <v>1103</v>
      </c>
      <c r="B716" s="26">
        <v>205</v>
      </c>
      <c r="C716" s="7" t="s">
        <v>158</v>
      </c>
      <c r="D716" s="4" t="s">
        <v>82</v>
      </c>
      <c r="E716" s="6" t="s">
        <v>131</v>
      </c>
      <c r="F716" s="12">
        <f>INDEX('PEDIDO JULIO'!A33:R47,1,18)</f>
        <v>0</v>
      </c>
      <c r="G716" s="8">
        <f>IFERROR(VLOOKUP($B716,'[1]INSUMO POR SEDES MARZO PRUEBA'!$B$6:$CD$109,38,0),"NO BD")</f>
        <v>32639.225399999996</v>
      </c>
      <c r="H716" s="8"/>
      <c r="I716" s="8">
        <f t="shared" si="65"/>
        <v>0</v>
      </c>
      <c r="J716" s="14">
        <f t="shared" si="62"/>
        <v>0</v>
      </c>
      <c r="K716" s="14">
        <f t="shared" si="63"/>
        <v>0</v>
      </c>
      <c r="L716" s="14">
        <f t="shared" si="64"/>
        <v>0</v>
      </c>
    </row>
    <row r="717" spans="1:12" ht="15">
      <c r="A717" s="3">
        <v>1104</v>
      </c>
      <c r="B717" s="26">
        <v>207</v>
      </c>
      <c r="C717" s="7" t="s">
        <v>158</v>
      </c>
      <c r="D717" s="4" t="s">
        <v>83</v>
      </c>
      <c r="E717" s="6" t="s">
        <v>131</v>
      </c>
      <c r="F717" s="12">
        <f>INDEX('PEDIDO JULIO'!A33:R47,1,18)</f>
        <v>0</v>
      </c>
      <c r="G717" s="8">
        <f>IFERROR(VLOOKUP($B717,'[1]INSUMO POR SEDES MARZO PRUEBA'!$B$6:$CD$109,38,0),"NO BD")</f>
        <v>0</v>
      </c>
      <c r="H717" s="8"/>
      <c r="I717" s="8">
        <f t="shared" si="65"/>
        <v>0</v>
      </c>
      <c r="J717" s="14">
        <f t="shared" si="62"/>
        <v>0</v>
      </c>
      <c r="K717" s="14">
        <f t="shared" si="63"/>
        <v>0</v>
      </c>
      <c r="L717" s="14">
        <f t="shared" si="64"/>
        <v>0</v>
      </c>
    </row>
    <row r="718" spans="1:12" ht="15">
      <c r="A718" s="3">
        <v>1105</v>
      </c>
      <c r="B718" s="26">
        <v>212</v>
      </c>
      <c r="C718" s="7" t="s">
        <v>158</v>
      </c>
      <c r="D718" s="4" t="s">
        <v>84</v>
      </c>
      <c r="E718" s="6" t="s">
        <v>131</v>
      </c>
      <c r="F718" s="12">
        <f>INDEX('PEDIDO JULIO'!A33:R47,1,18)</f>
        <v>0</v>
      </c>
      <c r="G718" s="8">
        <f>IFERROR(VLOOKUP($B718,'[1]INSUMO POR SEDES MARZO PRUEBA'!$B$6:$CD$109,38,0),"NO BD")</f>
        <v>0</v>
      </c>
      <c r="H718" s="8"/>
      <c r="I718" s="8">
        <f t="shared" si="65"/>
        <v>0</v>
      </c>
      <c r="J718" s="14">
        <f t="shared" si="62"/>
        <v>0</v>
      </c>
      <c r="K718" s="14">
        <f t="shared" si="63"/>
        <v>0</v>
      </c>
      <c r="L718" s="14">
        <f t="shared" si="64"/>
        <v>0</v>
      </c>
    </row>
    <row r="719" spans="1:12" ht="15">
      <c r="A719" s="3">
        <v>1106</v>
      </c>
      <c r="B719" s="26">
        <v>218</v>
      </c>
      <c r="C719" s="7" t="s">
        <v>158</v>
      </c>
      <c r="D719" s="4" t="s">
        <v>85</v>
      </c>
      <c r="E719" s="6" t="s">
        <v>131</v>
      </c>
      <c r="F719" s="12">
        <f>INDEX('PEDIDO JULIO'!A33:R47,1,18)</f>
        <v>0</v>
      </c>
      <c r="G719" s="8">
        <f>IFERROR(VLOOKUP($B719,'[1]INSUMO POR SEDES MARZO PRUEBA'!$B$6:$CD$109,38,0),"NO BD")</f>
        <v>1437.768</v>
      </c>
      <c r="H719" s="8"/>
      <c r="I719" s="8">
        <f t="shared" si="65"/>
        <v>0</v>
      </c>
      <c r="J719" s="14">
        <f t="shared" si="62"/>
        <v>0</v>
      </c>
      <c r="K719" s="14">
        <f t="shared" si="63"/>
        <v>0</v>
      </c>
      <c r="L719" s="14">
        <f t="shared" si="64"/>
        <v>0</v>
      </c>
    </row>
    <row r="720" spans="1:12" ht="15">
      <c r="A720" s="3">
        <v>1107</v>
      </c>
      <c r="B720" s="26">
        <v>251</v>
      </c>
      <c r="C720" s="7" t="s">
        <v>152</v>
      </c>
      <c r="D720" s="4" t="s">
        <v>86</v>
      </c>
      <c r="E720" s="6" t="s">
        <v>131</v>
      </c>
      <c r="F720" s="12">
        <f>INDEX('PEDIDO JULIO'!A33:R47,1,18)</f>
        <v>0</v>
      </c>
      <c r="G720" s="8">
        <f>IFERROR(VLOOKUP($B720,'[1]INSUMO POR SEDES MARZO PRUEBA'!$B$6:$CD$109,38,0),"NO BD")</f>
        <v>0</v>
      </c>
      <c r="H720" s="8"/>
      <c r="I720" s="8">
        <f t="shared" si="65"/>
        <v>0</v>
      </c>
      <c r="J720" s="14">
        <f t="shared" si="62"/>
        <v>0</v>
      </c>
      <c r="K720" s="14">
        <f t="shared" si="63"/>
        <v>0</v>
      </c>
      <c r="L720" s="14">
        <f t="shared" si="64"/>
        <v>0</v>
      </c>
    </row>
    <row r="721" spans="1:12" ht="15">
      <c r="A721" s="3">
        <v>1145</v>
      </c>
      <c r="B721" s="26">
        <v>3</v>
      </c>
      <c r="C721" s="7" t="s">
        <v>155</v>
      </c>
      <c r="D721" s="4" t="s">
        <v>5</v>
      </c>
      <c r="E721" s="6" t="s">
        <v>132</v>
      </c>
      <c r="F721" s="12">
        <f>INDEX('PEDIDO JULIO'!A10:S32,1,19)</f>
        <v>0</v>
      </c>
      <c r="G721" s="8">
        <f>IFERROR(VLOOKUP($B721,'[1]INSUMO POR SEDES MARZO PRUEBA'!$B$6:$CD$109,41,0),"NO BD")</f>
        <v>7268.7160000000003</v>
      </c>
      <c r="H721" s="8"/>
      <c r="I721" s="8">
        <f t="shared" si="65"/>
        <v>0</v>
      </c>
      <c r="J721" s="14">
        <f t="shared" si="62"/>
        <v>0</v>
      </c>
      <c r="K721" s="14">
        <f t="shared" si="63"/>
        <v>0</v>
      </c>
      <c r="L721" s="14">
        <f t="shared" si="64"/>
        <v>0</v>
      </c>
    </row>
    <row r="722" spans="1:12" ht="15">
      <c r="A722" s="3">
        <v>1146</v>
      </c>
      <c r="B722" s="26">
        <v>5</v>
      </c>
      <c r="C722" s="7" t="s">
        <v>6</v>
      </c>
      <c r="D722" s="4" t="s">
        <v>7</v>
      </c>
      <c r="E722" s="6" t="s">
        <v>132</v>
      </c>
      <c r="F722" s="12">
        <f>INDEX('PEDIDO JULIO'!A10:S32,1,19)</f>
        <v>0</v>
      </c>
      <c r="G722" s="8">
        <f>IFERROR(VLOOKUP($B722,'[1]INSUMO POR SEDES MARZO PRUEBA'!$B$6:$CD$109,41,0),"NO BD")</f>
        <v>6494.1289999999999</v>
      </c>
      <c r="H722" s="8"/>
      <c r="I722" s="8">
        <f t="shared" si="65"/>
        <v>0</v>
      </c>
      <c r="J722" s="14">
        <f t="shared" si="62"/>
        <v>0</v>
      </c>
      <c r="K722" s="14">
        <f t="shared" si="63"/>
        <v>0</v>
      </c>
      <c r="L722" s="14">
        <f t="shared" si="64"/>
        <v>0</v>
      </c>
    </row>
    <row r="723" spans="1:12" ht="15">
      <c r="A723" s="3">
        <v>1147</v>
      </c>
      <c r="B723" s="26">
        <v>8</v>
      </c>
      <c r="C723" s="7" t="s">
        <v>6</v>
      </c>
      <c r="D723" s="4" t="s">
        <v>8</v>
      </c>
      <c r="E723" s="6" t="s">
        <v>132</v>
      </c>
      <c r="F723" s="12">
        <f>INDEX('PEDIDO JULIO'!A10:S33,1,19)</f>
        <v>0</v>
      </c>
      <c r="G723" s="8">
        <f>IFERROR(VLOOKUP($B723,'[1]INSUMO POR SEDES MARZO PRUEBA'!$B$6:$CD$109,41,0),"NO BD")</f>
        <v>2211.3040000000001</v>
      </c>
      <c r="H723" s="8"/>
      <c r="I723" s="8">
        <f t="shared" si="65"/>
        <v>0</v>
      </c>
      <c r="J723" s="14">
        <f t="shared" si="62"/>
        <v>0</v>
      </c>
      <c r="K723" s="14">
        <f t="shared" si="63"/>
        <v>0</v>
      </c>
      <c r="L723" s="14">
        <f t="shared" si="64"/>
        <v>0</v>
      </c>
    </row>
    <row r="724" spans="1:12" ht="15">
      <c r="A724" s="3">
        <v>1148</v>
      </c>
      <c r="B724" s="26">
        <v>9</v>
      </c>
      <c r="C724" s="7" t="s">
        <v>9</v>
      </c>
      <c r="D724" s="4" t="s">
        <v>10</v>
      </c>
      <c r="E724" s="6" t="s">
        <v>132</v>
      </c>
      <c r="F724" s="12">
        <f>INDEX('PEDIDO JULIO'!A10:S33,1,19)</f>
        <v>0</v>
      </c>
      <c r="G724" s="8">
        <f>IFERROR(VLOOKUP($B724,'[1]INSUMO POR SEDES MARZO PRUEBA'!$B$6:$CD$109,41,0),"NO BD")</f>
        <v>3298.0379999999996</v>
      </c>
      <c r="H724" s="8"/>
      <c r="I724" s="8">
        <f t="shared" si="65"/>
        <v>0</v>
      </c>
      <c r="J724" s="14">
        <f t="shared" si="62"/>
        <v>0</v>
      </c>
      <c r="K724" s="14">
        <f t="shared" si="63"/>
        <v>0</v>
      </c>
      <c r="L724" s="14">
        <f t="shared" si="64"/>
        <v>0</v>
      </c>
    </row>
    <row r="725" spans="1:12" ht="15">
      <c r="A725" s="3">
        <v>1149</v>
      </c>
      <c r="B725" s="26">
        <v>13</v>
      </c>
      <c r="C725" s="7" t="s">
        <v>156</v>
      </c>
      <c r="D725" s="5" t="s">
        <v>11</v>
      </c>
      <c r="E725" s="6" t="s">
        <v>132</v>
      </c>
      <c r="F725" s="12">
        <f>INDEX('PEDIDO JULIO'!A11:S33,1,19)</f>
        <v>0</v>
      </c>
      <c r="G725" s="8">
        <f>IFERROR(VLOOKUP($B725,'[1]INSUMO POR SEDES MARZO PRUEBA'!$B$6:$CD$109,41,0),"NO BD")</f>
        <v>6507.7919999999995</v>
      </c>
      <c r="H725" s="8"/>
      <c r="I725" s="8">
        <f t="shared" si="65"/>
        <v>0</v>
      </c>
      <c r="J725" s="14">
        <f t="shared" si="62"/>
        <v>0</v>
      </c>
      <c r="K725" s="14">
        <f t="shared" si="63"/>
        <v>0</v>
      </c>
      <c r="L725" s="14">
        <f t="shared" si="64"/>
        <v>0</v>
      </c>
    </row>
    <row r="726" spans="1:12" ht="27">
      <c r="A726" s="3">
        <v>1150</v>
      </c>
      <c r="B726" s="26">
        <v>17</v>
      </c>
      <c r="C726" s="7" t="s">
        <v>157</v>
      </c>
      <c r="D726" s="4" t="s">
        <v>12</v>
      </c>
      <c r="E726" s="6" t="s">
        <v>132</v>
      </c>
      <c r="F726" s="12">
        <f>INDEX('PEDIDO JULIO'!A12:S33,1,19)</f>
        <v>0</v>
      </c>
      <c r="G726" s="8">
        <f>IFERROR(VLOOKUP($B726,'[1]INSUMO POR SEDES MARZO PRUEBA'!$B$6:$CD$109,41,0),"NO BD")</f>
        <v>5647.0229999999992</v>
      </c>
      <c r="H726" s="8"/>
      <c r="I726" s="8">
        <f t="shared" si="65"/>
        <v>0</v>
      </c>
      <c r="J726" s="14">
        <f t="shared" si="62"/>
        <v>0</v>
      </c>
      <c r="K726" s="14">
        <f t="shared" si="63"/>
        <v>0</v>
      </c>
      <c r="L726" s="14">
        <f t="shared" si="64"/>
        <v>0</v>
      </c>
    </row>
    <row r="727" spans="1:12" ht="15">
      <c r="A727" s="3">
        <v>1151</v>
      </c>
      <c r="B727" s="31">
        <v>20</v>
      </c>
      <c r="C727" s="7" t="s">
        <v>13</v>
      </c>
      <c r="D727" s="4" t="s">
        <v>14</v>
      </c>
      <c r="E727" s="6" t="s">
        <v>132</v>
      </c>
      <c r="F727" s="12">
        <f>INDEX('PEDIDO JULIO'!A12:S33,1,19)</f>
        <v>0</v>
      </c>
      <c r="G727" s="8">
        <f>IFERROR(VLOOKUP($B727,'[1]INSUMO POR SEDES MARZO PRUEBA'!$B$6:$CD$109,41,0),"NO BD")</f>
        <v>0</v>
      </c>
      <c r="H727" s="8"/>
      <c r="I727" s="8">
        <f t="shared" si="65"/>
        <v>0</v>
      </c>
      <c r="J727" s="14">
        <f t="shared" si="62"/>
        <v>0</v>
      </c>
      <c r="K727" s="14">
        <f t="shared" si="63"/>
        <v>0</v>
      </c>
      <c r="L727" s="14">
        <f t="shared" si="64"/>
        <v>0</v>
      </c>
    </row>
    <row r="728" spans="1:12" ht="27">
      <c r="A728" s="3">
        <v>1152</v>
      </c>
      <c r="B728" s="26">
        <v>21</v>
      </c>
      <c r="C728" s="7" t="s">
        <v>13</v>
      </c>
      <c r="D728" s="4" t="s">
        <v>15</v>
      </c>
      <c r="E728" s="6" t="s">
        <v>132</v>
      </c>
      <c r="F728" s="12">
        <f>INDEX('PEDIDO JULIO'!A13:S34,1,19)</f>
        <v>0</v>
      </c>
      <c r="G728" s="8">
        <f>IFERROR(VLOOKUP($B728,'[1]INSUMO POR SEDES MARZO PRUEBA'!$B$6:$CD$109,41,0),"NO BD")</f>
        <v>5932.8950000000013</v>
      </c>
      <c r="H728" s="8"/>
      <c r="I728" s="8">
        <f t="shared" si="65"/>
        <v>0</v>
      </c>
      <c r="J728" s="14">
        <f t="shared" si="62"/>
        <v>0</v>
      </c>
      <c r="K728" s="14">
        <f t="shared" si="63"/>
        <v>0</v>
      </c>
      <c r="L728" s="14">
        <f t="shared" si="64"/>
        <v>0</v>
      </c>
    </row>
    <row r="729" spans="1:12" ht="15">
      <c r="A729" s="3">
        <v>1153</v>
      </c>
      <c r="B729" s="26">
        <v>28</v>
      </c>
      <c r="C729" s="7" t="s">
        <v>16</v>
      </c>
      <c r="D729" s="4" t="s">
        <v>17</v>
      </c>
      <c r="E729" s="6" t="s">
        <v>132</v>
      </c>
      <c r="F729" s="12">
        <f>INDEX('PEDIDO JULIO'!A14:S34,1,19)</f>
        <v>0</v>
      </c>
      <c r="G729" s="8">
        <f>IFERROR(VLOOKUP($B729,'[1]INSUMO POR SEDES MARZO PRUEBA'!$B$6:$CD$109,41,0),"NO BD")</f>
        <v>2764.13</v>
      </c>
      <c r="H729" s="8"/>
      <c r="I729" s="8">
        <f t="shared" si="65"/>
        <v>0</v>
      </c>
      <c r="J729" s="14">
        <f t="shared" si="62"/>
        <v>0</v>
      </c>
      <c r="K729" s="14">
        <f t="shared" si="63"/>
        <v>0</v>
      </c>
      <c r="L729" s="14">
        <f t="shared" si="64"/>
        <v>0</v>
      </c>
    </row>
    <row r="730" spans="1:12" ht="27">
      <c r="A730" s="3">
        <v>1154</v>
      </c>
      <c r="B730" s="26">
        <v>29</v>
      </c>
      <c r="C730" s="7" t="s">
        <v>18</v>
      </c>
      <c r="D730" s="4" t="s">
        <v>19</v>
      </c>
      <c r="E730" s="6" t="s">
        <v>132</v>
      </c>
      <c r="F730" s="12">
        <f>INDEX('PEDIDO JULIO'!A15:S34,1,19)</f>
        <v>0</v>
      </c>
      <c r="G730" s="8">
        <f>IFERROR(VLOOKUP($B730,'[1]INSUMO POR SEDES MARZO PRUEBA'!$B$6:$CD$109,41,0),"NO BD")</f>
        <v>4829.3450000000012</v>
      </c>
      <c r="H730" s="8"/>
      <c r="I730" s="8">
        <f t="shared" si="65"/>
        <v>0</v>
      </c>
      <c r="J730" s="14">
        <f t="shared" ref="J730:J785" si="66">+I730*10%</f>
        <v>0</v>
      </c>
      <c r="K730" s="14">
        <f t="shared" ref="K730:K785" si="67">+J730*19%</f>
        <v>0</v>
      </c>
      <c r="L730" s="14">
        <f t="shared" ref="L730:L785" si="68">SUM(I730:K730)</f>
        <v>0</v>
      </c>
    </row>
    <row r="731" spans="1:12" ht="27">
      <c r="A731" s="3">
        <v>1155</v>
      </c>
      <c r="B731" s="26">
        <v>32</v>
      </c>
      <c r="C731" s="7" t="s">
        <v>20</v>
      </c>
      <c r="D731" s="4" t="s">
        <v>21</v>
      </c>
      <c r="E731" s="6" t="s">
        <v>132</v>
      </c>
      <c r="F731" s="12">
        <f>INDEX('PEDIDO JULIO'!A16:S34,1,19)</f>
        <v>0</v>
      </c>
      <c r="G731" s="8">
        <f>IFERROR(VLOOKUP($B731,'[1]INSUMO POR SEDES MARZO PRUEBA'!$B$6:$CD$109,41,0),"NO BD")</f>
        <v>4115.7160000000003</v>
      </c>
      <c r="H731" s="8"/>
      <c r="I731" s="8">
        <f t="shared" si="65"/>
        <v>0</v>
      </c>
      <c r="J731" s="14">
        <f t="shared" si="66"/>
        <v>0</v>
      </c>
      <c r="K731" s="14">
        <f t="shared" si="67"/>
        <v>0</v>
      </c>
      <c r="L731" s="14">
        <f t="shared" si="68"/>
        <v>0</v>
      </c>
    </row>
    <row r="732" spans="1:12" ht="27">
      <c r="A732" s="3">
        <v>1156</v>
      </c>
      <c r="B732" s="26">
        <v>38</v>
      </c>
      <c r="C732" s="7" t="s">
        <v>22</v>
      </c>
      <c r="D732" s="4" t="s">
        <v>23</v>
      </c>
      <c r="E732" s="6" t="s">
        <v>132</v>
      </c>
      <c r="F732" s="12">
        <f>INDEX('PEDIDO JULIO'!A17:S34,1,19)</f>
        <v>0</v>
      </c>
      <c r="G732" s="8">
        <f>IFERROR(VLOOKUP($B732,'[1]INSUMO POR SEDES MARZO PRUEBA'!$B$6:$CD$109,41,0),"NO BD")</f>
        <v>15622.484399999999</v>
      </c>
      <c r="H732" s="8"/>
      <c r="I732" s="8">
        <f t="shared" si="65"/>
        <v>0</v>
      </c>
      <c r="J732" s="14">
        <f t="shared" si="66"/>
        <v>0</v>
      </c>
      <c r="K732" s="14">
        <f t="shared" si="67"/>
        <v>0</v>
      </c>
      <c r="L732" s="14">
        <f t="shared" si="68"/>
        <v>0</v>
      </c>
    </row>
    <row r="733" spans="1:12" ht="15">
      <c r="A733" s="3">
        <v>1157</v>
      </c>
      <c r="B733" s="26">
        <v>44</v>
      </c>
      <c r="C733" s="7" t="s">
        <v>18</v>
      </c>
      <c r="D733" s="4" t="s">
        <v>24</v>
      </c>
      <c r="E733" s="6" t="s">
        <v>132</v>
      </c>
      <c r="F733" s="12">
        <f>INDEX('PEDIDO JULIO'!A17:S34,1,19)</f>
        <v>0</v>
      </c>
      <c r="G733" s="8">
        <f>IFERROR(VLOOKUP($B733,'[1]INSUMO POR SEDES MARZO PRUEBA'!$B$6:$CD$109,41,0),"NO BD")</f>
        <v>0</v>
      </c>
      <c r="H733" s="8"/>
      <c r="I733" s="8">
        <f t="shared" si="65"/>
        <v>0</v>
      </c>
      <c r="J733" s="14">
        <f t="shared" si="66"/>
        <v>0</v>
      </c>
      <c r="K733" s="14">
        <f t="shared" si="67"/>
        <v>0</v>
      </c>
      <c r="L733" s="14">
        <f t="shared" si="68"/>
        <v>0</v>
      </c>
    </row>
    <row r="734" spans="1:12" ht="27">
      <c r="A734" s="3">
        <v>1158</v>
      </c>
      <c r="B734" s="26">
        <v>50</v>
      </c>
      <c r="C734" s="7" t="s">
        <v>155</v>
      </c>
      <c r="D734" s="4" t="s">
        <v>25</v>
      </c>
      <c r="E734" s="6" t="s">
        <v>132</v>
      </c>
      <c r="F734" s="12">
        <f>INDEX('PEDIDO JULIO'!A18:S35,1,19)</f>
        <v>0</v>
      </c>
      <c r="G734" s="8">
        <f>IFERROR(VLOOKUP($B734,'[1]INSUMO POR SEDES MARZO PRUEBA'!$B$6:$CD$109,41,0),"NO BD")</f>
        <v>0</v>
      </c>
      <c r="H734" s="8"/>
      <c r="I734" s="8">
        <f t="shared" si="65"/>
        <v>0</v>
      </c>
      <c r="J734" s="14">
        <f t="shared" si="66"/>
        <v>0</v>
      </c>
      <c r="K734" s="14">
        <f t="shared" si="67"/>
        <v>0</v>
      </c>
      <c r="L734" s="14">
        <f t="shared" si="68"/>
        <v>0</v>
      </c>
    </row>
    <row r="735" spans="1:12" ht="27">
      <c r="A735" s="3">
        <v>1159</v>
      </c>
      <c r="B735" s="26">
        <v>52</v>
      </c>
      <c r="C735" s="7" t="s">
        <v>16</v>
      </c>
      <c r="D735" s="4" t="s">
        <v>26</v>
      </c>
      <c r="E735" s="6" t="s">
        <v>132</v>
      </c>
      <c r="F735" s="12">
        <f>INDEX('PEDIDO JULIO'!A18:S35,1,19)</f>
        <v>0</v>
      </c>
      <c r="G735" s="8">
        <f>IFERROR(VLOOKUP($B735,'[1]INSUMO POR SEDES MARZO PRUEBA'!$B$6:$CD$109,41,0),"NO BD")</f>
        <v>0</v>
      </c>
      <c r="H735" s="8"/>
      <c r="I735" s="8">
        <f t="shared" si="65"/>
        <v>0</v>
      </c>
      <c r="J735" s="14">
        <f t="shared" si="66"/>
        <v>0</v>
      </c>
      <c r="K735" s="14">
        <f t="shared" si="67"/>
        <v>0</v>
      </c>
      <c r="L735" s="14">
        <f t="shared" si="68"/>
        <v>0</v>
      </c>
    </row>
    <row r="736" spans="1:12" ht="15">
      <c r="A736" s="3">
        <v>1160</v>
      </c>
      <c r="B736" s="26">
        <v>57</v>
      </c>
      <c r="C736" s="7" t="s">
        <v>27</v>
      </c>
      <c r="D736" s="4" t="s">
        <v>28</v>
      </c>
      <c r="E736" s="6" t="s">
        <v>132</v>
      </c>
      <c r="F736" s="12">
        <f>INDEX('PEDIDO JULIO'!A18:S35,1,19)</f>
        <v>0</v>
      </c>
      <c r="G736" s="8">
        <f>IFERROR(VLOOKUP($B736,'[1]INSUMO POR SEDES MARZO PRUEBA'!$B$6:$CD$109,41,0),"NO BD")</f>
        <v>27464.2065</v>
      </c>
      <c r="H736" s="8"/>
      <c r="I736" s="8">
        <f t="shared" si="65"/>
        <v>0</v>
      </c>
      <c r="J736" s="14">
        <f t="shared" si="66"/>
        <v>0</v>
      </c>
      <c r="K736" s="14">
        <f t="shared" si="67"/>
        <v>0</v>
      </c>
      <c r="L736" s="14">
        <f t="shared" si="68"/>
        <v>0</v>
      </c>
    </row>
    <row r="737" spans="1:12" ht="15">
      <c r="A737" s="3">
        <v>1161</v>
      </c>
      <c r="B737" s="26">
        <v>59</v>
      </c>
      <c r="C737" s="7" t="s">
        <v>13</v>
      </c>
      <c r="D737" s="4" t="s">
        <v>29</v>
      </c>
      <c r="E737" s="6" t="s">
        <v>132</v>
      </c>
      <c r="F737" s="12">
        <f>INDEX('PEDIDO JULIO'!A19:S35,1,19)</f>
        <v>0</v>
      </c>
      <c r="G737" s="8">
        <f>IFERROR(VLOOKUP($B737,'[1]INSUMO POR SEDES MARZO PRUEBA'!$B$6:$CD$109,41,0),"NO BD")</f>
        <v>0</v>
      </c>
      <c r="H737" s="8"/>
      <c r="I737" s="8">
        <f t="shared" si="65"/>
        <v>0</v>
      </c>
      <c r="J737" s="14">
        <f t="shared" si="66"/>
        <v>0</v>
      </c>
      <c r="K737" s="14">
        <f t="shared" si="67"/>
        <v>0</v>
      </c>
      <c r="L737" s="14">
        <f t="shared" si="68"/>
        <v>0</v>
      </c>
    </row>
    <row r="738" spans="1:12" ht="15">
      <c r="A738" s="3">
        <v>1162</v>
      </c>
      <c r="B738" s="26">
        <v>62</v>
      </c>
      <c r="C738" s="7" t="s">
        <v>13</v>
      </c>
      <c r="D738" s="4" t="s">
        <v>30</v>
      </c>
      <c r="E738" s="6" t="s">
        <v>132</v>
      </c>
      <c r="F738" s="12">
        <f>INDEX('PEDIDO JULIO'!A19:S35,1,19)</f>
        <v>0</v>
      </c>
      <c r="G738" s="8">
        <f>IFERROR(VLOOKUP($B738,'[1]INSUMO POR SEDES MARZO PRUEBA'!$B$6:$CD$109,41,0),"NO BD")</f>
        <v>10100.3202</v>
      </c>
      <c r="H738" s="8"/>
      <c r="I738" s="8">
        <f t="shared" si="65"/>
        <v>0</v>
      </c>
      <c r="J738" s="14">
        <f t="shared" si="66"/>
        <v>0</v>
      </c>
      <c r="K738" s="14">
        <f t="shared" si="67"/>
        <v>0</v>
      </c>
      <c r="L738" s="14">
        <f t="shared" si="68"/>
        <v>0</v>
      </c>
    </row>
    <row r="739" spans="1:12" ht="15">
      <c r="A739" s="3">
        <v>1163</v>
      </c>
      <c r="B739" s="26">
        <v>63</v>
      </c>
      <c r="C739" s="7" t="s">
        <v>13</v>
      </c>
      <c r="D739" s="4" t="s">
        <v>31</v>
      </c>
      <c r="E739" s="6" t="s">
        <v>132</v>
      </c>
      <c r="F739" s="12">
        <f>INDEX('PEDIDO JULIO'!A20:S35,1,19)</f>
        <v>0</v>
      </c>
      <c r="G739" s="8">
        <f>IFERROR(VLOOKUP($B739,'[1]INSUMO POR SEDES MARZO PRUEBA'!$B$6:$CD$109,41,0),"NO BD")</f>
        <v>11443.4982</v>
      </c>
      <c r="H739" s="8"/>
      <c r="I739" s="8">
        <f t="shared" si="65"/>
        <v>0</v>
      </c>
      <c r="J739" s="14">
        <f t="shared" si="66"/>
        <v>0</v>
      </c>
      <c r="K739" s="14">
        <f t="shared" si="67"/>
        <v>0</v>
      </c>
      <c r="L739" s="14">
        <f t="shared" si="68"/>
        <v>0</v>
      </c>
    </row>
    <row r="740" spans="1:12" ht="15">
      <c r="A740" s="3">
        <v>1164</v>
      </c>
      <c r="B740" s="26">
        <v>64</v>
      </c>
      <c r="C740" s="7" t="s">
        <v>13</v>
      </c>
      <c r="D740" s="4" t="s">
        <v>32</v>
      </c>
      <c r="E740" s="6" t="s">
        <v>132</v>
      </c>
      <c r="F740" s="12">
        <f>INDEX('PEDIDO JULIO'!A20:S35,1,19)</f>
        <v>0</v>
      </c>
      <c r="G740" s="8">
        <f>IFERROR(VLOOKUP($B740,'[1]INSUMO POR SEDES MARZO PRUEBA'!$B$6:$CD$109,41,0),"NO BD")</f>
        <v>0</v>
      </c>
      <c r="H740" s="8"/>
      <c r="I740" s="8">
        <f t="shared" si="65"/>
        <v>0</v>
      </c>
      <c r="J740" s="14">
        <f t="shared" si="66"/>
        <v>0</v>
      </c>
      <c r="K740" s="14">
        <f t="shared" si="67"/>
        <v>0</v>
      </c>
      <c r="L740" s="14">
        <f t="shared" si="68"/>
        <v>0</v>
      </c>
    </row>
    <row r="741" spans="1:12" ht="15">
      <c r="A741" s="3">
        <v>1165</v>
      </c>
      <c r="B741" s="26">
        <v>65</v>
      </c>
      <c r="C741" s="7" t="s">
        <v>33</v>
      </c>
      <c r="D741" s="4" t="s">
        <v>34</v>
      </c>
      <c r="E741" s="6" t="s">
        <v>132</v>
      </c>
      <c r="F741" s="12">
        <f>INDEX('PEDIDO JULIO'!A21:S35,1,19)</f>
        <v>0</v>
      </c>
      <c r="G741" s="8">
        <f>IFERROR(VLOOKUP($B741,'[1]INSUMO POR SEDES MARZO PRUEBA'!$B$6:$CD$109,41,0),"NO BD")</f>
        <v>13820.650000000001</v>
      </c>
      <c r="H741" s="8"/>
      <c r="I741" s="8">
        <f t="shared" si="65"/>
        <v>0</v>
      </c>
      <c r="J741" s="14">
        <f t="shared" si="66"/>
        <v>0</v>
      </c>
      <c r="K741" s="14">
        <f t="shared" si="67"/>
        <v>0</v>
      </c>
      <c r="L741" s="14">
        <f t="shared" si="68"/>
        <v>0</v>
      </c>
    </row>
    <row r="742" spans="1:12" ht="15">
      <c r="A742" s="3">
        <v>1166</v>
      </c>
      <c r="B742" s="26">
        <v>66</v>
      </c>
      <c r="C742" s="7" t="s">
        <v>16</v>
      </c>
      <c r="D742" s="4" t="s">
        <v>35</v>
      </c>
      <c r="E742" s="6" t="s">
        <v>132</v>
      </c>
      <c r="F742" s="12">
        <f>INDEX('PEDIDO JULIO'!A22:S35,1,19)</f>
        <v>0</v>
      </c>
      <c r="G742" s="8">
        <f>IFERROR(VLOOKUP($B742,'[1]INSUMO POR SEDES MARZO PRUEBA'!$B$6:$CD$109,41,0),"NO BD")</f>
        <v>4178.9862000000003</v>
      </c>
      <c r="H742" s="8"/>
      <c r="I742" s="8">
        <f t="shared" si="65"/>
        <v>0</v>
      </c>
      <c r="J742" s="14">
        <f t="shared" si="66"/>
        <v>0</v>
      </c>
      <c r="K742" s="14">
        <f t="shared" si="67"/>
        <v>0</v>
      </c>
      <c r="L742" s="14">
        <f t="shared" si="68"/>
        <v>0</v>
      </c>
    </row>
    <row r="743" spans="1:12" ht="15">
      <c r="A743" s="3">
        <v>1167</v>
      </c>
      <c r="B743" s="26">
        <v>71</v>
      </c>
      <c r="C743" s="7" t="s">
        <v>36</v>
      </c>
      <c r="D743" s="4" t="s">
        <v>37</v>
      </c>
      <c r="E743" s="6" t="s">
        <v>132</v>
      </c>
      <c r="F743" s="12">
        <f>INDEX('PEDIDO JULIO'!A23:S36,1,19)</f>
        <v>0</v>
      </c>
      <c r="G743" s="8">
        <f>IFERROR(VLOOKUP($B743,'[1]INSUMO POR SEDES MARZO PRUEBA'!$B$6:$CD$109,41,0),"NO BD")</f>
        <v>5196.1440000000002</v>
      </c>
      <c r="H743" s="8"/>
      <c r="I743" s="8">
        <f t="shared" si="65"/>
        <v>0</v>
      </c>
      <c r="J743" s="14">
        <f t="shared" si="66"/>
        <v>0</v>
      </c>
      <c r="K743" s="14">
        <f t="shared" si="67"/>
        <v>0</v>
      </c>
      <c r="L743" s="14">
        <f t="shared" si="68"/>
        <v>0</v>
      </c>
    </row>
    <row r="744" spans="1:12" ht="15">
      <c r="A744" s="3">
        <v>1168</v>
      </c>
      <c r="B744" s="26">
        <v>72</v>
      </c>
      <c r="C744" s="7" t="s">
        <v>36</v>
      </c>
      <c r="D744" s="4" t="s">
        <v>38</v>
      </c>
      <c r="E744" s="6" t="s">
        <v>132</v>
      </c>
      <c r="F744" s="12">
        <f>INDEX('PEDIDO JULIO'!A23:S37,1,19)</f>
        <v>0</v>
      </c>
      <c r="G744" s="8">
        <f>IFERROR(VLOOKUP($B744,'[1]INSUMO POR SEDES MARZO PRUEBA'!$B$6:$CD$109,41,0),"NO BD")</f>
        <v>5196.1440000000002</v>
      </c>
      <c r="H744" s="8"/>
      <c r="I744" s="8">
        <f t="shared" si="65"/>
        <v>0</v>
      </c>
      <c r="J744" s="14">
        <f t="shared" si="66"/>
        <v>0</v>
      </c>
      <c r="K744" s="14">
        <f t="shared" si="67"/>
        <v>0</v>
      </c>
      <c r="L744" s="14">
        <f t="shared" si="68"/>
        <v>0</v>
      </c>
    </row>
    <row r="745" spans="1:12" ht="15">
      <c r="A745" s="3">
        <v>1169</v>
      </c>
      <c r="B745" s="26">
        <v>73</v>
      </c>
      <c r="C745" s="7" t="s">
        <v>39</v>
      </c>
      <c r="D745" s="4" t="s">
        <v>40</v>
      </c>
      <c r="E745" s="6" t="s">
        <v>132</v>
      </c>
      <c r="F745" s="12">
        <f>INDEX('PEDIDO JULIO'!A24:S37,1,19)</f>
        <v>0</v>
      </c>
      <c r="G745" s="8">
        <f>IFERROR(VLOOKUP($B745,'[1]INSUMO POR SEDES MARZO PRUEBA'!$B$6:$CD$109,41,0),"NO BD")</f>
        <v>21493.685699999998</v>
      </c>
      <c r="H745" s="8"/>
      <c r="I745" s="8">
        <f t="shared" si="65"/>
        <v>0</v>
      </c>
      <c r="J745" s="14">
        <f t="shared" si="66"/>
        <v>0</v>
      </c>
      <c r="K745" s="14">
        <f t="shared" si="67"/>
        <v>0</v>
      </c>
      <c r="L745" s="14">
        <f t="shared" si="68"/>
        <v>0</v>
      </c>
    </row>
    <row r="746" spans="1:12" ht="15">
      <c r="A746" s="3">
        <v>1170</v>
      </c>
      <c r="B746" s="26">
        <v>74</v>
      </c>
      <c r="C746" s="7" t="s">
        <v>39</v>
      </c>
      <c r="D746" s="4" t="s">
        <v>41</v>
      </c>
      <c r="E746" s="6" t="s">
        <v>132</v>
      </c>
      <c r="F746" s="12">
        <f>INDEX('PEDIDO JULIO'!A25:S37,1,19)</f>
        <v>0</v>
      </c>
      <c r="G746" s="8">
        <f>IFERROR(VLOOKUP($B746,'[1]INSUMO POR SEDES MARZO PRUEBA'!$B$6:$CD$109,41,0),"NO BD")</f>
        <v>6915.4749000000002</v>
      </c>
      <c r="H746" s="8"/>
      <c r="I746" s="8">
        <f t="shared" si="65"/>
        <v>0</v>
      </c>
      <c r="J746" s="14">
        <f t="shared" si="66"/>
        <v>0</v>
      </c>
      <c r="K746" s="14">
        <f t="shared" si="67"/>
        <v>0</v>
      </c>
      <c r="L746" s="14">
        <f t="shared" si="68"/>
        <v>0</v>
      </c>
    </row>
    <row r="747" spans="1:12" ht="15">
      <c r="A747" s="3">
        <v>1171</v>
      </c>
      <c r="B747" s="26">
        <v>79</v>
      </c>
      <c r="C747" s="7" t="s">
        <v>151</v>
      </c>
      <c r="D747" s="4" t="s">
        <v>42</v>
      </c>
      <c r="E747" s="6" t="s">
        <v>132</v>
      </c>
      <c r="F747" s="12">
        <f>INDEX('PEDIDO JULIO'!A26:S37,1,19)</f>
        <v>0</v>
      </c>
      <c r="G747" s="8">
        <f>IFERROR(VLOOKUP($B747,'[1]INSUMO POR SEDES MARZO PRUEBA'!$B$6:$CD$109,41,0),"NO BD")</f>
        <v>541.2650000000001</v>
      </c>
      <c r="H747" s="8"/>
      <c r="I747" s="8">
        <f t="shared" si="65"/>
        <v>0</v>
      </c>
      <c r="J747" s="14">
        <f t="shared" si="66"/>
        <v>0</v>
      </c>
      <c r="K747" s="14">
        <f t="shared" si="67"/>
        <v>0</v>
      </c>
      <c r="L747" s="14">
        <f t="shared" si="68"/>
        <v>0</v>
      </c>
    </row>
    <row r="748" spans="1:12" ht="15">
      <c r="A748" s="3">
        <v>1172</v>
      </c>
      <c r="B748" s="26">
        <v>80</v>
      </c>
      <c r="C748" s="7" t="s">
        <v>151</v>
      </c>
      <c r="D748" s="4" t="s">
        <v>43</v>
      </c>
      <c r="E748" s="6" t="s">
        <v>132</v>
      </c>
      <c r="F748" s="12">
        <f>INDEX('PEDIDO JULIO'!A27:S37,1,19)</f>
        <v>0</v>
      </c>
      <c r="G748" s="8">
        <f>IFERROR(VLOOKUP($B748,'[1]INSUMO POR SEDES MARZO PRUEBA'!$B$6:$CD$109,41,0),"NO BD")</f>
        <v>607.26779999999997</v>
      </c>
      <c r="H748" s="8"/>
      <c r="I748" s="8">
        <f t="shared" si="65"/>
        <v>0</v>
      </c>
      <c r="J748" s="14">
        <f t="shared" si="66"/>
        <v>0</v>
      </c>
      <c r="K748" s="14">
        <f t="shared" si="67"/>
        <v>0</v>
      </c>
      <c r="L748" s="14">
        <f t="shared" si="68"/>
        <v>0</v>
      </c>
    </row>
    <row r="749" spans="1:12" ht="15">
      <c r="A749" s="3">
        <v>1173</v>
      </c>
      <c r="B749" s="26">
        <v>81</v>
      </c>
      <c r="C749" s="7" t="s">
        <v>151</v>
      </c>
      <c r="D749" s="4" t="s">
        <v>44</v>
      </c>
      <c r="E749" s="6" t="s">
        <v>132</v>
      </c>
      <c r="F749" s="12">
        <f>INDEX('PEDIDO JULIO'!A28:S37,1,19)</f>
        <v>0</v>
      </c>
      <c r="G749" s="8">
        <f>IFERROR(VLOOKUP($B749,'[1]INSUMO POR SEDES MARZO PRUEBA'!$B$6:$CD$109,41,0),"NO BD")</f>
        <v>211.251</v>
      </c>
      <c r="H749" s="8"/>
      <c r="I749" s="8">
        <f t="shared" si="65"/>
        <v>0</v>
      </c>
      <c r="J749" s="14">
        <f t="shared" si="66"/>
        <v>0</v>
      </c>
      <c r="K749" s="14">
        <f t="shared" si="67"/>
        <v>0</v>
      </c>
      <c r="L749" s="14">
        <f t="shared" si="68"/>
        <v>0</v>
      </c>
    </row>
    <row r="750" spans="1:12" ht="40.5">
      <c r="A750" s="3">
        <v>1174</v>
      </c>
      <c r="B750" s="26">
        <v>82</v>
      </c>
      <c r="C750" s="7" t="s">
        <v>151</v>
      </c>
      <c r="D750" s="4" t="s">
        <v>45</v>
      </c>
      <c r="E750" s="6" t="s">
        <v>132</v>
      </c>
      <c r="F750" s="12">
        <f>INDEX('PEDIDO JULIO'!A28:S37,1,19)</f>
        <v>0</v>
      </c>
      <c r="G750" s="8">
        <f>IFERROR(VLOOKUP($B750,'[1]INSUMO POR SEDES MARZO PRUEBA'!$B$6:$CD$109,41,0),"NO BD")</f>
        <v>1003.7049999999999</v>
      </c>
      <c r="H750" s="8"/>
      <c r="I750" s="8">
        <f t="shared" si="65"/>
        <v>0</v>
      </c>
      <c r="J750" s="14">
        <f t="shared" si="66"/>
        <v>0</v>
      </c>
      <c r="K750" s="14">
        <f t="shared" si="67"/>
        <v>0</v>
      </c>
      <c r="L750" s="14">
        <f t="shared" si="68"/>
        <v>0</v>
      </c>
    </row>
    <row r="751" spans="1:12" ht="27">
      <c r="A751" s="3">
        <v>1175</v>
      </c>
      <c r="B751" s="26">
        <v>83</v>
      </c>
      <c r="C751" s="7" t="s">
        <v>46</v>
      </c>
      <c r="D751" s="4" t="s">
        <v>47</v>
      </c>
      <c r="E751" s="6" t="s">
        <v>132</v>
      </c>
      <c r="F751" s="12">
        <f>INDEX('PEDIDO JULIO'!A29:S37,1,19)</f>
        <v>0</v>
      </c>
      <c r="G751" s="8">
        <f>IFERROR(VLOOKUP($B751,'[1]INSUMO POR SEDES MARZO PRUEBA'!$B$6:$CD$109,41,0),"NO BD")</f>
        <v>336.32</v>
      </c>
      <c r="H751" s="8"/>
      <c r="I751" s="8">
        <f t="shared" si="65"/>
        <v>0</v>
      </c>
      <c r="J751" s="14">
        <f t="shared" si="66"/>
        <v>0</v>
      </c>
      <c r="K751" s="14">
        <f t="shared" si="67"/>
        <v>0</v>
      </c>
      <c r="L751" s="14">
        <f t="shared" si="68"/>
        <v>0</v>
      </c>
    </row>
    <row r="752" spans="1:12" ht="15">
      <c r="A752" s="3">
        <v>1176</v>
      </c>
      <c r="B752" s="26">
        <v>88</v>
      </c>
      <c r="C752" s="7" t="s">
        <v>159</v>
      </c>
      <c r="D752" s="4" t="s">
        <v>48</v>
      </c>
      <c r="E752" s="6" t="s">
        <v>132</v>
      </c>
      <c r="F752" s="12">
        <f>INDEX('PEDIDO JULIO'!A30:S37,1,19)</f>
        <v>0</v>
      </c>
      <c r="G752" s="8">
        <f>IFERROR(VLOOKUP($B752,'[1]INSUMO POR SEDES MARZO PRUEBA'!$B$6:$CD$109,41,0),"NO BD")</f>
        <v>0</v>
      </c>
      <c r="H752" s="8"/>
      <c r="I752" s="8">
        <f t="shared" si="65"/>
        <v>0</v>
      </c>
      <c r="J752" s="14">
        <f t="shared" si="66"/>
        <v>0</v>
      </c>
      <c r="K752" s="14">
        <f t="shared" si="67"/>
        <v>0</v>
      </c>
      <c r="L752" s="14">
        <f t="shared" si="68"/>
        <v>0</v>
      </c>
    </row>
    <row r="753" spans="1:12" ht="15">
      <c r="A753" s="3">
        <v>1177</v>
      </c>
      <c r="B753" s="26">
        <v>92</v>
      </c>
      <c r="C753" s="7" t="s">
        <v>159</v>
      </c>
      <c r="D753" s="4" t="s">
        <v>49</v>
      </c>
      <c r="E753" s="6" t="s">
        <v>132</v>
      </c>
      <c r="F753" s="12">
        <f>INDEX('PEDIDO JULIO'!A31:S37,1,19)</f>
        <v>0</v>
      </c>
      <c r="G753" s="8">
        <f>IFERROR(VLOOKUP($B753,'[1]INSUMO POR SEDES MARZO PRUEBA'!$B$6:$CD$109,41,0),"NO BD")</f>
        <v>2380.5149999999999</v>
      </c>
      <c r="H753" s="8"/>
      <c r="I753" s="8">
        <f t="shared" si="65"/>
        <v>0</v>
      </c>
      <c r="J753" s="14">
        <f t="shared" si="66"/>
        <v>0</v>
      </c>
      <c r="K753" s="14">
        <f t="shared" si="67"/>
        <v>0</v>
      </c>
      <c r="L753" s="14">
        <f t="shared" si="68"/>
        <v>0</v>
      </c>
    </row>
    <row r="754" spans="1:12" ht="15">
      <c r="A754" s="3">
        <v>1178</v>
      </c>
      <c r="B754" s="26">
        <v>94</v>
      </c>
      <c r="C754" s="7" t="s">
        <v>159</v>
      </c>
      <c r="D754" s="4" t="s">
        <v>50</v>
      </c>
      <c r="E754" s="6" t="s">
        <v>132</v>
      </c>
      <c r="F754" s="12">
        <f>INDEX('PEDIDO JULIO'!A32:S37,1,19)</f>
        <v>0</v>
      </c>
      <c r="G754" s="8">
        <f>IFERROR(VLOOKUP($B754,'[1]INSUMO POR SEDES MARZO PRUEBA'!$B$6:$CD$109,41,0),"NO BD")</f>
        <v>0</v>
      </c>
      <c r="H754" s="8"/>
      <c r="I754" s="8">
        <f t="shared" si="65"/>
        <v>0</v>
      </c>
      <c r="J754" s="14">
        <f t="shared" si="66"/>
        <v>0</v>
      </c>
      <c r="K754" s="14">
        <f t="shared" si="67"/>
        <v>0</v>
      </c>
      <c r="L754" s="14">
        <f t="shared" si="68"/>
        <v>0</v>
      </c>
    </row>
    <row r="755" spans="1:12" ht="15">
      <c r="A755" s="3">
        <v>1179</v>
      </c>
      <c r="B755" s="26">
        <v>98</v>
      </c>
      <c r="C755" s="7" t="s">
        <v>159</v>
      </c>
      <c r="D755" s="4" t="s">
        <v>51</v>
      </c>
      <c r="E755" s="6" t="s">
        <v>132</v>
      </c>
      <c r="F755" s="12">
        <f>INDEX('PEDIDO JULIO'!A33:S37,1,19)</f>
        <v>0</v>
      </c>
      <c r="G755" s="8">
        <f>IFERROR(VLOOKUP($B755,'[1]INSUMO POR SEDES MARZO PRUEBA'!$B$6:$CD$109,41,0),"NO BD")</f>
        <v>9503.4573</v>
      </c>
      <c r="H755" s="8"/>
      <c r="I755" s="8">
        <f t="shared" si="65"/>
        <v>0</v>
      </c>
      <c r="J755" s="14">
        <f t="shared" si="66"/>
        <v>0</v>
      </c>
      <c r="K755" s="14">
        <f t="shared" si="67"/>
        <v>0</v>
      </c>
      <c r="L755" s="14">
        <f t="shared" si="68"/>
        <v>0</v>
      </c>
    </row>
    <row r="756" spans="1:12" ht="15">
      <c r="A756" s="3">
        <v>1180</v>
      </c>
      <c r="B756" s="26">
        <v>100</v>
      </c>
      <c r="C756" s="7" t="s">
        <v>159</v>
      </c>
      <c r="D756" s="4" t="s">
        <v>52</v>
      </c>
      <c r="E756" s="6" t="s">
        <v>132</v>
      </c>
      <c r="F756" s="12">
        <f>INDEX('PEDIDO JULIO'!A33:S38,1,19)</f>
        <v>0</v>
      </c>
      <c r="G756" s="8">
        <f>IFERROR(VLOOKUP($B756,'[1]INSUMO POR SEDES MARZO PRUEBA'!$B$6:$CD$109,41,0),"NO BD")</f>
        <v>0</v>
      </c>
      <c r="H756" s="8"/>
      <c r="I756" s="8">
        <f t="shared" si="65"/>
        <v>0</v>
      </c>
      <c r="J756" s="14">
        <f t="shared" si="66"/>
        <v>0</v>
      </c>
      <c r="K756" s="14">
        <f t="shared" si="67"/>
        <v>0</v>
      </c>
      <c r="L756" s="14">
        <f t="shared" si="68"/>
        <v>0</v>
      </c>
    </row>
    <row r="757" spans="1:12" ht="15">
      <c r="A757" s="3">
        <v>1181</v>
      </c>
      <c r="B757" s="26">
        <v>102</v>
      </c>
      <c r="C757" s="7" t="s">
        <v>53</v>
      </c>
      <c r="D757" s="4" t="s">
        <v>54</v>
      </c>
      <c r="E757" s="6" t="s">
        <v>132</v>
      </c>
      <c r="F757" s="12">
        <f>INDEX('PEDIDO JULIO'!A33:S38,1,19)</f>
        <v>0</v>
      </c>
      <c r="G757" s="8">
        <f>IFERROR(VLOOKUP($B757,'[1]INSUMO POR SEDES MARZO PRUEBA'!$B$6:$CD$109,41,0),"NO BD")</f>
        <v>5422.8446999999996</v>
      </c>
      <c r="H757" s="8"/>
      <c r="I757" s="8">
        <f t="shared" si="65"/>
        <v>0</v>
      </c>
      <c r="J757" s="14">
        <f t="shared" si="66"/>
        <v>0</v>
      </c>
      <c r="K757" s="14">
        <f t="shared" si="67"/>
        <v>0</v>
      </c>
      <c r="L757" s="14">
        <f t="shared" si="68"/>
        <v>0</v>
      </c>
    </row>
    <row r="758" spans="1:12" ht="15">
      <c r="A758" s="3">
        <v>1182</v>
      </c>
      <c r="B758" s="26">
        <v>110</v>
      </c>
      <c r="C758" s="7" t="s">
        <v>53</v>
      </c>
      <c r="D758" s="4" t="s">
        <v>55</v>
      </c>
      <c r="E758" s="6" t="s">
        <v>132</v>
      </c>
      <c r="F758" s="12">
        <f>INDEX('PEDIDO JULIO'!A33:S39,1,19)</f>
        <v>0</v>
      </c>
      <c r="G758" s="8">
        <f>IFERROR(VLOOKUP($B758,'[1]INSUMO POR SEDES MARZO PRUEBA'!$B$6:$CD$109,41,0),"NO BD")</f>
        <v>1442.4974999999999</v>
      </c>
      <c r="H758" s="8"/>
      <c r="I758" s="8">
        <f t="shared" si="65"/>
        <v>0</v>
      </c>
      <c r="J758" s="14">
        <f t="shared" si="66"/>
        <v>0</v>
      </c>
      <c r="K758" s="14">
        <f t="shared" si="67"/>
        <v>0</v>
      </c>
      <c r="L758" s="14">
        <f t="shared" si="68"/>
        <v>0</v>
      </c>
    </row>
    <row r="759" spans="1:12" ht="15">
      <c r="A759" s="3">
        <v>1183</v>
      </c>
      <c r="B759" s="26">
        <v>118</v>
      </c>
      <c r="C759" s="7" t="s">
        <v>53</v>
      </c>
      <c r="D759" s="4" t="s">
        <v>56</v>
      </c>
      <c r="E759" s="6" t="s">
        <v>132</v>
      </c>
      <c r="F759" s="12">
        <f>INDEX('PEDIDO JULIO'!A33:S40,1,19)</f>
        <v>0</v>
      </c>
      <c r="G759" s="8">
        <f>IFERROR(VLOOKUP($B759,'[1]INSUMO POR SEDES MARZO PRUEBA'!$B$6:$CD$109,41,0),"NO BD")</f>
        <v>4129.7993999999999</v>
      </c>
      <c r="H759" s="8"/>
      <c r="I759" s="8">
        <f t="shared" si="65"/>
        <v>0</v>
      </c>
      <c r="J759" s="14">
        <f t="shared" si="66"/>
        <v>0</v>
      </c>
      <c r="K759" s="14">
        <f t="shared" si="67"/>
        <v>0</v>
      </c>
      <c r="L759" s="14">
        <f t="shared" si="68"/>
        <v>0</v>
      </c>
    </row>
    <row r="760" spans="1:12" ht="15">
      <c r="A760" s="3">
        <v>1184</v>
      </c>
      <c r="B760" s="26">
        <v>119</v>
      </c>
      <c r="C760" s="7" t="s">
        <v>53</v>
      </c>
      <c r="D760" s="4" t="s">
        <v>57</v>
      </c>
      <c r="E760" s="6" t="s">
        <v>132</v>
      </c>
      <c r="F760" s="12">
        <f>INDEX('PEDIDO JULIO'!A33:S40,1,19)</f>
        <v>0</v>
      </c>
      <c r="G760" s="8">
        <f>IFERROR(VLOOKUP($B760,'[1]INSUMO POR SEDES MARZO PRUEBA'!$B$6:$CD$109,41,0),"NO BD")</f>
        <v>4259.3877000000002</v>
      </c>
      <c r="H760" s="8"/>
      <c r="I760" s="8">
        <f t="shared" si="65"/>
        <v>0</v>
      </c>
      <c r="J760" s="14">
        <f t="shared" si="66"/>
        <v>0</v>
      </c>
      <c r="K760" s="14">
        <f t="shared" si="67"/>
        <v>0</v>
      </c>
      <c r="L760" s="14">
        <f t="shared" si="68"/>
        <v>0</v>
      </c>
    </row>
    <row r="761" spans="1:12" ht="27">
      <c r="A761" s="3">
        <v>1185</v>
      </c>
      <c r="B761" s="26">
        <v>120</v>
      </c>
      <c r="C761" s="7" t="s">
        <v>160</v>
      </c>
      <c r="D761" s="4" t="s">
        <v>58</v>
      </c>
      <c r="E761" s="6" t="s">
        <v>132</v>
      </c>
      <c r="F761" s="12">
        <f>INDEX('PEDIDO JULIO'!A33:S40,1,19)</f>
        <v>0</v>
      </c>
      <c r="G761" s="8">
        <f>IFERROR(VLOOKUP($B761,'[1]INSUMO POR SEDES MARZO PRUEBA'!$B$6:$CD$109,41,0),"NO BD")</f>
        <v>4259.3877000000002</v>
      </c>
      <c r="H761" s="8"/>
      <c r="I761" s="8">
        <f t="shared" si="65"/>
        <v>0</v>
      </c>
      <c r="J761" s="14">
        <f t="shared" si="66"/>
        <v>0</v>
      </c>
      <c r="K761" s="14">
        <f t="shared" si="67"/>
        <v>0</v>
      </c>
      <c r="L761" s="14">
        <f t="shared" si="68"/>
        <v>0</v>
      </c>
    </row>
    <row r="762" spans="1:12" ht="15">
      <c r="A762" s="3">
        <v>1186</v>
      </c>
      <c r="B762" s="26">
        <v>122</v>
      </c>
      <c r="C762" s="7" t="s">
        <v>160</v>
      </c>
      <c r="D762" s="4" t="s">
        <v>59</v>
      </c>
      <c r="E762" s="6" t="s">
        <v>132</v>
      </c>
      <c r="F762" s="12">
        <f>INDEX('PEDIDO JULIO'!A33:S41,1,19)</f>
        <v>0</v>
      </c>
      <c r="G762" s="8">
        <f>IFERROR(VLOOKUP($B762,'[1]INSUMO POR SEDES MARZO PRUEBA'!$B$6:$CD$109,41,0),"NO BD")</f>
        <v>5920.3881000000001</v>
      </c>
      <c r="H762" s="8"/>
      <c r="I762" s="8">
        <f t="shared" si="65"/>
        <v>0</v>
      </c>
      <c r="J762" s="14">
        <f t="shared" si="66"/>
        <v>0</v>
      </c>
      <c r="K762" s="14">
        <f t="shared" si="67"/>
        <v>0</v>
      </c>
      <c r="L762" s="14">
        <f t="shared" si="68"/>
        <v>0</v>
      </c>
    </row>
    <row r="763" spans="1:12" ht="15">
      <c r="A763" s="3">
        <v>1187</v>
      </c>
      <c r="B763" s="26">
        <v>123</v>
      </c>
      <c r="C763" s="7" t="s">
        <v>60</v>
      </c>
      <c r="D763" s="4" t="s">
        <v>61</v>
      </c>
      <c r="E763" s="6" t="s">
        <v>132</v>
      </c>
      <c r="F763" s="12">
        <f>INDEX('PEDIDO JULIO'!A33:S41,1,19)</f>
        <v>0</v>
      </c>
      <c r="G763" s="8">
        <f>IFERROR(VLOOKUP($B763,'[1]INSUMO POR SEDES MARZO PRUEBA'!$B$6:$CD$109,41,0),"NO BD")</f>
        <v>6169.1598000000004</v>
      </c>
      <c r="H763" s="8"/>
      <c r="I763" s="8">
        <f t="shared" si="65"/>
        <v>0</v>
      </c>
      <c r="J763" s="14">
        <f t="shared" si="66"/>
        <v>0</v>
      </c>
      <c r="K763" s="14">
        <f t="shared" si="67"/>
        <v>0</v>
      </c>
      <c r="L763" s="14">
        <f t="shared" si="68"/>
        <v>0</v>
      </c>
    </row>
    <row r="764" spans="1:12" ht="15">
      <c r="A764" s="3">
        <v>1188</v>
      </c>
      <c r="B764" s="26">
        <v>124</v>
      </c>
      <c r="C764" s="7" t="s">
        <v>60</v>
      </c>
      <c r="D764" s="4" t="s">
        <v>62</v>
      </c>
      <c r="E764" s="6" t="s">
        <v>132</v>
      </c>
      <c r="F764" s="12">
        <f>INDEX('PEDIDO JULIO'!A33:S42,1,19)</f>
        <v>0</v>
      </c>
      <c r="G764" s="8">
        <f>IFERROR(VLOOKUP($B764,'[1]INSUMO POR SEDES MARZO PRUEBA'!$B$6:$CD$109,41,0),"NO BD")</f>
        <v>6169.1598000000004</v>
      </c>
      <c r="H764" s="8"/>
      <c r="I764" s="8">
        <f t="shared" si="65"/>
        <v>0</v>
      </c>
      <c r="J764" s="14">
        <f t="shared" si="66"/>
        <v>0</v>
      </c>
      <c r="K764" s="14">
        <f t="shared" si="67"/>
        <v>0</v>
      </c>
      <c r="L764" s="14">
        <f t="shared" si="68"/>
        <v>0</v>
      </c>
    </row>
    <row r="765" spans="1:12" ht="15">
      <c r="A765" s="3">
        <v>1189</v>
      </c>
      <c r="B765" s="26">
        <v>137</v>
      </c>
      <c r="C765" s="7" t="s">
        <v>151</v>
      </c>
      <c r="D765" s="4" t="s">
        <v>63</v>
      </c>
      <c r="E765" s="6" t="s">
        <v>132</v>
      </c>
      <c r="F765" s="12">
        <f>INDEX('PEDIDO JULIO'!A33:S42,1,19)</f>
        <v>0</v>
      </c>
      <c r="G765" s="8">
        <f>IFERROR(VLOOKUP($B765,'[1]INSUMO POR SEDES MARZO PRUEBA'!$B$6:$CD$109,41,0),"NO BD")</f>
        <v>0</v>
      </c>
      <c r="H765" s="8"/>
      <c r="I765" s="8">
        <f t="shared" si="65"/>
        <v>0</v>
      </c>
      <c r="J765" s="14">
        <f t="shared" si="66"/>
        <v>0</v>
      </c>
      <c r="K765" s="14">
        <f t="shared" si="67"/>
        <v>0</v>
      </c>
      <c r="L765" s="14">
        <f t="shared" si="68"/>
        <v>0</v>
      </c>
    </row>
    <row r="766" spans="1:12" ht="15">
      <c r="A766" s="3">
        <v>1190</v>
      </c>
      <c r="B766" s="26">
        <v>139</v>
      </c>
      <c r="C766" s="7" t="s">
        <v>160</v>
      </c>
      <c r="D766" s="4" t="s">
        <v>64</v>
      </c>
      <c r="E766" s="6" t="s">
        <v>132</v>
      </c>
      <c r="F766" s="12">
        <f>INDEX('PEDIDO JULIO'!A33:S42,1,19)</f>
        <v>0</v>
      </c>
      <c r="G766" s="8">
        <f>IFERROR(VLOOKUP($B766,'[1]INSUMO POR SEDES MARZO PRUEBA'!$B$6:$CD$109,41,0),"NO BD")</f>
        <v>25429.996000000003</v>
      </c>
      <c r="H766" s="8"/>
      <c r="I766" s="8">
        <f t="shared" si="65"/>
        <v>0</v>
      </c>
      <c r="J766" s="14">
        <f t="shared" si="66"/>
        <v>0</v>
      </c>
      <c r="K766" s="14">
        <f t="shared" si="67"/>
        <v>0</v>
      </c>
      <c r="L766" s="14">
        <f t="shared" si="68"/>
        <v>0</v>
      </c>
    </row>
    <row r="767" spans="1:12" ht="27">
      <c r="A767" s="3">
        <v>1191</v>
      </c>
      <c r="B767" s="26">
        <v>151</v>
      </c>
      <c r="C767" s="7" t="s">
        <v>60</v>
      </c>
      <c r="D767" s="4" t="s">
        <v>65</v>
      </c>
      <c r="E767" s="6" t="s">
        <v>132</v>
      </c>
      <c r="F767" s="12">
        <f>INDEX('PEDIDO JULIO'!A33:S42,1,19)</f>
        <v>0</v>
      </c>
      <c r="G767" s="8">
        <f>IFERROR(VLOOKUP($B767,'[1]INSUMO POR SEDES MARZO PRUEBA'!$B$6:$CD$109,41,0),"NO BD")</f>
        <v>4422.6080000000002</v>
      </c>
      <c r="H767" s="8"/>
      <c r="I767" s="8">
        <f t="shared" si="65"/>
        <v>0</v>
      </c>
      <c r="J767" s="14">
        <f t="shared" si="66"/>
        <v>0</v>
      </c>
      <c r="K767" s="14">
        <f t="shared" si="67"/>
        <v>0</v>
      </c>
      <c r="L767" s="14">
        <f t="shared" si="68"/>
        <v>0</v>
      </c>
    </row>
    <row r="768" spans="1:12" ht="15">
      <c r="A768" s="3">
        <v>1192</v>
      </c>
      <c r="B768" s="26">
        <v>155</v>
      </c>
      <c r="C768" s="7" t="s">
        <v>66</v>
      </c>
      <c r="D768" s="4" t="s">
        <v>67</v>
      </c>
      <c r="E768" s="6" t="s">
        <v>132</v>
      </c>
      <c r="F768" s="12">
        <f>INDEX('PEDIDO JULIO'!A33:S43,1,19)</f>
        <v>0</v>
      </c>
      <c r="G768" s="8">
        <f>IFERROR(VLOOKUP($B768,'[1]INSUMO POR SEDES MARZO PRUEBA'!$B$6:$CD$109,41,0),"NO BD")</f>
        <v>5005.7028</v>
      </c>
      <c r="H768" s="8"/>
      <c r="I768" s="8">
        <f t="shared" si="65"/>
        <v>0</v>
      </c>
      <c r="J768" s="14">
        <f t="shared" si="66"/>
        <v>0</v>
      </c>
      <c r="K768" s="14">
        <f t="shared" si="67"/>
        <v>0</v>
      </c>
      <c r="L768" s="14">
        <f t="shared" si="68"/>
        <v>0</v>
      </c>
    </row>
    <row r="769" spans="1:12" ht="15">
      <c r="A769" s="3">
        <v>1193</v>
      </c>
      <c r="B769" s="26">
        <v>156</v>
      </c>
      <c r="C769" s="7" t="s">
        <v>66</v>
      </c>
      <c r="D769" s="4" t="s">
        <v>68</v>
      </c>
      <c r="E769" s="6" t="s">
        <v>132</v>
      </c>
      <c r="F769" s="12">
        <f>INDEX('PEDIDO JULIO'!A33:S43,1,19)</f>
        <v>0</v>
      </c>
      <c r="G769" s="8">
        <f>IFERROR(VLOOKUP($B769,'[1]INSUMO POR SEDES MARZO PRUEBA'!$B$6:$CD$109,41,0),"NO BD")</f>
        <v>4422.6080000000002</v>
      </c>
      <c r="H769" s="8"/>
      <c r="I769" s="8">
        <f t="shared" si="65"/>
        <v>0</v>
      </c>
      <c r="J769" s="14">
        <f t="shared" si="66"/>
        <v>0</v>
      </c>
      <c r="K769" s="14">
        <f t="shared" si="67"/>
        <v>0</v>
      </c>
      <c r="L769" s="14">
        <f t="shared" si="68"/>
        <v>0</v>
      </c>
    </row>
    <row r="770" spans="1:12" ht="15">
      <c r="A770" s="3">
        <v>1194</v>
      </c>
      <c r="B770" s="26">
        <v>157</v>
      </c>
      <c r="C770" s="7" t="s">
        <v>66</v>
      </c>
      <c r="D770" s="4" t="s">
        <v>69</v>
      </c>
      <c r="E770" s="6" t="s">
        <v>132</v>
      </c>
      <c r="F770" s="12">
        <f>INDEX('PEDIDO JULIO'!A33:S43,1,19)</f>
        <v>0</v>
      </c>
      <c r="G770" s="8">
        <f>IFERROR(VLOOKUP($B770,'[1]INSUMO POR SEDES MARZO PRUEBA'!$B$6:$CD$109,41,0),"NO BD")</f>
        <v>5970.7309999999998</v>
      </c>
      <c r="H770" s="8"/>
      <c r="I770" s="8">
        <f t="shared" si="65"/>
        <v>0</v>
      </c>
      <c r="J770" s="14">
        <f t="shared" si="66"/>
        <v>0</v>
      </c>
      <c r="K770" s="14">
        <f t="shared" si="67"/>
        <v>0</v>
      </c>
      <c r="L770" s="14">
        <f t="shared" si="68"/>
        <v>0</v>
      </c>
    </row>
    <row r="771" spans="1:12" ht="15">
      <c r="A771" s="3">
        <v>1195</v>
      </c>
      <c r="B771" s="31">
        <v>159</v>
      </c>
      <c r="C771" s="7" t="s">
        <v>66</v>
      </c>
      <c r="D771" s="4" t="s">
        <v>70</v>
      </c>
      <c r="E771" s="6" t="s">
        <v>132</v>
      </c>
      <c r="F771" s="12">
        <f>INDEX('PEDIDO JULIO'!A33:S44,1,19)</f>
        <v>0</v>
      </c>
      <c r="G771" s="8">
        <f>IFERROR(VLOOKUP($B771,'[1]INSUMO POR SEDES MARZO PRUEBA'!$B$6:$CD$109,41,0),"NO BD")</f>
        <v>6716.8359</v>
      </c>
      <c r="H771" s="8"/>
      <c r="I771" s="8">
        <f t="shared" si="65"/>
        <v>0</v>
      </c>
      <c r="J771" s="14">
        <f t="shared" si="66"/>
        <v>0</v>
      </c>
      <c r="K771" s="14">
        <f t="shared" si="67"/>
        <v>0</v>
      </c>
      <c r="L771" s="14">
        <f t="shared" si="68"/>
        <v>0</v>
      </c>
    </row>
    <row r="772" spans="1:12" ht="15">
      <c r="A772" s="3">
        <v>1196</v>
      </c>
      <c r="B772" s="26">
        <v>160</v>
      </c>
      <c r="C772" s="7" t="s">
        <v>66</v>
      </c>
      <c r="D772" s="4" t="s">
        <v>71</v>
      </c>
      <c r="E772" s="6" t="s">
        <v>132</v>
      </c>
      <c r="F772" s="12">
        <f>INDEX('PEDIDO JULIO'!A33:S44,1,19)</f>
        <v>0</v>
      </c>
      <c r="G772" s="8">
        <f>IFERROR(VLOOKUP($B772,'[1]INSUMO POR SEDES MARZO PRUEBA'!$B$6:$CD$109,41,0),"NO BD")</f>
        <v>3035.3931000000002</v>
      </c>
      <c r="H772" s="8"/>
      <c r="I772" s="8">
        <f t="shared" si="65"/>
        <v>0</v>
      </c>
      <c r="J772" s="14">
        <f t="shared" si="66"/>
        <v>0</v>
      </c>
      <c r="K772" s="14">
        <f t="shared" si="67"/>
        <v>0</v>
      </c>
      <c r="L772" s="14">
        <f t="shared" si="68"/>
        <v>0</v>
      </c>
    </row>
    <row r="773" spans="1:12" ht="15">
      <c r="A773" s="3">
        <v>1197</v>
      </c>
      <c r="B773" s="26">
        <v>162</v>
      </c>
      <c r="C773" s="7" t="s">
        <v>66</v>
      </c>
      <c r="D773" s="4" t="s">
        <v>72</v>
      </c>
      <c r="E773" s="6" t="s">
        <v>132</v>
      </c>
      <c r="F773" s="12">
        <f>INDEX('PEDIDO JULIO'!A33:S44,1,19)</f>
        <v>0</v>
      </c>
      <c r="G773" s="8">
        <f>IFERROR(VLOOKUP($B773,'[1]INSUMO POR SEDES MARZO PRUEBA'!$B$6:$CD$109,41,0),"NO BD")</f>
        <v>4030.4798999999998</v>
      </c>
      <c r="H773" s="8"/>
      <c r="I773" s="8">
        <f t="shared" si="65"/>
        <v>0</v>
      </c>
      <c r="J773" s="14">
        <f t="shared" si="66"/>
        <v>0</v>
      </c>
      <c r="K773" s="14">
        <f t="shared" si="67"/>
        <v>0</v>
      </c>
      <c r="L773" s="14">
        <f t="shared" si="68"/>
        <v>0</v>
      </c>
    </row>
    <row r="774" spans="1:12" ht="15">
      <c r="A774" s="3">
        <v>1198</v>
      </c>
      <c r="B774" s="26">
        <v>164</v>
      </c>
      <c r="C774" s="7" t="s">
        <v>158</v>
      </c>
      <c r="D774" s="4" t="s">
        <v>73</v>
      </c>
      <c r="E774" s="6" t="s">
        <v>132</v>
      </c>
      <c r="F774" s="12">
        <f>INDEX('PEDIDO JULIO'!A33:S44,1,19)</f>
        <v>0</v>
      </c>
      <c r="G774" s="8">
        <f>IFERROR(VLOOKUP($B774,'[1]INSUMO POR SEDES MARZO PRUEBA'!$B$6:$CD$109,41,0),"NO BD")</f>
        <v>0</v>
      </c>
      <c r="H774" s="8"/>
      <c r="I774" s="8">
        <f t="shared" ref="I774:I837" si="69">+F774*G774</f>
        <v>0</v>
      </c>
      <c r="J774" s="14">
        <f t="shared" si="66"/>
        <v>0</v>
      </c>
      <c r="K774" s="14">
        <f t="shared" si="67"/>
        <v>0</v>
      </c>
      <c r="L774" s="14">
        <f t="shared" si="68"/>
        <v>0</v>
      </c>
    </row>
    <row r="775" spans="1:12" ht="15">
      <c r="A775" s="3">
        <v>1199</v>
      </c>
      <c r="B775" s="26">
        <v>169</v>
      </c>
      <c r="C775" s="7" t="s">
        <v>158</v>
      </c>
      <c r="D775" s="4" t="s">
        <v>74</v>
      </c>
      <c r="E775" s="6" t="s">
        <v>132</v>
      </c>
      <c r="F775" s="12">
        <f>INDEX('PEDIDO JULIO'!A33:S45,1,19)</f>
        <v>0</v>
      </c>
      <c r="G775" s="8">
        <f>IFERROR(VLOOKUP($B775,'[1]INSUMO POR SEDES MARZO PRUEBA'!$B$6:$CD$109,41,0),"NO BD")</f>
        <v>0</v>
      </c>
      <c r="H775" s="8"/>
      <c r="I775" s="8">
        <f t="shared" si="69"/>
        <v>0</v>
      </c>
      <c r="J775" s="14">
        <f t="shared" si="66"/>
        <v>0</v>
      </c>
      <c r="K775" s="14">
        <f t="shared" si="67"/>
        <v>0</v>
      </c>
      <c r="L775" s="14">
        <f t="shared" si="68"/>
        <v>0</v>
      </c>
    </row>
    <row r="776" spans="1:12" ht="15">
      <c r="A776" s="3">
        <v>1200</v>
      </c>
      <c r="B776" s="26">
        <v>170</v>
      </c>
      <c r="C776" s="7" t="s">
        <v>158</v>
      </c>
      <c r="D776" s="4" t="s">
        <v>75</v>
      </c>
      <c r="E776" s="6" t="s">
        <v>132</v>
      </c>
      <c r="F776" s="12">
        <f>INDEX('PEDIDO JULIO'!A33:S46,1,19)</f>
        <v>0</v>
      </c>
      <c r="G776" s="8">
        <f>IFERROR(VLOOKUP($B776,'[1]INSUMO POR SEDES MARZO PRUEBA'!$B$6:$CD$109,41,0),"NO BD")</f>
        <v>45575.353799999997</v>
      </c>
      <c r="H776" s="8"/>
      <c r="I776" s="8">
        <f t="shared" si="69"/>
        <v>0</v>
      </c>
      <c r="J776" s="14">
        <f t="shared" si="66"/>
        <v>0</v>
      </c>
      <c r="K776" s="14">
        <f t="shared" si="67"/>
        <v>0</v>
      </c>
      <c r="L776" s="14">
        <f t="shared" si="68"/>
        <v>0</v>
      </c>
    </row>
    <row r="777" spans="1:12" ht="15">
      <c r="A777" s="3">
        <v>1201</v>
      </c>
      <c r="B777" s="26">
        <v>174</v>
      </c>
      <c r="C777" s="7" t="s">
        <v>158</v>
      </c>
      <c r="D777" s="4" t="s">
        <v>76</v>
      </c>
      <c r="E777" s="6" t="s">
        <v>132</v>
      </c>
      <c r="F777" s="12">
        <f>INDEX('PEDIDO JULIO'!A33:S47,1,19)</f>
        <v>0</v>
      </c>
      <c r="G777" s="8">
        <f>IFERROR(VLOOKUP($B777,'[1]INSUMO POR SEDES MARZO PRUEBA'!$B$6:$CD$109,41,0),"NO BD")</f>
        <v>6081.0860000000002</v>
      </c>
      <c r="H777" s="8"/>
      <c r="I777" s="8">
        <f t="shared" si="69"/>
        <v>0</v>
      </c>
      <c r="J777" s="14">
        <f t="shared" si="66"/>
        <v>0</v>
      </c>
      <c r="K777" s="14">
        <f t="shared" si="67"/>
        <v>0</v>
      </c>
      <c r="L777" s="14">
        <f t="shared" si="68"/>
        <v>0</v>
      </c>
    </row>
    <row r="778" spans="1:12" ht="15">
      <c r="A778" s="3">
        <v>1202</v>
      </c>
      <c r="B778" s="26">
        <v>192</v>
      </c>
      <c r="C778" s="7" t="s">
        <v>158</v>
      </c>
      <c r="D778" s="4" t="s">
        <v>77</v>
      </c>
      <c r="E778" s="6" t="s">
        <v>132</v>
      </c>
      <c r="F778" s="12">
        <f>INDEX('PEDIDO JULIO'!A33:S47,1,19)</f>
        <v>0</v>
      </c>
      <c r="G778" s="8">
        <f>IFERROR(VLOOKUP($B778,'[1]INSUMO POR SEDES MARZO PRUEBA'!$B$6:$CD$109,41,0),"NO BD")</f>
        <v>6866.2880999999998</v>
      </c>
      <c r="H778" s="8"/>
      <c r="I778" s="8">
        <f t="shared" si="69"/>
        <v>0</v>
      </c>
      <c r="J778" s="14">
        <f t="shared" si="66"/>
        <v>0</v>
      </c>
      <c r="K778" s="14">
        <f t="shared" si="67"/>
        <v>0</v>
      </c>
      <c r="L778" s="14">
        <f t="shared" si="68"/>
        <v>0</v>
      </c>
    </row>
    <row r="779" spans="1:12" ht="15">
      <c r="A779" s="3">
        <v>1203</v>
      </c>
      <c r="B779" s="26">
        <v>195</v>
      </c>
      <c r="C779" s="7" t="s">
        <v>158</v>
      </c>
      <c r="D779" s="4" t="s">
        <v>78</v>
      </c>
      <c r="E779" s="6" t="s">
        <v>132</v>
      </c>
      <c r="F779" s="12">
        <f>INDEX('PEDIDO JULIO'!A33:S47,1,19)</f>
        <v>0</v>
      </c>
      <c r="G779" s="8">
        <f>IFERROR(VLOOKUP($B779,'[1]INSUMO POR SEDES MARZO PRUEBA'!$B$6:$CD$109,41,0),"NO BD")</f>
        <v>10697.1831</v>
      </c>
      <c r="H779" s="8"/>
      <c r="I779" s="8">
        <f t="shared" si="69"/>
        <v>0</v>
      </c>
      <c r="J779" s="14">
        <f t="shared" si="66"/>
        <v>0</v>
      </c>
      <c r="K779" s="14">
        <f t="shared" si="67"/>
        <v>0</v>
      </c>
      <c r="L779" s="14">
        <f t="shared" si="68"/>
        <v>0</v>
      </c>
    </row>
    <row r="780" spans="1:12" ht="15">
      <c r="A780" s="3">
        <v>1204</v>
      </c>
      <c r="B780" s="26">
        <v>204</v>
      </c>
      <c r="C780" s="7" t="s">
        <v>158</v>
      </c>
      <c r="D780" s="4" t="s">
        <v>79</v>
      </c>
      <c r="E780" s="6" t="s">
        <v>132</v>
      </c>
      <c r="F780" s="12">
        <f>INDEX('PEDIDO JULIO'!A33:S47,1,19)</f>
        <v>0</v>
      </c>
      <c r="G780" s="8">
        <f>IFERROR(VLOOKUP($B780,'[1]INSUMO POR SEDES MARZO PRUEBA'!$B$6:$CD$109,41,0),"NO BD")</f>
        <v>14760.243999999999</v>
      </c>
      <c r="H780" s="8"/>
      <c r="I780" s="8">
        <f t="shared" si="69"/>
        <v>0</v>
      </c>
      <c r="J780" s="14">
        <f t="shared" si="66"/>
        <v>0</v>
      </c>
      <c r="K780" s="14">
        <f t="shared" si="67"/>
        <v>0</v>
      </c>
      <c r="L780" s="14">
        <f t="shared" si="68"/>
        <v>0</v>
      </c>
    </row>
    <row r="781" spans="1:12" ht="15">
      <c r="A781" s="3">
        <v>1205</v>
      </c>
      <c r="B781" s="26">
        <v>205</v>
      </c>
      <c r="C781" s="7" t="s">
        <v>158</v>
      </c>
      <c r="D781" s="4" t="s">
        <v>80</v>
      </c>
      <c r="E781" s="6" t="s">
        <v>132</v>
      </c>
      <c r="F781" s="12">
        <f>INDEX('PEDIDO JULIO'!A33:S47,1,19)</f>
        <v>0</v>
      </c>
      <c r="G781" s="8">
        <f>IFERROR(VLOOKUP($B781,'[1]INSUMO POR SEDES MARZO PRUEBA'!$B$6:$CD$109,41,0),"NO BD")</f>
        <v>32639.225399999996</v>
      </c>
      <c r="H781" s="8"/>
      <c r="I781" s="8">
        <f t="shared" si="69"/>
        <v>0</v>
      </c>
      <c r="J781" s="14">
        <f t="shared" si="66"/>
        <v>0</v>
      </c>
      <c r="K781" s="14">
        <f t="shared" si="67"/>
        <v>0</v>
      </c>
      <c r="L781" s="14">
        <f t="shared" si="68"/>
        <v>0</v>
      </c>
    </row>
    <row r="782" spans="1:12" ht="15">
      <c r="A782" s="3">
        <v>1206</v>
      </c>
      <c r="B782" s="26">
        <v>207</v>
      </c>
      <c r="C782" s="7" t="s">
        <v>158</v>
      </c>
      <c r="D782" s="4" t="s">
        <v>81</v>
      </c>
      <c r="E782" s="6" t="s">
        <v>132</v>
      </c>
      <c r="F782" s="12">
        <f>INDEX('PEDIDO JULIO'!A33:S47,1,19)</f>
        <v>0</v>
      </c>
      <c r="G782" s="8">
        <f>IFERROR(VLOOKUP($B782,'[1]INSUMO POR SEDES MARZO PRUEBA'!$B$6:$CD$109,41,0),"NO BD")</f>
        <v>0</v>
      </c>
      <c r="H782" s="8"/>
      <c r="I782" s="8">
        <f t="shared" si="69"/>
        <v>0</v>
      </c>
      <c r="J782" s="14">
        <f t="shared" si="66"/>
        <v>0</v>
      </c>
      <c r="K782" s="14">
        <f t="shared" si="67"/>
        <v>0</v>
      </c>
      <c r="L782" s="14">
        <f t="shared" si="68"/>
        <v>0</v>
      </c>
    </row>
    <row r="783" spans="1:12" ht="15">
      <c r="A783" s="3">
        <v>1207</v>
      </c>
      <c r="B783" s="26">
        <v>212</v>
      </c>
      <c r="C783" s="7" t="s">
        <v>158</v>
      </c>
      <c r="D783" s="4" t="s">
        <v>82</v>
      </c>
      <c r="E783" s="6" t="s">
        <v>132</v>
      </c>
      <c r="F783" s="12">
        <f>INDEX('PEDIDO JULIO'!A33:S47,1,19)</f>
        <v>0</v>
      </c>
      <c r="G783" s="8">
        <f>IFERROR(VLOOKUP($B783,'[1]INSUMO POR SEDES MARZO PRUEBA'!$B$6:$CD$109,41,0),"NO BD")</f>
        <v>0</v>
      </c>
      <c r="H783" s="8"/>
      <c r="I783" s="8">
        <f t="shared" si="69"/>
        <v>0</v>
      </c>
      <c r="J783" s="14">
        <f t="shared" si="66"/>
        <v>0</v>
      </c>
      <c r="K783" s="14">
        <f t="shared" si="67"/>
        <v>0</v>
      </c>
      <c r="L783" s="14">
        <f t="shared" si="68"/>
        <v>0</v>
      </c>
    </row>
    <row r="784" spans="1:12" ht="15">
      <c r="A784" s="3">
        <v>1208</v>
      </c>
      <c r="B784" s="26">
        <v>218</v>
      </c>
      <c r="C784" s="7" t="s">
        <v>158</v>
      </c>
      <c r="D784" s="4" t="s">
        <v>83</v>
      </c>
      <c r="E784" s="6" t="s">
        <v>132</v>
      </c>
      <c r="F784" s="12">
        <f>INDEX('PEDIDO JULIO'!A33:S47,1,19)</f>
        <v>0</v>
      </c>
      <c r="G784" s="8">
        <f>IFERROR(VLOOKUP($B784,'[1]INSUMO POR SEDES MARZO PRUEBA'!$B$6:$CD$109,41,0),"NO BD")</f>
        <v>2587.0365000000002</v>
      </c>
      <c r="H784" s="8"/>
      <c r="I784" s="8">
        <f t="shared" si="69"/>
        <v>0</v>
      </c>
      <c r="J784" s="14">
        <f t="shared" si="66"/>
        <v>0</v>
      </c>
      <c r="K784" s="14">
        <f t="shared" si="67"/>
        <v>0</v>
      </c>
      <c r="L784" s="14">
        <f t="shared" si="68"/>
        <v>0</v>
      </c>
    </row>
    <row r="785" spans="1:12" ht="15">
      <c r="A785" s="3">
        <v>1209</v>
      </c>
      <c r="B785" s="26">
        <v>251</v>
      </c>
      <c r="C785" s="7" t="s">
        <v>158</v>
      </c>
      <c r="D785" s="4" t="s">
        <v>84</v>
      </c>
      <c r="E785" s="6" t="s">
        <v>132</v>
      </c>
      <c r="F785" s="12">
        <f>INDEX('PEDIDO JULIO'!A33:S47,1,19)</f>
        <v>0</v>
      </c>
      <c r="G785" s="8">
        <f>IFERROR(VLOOKUP($B785,'[1]INSUMO POR SEDES MARZO PRUEBA'!$B$6:$CD$109,41,0),"NO BD")</f>
        <v>0</v>
      </c>
      <c r="H785" s="8"/>
      <c r="I785" s="8">
        <f t="shared" si="69"/>
        <v>0</v>
      </c>
      <c r="J785" s="14">
        <f t="shared" si="66"/>
        <v>0</v>
      </c>
      <c r="K785" s="14">
        <f t="shared" si="67"/>
        <v>0</v>
      </c>
      <c r="L785" s="14">
        <f t="shared" si="68"/>
        <v>0</v>
      </c>
    </row>
    <row r="786" spans="1:12" ht="15">
      <c r="A786" s="3">
        <v>1255</v>
      </c>
      <c r="B786" s="39">
        <v>3</v>
      </c>
      <c r="C786" s="7" t="s">
        <v>13</v>
      </c>
      <c r="D786" s="4" t="s">
        <v>14</v>
      </c>
      <c r="E786" s="6" t="s">
        <v>133</v>
      </c>
      <c r="F786" s="12">
        <f>INDEX('PEDIDO JULIO'!A10:T32,1,20)</f>
        <v>3</v>
      </c>
      <c r="G786" s="8">
        <f>IFERROR(VLOOKUP($B786,'[1]INSUMO POR SEDES MARZO PRUEBA'!$B$6:$CD$109,44,0),"NO BD")</f>
        <v>7268.7160000000003</v>
      </c>
      <c r="H786" s="8"/>
      <c r="I786" s="8">
        <f t="shared" si="69"/>
        <v>21806.148000000001</v>
      </c>
      <c r="J786" s="14">
        <f t="shared" ref="J786:J812" si="70">+I786*10%</f>
        <v>2180.6148000000003</v>
      </c>
      <c r="K786" s="14">
        <f t="shared" ref="K786:K812" si="71">+J786*19%</f>
        <v>414.31681200000008</v>
      </c>
      <c r="L786" s="14">
        <f t="shared" ref="L786:L812" si="72">SUM(I786:K786)</f>
        <v>24401.079612000001</v>
      </c>
    </row>
    <row r="787" spans="1:12" ht="27">
      <c r="A787" s="3">
        <v>1256</v>
      </c>
      <c r="B787" s="39">
        <v>5</v>
      </c>
      <c r="C787" s="7" t="s">
        <v>13</v>
      </c>
      <c r="D787" s="4" t="s">
        <v>15</v>
      </c>
      <c r="E787" s="6" t="s">
        <v>133</v>
      </c>
      <c r="F787" s="12">
        <f>INDEX('PEDIDO JULIO'!A10:T32,1,20)</f>
        <v>3</v>
      </c>
      <c r="G787" s="8">
        <f>IFERROR(VLOOKUP($B787,'[1]INSUMO POR SEDES MARZO PRUEBA'!$B$6:$CD$109,44,0),"NO BD")</f>
        <v>0</v>
      </c>
      <c r="H787" s="8"/>
      <c r="I787" s="8">
        <f t="shared" si="69"/>
        <v>0</v>
      </c>
      <c r="J787" s="14">
        <f t="shared" si="70"/>
        <v>0</v>
      </c>
      <c r="K787" s="14">
        <f t="shared" si="71"/>
        <v>0</v>
      </c>
      <c r="L787" s="14">
        <f t="shared" si="72"/>
        <v>0</v>
      </c>
    </row>
    <row r="788" spans="1:12" ht="15">
      <c r="A788" s="3">
        <v>1257</v>
      </c>
      <c r="B788" s="39">
        <v>8</v>
      </c>
      <c r="C788" s="7" t="s">
        <v>16</v>
      </c>
      <c r="D788" s="4" t="s">
        <v>17</v>
      </c>
      <c r="E788" s="6" t="s">
        <v>133</v>
      </c>
      <c r="F788" s="12">
        <f>INDEX('PEDIDO JULIO'!A10:T33,1,20)</f>
        <v>3</v>
      </c>
      <c r="G788" s="8">
        <f>IFERROR(VLOOKUP($B788,'[1]INSUMO POR SEDES MARZO PRUEBA'!$B$6:$CD$109,44,0),"NO BD")</f>
        <v>0</v>
      </c>
      <c r="H788" s="8"/>
      <c r="I788" s="8">
        <f t="shared" si="69"/>
        <v>0</v>
      </c>
      <c r="J788" s="14">
        <f t="shared" si="70"/>
        <v>0</v>
      </c>
      <c r="K788" s="14">
        <f t="shared" si="71"/>
        <v>0</v>
      </c>
      <c r="L788" s="14">
        <f t="shared" si="72"/>
        <v>0</v>
      </c>
    </row>
    <row r="789" spans="1:12" ht="27">
      <c r="A789" s="3">
        <v>1258</v>
      </c>
      <c r="B789" s="39">
        <v>9</v>
      </c>
      <c r="C789" s="7" t="s">
        <v>18</v>
      </c>
      <c r="D789" s="4" t="s">
        <v>19</v>
      </c>
      <c r="E789" s="6" t="s">
        <v>133</v>
      </c>
      <c r="F789" s="12">
        <f>INDEX('PEDIDO JULIO'!A10:T33,1,20)</f>
        <v>3</v>
      </c>
      <c r="G789" s="8">
        <f>IFERROR(VLOOKUP($B789,'[1]INSUMO POR SEDES MARZO PRUEBA'!$B$6:$CD$109,44,0),"NO BD")</f>
        <v>3298.0379999999996</v>
      </c>
      <c r="H789" s="8"/>
      <c r="I789" s="8">
        <f t="shared" si="69"/>
        <v>9894.1139999999978</v>
      </c>
      <c r="J789" s="14">
        <f t="shared" si="70"/>
        <v>989.41139999999984</v>
      </c>
      <c r="K789" s="14">
        <f t="shared" si="71"/>
        <v>187.98816599999998</v>
      </c>
      <c r="L789" s="14">
        <f t="shared" si="72"/>
        <v>11071.513565999996</v>
      </c>
    </row>
    <row r="790" spans="1:12" ht="27">
      <c r="A790" s="3">
        <v>1259</v>
      </c>
      <c r="B790" s="39">
        <v>13</v>
      </c>
      <c r="C790" s="7" t="s">
        <v>20</v>
      </c>
      <c r="D790" s="4" t="s">
        <v>21</v>
      </c>
      <c r="E790" s="6" t="s">
        <v>133</v>
      </c>
      <c r="F790" s="12">
        <f>INDEX('PEDIDO JULIO'!A11:T33,1,20)</f>
        <v>3</v>
      </c>
      <c r="G790" s="8">
        <f>IFERROR(VLOOKUP($B790,'[1]INSUMO POR SEDES MARZO PRUEBA'!$B$6:$CD$109,44,0),"NO BD")</f>
        <v>6507.7919999999995</v>
      </c>
      <c r="H790" s="8"/>
      <c r="I790" s="8">
        <f t="shared" si="69"/>
        <v>19523.375999999997</v>
      </c>
      <c r="J790" s="14">
        <f t="shared" si="70"/>
        <v>1952.3375999999998</v>
      </c>
      <c r="K790" s="14">
        <f t="shared" si="71"/>
        <v>370.94414399999999</v>
      </c>
      <c r="L790" s="14">
        <f t="shared" si="72"/>
        <v>21846.657743999996</v>
      </c>
    </row>
    <row r="791" spans="1:12" ht="27">
      <c r="A791" s="3">
        <v>1260</v>
      </c>
      <c r="B791" s="39">
        <v>17</v>
      </c>
      <c r="C791" s="7" t="s">
        <v>22</v>
      </c>
      <c r="D791" s="4" t="s">
        <v>23</v>
      </c>
      <c r="E791" s="6" t="s">
        <v>133</v>
      </c>
      <c r="F791" s="12">
        <f>INDEX('PEDIDO JULIO'!A12:T33,1,20)</f>
        <v>3</v>
      </c>
      <c r="G791" s="8">
        <f>IFERROR(VLOOKUP($B791,'[1]INSUMO POR SEDES MARZO PRUEBA'!$B$6:$CD$109,44,0),"NO BD")</f>
        <v>0</v>
      </c>
      <c r="H791" s="8"/>
      <c r="I791" s="8">
        <f t="shared" si="69"/>
        <v>0</v>
      </c>
      <c r="J791" s="14">
        <f t="shared" si="70"/>
        <v>0</v>
      </c>
      <c r="K791" s="14">
        <f t="shared" si="71"/>
        <v>0</v>
      </c>
      <c r="L791" s="14">
        <f t="shared" si="72"/>
        <v>0</v>
      </c>
    </row>
    <row r="792" spans="1:12" ht="15">
      <c r="A792" s="3">
        <v>1261</v>
      </c>
      <c r="B792" s="39">
        <v>20</v>
      </c>
      <c r="C792" s="7" t="s">
        <v>18</v>
      </c>
      <c r="D792" s="4" t="s">
        <v>24</v>
      </c>
      <c r="E792" s="6" t="s">
        <v>133</v>
      </c>
      <c r="F792" s="12">
        <f>INDEX('PEDIDO JULIO'!A12:T33,1,20)</f>
        <v>3</v>
      </c>
      <c r="G792" s="8">
        <f>IFERROR(VLOOKUP($B792,'[1]INSUMO POR SEDES MARZO PRUEBA'!$B$6:$CD$109,44,0),"NO BD")</f>
        <v>0</v>
      </c>
      <c r="H792" s="8"/>
      <c r="I792" s="8">
        <f t="shared" si="69"/>
        <v>0</v>
      </c>
      <c r="J792" s="14">
        <f t="shared" si="70"/>
        <v>0</v>
      </c>
      <c r="K792" s="14">
        <f t="shared" si="71"/>
        <v>0</v>
      </c>
      <c r="L792" s="14">
        <f t="shared" si="72"/>
        <v>0</v>
      </c>
    </row>
    <row r="793" spans="1:12" ht="27">
      <c r="A793" s="3">
        <v>1262</v>
      </c>
      <c r="B793" s="39">
        <v>21</v>
      </c>
      <c r="C793" s="7" t="s">
        <v>155</v>
      </c>
      <c r="D793" s="4" t="s">
        <v>25</v>
      </c>
      <c r="E793" s="6" t="s">
        <v>133</v>
      </c>
      <c r="F793" s="12">
        <f>INDEX('PEDIDO JULIO'!A13:T34,1,20)</f>
        <v>0</v>
      </c>
      <c r="G793" s="8">
        <f>IFERROR(VLOOKUP($B793,'[1]INSUMO POR SEDES MARZO PRUEBA'!$B$6:$CD$109,44,0),"NO BD")</f>
        <v>0</v>
      </c>
      <c r="H793" s="8"/>
      <c r="I793" s="8">
        <f t="shared" si="69"/>
        <v>0</v>
      </c>
      <c r="J793" s="14">
        <f t="shared" si="70"/>
        <v>0</v>
      </c>
      <c r="K793" s="14">
        <f t="shared" si="71"/>
        <v>0</v>
      </c>
      <c r="L793" s="14">
        <f t="shared" si="72"/>
        <v>0</v>
      </c>
    </row>
    <row r="794" spans="1:12" ht="27">
      <c r="A794" s="3">
        <v>1263</v>
      </c>
      <c r="B794" s="39">
        <v>28</v>
      </c>
      <c r="C794" s="7" t="s">
        <v>16</v>
      </c>
      <c r="D794" s="4" t="s">
        <v>26</v>
      </c>
      <c r="E794" s="6" t="s">
        <v>133</v>
      </c>
      <c r="F794" s="12">
        <f>INDEX('PEDIDO JULIO'!A14:T34,1,20)</f>
        <v>0</v>
      </c>
      <c r="G794" s="8">
        <f>IFERROR(VLOOKUP($B794,'[1]INSUMO POR SEDES MARZO PRUEBA'!$B$6:$CD$109,44,0),"NO BD")</f>
        <v>2764.13</v>
      </c>
      <c r="H794" s="8"/>
      <c r="I794" s="8">
        <f t="shared" si="69"/>
        <v>0</v>
      </c>
      <c r="J794" s="14">
        <f t="shared" si="70"/>
        <v>0</v>
      </c>
      <c r="K794" s="14">
        <f t="shared" si="71"/>
        <v>0</v>
      </c>
      <c r="L794" s="14">
        <f t="shared" si="72"/>
        <v>0</v>
      </c>
    </row>
    <row r="795" spans="1:12" ht="15">
      <c r="A795" s="3">
        <v>1264</v>
      </c>
      <c r="B795" s="39">
        <v>29</v>
      </c>
      <c r="C795" s="7" t="s">
        <v>27</v>
      </c>
      <c r="D795" s="4" t="s">
        <v>28</v>
      </c>
      <c r="E795" s="6" t="s">
        <v>133</v>
      </c>
      <c r="F795" s="12">
        <f>INDEX('PEDIDO JULIO'!A15:T34,1,20)</f>
        <v>0</v>
      </c>
      <c r="G795" s="8">
        <f>IFERROR(VLOOKUP($B795,'[1]INSUMO POR SEDES MARZO PRUEBA'!$B$6:$CD$109,44,0),"NO BD")</f>
        <v>0</v>
      </c>
      <c r="H795" s="8"/>
      <c r="I795" s="8">
        <f t="shared" si="69"/>
        <v>0</v>
      </c>
      <c r="J795" s="14">
        <f t="shared" si="70"/>
        <v>0</v>
      </c>
      <c r="K795" s="14">
        <f t="shared" si="71"/>
        <v>0</v>
      </c>
      <c r="L795" s="14">
        <f t="shared" si="72"/>
        <v>0</v>
      </c>
    </row>
    <row r="796" spans="1:12" ht="15">
      <c r="A796" s="3">
        <v>1265</v>
      </c>
      <c r="B796" s="39">
        <v>32</v>
      </c>
      <c r="C796" s="7" t="s">
        <v>13</v>
      </c>
      <c r="D796" s="4" t="s">
        <v>29</v>
      </c>
      <c r="E796" s="6" t="s">
        <v>133</v>
      </c>
      <c r="F796" s="12">
        <f>INDEX('PEDIDO JULIO'!A16:T34,1,20)</f>
        <v>15</v>
      </c>
      <c r="G796" s="8">
        <f>IFERROR(VLOOKUP($B796,'[1]INSUMO POR SEDES MARZO PRUEBA'!$B$6:$CD$109,44,0),"NO BD")</f>
        <v>4115.7160000000003</v>
      </c>
      <c r="H796" s="8"/>
      <c r="I796" s="8">
        <f t="shared" si="69"/>
        <v>61735.740000000005</v>
      </c>
      <c r="J796" s="14">
        <f t="shared" si="70"/>
        <v>6173.5740000000005</v>
      </c>
      <c r="K796" s="14">
        <f t="shared" si="71"/>
        <v>1172.9790600000001</v>
      </c>
      <c r="L796" s="14">
        <f t="shared" si="72"/>
        <v>69082.293060000011</v>
      </c>
    </row>
    <row r="797" spans="1:12" ht="15">
      <c r="A797" s="3">
        <v>1266</v>
      </c>
      <c r="B797" s="39">
        <v>38</v>
      </c>
      <c r="C797" s="7" t="s">
        <v>13</v>
      </c>
      <c r="D797" s="4" t="s">
        <v>30</v>
      </c>
      <c r="E797" s="6" t="s">
        <v>133</v>
      </c>
      <c r="F797" s="12">
        <f>INDEX('PEDIDO JULIO'!A17:T34,1,20)</f>
        <v>0</v>
      </c>
      <c r="G797" s="8">
        <f>IFERROR(VLOOKUP($B797,'[1]INSUMO POR SEDES MARZO PRUEBA'!$B$6:$CD$109,44,0),"NO BD")</f>
        <v>0</v>
      </c>
      <c r="H797" s="8"/>
      <c r="I797" s="8">
        <f t="shared" si="69"/>
        <v>0</v>
      </c>
      <c r="J797" s="14">
        <f t="shared" si="70"/>
        <v>0</v>
      </c>
      <c r="K797" s="14">
        <f t="shared" si="71"/>
        <v>0</v>
      </c>
      <c r="L797" s="14">
        <f t="shared" si="72"/>
        <v>0</v>
      </c>
    </row>
    <row r="798" spans="1:12" ht="15">
      <c r="A798" s="3">
        <v>1267</v>
      </c>
      <c r="B798" s="39">
        <v>44</v>
      </c>
      <c r="C798" s="7" t="s">
        <v>13</v>
      </c>
      <c r="D798" s="4" t="s">
        <v>31</v>
      </c>
      <c r="E798" s="6" t="s">
        <v>133</v>
      </c>
      <c r="F798" s="12">
        <f>INDEX('PEDIDO JULIO'!A17:T34,1,20)</f>
        <v>0</v>
      </c>
      <c r="G798" s="8">
        <f>IFERROR(VLOOKUP($B798,'[1]INSUMO POR SEDES MARZO PRUEBA'!$B$6:$CD$109,44,0),"NO BD")</f>
        <v>0</v>
      </c>
      <c r="H798" s="8"/>
      <c r="I798" s="8">
        <f t="shared" si="69"/>
        <v>0</v>
      </c>
      <c r="J798" s="14">
        <f t="shared" si="70"/>
        <v>0</v>
      </c>
      <c r="K798" s="14">
        <f t="shared" si="71"/>
        <v>0</v>
      </c>
      <c r="L798" s="14">
        <f t="shared" si="72"/>
        <v>0</v>
      </c>
    </row>
    <row r="799" spans="1:12" ht="15">
      <c r="A799" s="3">
        <v>1268</v>
      </c>
      <c r="B799" s="39">
        <v>50</v>
      </c>
      <c r="C799" s="7" t="s">
        <v>13</v>
      </c>
      <c r="D799" s="4" t="s">
        <v>32</v>
      </c>
      <c r="E799" s="6" t="s">
        <v>133</v>
      </c>
      <c r="F799" s="12">
        <f>INDEX('PEDIDO JULIO'!A18:T35,1,20)</f>
        <v>0</v>
      </c>
      <c r="G799" s="8">
        <f>IFERROR(VLOOKUP($B799,'[1]INSUMO POR SEDES MARZO PRUEBA'!$B$6:$CD$109,44,0),"NO BD")</f>
        <v>0</v>
      </c>
      <c r="H799" s="8"/>
      <c r="I799" s="8">
        <f t="shared" si="69"/>
        <v>0</v>
      </c>
      <c r="J799" s="14">
        <f t="shared" si="70"/>
        <v>0</v>
      </c>
      <c r="K799" s="14">
        <f t="shared" si="71"/>
        <v>0</v>
      </c>
      <c r="L799" s="14">
        <f t="shared" si="72"/>
        <v>0</v>
      </c>
    </row>
    <row r="800" spans="1:12" ht="15">
      <c r="A800" s="3">
        <v>1269</v>
      </c>
      <c r="B800" s="39">
        <v>52</v>
      </c>
      <c r="C800" s="7" t="s">
        <v>33</v>
      </c>
      <c r="D800" s="4" t="s">
        <v>34</v>
      </c>
      <c r="E800" s="6" t="s">
        <v>133</v>
      </c>
      <c r="F800" s="12">
        <f>INDEX('PEDIDO JULIO'!A18:T35,1,20)</f>
        <v>0</v>
      </c>
      <c r="G800" s="8">
        <f>IFERROR(VLOOKUP($B800,'[1]INSUMO POR SEDES MARZO PRUEBA'!$B$6:$CD$109,44,0),"NO BD")</f>
        <v>0</v>
      </c>
      <c r="H800" s="8"/>
      <c r="I800" s="8">
        <f t="shared" si="69"/>
        <v>0</v>
      </c>
      <c r="J800" s="14">
        <f t="shared" si="70"/>
        <v>0</v>
      </c>
      <c r="K800" s="14">
        <f t="shared" si="71"/>
        <v>0</v>
      </c>
      <c r="L800" s="14">
        <f t="shared" si="72"/>
        <v>0</v>
      </c>
    </row>
    <row r="801" spans="1:12" ht="15">
      <c r="A801" s="3">
        <v>1270</v>
      </c>
      <c r="B801" s="39">
        <v>57</v>
      </c>
      <c r="C801" s="7" t="s">
        <v>16</v>
      </c>
      <c r="D801" s="4" t="s">
        <v>35</v>
      </c>
      <c r="E801" s="6" t="s">
        <v>133</v>
      </c>
      <c r="F801" s="12">
        <f>INDEX('PEDIDO JULIO'!A18:T35,1,20)</f>
        <v>0</v>
      </c>
      <c r="G801" s="8">
        <f>IFERROR(VLOOKUP($B801,'[1]INSUMO POR SEDES MARZO PRUEBA'!$B$6:$CD$109,44,0),"NO BD")</f>
        <v>27464.2065</v>
      </c>
      <c r="H801" s="8"/>
      <c r="I801" s="8">
        <f t="shared" si="69"/>
        <v>0</v>
      </c>
      <c r="J801" s="14">
        <f t="shared" si="70"/>
        <v>0</v>
      </c>
      <c r="K801" s="14">
        <f t="shared" si="71"/>
        <v>0</v>
      </c>
      <c r="L801" s="14">
        <f t="shared" si="72"/>
        <v>0</v>
      </c>
    </row>
    <row r="802" spans="1:12" ht="15">
      <c r="A802" s="3">
        <v>1271</v>
      </c>
      <c r="B802" s="39">
        <v>59</v>
      </c>
      <c r="C802" s="7" t="s">
        <v>36</v>
      </c>
      <c r="D802" s="4" t="s">
        <v>37</v>
      </c>
      <c r="E802" s="6" t="s">
        <v>133</v>
      </c>
      <c r="F802" s="12">
        <f>INDEX('PEDIDO JULIO'!A19:T35,1,20)</f>
        <v>0</v>
      </c>
      <c r="G802" s="8">
        <f>IFERROR(VLOOKUP($B802,'[1]INSUMO POR SEDES MARZO PRUEBA'!$B$6:$CD$109,44,0),"NO BD")</f>
        <v>0</v>
      </c>
      <c r="H802" s="8"/>
      <c r="I802" s="8">
        <f t="shared" si="69"/>
        <v>0</v>
      </c>
      <c r="J802" s="14">
        <f t="shared" si="70"/>
        <v>0</v>
      </c>
      <c r="K802" s="14">
        <f t="shared" si="71"/>
        <v>0</v>
      </c>
      <c r="L802" s="14">
        <f t="shared" si="72"/>
        <v>0</v>
      </c>
    </row>
    <row r="803" spans="1:12" ht="15">
      <c r="A803" s="3">
        <v>1272</v>
      </c>
      <c r="B803" s="39">
        <v>62</v>
      </c>
      <c r="C803" s="7" t="s">
        <v>36</v>
      </c>
      <c r="D803" s="4" t="s">
        <v>38</v>
      </c>
      <c r="E803" s="6" t="s">
        <v>133</v>
      </c>
      <c r="F803" s="12">
        <f>INDEX('PEDIDO JULIO'!A19:T35,1,20)</f>
        <v>0</v>
      </c>
      <c r="G803" s="8">
        <f>IFERROR(VLOOKUP($B803,'[1]INSUMO POR SEDES MARZO PRUEBA'!$B$6:$CD$109,44,0),"NO BD")</f>
        <v>10100.3202</v>
      </c>
      <c r="H803" s="8"/>
      <c r="I803" s="8">
        <f t="shared" si="69"/>
        <v>0</v>
      </c>
      <c r="J803" s="14">
        <f t="shared" si="70"/>
        <v>0</v>
      </c>
      <c r="K803" s="14">
        <f t="shared" si="71"/>
        <v>0</v>
      </c>
      <c r="L803" s="14">
        <f t="shared" si="72"/>
        <v>0</v>
      </c>
    </row>
    <row r="804" spans="1:12" ht="15">
      <c r="A804" s="3">
        <v>1273</v>
      </c>
      <c r="B804" s="39">
        <v>63</v>
      </c>
      <c r="C804" s="7" t="s">
        <v>39</v>
      </c>
      <c r="D804" s="4" t="s">
        <v>40</v>
      </c>
      <c r="E804" s="6" t="s">
        <v>133</v>
      </c>
      <c r="F804" s="12">
        <f>INDEX('PEDIDO JULIO'!A20:T35,1,20)</f>
        <v>0</v>
      </c>
      <c r="G804" s="8">
        <f>IFERROR(VLOOKUP($B804,'[1]INSUMO POR SEDES MARZO PRUEBA'!$B$6:$CD$109,44,0),"NO BD")</f>
        <v>11443.4982</v>
      </c>
      <c r="H804" s="8"/>
      <c r="I804" s="8">
        <f t="shared" si="69"/>
        <v>0</v>
      </c>
      <c r="J804" s="14">
        <f t="shared" si="70"/>
        <v>0</v>
      </c>
      <c r="K804" s="14">
        <f t="shared" si="71"/>
        <v>0</v>
      </c>
      <c r="L804" s="14">
        <f t="shared" si="72"/>
        <v>0</v>
      </c>
    </row>
    <row r="805" spans="1:12" ht="15">
      <c r="A805" s="3">
        <v>1274</v>
      </c>
      <c r="B805" s="39">
        <v>64</v>
      </c>
      <c r="C805" s="7" t="s">
        <v>39</v>
      </c>
      <c r="D805" s="4" t="s">
        <v>41</v>
      </c>
      <c r="E805" s="6" t="s">
        <v>133</v>
      </c>
      <c r="F805" s="12">
        <f>INDEX('PEDIDO JULIO'!A20:T35,1,20)</f>
        <v>0</v>
      </c>
      <c r="G805" s="8">
        <f>IFERROR(VLOOKUP($B805,'[1]INSUMO POR SEDES MARZO PRUEBA'!$B$6:$CD$109,44,0),"NO BD")</f>
        <v>0</v>
      </c>
      <c r="H805" s="8"/>
      <c r="I805" s="8">
        <f t="shared" si="69"/>
        <v>0</v>
      </c>
      <c r="J805" s="14">
        <f t="shared" si="70"/>
        <v>0</v>
      </c>
      <c r="K805" s="14">
        <f t="shared" si="71"/>
        <v>0</v>
      </c>
      <c r="L805" s="14">
        <f t="shared" si="72"/>
        <v>0</v>
      </c>
    </row>
    <row r="806" spans="1:12" ht="15">
      <c r="A806" s="3">
        <v>1275</v>
      </c>
      <c r="B806" s="39">
        <v>65</v>
      </c>
      <c r="C806" s="7" t="s">
        <v>151</v>
      </c>
      <c r="D806" s="4" t="s">
        <v>42</v>
      </c>
      <c r="E806" s="6" t="s">
        <v>133</v>
      </c>
      <c r="F806" s="12">
        <f>INDEX('PEDIDO JULIO'!A21:T35,1,20)</f>
        <v>0</v>
      </c>
      <c r="G806" s="8">
        <f>IFERROR(VLOOKUP($B806,'[1]INSUMO POR SEDES MARZO PRUEBA'!$B$6:$CD$109,44,0),"NO BD")</f>
        <v>13820.650000000001</v>
      </c>
      <c r="H806" s="8"/>
      <c r="I806" s="8">
        <f t="shared" si="69"/>
        <v>0</v>
      </c>
      <c r="J806" s="14">
        <f t="shared" si="70"/>
        <v>0</v>
      </c>
      <c r="K806" s="14">
        <f t="shared" si="71"/>
        <v>0</v>
      </c>
      <c r="L806" s="14">
        <f t="shared" si="72"/>
        <v>0</v>
      </c>
    </row>
    <row r="807" spans="1:12" ht="15">
      <c r="A807" s="3">
        <v>1276</v>
      </c>
      <c r="B807" s="39">
        <v>66</v>
      </c>
      <c r="C807" s="7" t="s">
        <v>151</v>
      </c>
      <c r="D807" s="4" t="s">
        <v>43</v>
      </c>
      <c r="E807" s="6" t="s">
        <v>133</v>
      </c>
      <c r="F807" s="12">
        <f>INDEX('PEDIDO JULIO'!A22:T35,1,20)</f>
        <v>0</v>
      </c>
      <c r="G807" s="8">
        <f>IFERROR(VLOOKUP($B807,'[1]INSUMO POR SEDES MARZO PRUEBA'!$B$6:$CD$109,44,0),"NO BD")</f>
        <v>4178.9862000000003</v>
      </c>
      <c r="H807" s="8"/>
      <c r="I807" s="8">
        <f t="shared" si="69"/>
        <v>0</v>
      </c>
      <c r="J807" s="14">
        <f t="shared" si="70"/>
        <v>0</v>
      </c>
      <c r="K807" s="14">
        <f t="shared" si="71"/>
        <v>0</v>
      </c>
      <c r="L807" s="14">
        <f t="shared" si="72"/>
        <v>0</v>
      </c>
    </row>
    <row r="808" spans="1:12" ht="15">
      <c r="A808" s="3">
        <v>1277</v>
      </c>
      <c r="B808" s="39">
        <v>71</v>
      </c>
      <c r="C808" s="7" t="s">
        <v>151</v>
      </c>
      <c r="D808" s="4" t="s">
        <v>44</v>
      </c>
      <c r="E808" s="6" t="s">
        <v>133</v>
      </c>
      <c r="F808" s="12">
        <f>INDEX('PEDIDO JULIO'!A23:T36,1,20)</f>
        <v>0</v>
      </c>
      <c r="G808" s="8">
        <f>IFERROR(VLOOKUP($B808,'[1]INSUMO POR SEDES MARZO PRUEBA'!$B$6:$CD$109,44,0),"NO BD")</f>
        <v>7960.6944000000003</v>
      </c>
      <c r="H808" s="8"/>
      <c r="I808" s="8">
        <f t="shared" si="69"/>
        <v>0</v>
      </c>
      <c r="J808" s="14">
        <f t="shared" si="70"/>
        <v>0</v>
      </c>
      <c r="K808" s="14">
        <f t="shared" si="71"/>
        <v>0</v>
      </c>
      <c r="L808" s="14">
        <f t="shared" si="72"/>
        <v>0</v>
      </c>
    </row>
    <row r="809" spans="1:12" ht="40.5">
      <c r="A809" s="3">
        <v>1278</v>
      </c>
      <c r="B809" s="39">
        <v>72</v>
      </c>
      <c r="C809" s="7" t="s">
        <v>151</v>
      </c>
      <c r="D809" s="4" t="s">
        <v>45</v>
      </c>
      <c r="E809" s="6" t="s">
        <v>133</v>
      </c>
      <c r="F809" s="12">
        <f>INDEX('PEDIDO JULIO'!A23:T37,1,20)</f>
        <v>0</v>
      </c>
      <c r="G809" s="8">
        <f>IFERROR(VLOOKUP($B809,'[1]INSUMO POR SEDES MARZO PRUEBA'!$B$6:$CD$109,44,0),"NO BD")</f>
        <v>7861.3749000000007</v>
      </c>
      <c r="H809" s="8"/>
      <c r="I809" s="8">
        <f t="shared" si="69"/>
        <v>0</v>
      </c>
      <c r="J809" s="14">
        <f t="shared" si="70"/>
        <v>0</v>
      </c>
      <c r="K809" s="14">
        <f t="shared" si="71"/>
        <v>0</v>
      </c>
      <c r="L809" s="14">
        <f t="shared" si="72"/>
        <v>0</v>
      </c>
    </row>
    <row r="810" spans="1:12" ht="27">
      <c r="A810" s="3">
        <v>1279</v>
      </c>
      <c r="B810" s="39">
        <v>73</v>
      </c>
      <c r="C810" s="7" t="s">
        <v>46</v>
      </c>
      <c r="D810" s="4" t="s">
        <v>47</v>
      </c>
      <c r="E810" s="6" t="s">
        <v>133</v>
      </c>
      <c r="F810" s="12">
        <f>INDEX('PEDIDO JULIO'!A24:T37,1,20)</f>
        <v>10</v>
      </c>
      <c r="G810" s="8">
        <f>IFERROR(VLOOKUP($B810,'[1]INSUMO POR SEDES MARZO PRUEBA'!$B$6:$CD$109,44,0),"NO BD")</f>
        <v>21493.685699999998</v>
      </c>
      <c r="H810" s="8"/>
      <c r="I810" s="8">
        <f t="shared" si="69"/>
        <v>214936.85699999999</v>
      </c>
      <c r="J810" s="14">
        <f t="shared" si="70"/>
        <v>21493.685700000002</v>
      </c>
      <c r="K810" s="14">
        <f t="shared" si="71"/>
        <v>4083.8002830000005</v>
      </c>
      <c r="L810" s="14">
        <f t="shared" si="72"/>
        <v>240514.34298299998</v>
      </c>
    </row>
    <row r="811" spans="1:12" ht="15">
      <c r="A811" s="3">
        <v>1280</v>
      </c>
      <c r="B811" s="39">
        <v>74</v>
      </c>
      <c r="C811" s="7" t="s">
        <v>159</v>
      </c>
      <c r="D811" s="4" t="s">
        <v>48</v>
      </c>
      <c r="E811" s="6" t="s">
        <v>133</v>
      </c>
      <c r="F811" s="12">
        <f>INDEX('PEDIDO JULIO'!A25:T37,1,20)</f>
        <v>0</v>
      </c>
      <c r="G811" s="8">
        <f>IFERROR(VLOOKUP($B811,'[1]INSUMO POR SEDES MARZO PRUEBA'!$B$6:$CD$109,44,0),"NO BD")</f>
        <v>6915.4749000000002</v>
      </c>
      <c r="H811" s="8"/>
      <c r="I811" s="8">
        <f t="shared" si="69"/>
        <v>0</v>
      </c>
      <c r="J811" s="14">
        <f t="shared" si="70"/>
        <v>0</v>
      </c>
      <c r="K811" s="14">
        <f t="shared" si="71"/>
        <v>0</v>
      </c>
      <c r="L811" s="14">
        <f t="shared" si="72"/>
        <v>0</v>
      </c>
    </row>
    <row r="812" spans="1:12" ht="15">
      <c r="A812" s="3">
        <v>1281</v>
      </c>
      <c r="B812" s="39">
        <v>79</v>
      </c>
      <c r="C812" s="7" t="s">
        <v>159</v>
      </c>
      <c r="D812" s="4" t="s">
        <v>49</v>
      </c>
      <c r="E812" s="6" t="s">
        <v>133</v>
      </c>
      <c r="F812" s="12">
        <f>INDEX('PEDIDO JULIO'!A26:T37,1,20)</f>
        <v>0</v>
      </c>
      <c r="G812" s="8">
        <f>IFERROR(VLOOKUP($B812,'[1]INSUMO POR SEDES MARZO PRUEBA'!$B$6:$CD$109,44,0),"NO BD")</f>
        <v>935.49510000000009</v>
      </c>
      <c r="H812" s="8"/>
      <c r="I812" s="8">
        <f t="shared" si="69"/>
        <v>0</v>
      </c>
      <c r="J812" s="14">
        <f t="shared" si="70"/>
        <v>0</v>
      </c>
      <c r="K812" s="14">
        <f t="shared" si="71"/>
        <v>0</v>
      </c>
      <c r="L812" s="14">
        <f t="shared" si="72"/>
        <v>0</v>
      </c>
    </row>
    <row r="813" spans="1:12" ht="15">
      <c r="A813" s="3">
        <v>1282</v>
      </c>
      <c r="B813" s="39">
        <v>80</v>
      </c>
      <c r="C813" s="7" t="s">
        <v>159</v>
      </c>
      <c r="D813" s="4" t="s">
        <v>50</v>
      </c>
      <c r="E813" s="6" t="s">
        <v>133</v>
      </c>
      <c r="F813" s="12">
        <f>INDEX('PEDIDO JULIO'!A27:T37,1,20)</f>
        <v>0</v>
      </c>
      <c r="G813" s="8">
        <f>IFERROR(VLOOKUP($B813,'[1]INSUMO POR SEDES MARZO PRUEBA'!$B$6:$CD$109,44,0),"NO BD")</f>
        <v>607.26779999999997</v>
      </c>
      <c r="H813" s="8"/>
      <c r="I813" s="8">
        <f t="shared" si="69"/>
        <v>0</v>
      </c>
      <c r="J813" s="14">
        <f t="shared" ref="J813:J850" si="73">+I813*10%</f>
        <v>0</v>
      </c>
      <c r="K813" s="14">
        <f t="shared" ref="K813:K850" si="74">+J813*19%</f>
        <v>0</v>
      </c>
      <c r="L813" s="14">
        <f t="shared" ref="L813:L850" si="75">SUM(I813:K813)</f>
        <v>0</v>
      </c>
    </row>
    <row r="814" spans="1:12" ht="15">
      <c r="A814" s="3">
        <v>1283</v>
      </c>
      <c r="B814" s="39">
        <v>81</v>
      </c>
      <c r="C814" s="7" t="s">
        <v>159</v>
      </c>
      <c r="D814" s="4" t="s">
        <v>51</v>
      </c>
      <c r="E814" s="6" t="s">
        <v>133</v>
      </c>
      <c r="F814" s="12">
        <f>INDEX('PEDIDO JULIO'!A28:T37,1,20)</f>
        <v>0</v>
      </c>
      <c r="G814" s="8">
        <f>IFERROR(VLOOKUP($B814,'[1]INSUMO POR SEDES MARZO PRUEBA'!$B$6:$CD$109,44,0),"NO BD")</f>
        <v>387.81900000000002</v>
      </c>
      <c r="H814" s="8"/>
      <c r="I814" s="8">
        <f t="shared" si="69"/>
        <v>0</v>
      </c>
      <c r="J814" s="14">
        <f t="shared" si="73"/>
        <v>0</v>
      </c>
      <c r="K814" s="14">
        <f t="shared" si="74"/>
        <v>0</v>
      </c>
      <c r="L814" s="14">
        <f t="shared" si="75"/>
        <v>0</v>
      </c>
    </row>
    <row r="815" spans="1:12" ht="15">
      <c r="A815" s="3">
        <v>1284</v>
      </c>
      <c r="B815" s="39">
        <v>82</v>
      </c>
      <c r="C815" s="7" t="s">
        <v>159</v>
      </c>
      <c r="D815" s="4" t="s">
        <v>52</v>
      </c>
      <c r="E815" s="6" t="s">
        <v>133</v>
      </c>
      <c r="F815" s="12">
        <f>INDEX('PEDIDO JULIO'!A28:T37,1,20)</f>
        <v>0</v>
      </c>
      <c r="G815" s="8">
        <f>IFERROR(VLOOKUP($B815,'[1]INSUMO POR SEDES MARZO PRUEBA'!$B$6:$CD$109,44,0),"NO BD")</f>
        <v>1003.7049999999999</v>
      </c>
      <c r="H815" s="8"/>
      <c r="I815" s="8">
        <f t="shared" si="69"/>
        <v>0</v>
      </c>
      <c r="J815" s="14">
        <f t="shared" si="73"/>
        <v>0</v>
      </c>
      <c r="K815" s="14">
        <f t="shared" si="74"/>
        <v>0</v>
      </c>
      <c r="L815" s="14">
        <f t="shared" si="75"/>
        <v>0</v>
      </c>
    </row>
    <row r="816" spans="1:12" ht="15">
      <c r="A816" s="3">
        <v>1285</v>
      </c>
      <c r="B816" s="39">
        <v>83</v>
      </c>
      <c r="C816" s="7" t="s">
        <v>53</v>
      </c>
      <c r="D816" s="4" t="s">
        <v>54</v>
      </c>
      <c r="E816" s="6" t="s">
        <v>133</v>
      </c>
      <c r="F816" s="12">
        <f>INDEX('PEDIDO JULIO'!A29:T37,1,20)</f>
        <v>0</v>
      </c>
      <c r="G816" s="8">
        <f>IFERROR(VLOOKUP($B816,'[1]INSUMO POR SEDES MARZO PRUEBA'!$B$6:$CD$109,44,0),"NO BD")</f>
        <v>0</v>
      </c>
      <c r="H816" s="8"/>
      <c r="I816" s="8">
        <f t="shared" si="69"/>
        <v>0</v>
      </c>
      <c r="J816" s="14">
        <f t="shared" si="73"/>
        <v>0</v>
      </c>
      <c r="K816" s="14">
        <f t="shared" si="74"/>
        <v>0</v>
      </c>
      <c r="L816" s="14">
        <f t="shared" si="75"/>
        <v>0</v>
      </c>
    </row>
    <row r="817" spans="1:12" ht="15">
      <c r="A817" s="3">
        <v>1286</v>
      </c>
      <c r="B817" s="39">
        <v>88</v>
      </c>
      <c r="C817" s="7" t="s">
        <v>53</v>
      </c>
      <c r="D817" s="4" t="s">
        <v>55</v>
      </c>
      <c r="E817" s="6" t="s">
        <v>133</v>
      </c>
      <c r="F817" s="12">
        <f>INDEX('PEDIDO JULIO'!A30:T37,1,20)</f>
        <v>5</v>
      </c>
      <c r="G817" s="8">
        <f>IFERROR(VLOOKUP($B817,'[1]INSUMO POR SEDES MARZO PRUEBA'!$B$6:$CD$109,44,0),"NO BD")</f>
        <v>0</v>
      </c>
      <c r="H817" s="8"/>
      <c r="I817" s="8">
        <f t="shared" si="69"/>
        <v>0</v>
      </c>
      <c r="J817" s="14">
        <f t="shared" si="73"/>
        <v>0</v>
      </c>
      <c r="K817" s="14">
        <f t="shared" si="74"/>
        <v>0</v>
      </c>
      <c r="L817" s="14">
        <f t="shared" si="75"/>
        <v>0</v>
      </c>
    </row>
    <row r="818" spans="1:12" ht="15">
      <c r="A818" s="3">
        <v>1287</v>
      </c>
      <c r="B818" s="39">
        <v>92</v>
      </c>
      <c r="C818" s="7" t="s">
        <v>53</v>
      </c>
      <c r="D818" s="4" t="s">
        <v>56</v>
      </c>
      <c r="E818" s="6" t="s">
        <v>133</v>
      </c>
      <c r="F818" s="12">
        <f>INDEX('PEDIDO JULIO'!A31:T37,1,20)</f>
        <v>0</v>
      </c>
      <c r="G818" s="8">
        <f>IFERROR(VLOOKUP($B818,'[1]INSUMO POR SEDES MARZO PRUEBA'!$B$6:$CD$109,44,0),"NO BD")</f>
        <v>2380.5149999999999</v>
      </c>
      <c r="H818" s="8"/>
      <c r="I818" s="8">
        <f t="shared" si="69"/>
        <v>0</v>
      </c>
      <c r="J818" s="14">
        <f t="shared" si="73"/>
        <v>0</v>
      </c>
      <c r="K818" s="14">
        <f t="shared" si="74"/>
        <v>0</v>
      </c>
      <c r="L818" s="14">
        <f t="shared" si="75"/>
        <v>0</v>
      </c>
    </row>
    <row r="819" spans="1:12" ht="15">
      <c r="A819" s="3">
        <v>1288</v>
      </c>
      <c r="B819" s="39">
        <v>94</v>
      </c>
      <c r="C819" s="7" t="s">
        <v>53</v>
      </c>
      <c r="D819" s="4" t="s">
        <v>57</v>
      </c>
      <c r="E819" s="6" t="s">
        <v>133</v>
      </c>
      <c r="F819" s="12">
        <f>INDEX('PEDIDO JULIO'!A32:T37,1,20)</f>
        <v>0</v>
      </c>
      <c r="G819" s="8">
        <f>IFERROR(VLOOKUP($B819,'[1]INSUMO POR SEDES MARZO PRUEBA'!$B$6:$CD$109,44,0),"NO BD")</f>
        <v>0</v>
      </c>
      <c r="H819" s="8"/>
      <c r="I819" s="8">
        <f t="shared" si="69"/>
        <v>0</v>
      </c>
      <c r="J819" s="14">
        <f t="shared" si="73"/>
        <v>0</v>
      </c>
      <c r="K819" s="14">
        <f t="shared" si="74"/>
        <v>0</v>
      </c>
      <c r="L819" s="14">
        <f t="shared" si="75"/>
        <v>0</v>
      </c>
    </row>
    <row r="820" spans="1:12" ht="27">
      <c r="A820" s="3">
        <v>1289</v>
      </c>
      <c r="B820" s="39">
        <v>98</v>
      </c>
      <c r="C820" s="7" t="s">
        <v>160</v>
      </c>
      <c r="D820" s="4" t="s">
        <v>58</v>
      </c>
      <c r="E820" s="6" t="s">
        <v>133</v>
      </c>
      <c r="F820" s="12">
        <f>INDEX('PEDIDO JULIO'!A33:T37,1,20)</f>
        <v>0</v>
      </c>
      <c r="G820" s="8">
        <f>IFERROR(VLOOKUP($B820,'[1]INSUMO POR SEDES MARZO PRUEBA'!$B$6:$CD$109,44,0),"NO BD")</f>
        <v>9503.4573</v>
      </c>
      <c r="H820" s="8"/>
      <c r="I820" s="8">
        <f t="shared" si="69"/>
        <v>0</v>
      </c>
      <c r="J820" s="14">
        <f t="shared" si="73"/>
        <v>0</v>
      </c>
      <c r="K820" s="14">
        <f t="shared" si="74"/>
        <v>0</v>
      </c>
      <c r="L820" s="14">
        <f t="shared" si="75"/>
        <v>0</v>
      </c>
    </row>
    <row r="821" spans="1:12" ht="15">
      <c r="A821" s="3">
        <v>1290</v>
      </c>
      <c r="B821" s="39">
        <v>100</v>
      </c>
      <c r="C821" s="7" t="s">
        <v>160</v>
      </c>
      <c r="D821" s="4" t="s">
        <v>59</v>
      </c>
      <c r="E821" s="6" t="s">
        <v>133</v>
      </c>
      <c r="F821" s="12">
        <f>INDEX('PEDIDO JULIO'!A33:T38,1,20)</f>
        <v>0</v>
      </c>
      <c r="G821" s="8">
        <f>IFERROR(VLOOKUP($B821,'[1]INSUMO POR SEDES MARZO PRUEBA'!$B$6:$CD$109,44,0),"NO BD")</f>
        <v>0</v>
      </c>
      <c r="H821" s="8"/>
      <c r="I821" s="8">
        <f t="shared" si="69"/>
        <v>0</v>
      </c>
      <c r="J821" s="14">
        <f t="shared" si="73"/>
        <v>0</v>
      </c>
      <c r="K821" s="14">
        <f t="shared" si="74"/>
        <v>0</v>
      </c>
      <c r="L821" s="14">
        <f t="shared" si="75"/>
        <v>0</v>
      </c>
    </row>
    <row r="822" spans="1:12" ht="15">
      <c r="A822" s="3">
        <v>1291</v>
      </c>
      <c r="B822" s="39">
        <v>102</v>
      </c>
      <c r="C822" s="7" t="s">
        <v>60</v>
      </c>
      <c r="D822" s="4" t="s">
        <v>61</v>
      </c>
      <c r="E822" s="6" t="s">
        <v>133</v>
      </c>
      <c r="F822" s="12">
        <f>INDEX('PEDIDO JULIO'!A33:T38,1,20)</f>
        <v>0</v>
      </c>
      <c r="G822" s="8">
        <f>IFERROR(VLOOKUP($B822,'[1]INSUMO POR SEDES MARZO PRUEBA'!$B$6:$CD$109,44,0),"NO BD")</f>
        <v>5422.8446999999996</v>
      </c>
      <c r="H822" s="8"/>
      <c r="I822" s="8">
        <f t="shared" si="69"/>
        <v>0</v>
      </c>
      <c r="J822" s="14">
        <f t="shared" si="73"/>
        <v>0</v>
      </c>
      <c r="K822" s="14">
        <f t="shared" si="74"/>
        <v>0</v>
      </c>
      <c r="L822" s="14">
        <f t="shared" si="75"/>
        <v>0</v>
      </c>
    </row>
    <row r="823" spans="1:12" ht="15">
      <c r="A823" s="3">
        <v>1292</v>
      </c>
      <c r="B823" s="39">
        <v>110</v>
      </c>
      <c r="C823" s="7" t="s">
        <v>60</v>
      </c>
      <c r="D823" s="4" t="s">
        <v>62</v>
      </c>
      <c r="E823" s="6" t="s">
        <v>133</v>
      </c>
      <c r="F823" s="12">
        <f>INDEX('PEDIDO JULIO'!A33:T39,1,20)</f>
        <v>0</v>
      </c>
      <c r="G823" s="8">
        <f>IFERROR(VLOOKUP($B823,'[1]INSUMO POR SEDES MARZO PRUEBA'!$B$6:$CD$109,44,0),"NO BD")</f>
        <v>1442.4974999999999</v>
      </c>
      <c r="H823" s="8"/>
      <c r="I823" s="8">
        <f t="shared" si="69"/>
        <v>0</v>
      </c>
      <c r="J823" s="14">
        <f t="shared" si="73"/>
        <v>0</v>
      </c>
      <c r="K823" s="14">
        <f t="shared" si="74"/>
        <v>0</v>
      </c>
      <c r="L823" s="14">
        <f t="shared" si="75"/>
        <v>0</v>
      </c>
    </row>
    <row r="824" spans="1:12" ht="15">
      <c r="A824" s="3">
        <v>1293</v>
      </c>
      <c r="B824" s="39">
        <v>118</v>
      </c>
      <c r="C824" s="7" t="s">
        <v>151</v>
      </c>
      <c r="D824" s="4" t="s">
        <v>63</v>
      </c>
      <c r="E824" s="6" t="s">
        <v>133</v>
      </c>
      <c r="F824" s="12">
        <f>INDEX('PEDIDO JULIO'!A33:T40,1,20)</f>
        <v>0</v>
      </c>
      <c r="G824" s="8">
        <f>IFERROR(VLOOKUP($B824,'[1]INSUMO POR SEDES MARZO PRUEBA'!$B$6:$CD$109,44,0),"NO BD")</f>
        <v>4129.7993999999999</v>
      </c>
      <c r="H824" s="8"/>
      <c r="I824" s="8">
        <f t="shared" si="69"/>
        <v>0</v>
      </c>
      <c r="J824" s="14">
        <f t="shared" si="73"/>
        <v>0</v>
      </c>
      <c r="K824" s="14">
        <f t="shared" si="74"/>
        <v>0</v>
      </c>
      <c r="L824" s="14">
        <f t="shared" si="75"/>
        <v>0</v>
      </c>
    </row>
    <row r="825" spans="1:12" ht="15">
      <c r="A825" s="3">
        <v>1294</v>
      </c>
      <c r="B825" s="39">
        <v>119</v>
      </c>
      <c r="C825" s="7" t="s">
        <v>160</v>
      </c>
      <c r="D825" s="4" t="s">
        <v>64</v>
      </c>
      <c r="E825" s="6" t="s">
        <v>133</v>
      </c>
      <c r="F825" s="12">
        <f>INDEX('PEDIDO JULIO'!A33:T40,1,20)</f>
        <v>0</v>
      </c>
      <c r="G825" s="8">
        <f>IFERROR(VLOOKUP($B825,'[1]INSUMO POR SEDES MARZO PRUEBA'!$B$6:$CD$109,44,0),"NO BD")</f>
        <v>4259.3877000000002</v>
      </c>
      <c r="H825" s="8"/>
      <c r="I825" s="8">
        <f t="shared" si="69"/>
        <v>0</v>
      </c>
      <c r="J825" s="14">
        <f t="shared" si="73"/>
        <v>0</v>
      </c>
      <c r="K825" s="14">
        <f t="shared" si="74"/>
        <v>0</v>
      </c>
      <c r="L825" s="14">
        <f t="shared" si="75"/>
        <v>0</v>
      </c>
    </row>
    <row r="826" spans="1:12" ht="27">
      <c r="A826" s="3">
        <v>1295</v>
      </c>
      <c r="B826" s="39">
        <v>120</v>
      </c>
      <c r="C826" s="7" t="s">
        <v>60</v>
      </c>
      <c r="D826" s="4" t="s">
        <v>65</v>
      </c>
      <c r="E826" s="6" t="s">
        <v>133</v>
      </c>
      <c r="F826" s="12">
        <f>INDEX('PEDIDO JULIO'!A33:T40,1,20)</f>
        <v>0</v>
      </c>
      <c r="G826" s="8">
        <f>IFERROR(VLOOKUP($B826,'[1]INSUMO POR SEDES MARZO PRUEBA'!$B$6:$CD$109,44,0),"NO BD")</f>
        <v>4259.3877000000002</v>
      </c>
      <c r="H826" s="8"/>
      <c r="I826" s="8">
        <f t="shared" si="69"/>
        <v>0</v>
      </c>
      <c r="J826" s="14">
        <f t="shared" si="73"/>
        <v>0</v>
      </c>
      <c r="K826" s="14">
        <f t="shared" si="74"/>
        <v>0</v>
      </c>
      <c r="L826" s="14">
        <f t="shared" si="75"/>
        <v>0</v>
      </c>
    </row>
    <row r="827" spans="1:12" ht="15">
      <c r="A827" s="3">
        <v>1296</v>
      </c>
      <c r="B827" s="39">
        <v>122</v>
      </c>
      <c r="C827" s="7" t="s">
        <v>66</v>
      </c>
      <c r="D827" s="4" t="s">
        <v>67</v>
      </c>
      <c r="E827" s="6" t="s">
        <v>133</v>
      </c>
      <c r="F827" s="12">
        <f>INDEX('PEDIDO JULIO'!A33:T41,1,20)</f>
        <v>0</v>
      </c>
      <c r="G827" s="8">
        <f>IFERROR(VLOOKUP($B827,'[1]INSUMO POR SEDES MARZO PRUEBA'!$B$6:$CD$109,44,0),"NO BD")</f>
        <v>5920.3881000000001</v>
      </c>
      <c r="H827" s="8"/>
      <c r="I827" s="8">
        <f t="shared" si="69"/>
        <v>0</v>
      </c>
      <c r="J827" s="14">
        <f t="shared" si="73"/>
        <v>0</v>
      </c>
      <c r="K827" s="14">
        <f t="shared" si="74"/>
        <v>0</v>
      </c>
      <c r="L827" s="14">
        <f t="shared" si="75"/>
        <v>0</v>
      </c>
    </row>
    <row r="828" spans="1:12" ht="15">
      <c r="A828" s="3">
        <v>1297</v>
      </c>
      <c r="B828" s="39">
        <v>123</v>
      </c>
      <c r="C828" s="7" t="s">
        <v>66</v>
      </c>
      <c r="D828" s="4" t="s">
        <v>68</v>
      </c>
      <c r="E828" s="6" t="s">
        <v>133</v>
      </c>
      <c r="F828" s="12">
        <f>INDEX('PEDIDO JULIO'!A33:T41,1,20)</f>
        <v>0</v>
      </c>
      <c r="G828" s="8">
        <f>IFERROR(VLOOKUP($B828,'[1]INSUMO POR SEDES MARZO PRUEBA'!$B$6:$CD$109,44,0),"NO BD")</f>
        <v>6169.1598000000004</v>
      </c>
      <c r="H828" s="8"/>
      <c r="I828" s="8">
        <f t="shared" si="69"/>
        <v>0</v>
      </c>
      <c r="J828" s="14">
        <f t="shared" si="73"/>
        <v>0</v>
      </c>
      <c r="K828" s="14">
        <f t="shared" si="74"/>
        <v>0</v>
      </c>
      <c r="L828" s="14">
        <f t="shared" si="75"/>
        <v>0</v>
      </c>
    </row>
    <row r="829" spans="1:12" ht="15">
      <c r="A829" s="3">
        <v>1298</v>
      </c>
      <c r="B829" s="39">
        <v>124</v>
      </c>
      <c r="C829" s="7" t="s">
        <v>66</v>
      </c>
      <c r="D829" s="4" t="s">
        <v>69</v>
      </c>
      <c r="E829" s="6" t="s">
        <v>133</v>
      </c>
      <c r="F829" s="12">
        <f>INDEX('PEDIDO JULIO'!A33:T42,1,20)</f>
        <v>0</v>
      </c>
      <c r="G829" s="8">
        <f>IFERROR(VLOOKUP($B829,'[1]INSUMO POR SEDES MARZO PRUEBA'!$B$6:$CD$109,44,0),"NO BD")</f>
        <v>6169.1598000000004</v>
      </c>
      <c r="H829" s="8"/>
      <c r="I829" s="8">
        <f t="shared" si="69"/>
        <v>0</v>
      </c>
      <c r="J829" s="14">
        <f t="shared" si="73"/>
        <v>0</v>
      </c>
      <c r="K829" s="14">
        <f t="shared" si="74"/>
        <v>0</v>
      </c>
      <c r="L829" s="14">
        <f t="shared" si="75"/>
        <v>0</v>
      </c>
    </row>
    <row r="830" spans="1:12" ht="15">
      <c r="A830" s="3">
        <v>1299</v>
      </c>
      <c r="B830" s="39">
        <v>137</v>
      </c>
      <c r="C830" s="7" t="s">
        <v>66</v>
      </c>
      <c r="D830" s="4" t="s">
        <v>70</v>
      </c>
      <c r="E830" s="6" t="s">
        <v>133</v>
      </c>
      <c r="F830" s="12">
        <f>INDEX('PEDIDO JULIO'!A33:T42,1,20)</f>
        <v>0</v>
      </c>
      <c r="G830" s="8">
        <f>IFERROR(VLOOKUP($B830,'[1]INSUMO POR SEDES MARZO PRUEBA'!$B$6:$CD$109,44,0),"NO BD")</f>
        <v>0</v>
      </c>
      <c r="H830" s="8"/>
      <c r="I830" s="8">
        <f t="shared" si="69"/>
        <v>0</v>
      </c>
      <c r="J830" s="14">
        <f t="shared" si="73"/>
        <v>0</v>
      </c>
      <c r="K830" s="14">
        <f t="shared" si="74"/>
        <v>0</v>
      </c>
      <c r="L830" s="14">
        <f t="shared" si="75"/>
        <v>0</v>
      </c>
    </row>
    <row r="831" spans="1:12" ht="15">
      <c r="A831" s="3">
        <v>1300</v>
      </c>
      <c r="B831" s="39">
        <v>139</v>
      </c>
      <c r="C831" s="7" t="s">
        <v>66</v>
      </c>
      <c r="D831" s="4" t="s">
        <v>71</v>
      </c>
      <c r="E831" s="6" t="s">
        <v>133</v>
      </c>
      <c r="F831" s="12">
        <f>INDEX('PEDIDO JULIO'!A33:T42,1,20)</f>
        <v>0</v>
      </c>
      <c r="G831" s="8">
        <f>IFERROR(VLOOKUP($B831,'[1]INSUMO POR SEDES MARZO PRUEBA'!$B$6:$CD$109,44,0),"NO BD")</f>
        <v>51246.970200000003</v>
      </c>
      <c r="H831" s="8"/>
      <c r="I831" s="8">
        <f t="shared" si="69"/>
        <v>0</v>
      </c>
      <c r="J831" s="14">
        <f t="shared" si="73"/>
        <v>0</v>
      </c>
      <c r="K831" s="14">
        <f t="shared" si="74"/>
        <v>0</v>
      </c>
      <c r="L831" s="14">
        <f t="shared" si="75"/>
        <v>0</v>
      </c>
    </row>
    <row r="832" spans="1:12" ht="15">
      <c r="A832" s="3">
        <v>1301</v>
      </c>
      <c r="B832" s="39">
        <v>151</v>
      </c>
      <c r="C832" s="7" t="s">
        <v>66</v>
      </c>
      <c r="D832" s="4" t="s">
        <v>72</v>
      </c>
      <c r="E832" s="6" t="s">
        <v>133</v>
      </c>
      <c r="F832" s="12">
        <f>INDEX('PEDIDO JULIO'!A33:T42,1,20)</f>
        <v>0</v>
      </c>
      <c r="G832" s="8">
        <f>IFERROR(VLOOKUP($B832,'[1]INSUMO POR SEDES MARZO PRUEBA'!$B$6:$CD$109,44,0),"NO BD")</f>
        <v>4422.6080000000002</v>
      </c>
      <c r="H832" s="8"/>
      <c r="I832" s="8">
        <f t="shared" si="69"/>
        <v>0</v>
      </c>
      <c r="J832" s="14">
        <f t="shared" si="73"/>
        <v>0</v>
      </c>
      <c r="K832" s="14">
        <f t="shared" si="74"/>
        <v>0</v>
      </c>
      <c r="L832" s="14">
        <f t="shared" si="75"/>
        <v>0</v>
      </c>
    </row>
    <row r="833" spans="1:12" ht="15">
      <c r="A833" s="3">
        <v>1302</v>
      </c>
      <c r="B833" s="39">
        <v>155</v>
      </c>
      <c r="C833" s="7" t="s">
        <v>158</v>
      </c>
      <c r="D833" s="4" t="s">
        <v>73</v>
      </c>
      <c r="E833" s="6" t="s">
        <v>133</v>
      </c>
      <c r="F833" s="12">
        <f>INDEX('PEDIDO JULIO'!A33:T43,1,20)</f>
        <v>0</v>
      </c>
      <c r="G833" s="8">
        <f>IFERROR(VLOOKUP($B833,'[1]INSUMO POR SEDES MARZO PRUEBA'!$B$6:$CD$109,44,0),"NO BD")</f>
        <v>5005.7028</v>
      </c>
      <c r="H833" s="8"/>
      <c r="I833" s="8">
        <f t="shared" si="69"/>
        <v>0</v>
      </c>
      <c r="J833" s="14">
        <f t="shared" si="73"/>
        <v>0</v>
      </c>
      <c r="K833" s="14">
        <f t="shared" si="74"/>
        <v>0</v>
      </c>
      <c r="L833" s="14">
        <f t="shared" si="75"/>
        <v>0</v>
      </c>
    </row>
    <row r="834" spans="1:12" ht="15">
      <c r="A834" s="3">
        <v>1303</v>
      </c>
      <c r="B834" s="39">
        <v>156</v>
      </c>
      <c r="C834" s="7" t="s">
        <v>158</v>
      </c>
      <c r="D834" s="4" t="s">
        <v>74</v>
      </c>
      <c r="E834" s="6" t="s">
        <v>133</v>
      </c>
      <c r="F834" s="12">
        <f>INDEX('PEDIDO JULIO'!A33:T43,1,20)</f>
        <v>0</v>
      </c>
      <c r="G834" s="8">
        <f>IFERROR(VLOOKUP($B834,'[1]INSUMO POR SEDES MARZO PRUEBA'!$B$6:$CD$109,44,0),"NO BD")</f>
        <v>7711.9227000000001</v>
      </c>
      <c r="H834" s="8"/>
      <c r="I834" s="8">
        <f t="shared" si="69"/>
        <v>0</v>
      </c>
      <c r="J834" s="14">
        <f t="shared" si="73"/>
        <v>0</v>
      </c>
      <c r="K834" s="14">
        <f t="shared" si="74"/>
        <v>0</v>
      </c>
      <c r="L834" s="14">
        <f t="shared" si="75"/>
        <v>0</v>
      </c>
    </row>
    <row r="835" spans="1:12" ht="15">
      <c r="A835" s="3">
        <v>1304</v>
      </c>
      <c r="B835" s="39">
        <v>157</v>
      </c>
      <c r="C835" s="7" t="s">
        <v>158</v>
      </c>
      <c r="D835" s="4" t="s">
        <v>75</v>
      </c>
      <c r="E835" s="6" t="s">
        <v>133</v>
      </c>
      <c r="F835" s="12">
        <f>INDEX('PEDIDO JULIO'!A33:T43,1,20)</f>
        <v>0</v>
      </c>
      <c r="G835" s="8">
        <f>IFERROR(VLOOKUP($B835,'[1]INSUMO POR SEDES MARZO PRUEBA'!$B$6:$CD$109,44,0),"NO BD")</f>
        <v>5970.7309999999998</v>
      </c>
      <c r="H835" s="8"/>
      <c r="I835" s="8">
        <f t="shared" si="69"/>
        <v>0</v>
      </c>
      <c r="J835" s="14">
        <f t="shared" si="73"/>
        <v>0</v>
      </c>
      <c r="K835" s="14">
        <f t="shared" si="74"/>
        <v>0</v>
      </c>
      <c r="L835" s="14">
        <f t="shared" si="75"/>
        <v>0</v>
      </c>
    </row>
    <row r="836" spans="1:12" ht="15">
      <c r="A836" s="3">
        <v>1305</v>
      </c>
      <c r="B836" s="39">
        <v>159</v>
      </c>
      <c r="C836" s="7" t="s">
        <v>158</v>
      </c>
      <c r="D836" s="4" t="s">
        <v>76</v>
      </c>
      <c r="E836" s="6" t="s">
        <v>133</v>
      </c>
      <c r="F836" s="12">
        <f>INDEX('PEDIDO JULIO'!A33:T44,1,20)</f>
        <v>0</v>
      </c>
      <c r="G836" s="8">
        <f>IFERROR(VLOOKUP($B836,'[1]INSUMO POR SEDES MARZO PRUEBA'!$B$6:$CD$109,44,0),"NO BD")</f>
        <v>6716.8359</v>
      </c>
      <c r="H836" s="8"/>
      <c r="I836" s="8">
        <f t="shared" si="69"/>
        <v>0</v>
      </c>
      <c r="J836" s="14">
        <f t="shared" si="73"/>
        <v>0</v>
      </c>
      <c r="K836" s="14">
        <f t="shared" si="74"/>
        <v>0</v>
      </c>
      <c r="L836" s="14">
        <f t="shared" si="75"/>
        <v>0</v>
      </c>
    </row>
    <row r="837" spans="1:12" ht="15">
      <c r="A837" s="3">
        <v>1306</v>
      </c>
      <c r="B837" s="39">
        <v>160</v>
      </c>
      <c r="C837" s="7" t="s">
        <v>158</v>
      </c>
      <c r="D837" s="4" t="s">
        <v>77</v>
      </c>
      <c r="E837" s="6" t="s">
        <v>133</v>
      </c>
      <c r="F837" s="12">
        <f>INDEX('PEDIDO JULIO'!A33:T44,1,20)</f>
        <v>0</v>
      </c>
      <c r="G837" s="8">
        <f>IFERROR(VLOOKUP($B837,'[1]INSUMO POR SEDES MARZO PRUEBA'!$B$6:$CD$109,44,0),"NO BD")</f>
        <v>3035.3931000000002</v>
      </c>
      <c r="H837" s="8"/>
      <c r="I837" s="8">
        <f t="shared" si="69"/>
        <v>0</v>
      </c>
      <c r="J837" s="14">
        <f t="shared" si="73"/>
        <v>0</v>
      </c>
      <c r="K837" s="14">
        <f t="shared" si="74"/>
        <v>0</v>
      </c>
      <c r="L837" s="14">
        <f t="shared" si="75"/>
        <v>0</v>
      </c>
    </row>
    <row r="838" spans="1:12" ht="15">
      <c r="A838" s="3">
        <v>1307</v>
      </c>
      <c r="B838" s="39">
        <v>162</v>
      </c>
      <c r="C838" s="7" t="s">
        <v>158</v>
      </c>
      <c r="D838" s="4" t="s">
        <v>78</v>
      </c>
      <c r="E838" s="6" t="s">
        <v>133</v>
      </c>
      <c r="F838" s="12">
        <f>INDEX('PEDIDO JULIO'!A33:T44,1,20)</f>
        <v>0</v>
      </c>
      <c r="G838" s="8">
        <f>IFERROR(VLOOKUP($B838,'[1]INSUMO POR SEDES MARZO PRUEBA'!$B$6:$CD$109,44,0),"NO BD")</f>
        <v>2684.2539999999999</v>
      </c>
      <c r="H838" s="8"/>
      <c r="I838" s="8">
        <f t="shared" ref="I838:I901" si="76">+F838*G838</f>
        <v>0</v>
      </c>
      <c r="J838" s="14">
        <f t="shared" si="73"/>
        <v>0</v>
      </c>
      <c r="K838" s="14">
        <f t="shared" si="74"/>
        <v>0</v>
      </c>
      <c r="L838" s="14">
        <f t="shared" si="75"/>
        <v>0</v>
      </c>
    </row>
    <row r="839" spans="1:12" ht="15">
      <c r="A839" s="3">
        <v>1308</v>
      </c>
      <c r="B839" s="39">
        <v>164</v>
      </c>
      <c r="C839" s="7" t="s">
        <v>158</v>
      </c>
      <c r="D839" s="4" t="s">
        <v>79</v>
      </c>
      <c r="E839" s="6" t="s">
        <v>133</v>
      </c>
      <c r="F839" s="12">
        <f>INDEX('PEDIDO JULIO'!A33:T44,1,20)</f>
        <v>0</v>
      </c>
      <c r="G839" s="8">
        <f>IFERROR(VLOOKUP($B839,'[1]INSUMO POR SEDES MARZO PRUEBA'!$B$6:$CD$109,44,0),"NO BD")</f>
        <v>0</v>
      </c>
      <c r="H839" s="8"/>
      <c r="I839" s="8">
        <f t="shared" si="76"/>
        <v>0</v>
      </c>
      <c r="J839" s="14">
        <f t="shared" si="73"/>
        <v>0</v>
      </c>
      <c r="K839" s="14">
        <f t="shared" si="74"/>
        <v>0</v>
      </c>
      <c r="L839" s="14">
        <f t="shared" si="75"/>
        <v>0</v>
      </c>
    </row>
    <row r="840" spans="1:12" ht="15">
      <c r="A840" s="3">
        <v>1309</v>
      </c>
      <c r="B840" s="39">
        <v>169</v>
      </c>
      <c r="C840" s="7" t="s">
        <v>158</v>
      </c>
      <c r="D840" s="4" t="s">
        <v>80</v>
      </c>
      <c r="E840" s="6" t="s">
        <v>133</v>
      </c>
      <c r="F840" s="12">
        <f>INDEX('PEDIDO JULIO'!A33:T45,1,20)</f>
        <v>0</v>
      </c>
      <c r="G840" s="8">
        <f>IFERROR(VLOOKUP($B840,'[1]INSUMO POR SEDES MARZO PRUEBA'!$B$6:$CD$109,44,0),"NO BD")</f>
        <v>0</v>
      </c>
      <c r="H840" s="8"/>
      <c r="I840" s="8">
        <f t="shared" si="76"/>
        <v>0</v>
      </c>
      <c r="J840" s="14">
        <f t="shared" si="73"/>
        <v>0</v>
      </c>
      <c r="K840" s="14">
        <f t="shared" si="74"/>
        <v>0</v>
      </c>
      <c r="L840" s="14">
        <f t="shared" si="75"/>
        <v>0</v>
      </c>
    </row>
    <row r="841" spans="1:12" ht="15">
      <c r="A841" s="3">
        <v>1310</v>
      </c>
      <c r="B841" s="39">
        <v>170</v>
      </c>
      <c r="C841" s="7" t="s">
        <v>158</v>
      </c>
      <c r="D841" s="4" t="s">
        <v>81</v>
      </c>
      <c r="E841" s="6" t="s">
        <v>133</v>
      </c>
      <c r="F841" s="12">
        <f>INDEX('PEDIDO JULIO'!A33:T46,1,20)</f>
        <v>0</v>
      </c>
      <c r="G841" s="8">
        <f>IFERROR(VLOOKUP($B841,'[1]INSUMO POR SEDES MARZO PRUEBA'!$B$6:$CD$109,44,0),"NO BD")</f>
        <v>45575.353799999997</v>
      </c>
      <c r="H841" s="8"/>
      <c r="I841" s="8">
        <f t="shared" si="76"/>
        <v>0</v>
      </c>
      <c r="J841" s="14">
        <f t="shared" si="73"/>
        <v>0</v>
      </c>
      <c r="K841" s="14">
        <f t="shared" si="74"/>
        <v>0</v>
      </c>
      <c r="L841" s="14">
        <f t="shared" si="75"/>
        <v>0</v>
      </c>
    </row>
    <row r="842" spans="1:12" ht="15">
      <c r="A842" s="3">
        <v>1311</v>
      </c>
      <c r="B842" s="39">
        <v>174</v>
      </c>
      <c r="C842" s="7" t="s">
        <v>158</v>
      </c>
      <c r="D842" s="4" t="s">
        <v>82</v>
      </c>
      <c r="E842" s="6" t="s">
        <v>133</v>
      </c>
      <c r="F842" s="12">
        <f>INDEX('PEDIDO JULIO'!A33:T47,1,20)</f>
        <v>0</v>
      </c>
      <c r="G842" s="8">
        <f>IFERROR(VLOOKUP($B842,'[1]INSUMO POR SEDES MARZO PRUEBA'!$B$6:$CD$109,44,0),"NO BD")</f>
        <v>6081.0860000000002</v>
      </c>
      <c r="H842" s="8"/>
      <c r="I842" s="8">
        <f t="shared" si="76"/>
        <v>0</v>
      </c>
      <c r="J842" s="14">
        <f t="shared" si="73"/>
        <v>0</v>
      </c>
      <c r="K842" s="14">
        <f t="shared" si="74"/>
        <v>0</v>
      </c>
      <c r="L842" s="14">
        <f t="shared" si="75"/>
        <v>0</v>
      </c>
    </row>
    <row r="843" spans="1:12" ht="15">
      <c r="A843" s="3">
        <v>1312</v>
      </c>
      <c r="B843" s="39">
        <v>192</v>
      </c>
      <c r="C843" s="7" t="s">
        <v>158</v>
      </c>
      <c r="D843" s="4" t="s">
        <v>83</v>
      </c>
      <c r="E843" s="6" t="s">
        <v>133</v>
      </c>
      <c r="F843" s="12">
        <f>INDEX('PEDIDO JULIO'!A33:T47,1,20)</f>
        <v>0</v>
      </c>
      <c r="G843" s="8">
        <f>IFERROR(VLOOKUP($B843,'[1]INSUMO POR SEDES MARZO PRUEBA'!$B$6:$CD$109,44,0),"NO BD")</f>
        <v>6866.2880999999998</v>
      </c>
      <c r="H843" s="8"/>
      <c r="I843" s="8">
        <f t="shared" si="76"/>
        <v>0</v>
      </c>
      <c r="J843" s="14">
        <f t="shared" si="73"/>
        <v>0</v>
      </c>
      <c r="K843" s="14">
        <f t="shared" si="74"/>
        <v>0</v>
      </c>
      <c r="L843" s="14">
        <f t="shared" si="75"/>
        <v>0</v>
      </c>
    </row>
    <row r="844" spans="1:12" ht="15">
      <c r="A844" s="3">
        <v>1313</v>
      </c>
      <c r="B844" s="39">
        <v>195</v>
      </c>
      <c r="C844" s="7" t="s">
        <v>158</v>
      </c>
      <c r="D844" s="4" t="s">
        <v>84</v>
      </c>
      <c r="E844" s="6" t="s">
        <v>133</v>
      </c>
      <c r="F844" s="12">
        <f>INDEX('PEDIDO JULIO'!A33:T47,1,20)</f>
        <v>0</v>
      </c>
      <c r="G844" s="8">
        <f>IFERROR(VLOOKUP($B844,'[1]INSUMO POR SEDES MARZO PRUEBA'!$B$6:$CD$109,44,0),"NO BD")</f>
        <v>6431.0690000000004</v>
      </c>
      <c r="H844" s="8"/>
      <c r="I844" s="8">
        <f t="shared" si="76"/>
        <v>0</v>
      </c>
      <c r="J844" s="14">
        <f t="shared" si="73"/>
        <v>0</v>
      </c>
      <c r="K844" s="14">
        <f t="shared" si="74"/>
        <v>0</v>
      </c>
      <c r="L844" s="14">
        <f t="shared" si="75"/>
        <v>0</v>
      </c>
    </row>
    <row r="845" spans="1:12" ht="15">
      <c r="A845" s="3">
        <v>1314</v>
      </c>
      <c r="B845" s="39">
        <v>204</v>
      </c>
      <c r="C845" s="7" t="s">
        <v>158</v>
      </c>
      <c r="D845" s="4" t="s">
        <v>85</v>
      </c>
      <c r="E845" s="6" t="s">
        <v>133</v>
      </c>
      <c r="F845" s="12">
        <f>INDEX('PEDIDO JULIO'!A33:T47,1,20)</f>
        <v>0</v>
      </c>
      <c r="G845" s="8">
        <f>IFERROR(VLOOKUP($B845,'[1]INSUMO POR SEDES MARZO PRUEBA'!$B$6:$CD$109,44,0),"NO BD")</f>
        <v>14760.243999999999</v>
      </c>
      <c r="H845" s="8"/>
      <c r="I845" s="8">
        <f t="shared" si="76"/>
        <v>0</v>
      </c>
      <c r="J845" s="14">
        <f t="shared" si="73"/>
        <v>0</v>
      </c>
      <c r="K845" s="14">
        <f t="shared" si="74"/>
        <v>0</v>
      </c>
      <c r="L845" s="14">
        <f t="shared" si="75"/>
        <v>0</v>
      </c>
    </row>
    <row r="846" spans="1:12" ht="15">
      <c r="A846" s="3">
        <v>1315</v>
      </c>
      <c r="B846" s="39">
        <v>205</v>
      </c>
      <c r="C846" s="7" t="s">
        <v>152</v>
      </c>
      <c r="D846" s="4" t="s">
        <v>86</v>
      </c>
      <c r="E846" s="6" t="s">
        <v>133</v>
      </c>
      <c r="F846" s="12">
        <f>INDEX('PEDIDO JULIO'!A33:T47,1,20)</f>
        <v>0</v>
      </c>
      <c r="G846" s="8">
        <f>IFERROR(VLOOKUP($B846,'[1]INSUMO POR SEDES MARZO PRUEBA'!$B$6:$CD$109,44,0),"NO BD")</f>
        <v>32639.225399999996</v>
      </c>
      <c r="H846" s="8"/>
      <c r="I846" s="8">
        <f t="shared" si="76"/>
        <v>0</v>
      </c>
      <c r="J846" s="14">
        <f t="shared" si="73"/>
        <v>0</v>
      </c>
      <c r="K846" s="14">
        <f t="shared" si="74"/>
        <v>0</v>
      </c>
      <c r="L846" s="14">
        <f t="shared" si="75"/>
        <v>0</v>
      </c>
    </row>
    <row r="847" spans="1:12" ht="15">
      <c r="A847" s="3">
        <v>1316</v>
      </c>
      <c r="B847" s="39">
        <v>207</v>
      </c>
      <c r="C847" s="7" t="s">
        <v>87</v>
      </c>
      <c r="D847" s="4" t="s">
        <v>88</v>
      </c>
      <c r="E847" s="6" t="s">
        <v>133</v>
      </c>
      <c r="F847" s="12">
        <f>INDEX('PEDIDO JULIO'!A33:T47,1,20)</f>
        <v>0</v>
      </c>
      <c r="G847" s="8">
        <f>IFERROR(VLOOKUP($B847,'[1]INSUMO POR SEDES MARZO PRUEBA'!$B$6:$CD$109,44,0),"NO BD")</f>
        <v>0</v>
      </c>
      <c r="H847" s="8"/>
      <c r="I847" s="8">
        <f t="shared" si="76"/>
        <v>0</v>
      </c>
      <c r="J847" s="14">
        <f t="shared" si="73"/>
        <v>0</v>
      </c>
      <c r="K847" s="14">
        <f t="shared" si="74"/>
        <v>0</v>
      </c>
      <c r="L847" s="14">
        <f t="shared" si="75"/>
        <v>0</v>
      </c>
    </row>
    <row r="848" spans="1:12" ht="15">
      <c r="A848" s="3">
        <v>1317</v>
      </c>
      <c r="B848" s="39">
        <v>212</v>
      </c>
      <c r="C848" s="7" t="s">
        <v>87</v>
      </c>
      <c r="D848" s="4" t="s">
        <v>89</v>
      </c>
      <c r="E848" s="6" t="s">
        <v>133</v>
      </c>
      <c r="F848" s="12">
        <f>INDEX('PEDIDO JULIO'!A33:T47,1,20)</f>
        <v>0</v>
      </c>
      <c r="G848" s="8">
        <f>IFERROR(VLOOKUP($B848,'[1]INSUMO POR SEDES MARZO PRUEBA'!$B$6:$CD$109,44,0),"NO BD")</f>
        <v>0</v>
      </c>
      <c r="H848" s="8"/>
      <c r="I848" s="8">
        <f t="shared" si="76"/>
        <v>0</v>
      </c>
      <c r="J848" s="14">
        <f t="shared" si="73"/>
        <v>0</v>
      </c>
      <c r="K848" s="14">
        <f t="shared" si="74"/>
        <v>0</v>
      </c>
      <c r="L848" s="14">
        <f t="shared" si="75"/>
        <v>0</v>
      </c>
    </row>
    <row r="849" spans="1:12" ht="15">
      <c r="A849" s="3">
        <v>1318</v>
      </c>
      <c r="B849" s="39">
        <v>218</v>
      </c>
      <c r="C849" s="7" t="s">
        <v>90</v>
      </c>
      <c r="D849" s="4" t="s">
        <v>91</v>
      </c>
      <c r="E849" s="6" t="s">
        <v>133</v>
      </c>
      <c r="F849" s="12">
        <f>INDEX('PEDIDO JULIO'!A33:T47,1,20)</f>
        <v>0</v>
      </c>
      <c r="G849" s="8">
        <f>IFERROR(VLOOKUP($B849,'[1]INSUMO POR SEDES MARZO PRUEBA'!$B$6:$CD$109,44,0),"NO BD")</f>
        <v>1437.768</v>
      </c>
      <c r="H849" s="8"/>
      <c r="I849" s="8">
        <f t="shared" si="76"/>
        <v>0</v>
      </c>
      <c r="J849" s="14">
        <f t="shared" si="73"/>
        <v>0</v>
      </c>
      <c r="K849" s="14">
        <f t="shared" si="74"/>
        <v>0</v>
      </c>
      <c r="L849" s="14">
        <f t="shared" si="75"/>
        <v>0</v>
      </c>
    </row>
    <row r="850" spans="1:12" ht="15">
      <c r="A850" s="3">
        <v>1319</v>
      </c>
      <c r="B850" s="39">
        <v>251</v>
      </c>
      <c r="C850" s="7" t="s">
        <v>90</v>
      </c>
      <c r="D850" s="4" t="s">
        <v>92</v>
      </c>
      <c r="E850" s="6" t="s">
        <v>133</v>
      </c>
      <c r="F850" s="12">
        <f>INDEX('PEDIDO JULIO'!A33:T47,1,20)</f>
        <v>0</v>
      </c>
      <c r="G850" s="8">
        <f>IFERROR(VLOOKUP($B850,'[1]INSUMO POR SEDES MARZO PRUEBA'!$B$6:$CD$109,44,0),"NO BD")</f>
        <v>0</v>
      </c>
      <c r="H850" s="8"/>
      <c r="I850" s="8">
        <f t="shared" si="76"/>
        <v>0</v>
      </c>
      <c r="J850" s="14">
        <f t="shared" si="73"/>
        <v>0</v>
      </c>
      <c r="K850" s="14">
        <f t="shared" si="74"/>
        <v>0</v>
      </c>
      <c r="L850" s="14">
        <f t="shared" si="75"/>
        <v>0</v>
      </c>
    </row>
    <row r="851" spans="1:12" ht="15">
      <c r="A851" s="3">
        <v>1356</v>
      </c>
      <c r="B851" s="26">
        <v>3</v>
      </c>
      <c r="C851" s="7" t="s">
        <v>9</v>
      </c>
      <c r="D851" s="4" t="s">
        <v>10</v>
      </c>
      <c r="E851" s="6" t="s">
        <v>134</v>
      </c>
      <c r="F851" s="12">
        <f>INDEX('PEDIDO JULIO'!A10:U32,1,21)</f>
        <v>0</v>
      </c>
      <c r="G851" s="8">
        <f>IFERROR(VLOOKUP($B851,'[1]INSUMO POR SEDES MARZO PRUEBA'!$B$6:$CD$109,47,0),"NO BD")</f>
        <v>14727.663</v>
      </c>
      <c r="H851" s="8"/>
      <c r="I851" s="8">
        <f t="shared" si="76"/>
        <v>0</v>
      </c>
      <c r="J851" s="14">
        <f t="shared" ref="J851:J904" si="77">+I851*10%</f>
        <v>0</v>
      </c>
      <c r="K851" s="14">
        <f t="shared" ref="K851:K904" si="78">+J851*19%</f>
        <v>0</v>
      </c>
      <c r="L851" s="14">
        <f t="shared" ref="L851:L904" si="79">SUM(I851:K851)</f>
        <v>0</v>
      </c>
    </row>
    <row r="852" spans="1:12" ht="15">
      <c r="A852" s="3">
        <v>1357</v>
      </c>
      <c r="B852" s="26">
        <v>5</v>
      </c>
      <c r="C852" s="7" t="s">
        <v>156</v>
      </c>
      <c r="D852" s="5" t="s">
        <v>11</v>
      </c>
      <c r="E852" s="6" t="s">
        <v>134</v>
      </c>
      <c r="F852" s="12">
        <f>INDEX('PEDIDO JULIO'!A10:U32,1,21)</f>
        <v>0</v>
      </c>
      <c r="G852" s="8">
        <f>IFERROR(VLOOKUP($B852,'[1]INSUMO POR SEDES MARZO PRUEBA'!$B$6:$CD$109,47,0),"NO BD")</f>
        <v>6494.1289999999999</v>
      </c>
      <c r="H852" s="8"/>
      <c r="I852" s="8">
        <f t="shared" si="76"/>
        <v>0</v>
      </c>
      <c r="J852" s="14">
        <f t="shared" si="77"/>
        <v>0</v>
      </c>
      <c r="K852" s="14">
        <f t="shared" si="78"/>
        <v>0</v>
      </c>
      <c r="L852" s="14">
        <f t="shared" si="79"/>
        <v>0</v>
      </c>
    </row>
    <row r="853" spans="1:12" ht="27">
      <c r="A853" s="3">
        <v>1358</v>
      </c>
      <c r="B853" s="26">
        <v>8</v>
      </c>
      <c r="C853" s="7" t="s">
        <v>157</v>
      </c>
      <c r="D853" s="4" t="s">
        <v>12</v>
      </c>
      <c r="E853" s="6" t="s">
        <v>134</v>
      </c>
      <c r="F853" s="12">
        <f>INDEX('PEDIDO JULIO'!A10:U33,1,21)</f>
        <v>0</v>
      </c>
      <c r="G853" s="8">
        <f>IFERROR(VLOOKUP($B853,'[1]INSUMO POR SEDES MARZO PRUEBA'!$B$6:$CD$109,47,0),"NO BD")</f>
        <v>0</v>
      </c>
      <c r="H853" s="8"/>
      <c r="I853" s="8">
        <f t="shared" si="76"/>
        <v>0</v>
      </c>
      <c r="J853" s="14">
        <f t="shared" si="77"/>
        <v>0</v>
      </c>
      <c r="K853" s="14">
        <f t="shared" si="78"/>
        <v>0</v>
      </c>
      <c r="L853" s="14">
        <f t="shared" si="79"/>
        <v>0</v>
      </c>
    </row>
    <row r="854" spans="1:12" ht="15">
      <c r="A854" s="3">
        <v>1359</v>
      </c>
      <c r="B854" s="26">
        <v>9</v>
      </c>
      <c r="C854" s="7" t="s">
        <v>13</v>
      </c>
      <c r="D854" s="4" t="s">
        <v>14</v>
      </c>
      <c r="E854" s="6" t="s">
        <v>134</v>
      </c>
      <c r="F854" s="12">
        <f>INDEX('PEDIDO JULIO'!A10:U33,1,21)</f>
        <v>0</v>
      </c>
      <c r="G854" s="8">
        <f>IFERROR(VLOOKUP($B854,'[1]INSUMO POR SEDES MARZO PRUEBA'!$B$6:$CD$109,47,0),"NO BD")</f>
        <v>0</v>
      </c>
      <c r="H854" s="8"/>
      <c r="I854" s="8">
        <f t="shared" si="76"/>
        <v>0</v>
      </c>
      <c r="J854" s="14">
        <f t="shared" si="77"/>
        <v>0</v>
      </c>
      <c r="K854" s="14">
        <f t="shared" si="78"/>
        <v>0</v>
      </c>
      <c r="L854" s="14">
        <f t="shared" si="79"/>
        <v>0</v>
      </c>
    </row>
    <row r="855" spans="1:12" ht="27">
      <c r="A855" s="3">
        <v>1360</v>
      </c>
      <c r="B855" s="26">
        <v>13</v>
      </c>
      <c r="C855" s="7" t="s">
        <v>13</v>
      </c>
      <c r="D855" s="4" t="s">
        <v>15</v>
      </c>
      <c r="E855" s="6" t="s">
        <v>134</v>
      </c>
      <c r="F855" s="12">
        <f>INDEX('PEDIDO JULIO'!A11:U33,1,21)</f>
        <v>2</v>
      </c>
      <c r="G855" s="8">
        <f>IFERROR(VLOOKUP($B855,'[1]INSUMO POR SEDES MARZO PRUEBA'!$B$6:$CD$109,47,0),"NO BD")</f>
        <v>6507.7919999999995</v>
      </c>
      <c r="H855" s="8"/>
      <c r="I855" s="8">
        <f t="shared" si="76"/>
        <v>13015.583999999999</v>
      </c>
      <c r="J855" s="14">
        <f t="shared" si="77"/>
        <v>1301.5583999999999</v>
      </c>
      <c r="K855" s="14">
        <f t="shared" si="78"/>
        <v>247.29609599999998</v>
      </c>
      <c r="L855" s="14">
        <f t="shared" si="79"/>
        <v>14564.438495999999</v>
      </c>
    </row>
    <row r="856" spans="1:12" ht="15">
      <c r="A856" s="3">
        <v>1361</v>
      </c>
      <c r="B856" s="26">
        <v>17</v>
      </c>
      <c r="C856" s="7" t="s">
        <v>16</v>
      </c>
      <c r="D856" s="4" t="s">
        <v>17</v>
      </c>
      <c r="E856" s="6" t="s">
        <v>134</v>
      </c>
      <c r="F856" s="12">
        <f>INDEX('PEDIDO JULIO'!A12:U33,1,21)</f>
        <v>0</v>
      </c>
      <c r="G856" s="8">
        <f>IFERROR(VLOOKUP($B856,'[1]INSUMO POR SEDES MARZO PRUEBA'!$B$6:$CD$109,47,0),"NO BD")</f>
        <v>5647.0229999999992</v>
      </c>
      <c r="H856" s="8"/>
      <c r="I856" s="8">
        <f t="shared" si="76"/>
        <v>0</v>
      </c>
      <c r="J856" s="14">
        <f t="shared" si="77"/>
        <v>0</v>
      </c>
      <c r="K856" s="14">
        <f t="shared" si="78"/>
        <v>0</v>
      </c>
      <c r="L856" s="14">
        <f t="shared" si="79"/>
        <v>0</v>
      </c>
    </row>
    <row r="857" spans="1:12" ht="27">
      <c r="A857" s="3">
        <v>1362</v>
      </c>
      <c r="B857" s="31">
        <v>20</v>
      </c>
      <c r="C857" s="7" t="s">
        <v>18</v>
      </c>
      <c r="D857" s="4" t="s">
        <v>19</v>
      </c>
      <c r="E857" s="6" t="s">
        <v>134</v>
      </c>
      <c r="F857" s="12">
        <f>INDEX('PEDIDO JULIO'!A12:U33,1,21)</f>
        <v>0</v>
      </c>
      <c r="G857" s="8">
        <f>IFERROR(VLOOKUP($B857,'[1]INSUMO POR SEDES MARZO PRUEBA'!$B$6:$CD$109,47,0),"NO BD")</f>
        <v>0</v>
      </c>
      <c r="H857" s="8"/>
      <c r="I857" s="8">
        <f t="shared" si="76"/>
        <v>0</v>
      </c>
      <c r="J857" s="14">
        <f t="shared" si="77"/>
        <v>0</v>
      </c>
      <c r="K857" s="14">
        <f t="shared" si="78"/>
        <v>0</v>
      </c>
      <c r="L857" s="14">
        <f t="shared" si="79"/>
        <v>0</v>
      </c>
    </row>
    <row r="858" spans="1:12" ht="27">
      <c r="A858" s="3">
        <v>1363</v>
      </c>
      <c r="B858" s="26">
        <v>21</v>
      </c>
      <c r="C858" s="7" t="s">
        <v>20</v>
      </c>
      <c r="D858" s="4" t="s">
        <v>21</v>
      </c>
      <c r="E858" s="6" t="s">
        <v>134</v>
      </c>
      <c r="F858" s="12">
        <f>INDEX('PEDIDO JULIO'!A13:U34,1,21)</f>
        <v>0</v>
      </c>
      <c r="G858" s="8">
        <f>IFERROR(VLOOKUP($B858,'[1]INSUMO POR SEDES MARZO PRUEBA'!$B$6:$CD$109,47,0),"NO BD")</f>
        <v>0</v>
      </c>
      <c r="H858" s="8"/>
      <c r="I858" s="8">
        <f t="shared" si="76"/>
        <v>0</v>
      </c>
      <c r="J858" s="14">
        <f t="shared" si="77"/>
        <v>0</v>
      </c>
      <c r="K858" s="14">
        <f t="shared" si="78"/>
        <v>0</v>
      </c>
      <c r="L858" s="14">
        <f t="shared" si="79"/>
        <v>0</v>
      </c>
    </row>
    <row r="859" spans="1:12" ht="27">
      <c r="A859" s="3">
        <v>1364</v>
      </c>
      <c r="B859" s="26">
        <v>28</v>
      </c>
      <c r="C859" s="7" t="s">
        <v>22</v>
      </c>
      <c r="D859" s="4" t="s">
        <v>23</v>
      </c>
      <c r="E859" s="6" t="s">
        <v>134</v>
      </c>
      <c r="F859" s="12">
        <f>INDEX('PEDIDO JULIO'!A14:U34,1,21)</f>
        <v>0</v>
      </c>
      <c r="G859" s="8">
        <f>IFERROR(VLOOKUP($B859,'[1]INSUMO POR SEDES MARZO PRUEBA'!$B$6:$CD$109,47,0),"NO BD")</f>
        <v>2764.13</v>
      </c>
      <c r="H859" s="8"/>
      <c r="I859" s="8">
        <f t="shared" si="76"/>
        <v>0</v>
      </c>
      <c r="J859" s="14">
        <f t="shared" si="77"/>
        <v>0</v>
      </c>
      <c r="K859" s="14">
        <f t="shared" si="78"/>
        <v>0</v>
      </c>
      <c r="L859" s="14">
        <f t="shared" si="79"/>
        <v>0</v>
      </c>
    </row>
    <row r="860" spans="1:12" ht="15">
      <c r="A860" s="3">
        <v>1365</v>
      </c>
      <c r="B860" s="26">
        <v>29</v>
      </c>
      <c r="C860" s="7" t="s">
        <v>18</v>
      </c>
      <c r="D860" s="4" t="s">
        <v>24</v>
      </c>
      <c r="E860" s="6" t="s">
        <v>134</v>
      </c>
      <c r="F860" s="12">
        <f>INDEX('PEDIDO JULIO'!A15:U34,1,21)</f>
        <v>0</v>
      </c>
      <c r="G860" s="8">
        <f>IFERROR(VLOOKUP($B860,'[1]INSUMO POR SEDES MARZO PRUEBA'!$B$6:$CD$109,47,0),"NO BD")</f>
        <v>4829.3450000000012</v>
      </c>
      <c r="H860" s="8"/>
      <c r="I860" s="8">
        <f t="shared" si="76"/>
        <v>0</v>
      </c>
      <c r="J860" s="14">
        <f t="shared" si="77"/>
        <v>0</v>
      </c>
      <c r="K860" s="14">
        <f t="shared" si="78"/>
        <v>0</v>
      </c>
      <c r="L860" s="14">
        <f t="shared" si="79"/>
        <v>0</v>
      </c>
    </row>
    <row r="861" spans="1:12" ht="27">
      <c r="A861" s="3">
        <v>1366</v>
      </c>
      <c r="B861" s="26">
        <v>32</v>
      </c>
      <c r="C861" s="7" t="s">
        <v>155</v>
      </c>
      <c r="D861" s="4" t="s">
        <v>25</v>
      </c>
      <c r="E861" s="6" t="s">
        <v>134</v>
      </c>
      <c r="F861" s="12">
        <f>INDEX('PEDIDO JULIO'!A16:U34,1,21)</f>
        <v>0</v>
      </c>
      <c r="G861" s="8">
        <f>IFERROR(VLOOKUP($B861,'[1]INSUMO POR SEDES MARZO PRUEBA'!$B$6:$CD$109,47,0),"NO BD")</f>
        <v>4115.7160000000003</v>
      </c>
      <c r="H861" s="8"/>
      <c r="I861" s="8">
        <f t="shared" si="76"/>
        <v>0</v>
      </c>
      <c r="J861" s="14">
        <f t="shared" si="77"/>
        <v>0</v>
      </c>
      <c r="K861" s="14">
        <f t="shared" si="78"/>
        <v>0</v>
      </c>
      <c r="L861" s="14">
        <f t="shared" si="79"/>
        <v>0</v>
      </c>
    </row>
    <row r="862" spans="1:12" ht="27">
      <c r="A862" s="3">
        <v>1367</v>
      </c>
      <c r="B862" s="26">
        <v>38</v>
      </c>
      <c r="C862" s="7" t="s">
        <v>16</v>
      </c>
      <c r="D862" s="4" t="s">
        <v>26</v>
      </c>
      <c r="E862" s="6" t="s">
        <v>134</v>
      </c>
      <c r="F862" s="12">
        <f>INDEX('PEDIDO JULIO'!A17:U34,1,21)</f>
        <v>0</v>
      </c>
      <c r="G862" s="8">
        <f>IFERROR(VLOOKUP($B862,'[1]INSUMO POR SEDES MARZO PRUEBA'!$B$6:$CD$109,47,0),"NO BD")</f>
        <v>0</v>
      </c>
      <c r="H862" s="8"/>
      <c r="I862" s="8">
        <f t="shared" si="76"/>
        <v>0</v>
      </c>
      <c r="J862" s="14">
        <f t="shared" si="77"/>
        <v>0</v>
      </c>
      <c r="K862" s="14">
        <f t="shared" si="78"/>
        <v>0</v>
      </c>
      <c r="L862" s="14">
        <f t="shared" si="79"/>
        <v>0</v>
      </c>
    </row>
    <row r="863" spans="1:12" ht="15">
      <c r="A863" s="3">
        <v>1368</v>
      </c>
      <c r="B863" s="26">
        <v>44</v>
      </c>
      <c r="C863" s="7" t="s">
        <v>27</v>
      </c>
      <c r="D863" s="4" t="s">
        <v>28</v>
      </c>
      <c r="E863" s="6" t="s">
        <v>134</v>
      </c>
      <c r="F863" s="12">
        <f>INDEX('PEDIDO JULIO'!A17:U34,1,21)</f>
        <v>0</v>
      </c>
      <c r="G863" s="8">
        <f>IFERROR(VLOOKUP($B863,'[1]INSUMO POR SEDES MARZO PRUEBA'!$B$6:$CD$109,47,0),"NO BD")</f>
        <v>0</v>
      </c>
      <c r="H863" s="8"/>
      <c r="I863" s="8">
        <f t="shared" si="76"/>
        <v>0</v>
      </c>
      <c r="J863" s="14">
        <f t="shared" si="77"/>
        <v>0</v>
      </c>
      <c r="K863" s="14">
        <f t="shared" si="78"/>
        <v>0</v>
      </c>
      <c r="L863" s="14">
        <f t="shared" si="79"/>
        <v>0</v>
      </c>
    </row>
    <row r="864" spans="1:12" ht="15">
      <c r="A864" s="3">
        <v>1369</v>
      </c>
      <c r="B864" s="26">
        <v>50</v>
      </c>
      <c r="C864" s="7" t="s">
        <v>13</v>
      </c>
      <c r="D864" s="4" t="s">
        <v>29</v>
      </c>
      <c r="E864" s="6" t="s">
        <v>134</v>
      </c>
      <c r="F864" s="12">
        <f>INDEX('PEDIDO JULIO'!A18:U35,1,21)</f>
        <v>0</v>
      </c>
      <c r="G864" s="8">
        <f>IFERROR(VLOOKUP($B864,'[1]INSUMO POR SEDES MARZO PRUEBA'!$B$6:$CD$109,47,0),"NO BD")</f>
        <v>0</v>
      </c>
      <c r="H864" s="8"/>
      <c r="I864" s="8">
        <f t="shared" si="76"/>
        <v>0</v>
      </c>
      <c r="J864" s="14">
        <f t="shared" si="77"/>
        <v>0</v>
      </c>
      <c r="K864" s="14">
        <f t="shared" si="78"/>
        <v>0</v>
      </c>
      <c r="L864" s="14">
        <f t="shared" si="79"/>
        <v>0</v>
      </c>
    </row>
    <row r="865" spans="1:12" ht="15">
      <c r="A865" s="3">
        <v>1370</v>
      </c>
      <c r="B865" s="26">
        <v>52</v>
      </c>
      <c r="C865" s="7" t="s">
        <v>13</v>
      </c>
      <c r="D865" s="4" t="s">
        <v>30</v>
      </c>
      <c r="E865" s="6" t="s">
        <v>134</v>
      </c>
      <c r="F865" s="12">
        <f>INDEX('PEDIDO JULIO'!A18:U35,1,21)</f>
        <v>0</v>
      </c>
      <c r="G865" s="8">
        <f>IFERROR(VLOOKUP($B865,'[1]INSUMO POR SEDES MARZO PRUEBA'!$B$6:$CD$109,47,0),"NO BD")</f>
        <v>0</v>
      </c>
      <c r="H865" s="8"/>
      <c r="I865" s="8">
        <f t="shared" si="76"/>
        <v>0</v>
      </c>
      <c r="J865" s="14">
        <f t="shared" si="77"/>
        <v>0</v>
      </c>
      <c r="K865" s="14">
        <f t="shared" si="78"/>
        <v>0</v>
      </c>
      <c r="L865" s="14">
        <f t="shared" si="79"/>
        <v>0</v>
      </c>
    </row>
    <row r="866" spans="1:12" ht="15">
      <c r="A866" s="3">
        <v>1371</v>
      </c>
      <c r="B866" s="26">
        <v>57</v>
      </c>
      <c r="C866" s="7" t="s">
        <v>13</v>
      </c>
      <c r="D866" s="4" t="s">
        <v>31</v>
      </c>
      <c r="E866" s="6" t="s">
        <v>134</v>
      </c>
      <c r="F866" s="12">
        <f>INDEX('PEDIDO JULIO'!A18:U35,1,21)</f>
        <v>0</v>
      </c>
      <c r="G866" s="8">
        <f>IFERROR(VLOOKUP($B866,'[1]INSUMO POR SEDES MARZO PRUEBA'!$B$6:$CD$109,47,0),"NO BD")</f>
        <v>27464.2065</v>
      </c>
      <c r="H866" s="8"/>
      <c r="I866" s="8">
        <f t="shared" si="76"/>
        <v>0</v>
      </c>
      <c r="J866" s="14">
        <f t="shared" si="77"/>
        <v>0</v>
      </c>
      <c r="K866" s="14">
        <f t="shared" si="78"/>
        <v>0</v>
      </c>
      <c r="L866" s="14">
        <f t="shared" si="79"/>
        <v>0</v>
      </c>
    </row>
    <row r="867" spans="1:12" ht="15">
      <c r="A867" s="3">
        <v>1372</v>
      </c>
      <c r="B867" s="26">
        <v>59</v>
      </c>
      <c r="C867" s="7" t="s">
        <v>13</v>
      </c>
      <c r="D867" s="4" t="s">
        <v>32</v>
      </c>
      <c r="E867" s="6" t="s">
        <v>134</v>
      </c>
      <c r="F867" s="12">
        <f>INDEX('PEDIDO JULIO'!A19:U35,1,21)</f>
        <v>0</v>
      </c>
      <c r="G867" s="8">
        <f>IFERROR(VLOOKUP($B867,'[1]INSUMO POR SEDES MARZO PRUEBA'!$B$6:$CD$109,47,0),"NO BD")</f>
        <v>0</v>
      </c>
      <c r="H867" s="8"/>
      <c r="I867" s="8">
        <f t="shared" si="76"/>
        <v>0</v>
      </c>
      <c r="J867" s="14">
        <f t="shared" si="77"/>
        <v>0</v>
      </c>
      <c r="K867" s="14">
        <f t="shared" si="78"/>
        <v>0</v>
      </c>
      <c r="L867" s="14">
        <f t="shared" si="79"/>
        <v>0</v>
      </c>
    </row>
    <row r="868" spans="1:12" ht="15">
      <c r="A868" s="3">
        <v>1373</v>
      </c>
      <c r="B868" s="26">
        <v>62</v>
      </c>
      <c r="C868" s="7" t="s">
        <v>33</v>
      </c>
      <c r="D868" s="4" t="s">
        <v>34</v>
      </c>
      <c r="E868" s="6" t="s">
        <v>134</v>
      </c>
      <c r="F868" s="12">
        <f>INDEX('PEDIDO JULIO'!A19:U35,1,21)</f>
        <v>0</v>
      </c>
      <c r="G868" s="8">
        <f>IFERROR(VLOOKUP($B868,'[1]INSUMO POR SEDES MARZO PRUEBA'!$B$6:$CD$109,47,0),"NO BD")</f>
        <v>10100.3202</v>
      </c>
      <c r="H868" s="8"/>
      <c r="I868" s="8">
        <f t="shared" si="76"/>
        <v>0</v>
      </c>
      <c r="J868" s="14">
        <f t="shared" si="77"/>
        <v>0</v>
      </c>
      <c r="K868" s="14">
        <f t="shared" si="78"/>
        <v>0</v>
      </c>
      <c r="L868" s="14">
        <f t="shared" si="79"/>
        <v>0</v>
      </c>
    </row>
    <row r="869" spans="1:12" ht="15">
      <c r="A869" s="3">
        <v>1374</v>
      </c>
      <c r="B869" s="26">
        <v>63</v>
      </c>
      <c r="C869" s="7" t="s">
        <v>16</v>
      </c>
      <c r="D869" s="4" t="s">
        <v>35</v>
      </c>
      <c r="E869" s="6" t="s">
        <v>134</v>
      </c>
      <c r="F869" s="12">
        <f>INDEX('PEDIDO JULIO'!A20:U35,1,21)</f>
        <v>0</v>
      </c>
      <c r="G869" s="8">
        <f>IFERROR(VLOOKUP($B869,'[1]INSUMO POR SEDES MARZO PRUEBA'!$B$6:$CD$109,47,0),"NO BD")</f>
        <v>8292.39</v>
      </c>
      <c r="H869" s="8"/>
      <c r="I869" s="8">
        <f t="shared" si="76"/>
        <v>0</v>
      </c>
      <c r="J869" s="14">
        <f t="shared" si="77"/>
        <v>0</v>
      </c>
      <c r="K869" s="14">
        <f t="shared" si="78"/>
        <v>0</v>
      </c>
      <c r="L869" s="14">
        <f t="shared" si="79"/>
        <v>0</v>
      </c>
    </row>
    <row r="870" spans="1:12" ht="15">
      <c r="A870" s="3">
        <v>1375</v>
      </c>
      <c r="B870" s="26">
        <v>64</v>
      </c>
      <c r="C870" s="7" t="s">
        <v>36</v>
      </c>
      <c r="D870" s="4" t="s">
        <v>37</v>
      </c>
      <c r="E870" s="6" t="s">
        <v>134</v>
      </c>
      <c r="F870" s="12">
        <f>INDEX('PEDIDO JULIO'!A20:U35,1,21)</f>
        <v>0</v>
      </c>
      <c r="G870" s="8">
        <f>IFERROR(VLOOKUP($B870,'[1]INSUMO POR SEDES MARZO PRUEBA'!$B$6:$CD$109,47,0),"NO BD")</f>
        <v>0</v>
      </c>
      <c r="H870" s="8"/>
      <c r="I870" s="8">
        <f t="shared" si="76"/>
        <v>0</v>
      </c>
      <c r="J870" s="14">
        <f t="shared" si="77"/>
        <v>0</v>
      </c>
      <c r="K870" s="14">
        <f t="shared" si="78"/>
        <v>0</v>
      </c>
      <c r="L870" s="14">
        <f t="shared" si="79"/>
        <v>0</v>
      </c>
    </row>
    <row r="871" spans="1:12" ht="15">
      <c r="A871" s="3">
        <v>1376</v>
      </c>
      <c r="B871" s="26">
        <v>65</v>
      </c>
      <c r="C871" s="7" t="s">
        <v>36</v>
      </c>
      <c r="D871" s="4" t="s">
        <v>38</v>
      </c>
      <c r="E871" s="6" t="s">
        <v>134</v>
      </c>
      <c r="F871" s="12">
        <f>INDEX('PEDIDO JULIO'!A21:U35,1,21)</f>
        <v>0</v>
      </c>
      <c r="G871" s="8">
        <f>IFERROR(VLOOKUP($B871,'[1]INSUMO POR SEDES MARZO PRUEBA'!$B$6:$CD$109,47,0),"NO BD")</f>
        <v>21295.046699999999</v>
      </c>
      <c r="H871" s="8"/>
      <c r="I871" s="8">
        <f t="shared" si="76"/>
        <v>0</v>
      </c>
      <c r="J871" s="14">
        <f t="shared" si="77"/>
        <v>0</v>
      </c>
      <c r="K871" s="14">
        <f t="shared" si="78"/>
        <v>0</v>
      </c>
      <c r="L871" s="14">
        <f t="shared" si="79"/>
        <v>0</v>
      </c>
    </row>
    <row r="872" spans="1:12" ht="15">
      <c r="A872" s="3">
        <v>1377</v>
      </c>
      <c r="B872" s="26">
        <v>66</v>
      </c>
      <c r="C872" s="7" t="s">
        <v>39</v>
      </c>
      <c r="D872" s="4" t="s">
        <v>40</v>
      </c>
      <c r="E872" s="6" t="s">
        <v>134</v>
      </c>
      <c r="F872" s="12">
        <f>INDEX('PEDIDO JULIO'!A22:U35,1,21)</f>
        <v>0</v>
      </c>
      <c r="G872" s="8">
        <f>IFERROR(VLOOKUP($B872,'[1]INSUMO POR SEDES MARZO PRUEBA'!$B$6:$CD$109,47,0),"NO BD")</f>
        <v>4178.9862000000003</v>
      </c>
      <c r="H872" s="8"/>
      <c r="I872" s="8">
        <f t="shared" si="76"/>
        <v>0</v>
      </c>
      <c r="J872" s="14">
        <f t="shared" si="77"/>
        <v>0</v>
      </c>
      <c r="K872" s="14">
        <f t="shared" si="78"/>
        <v>0</v>
      </c>
      <c r="L872" s="14">
        <f t="shared" si="79"/>
        <v>0</v>
      </c>
    </row>
    <row r="873" spans="1:12" ht="15">
      <c r="A873" s="3">
        <v>1378</v>
      </c>
      <c r="B873" s="26">
        <v>71</v>
      </c>
      <c r="C873" s="7" t="s">
        <v>39</v>
      </c>
      <c r="D873" s="4" t="s">
        <v>41</v>
      </c>
      <c r="E873" s="6" t="s">
        <v>134</v>
      </c>
      <c r="F873" s="12">
        <f>INDEX('PEDIDO JULIO'!A23:U36,1,21)</f>
        <v>2</v>
      </c>
      <c r="G873" s="8">
        <f>IFERROR(VLOOKUP($B873,'[1]INSUMO POR SEDES MARZO PRUEBA'!$B$6:$CD$109,47,0),"NO BD")</f>
        <v>7960.6944000000003</v>
      </c>
      <c r="H873" s="8"/>
      <c r="I873" s="8">
        <f t="shared" si="76"/>
        <v>15921.388800000001</v>
      </c>
      <c r="J873" s="14">
        <f t="shared" si="77"/>
        <v>1592.1388800000002</v>
      </c>
      <c r="K873" s="14">
        <f t="shared" si="78"/>
        <v>302.50638720000006</v>
      </c>
      <c r="L873" s="14">
        <f t="shared" si="79"/>
        <v>17816.034067199998</v>
      </c>
    </row>
    <row r="874" spans="1:12" ht="15">
      <c r="A874" s="3">
        <v>1379</v>
      </c>
      <c r="B874" s="26">
        <v>72</v>
      </c>
      <c r="C874" s="7" t="s">
        <v>151</v>
      </c>
      <c r="D874" s="4" t="s">
        <v>42</v>
      </c>
      <c r="E874" s="6" t="s">
        <v>134</v>
      </c>
      <c r="F874" s="12">
        <f>INDEX('PEDIDO JULIO'!A23:U37,1,21)</f>
        <v>2</v>
      </c>
      <c r="G874" s="8">
        <f>IFERROR(VLOOKUP($B874,'[1]INSUMO POR SEDES MARZO PRUEBA'!$B$6:$CD$109,47,0),"NO BD")</f>
        <v>7861.3749000000007</v>
      </c>
      <c r="H874" s="8"/>
      <c r="I874" s="8">
        <f t="shared" si="76"/>
        <v>15722.749800000001</v>
      </c>
      <c r="J874" s="14">
        <f t="shared" si="77"/>
        <v>1572.2749800000001</v>
      </c>
      <c r="K874" s="14">
        <f t="shared" si="78"/>
        <v>298.73224620000002</v>
      </c>
      <c r="L874" s="14">
        <f t="shared" si="79"/>
        <v>17593.757026200001</v>
      </c>
    </row>
    <row r="875" spans="1:12" ht="15">
      <c r="A875" s="3">
        <v>1380</v>
      </c>
      <c r="B875" s="26">
        <v>73</v>
      </c>
      <c r="C875" s="7" t="s">
        <v>151</v>
      </c>
      <c r="D875" s="4" t="s">
        <v>43</v>
      </c>
      <c r="E875" s="6" t="s">
        <v>134</v>
      </c>
      <c r="F875" s="12">
        <f>INDEX('PEDIDO JULIO'!A24:U37,1,21)</f>
        <v>3</v>
      </c>
      <c r="G875" s="8">
        <f>IFERROR(VLOOKUP($B875,'[1]INSUMO POR SEDES MARZO PRUEBA'!$B$6:$CD$109,47,0),"NO BD")</f>
        <v>21493.685699999998</v>
      </c>
      <c r="H875" s="8"/>
      <c r="I875" s="8">
        <f t="shared" si="76"/>
        <v>64481.057099999991</v>
      </c>
      <c r="J875" s="14">
        <f t="shared" si="77"/>
        <v>6448.1057099999998</v>
      </c>
      <c r="K875" s="14">
        <f t="shared" si="78"/>
        <v>1225.1400848999999</v>
      </c>
      <c r="L875" s="14">
        <f t="shared" si="79"/>
        <v>72154.3028949</v>
      </c>
    </row>
    <row r="876" spans="1:12" ht="15">
      <c r="A876" s="3">
        <v>1381</v>
      </c>
      <c r="B876" s="26">
        <v>74</v>
      </c>
      <c r="C876" s="7" t="s">
        <v>151</v>
      </c>
      <c r="D876" s="4" t="s">
        <v>44</v>
      </c>
      <c r="E876" s="6" t="s">
        <v>134</v>
      </c>
      <c r="F876" s="12">
        <f>INDEX('PEDIDO JULIO'!A25:U37,1,21)</f>
        <v>2</v>
      </c>
      <c r="G876" s="8">
        <f>IFERROR(VLOOKUP($B876,'[1]INSUMO POR SEDES MARZO PRUEBA'!$B$6:$CD$109,47,0),"NO BD")</f>
        <v>6915.4749000000002</v>
      </c>
      <c r="H876" s="8"/>
      <c r="I876" s="8">
        <f t="shared" si="76"/>
        <v>13830.9498</v>
      </c>
      <c r="J876" s="14">
        <f t="shared" si="77"/>
        <v>1383.0949800000001</v>
      </c>
      <c r="K876" s="14">
        <f t="shared" si="78"/>
        <v>262.7880462</v>
      </c>
      <c r="L876" s="14">
        <f t="shared" si="79"/>
        <v>15476.8328262</v>
      </c>
    </row>
    <row r="877" spans="1:12" ht="40.5">
      <c r="A877" s="3">
        <v>1382</v>
      </c>
      <c r="B877" s="26">
        <v>79</v>
      </c>
      <c r="C877" s="7" t="s">
        <v>151</v>
      </c>
      <c r="D877" s="4" t="s">
        <v>45</v>
      </c>
      <c r="E877" s="6" t="s">
        <v>134</v>
      </c>
      <c r="F877" s="12">
        <f>INDEX('PEDIDO JULIO'!A26:U37,1,21)</f>
        <v>2</v>
      </c>
      <c r="G877" s="8">
        <f>IFERROR(VLOOKUP($B877,'[1]INSUMO POR SEDES MARZO PRUEBA'!$B$6:$CD$109,47,0),"NO BD")</f>
        <v>935.49510000000009</v>
      </c>
      <c r="H877" s="8"/>
      <c r="I877" s="8">
        <f t="shared" si="76"/>
        <v>1870.9902000000002</v>
      </c>
      <c r="J877" s="14">
        <f t="shared" si="77"/>
        <v>187.09902000000002</v>
      </c>
      <c r="K877" s="14">
        <f t="shared" si="78"/>
        <v>35.548813800000005</v>
      </c>
      <c r="L877" s="14">
        <f t="shared" si="79"/>
        <v>2093.6380338000004</v>
      </c>
    </row>
    <row r="878" spans="1:12" ht="27">
      <c r="A878" s="3">
        <v>1383</v>
      </c>
      <c r="B878" s="26">
        <v>80</v>
      </c>
      <c r="C878" s="7" t="s">
        <v>46</v>
      </c>
      <c r="D878" s="4" t="s">
        <v>47</v>
      </c>
      <c r="E878" s="6" t="s">
        <v>134</v>
      </c>
      <c r="F878" s="12">
        <f>INDEX('PEDIDO JULIO'!A27:U37,1,21)</f>
        <v>0</v>
      </c>
      <c r="G878" s="8">
        <f>IFERROR(VLOOKUP($B878,'[1]INSUMO POR SEDES MARZO PRUEBA'!$B$6:$CD$109,47,0),"NO BD")</f>
        <v>607.26779999999997</v>
      </c>
      <c r="H878" s="8"/>
      <c r="I878" s="8">
        <f t="shared" si="76"/>
        <v>0</v>
      </c>
      <c r="J878" s="14">
        <f t="shared" si="77"/>
        <v>0</v>
      </c>
      <c r="K878" s="14">
        <f t="shared" si="78"/>
        <v>0</v>
      </c>
      <c r="L878" s="14">
        <f t="shared" si="79"/>
        <v>0</v>
      </c>
    </row>
    <row r="879" spans="1:12" ht="15">
      <c r="A879" s="3">
        <v>1384</v>
      </c>
      <c r="B879" s="26">
        <v>81</v>
      </c>
      <c r="C879" s="7" t="s">
        <v>159</v>
      </c>
      <c r="D879" s="4" t="s">
        <v>48</v>
      </c>
      <c r="E879" s="6" t="s">
        <v>134</v>
      </c>
      <c r="F879" s="12">
        <f>INDEX('PEDIDO JULIO'!A28:U37,1,21)</f>
        <v>0</v>
      </c>
      <c r="G879" s="8">
        <f>IFERROR(VLOOKUP($B879,'[1]INSUMO POR SEDES MARZO PRUEBA'!$B$6:$CD$109,47,0),"NO BD")</f>
        <v>387.81900000000002</v>
      </c>
      <c r="H879" s="8"/>
      <c r="I879" s="8">
        <f t="shared" si="76"/>
        <v>0</v>
      </c>
      <c r="J879" s="14">
        <f t="shared" si="77"/>
        <v>0</v>
      </c>
      <c r="K879" s="14">
        <f t="shared" si="78"/>
        <v>0</v>
      </c>
      <c r="L879" s="14">
        <f t="shared" si="79"/>
        <v>0</v>
      </c>
    </row>
    <row r="880" spans="1:12" ht="15">
      <c r="A880" s="3">
        <v>1385</v>
      </c>
      <c r="B880" s="26">
        <v>82</v>
      </c>
      <c r="C880" s="7" t="s">
        <v>159</v>
      </c>
      <c r="D880" s="4" t="s">
        <v>49</v>
      </c>
      <c r="E880" s="6" t="s">
        <v>134</v>
      </c>
      <c r="F880" s="12">
        <f>INDEX('PEDIDO JULIO'!A28:U37,1,21)</f>
        <v>0</v>
      </c>
      <c r="G880" s="8">
        <f>IFERROR(VLOOKUP($B880,'[1]INSUMO POR SEDES MARZO PRUEBA'!$B$6:$CD$109,47,0),"NO BD")</f>
        <v>1003.7049999999999</v>
      </c>
      <c r="H880" s="8"/>
      <c r="I880" s="8">
        <f t="shared" si="76"/>
        <v>0</v>
      </c>
      <c r="J880" s="14">
        <f t="shared" si="77"/>
        <v>0</v>
      </c>
      <c r="K880" s="14">
        <f t="shared" si="78"/>
        <v>0</v>
      </c>
      <c r="L880" s="14">
        <f t="shared" si="79"/>
        <v>0</v>
      </c>
    </row>
    <row r="881" spans="1:12" ht="15">
      <c r="A881" s="3">
        <v>1386</v>
      </c>
      <c r="B881" s="26">
        <v>83</v>
      </c>
      <c r="C881" s="7" t="s">
        <v>159</v>
      </c>
      <c r="D881" s="4" t="s">
        <v>50</v>
      </c>
      <c r="E881" s="6" t="s">
        <v>134</v>
      </c>
      <c r="F881" s="12">
        <f>INDEX('PEDIDO JULIO'!A29:U37,1,21)</f>
        <v>0</v>
      </c>
      <c r="G881" s="8">
        <f>IFERROR(VLOOKUP($B881,'[1]INSUMO POR SEDES MARZO PRUEBA'!$B$6:$CD$109,47,0),"NO BD")</f>
        <v>0</v>
      </c>
      <c r="H881" s="8"/>
      <c r="I881" s="8">
        <f t="shared" si="76"/>
        <v>0</v>
      </c>
      <c r="J881" s="14">
        <f t="shared" si="77"/>
        <v>0</v>
      </c>
      <c r="K881" s="14">
        <f t="shared" si="78"/>
        <v>0</v>
      </c>
      <c r="L881" s="14">
        <f t="shared" si="79"/>
        <v>0</v>
      </c>
    </row>
    <row r="882" spans="1:12" ht="15">
      <c r="A882" s="3">
        <v>1387</v>
      </c>
      <c r="B882" s="26">
        <v>88</v>
      </c>
      <c r="C882" s="7" t="s">
        <v>159</v>
      </c>
      <c r="D882" s="4" t="s">
        <v>51</v>
      </c>
      <c r="E882" s="6" t="s">
        <v>134</v>
      </c>
      <c r="F882" s="12">
        <f>INDEX('PEDIDO JULIO'!A30:U37,1,21)</f>
        <v>0</v>
      </c>
      <c r="G882" s="8">
        <f>IFERROR(VLOOKUP($B882,'[1]INSUMO POR SEDES MARZO PRUEBA'!$B$6:$CD$109,47,0),"NO BD")</f>
        <v>0</v>
      </c>
      <c r="H882" s="8"/>
      <c r="I882" s="8">
        <f t="shared" si="76"/>
        <v>0</v>
      </c>
      <c r="J882" s="14">
        <f t="shared" si="77"/>
        <v>0</v>
      </c>
      <c r="K882" s="14">
        <f t="shared" si="78"/>
        <v>0</v>
      </c>
      <c r="L882" s="14">
        <f t="shared" si="79"/>
        <v>0</v>
      </c>
    </row>
    <row r="883" spans="1:12" ht="15">
      <c r="A883" s="3">
        <v>1388</v>
      </c>
      <c r="B883" s="26">
        <v>92</v>
      </c>
      <c r="C883" s="7" t="s">
        <v>159</v>
      </c>
      <c r="D883" s="4" t="s">
        <v>52</v>
      </c>
      <c r="E883" s="6" t="s">
        <v>134</v>
      </c>
      <c r="F883" s="12">
        <f>INDEX('PEDIDO JULIO'!A31:U37,1,21)</f>
        <v>4</v>
      </c>
      <c r="G883" s="8">
        <f>IFERROR(VLOOKUP($B883,'[1]INSUMO POR SEDES MARZO PRUEBA'!$B$6:$CD$109,47,0),"NO BD")</f>
        <v>2380.5149999999999</v>
      </c>
      <c r="H883" s="8"/>
      <c r="I883" s="8">
        <f t="shared" si="76"/>
        <v>9522.06</v>
      </c>
      <c r="J883" s="14">
        <f t="shared" si="77"/>
        <v>952.20600000000002</v>
      </c>
      <c r="K883" s="14">
        <f t="shared" si="78"/>
        <v>180.91914</v>
      </c>
      <c r="L883" s="14">
        <f t="shared" si="79"/>
        <v>10655.18514</v>
      </c>
    </row>
    <row r="884" spans="1:12" ht="15">
      <c r="A884" s="3">
        <v>1389</v>
      </c>
      <c r="B884" s="26">
        <v>94</v>
      </c>
      <c r="C884" s="7" t="s">
        <v>53</v>
      </c>
      <c r="D884" s="4" t="s">
        <v>54</v>
      </c>
      <c r="E884" s="6" t="s">
        <v>134</v>
      </c>
      <c r="F884" s="12">
        <f>INDEX('PEDIDO JULIO'!A32:U37,1,21)</f>
        <v>0</v>
      </c>
      <c r="G884" s="8">
        <f>IFERROR(VLOOKUP($B884,'[1]INSUMO POR SEDES MARZO PRUEBA'!$B$6:$CD$109,47,0),"NO BD")</f>
        <v>0</v>
      </c>
      <c r="H884" s="8"/>
      <c r="I884" s="8">
        <f t="shared" si="76"/>
        <v>0</v>
      </c>
      <c r="J884" s="14">
        <f t="shared" si="77"/>
        <v>0</v>
      </c>
      <c r="K884" s="14">
        <f t="shared" si="78"/>
        <v>0</v>
      </c>
      <c r="L884" s="14">
        <f t="shared" si="79"/>
        <v>0</v>
      </c>
    </row>
    <row r="885" spans="1:12" ht="15">
      <c r="A885" s="3">
        <v>1390</v>
      </c>
      <c r="B885" s="26">
        <v>98</v>
      </c>
      <c r="C885" s="7" t="s">
        <v>53</v>
      </c>
      <c r="D885" s="4" t="s">
        <v>55</v>
      </c>
      <c r="E885" s="6" t="s">
        <v>134</v>
      </c>
      <c r="F885" s="12">
        <f>INDEX('PEDIDO JULIO'!A33:U37,1,21)</f>
        <v>5</v>
      </c>
      <c r="G885" s="8">
        <f>IFERROR(VLOOKUP($B885,'[1]INSUMO POR SEDES MARZO PRUEBA'!$B$6:$CD$109,47,0),"NO BD")</f>
        <v>9503.4573</v>
      </c>
      <c r="H885" s="8"/>
      <c r="I885" s="8">
        <f t="shared" si="76"/>
        <v>47517.286500000002</v>
      </c>
      <c r="J885" s="14">
        <f t="shared" si="77"/>
        <v>4751.72865</v>
      </c>
      <c r="K885" s="14">
        <f t="shared" si="78"/>
        <v>902.82844350000005</v>
      </c>
      <c r="L885" s="14">
        <f t="shared" si="79"/>
        <v>53171.843593500002</v>
      </c>
    </row>
    <row r="886" spans="1:12" ht="15">
      <c r="A886" s="3">
        <v>1391</v>
      </c>
      <c r="B886" s="26">
        <v>100</v>
      </c>
      <c r="C886" s="7" t="s">
        <v>53</v>
      </c>
      <c r="D886" s="4" t="s">
        <v>56</v>
      </c>
      <c r="E886" s="6" t="s">
        <v>134</v>
      </c>
      <c r="F886" s="12">
        <f>INDEX('PEDIDO JULIO'!A33:U38,1,21)</f>
        <v>5</v>
      </c>
      <c r="G886" s="8">
        <f>IFERROR(VLOOKUP($B886,'[1]INSUMO POR SEDES MARZO PRUEBA'!$B$6:$CD$109,47,0),"NO BD")</f>
        <v>0</v>
      </c>
      <c r="H886" s="8"/>
      <c r="I886" s="8">
        <f t="shared" si="76"/>
        <v>0</v>
      </c>
      <c r="J886" s="14">
        <f t="shared" si="77"/>
        <v>0</v>
      </c>
      <c r="K886" s="14">
        <f t="shared" si="78"/>
        <v>0</v>
      </c>
      <c r="L886" s="14">
        <f t="shared" si="79"/>
        <v>0</v>
      </c>
    </row>
    <row r="887" spans="1:12" ht="15">
      <c r="A887" s="3">
        <v>1392</v>
      </c>
      <c r="B887" s="26">
        <v>102</v>
      </c>
      <c r="C887" s="7" t="s">
        <v>53</v>
      </c>
      <c r="D887" s="4" t="s">
        <v>57</v>
      </c>
      <c r="E887" s="6" t="s">
        <v>134</v>
      </c>
      <c r="F887" s="12">
        <f>INDEX('PEDIDO JULIO'!A33:U38,1,21)</f>
        <v>5</v>
      </c>
      <c r="G887" s="8">
        <f>IFERROR(VLOOKUP($B887,'[1]INSUMO POR SEDES MARZO PRUEBA'!$B$6:$CD$109,47,0),"NO BD")</f>
        <v>5422.8446999999996</v>
      </c>
      <c r="H887" s="8"/>
      <c r="I887" s="8">
        <f t="shared" si="76"/>
        <v>27114.2235</v>
      </c>
      <c r="J887" s="14">
        <f t="shared" si="77"/>
        <v>2711.4223500000003</v>
      </c>
      <c r="K887" s="14">
        <f t="shared" si="78"/>
        <v>515.17024650000008</v>
      </c>
      <c r="L887" s="14">
        <f t="shared" si="79"/>
        <v>30340.816096500002</v>
      </c>
    </row>
    <row r="888" spans="1:12" ht="27">
      <c r="A888" s="3">
        <v>1393</v>
      </c>
      <c r="B888" s="26">
        <v>110</v>
      </c>
      <c r="C888" s="7" t="s">
        <v>160</v>
      </c>
      <c r="D888" s="4" t="s">
        <v>58</v>
      </c>
      <c r="E888" s="6" t="s">
        <v>134</v>
      </c>
      <c r="F888" s="12">
        <f>INDEX('PEDIDO JULIO'!A33:U39,1,21)</f>
        <v>5</v>
      </c>
      <c r="G888" s="8">
        <f>IFERROR(VLOOKUP($B888,'[1]INSUMO POR SEDES MARZO PRUEBA'!$B$6:$CD$109,47,0),"NO BD")</f>
        <v>1442.4974999999999</v>
      </c>
      <c r="H888" s="8"/>
      <c r="I888" s="8">
        <f t="shared" si="76"/>
        <v>7212.4874999999993</v>
      </c>
      <c r="J888" s="14">
        <f t="shared" si="77"/>
        <v>721.24874999999997</v>
      </c>
      <c r="K888" s="14">
        <f t="shared" si="78"/>
        <v>137.0372625</v>
      </c>
      <c r="L888" s="14">
        <f t="shared" si="79"/>
        <v>8070.773512499999</v>
      </c>
    </row>
    <row r="889" spans="1:12" ht="15">
      <c r="A889" s="3">
        <v>1394</v>
      </c>
      <c r="B889" s="26">
        <v>118</v>
      </c>
      <c r="C889" s="7" t="s">
        <v>160</v>
      </c>
      <c r="D889" s="4" t="s">
        <v>59</v>
      </c>
      <c r="E889" s="6" t="s">
        <v>134</v>
      </c>
      <c r="F889" s="12">
        <f>INDEX('PEDIDO JULIO'!A33:U40,1,21)</f>
        <v>5</v>
      </c>
      <c r="G889" s="8">
        <f>IFERROR(VLOOKUP($B889,'[1]INSUMO POR SEDES MARZO PRUEBA'!$B$6:$CD$109,47,0),"NO BD")</f>
        <v>4129.7993999999999</v>
      </c>
      <c r="H889" s="8"/>
      <c r="I889" s="8">
        <f t="shared" si="76"/>
        <v>20648.996999999999</v>
      </c>
      <c r="J889" s="14">
        <f t="shared" si="77"/>
        <v>2064.8996999999999</v>
      </c>
      <c r="K889" s="14">
        <f t="shared" si="78"/>
        <v>392.33094299999999</v>
      </c>
      <c r="L889" s="14">
        <f t="shared" si="79"/>
        <v>23106.227642999998</v>
      </c>
    </row>
    <row r="890" spans="1:12" ht="15">
      <c r="A890" s="3">
        <v>1395</v>
      </c>
      <c r="B890" s="26">
        <v>119</v>
      </c>
      <c r="C890" s="7" t="s">
        <v>60</v>
      </c>
      <c r="D890" s="4" t="s">
        <v>61</v>
      </c>
      <c r="E890" s="6" t="s">
        <v>134</v>
      </c>
      <c r="F890" s="12">
        <f>INDEX('PEDIDO JULIO'!A33:U40,1,21)</f>
        <v>5</v>
      </c>
      <c r="G890" s="8">
        <f>IFERROR(VLOOKUP($B890,'[1]INSUMO POR SEDES MARZO PRUEBA'!$B$6:$CD$109,47,0),"NO BD")</f>
        <v>2821.9350000000004</v>
      </c>
      <c r="H890" s="8"/>
      <c r="I890" s="8">
        <f t="shared" si="76"/>
        <v>14109.675000000003</v>
      </c>
      <c r="J890" s="14">
        <f t="shared" si="77"/>
        <v>1410.9675000000004</v>
      </c>
      <c r="K890" s="14">
        <f t="shared" si="78"/>
        <v>268.0838250000001</v>
      </c>
      <c r="L890" s="14">
        <f t="shared" si="79"/>
        <v>15788.726325000003</v>
      </c>
    </row>
    <row r="891" spans="1:12" ht="15">
      <c r="A891" s="3">
        <v>1396</v>
      </c>
      <c r="B891" s="26">
        <v>120</v>
      </c>
      <c r="C891" s="7" t="s">
        <v>60</v>
      </c>
      <c r="D891" s="4" t="s">
        <v>62</v>
      </c>
      <c r="E891" s="6" t="s">
        <v>134</v>
      </c>
      <c r="F891" s="12">
        <f>INDEX('PEDIDO JULIO'!A33:U40,1,21)</f>
        <v>5</v>
      </c>
      <c r="G891" s="8">
        <f>IFERROR(VLOOKUP($B891,'[1]INSUMO POR SEDES MARZO PRUEBA'!$B$6:$CD$109,47,0),"NO BD")</f>
        <v>4259.3877000000002</v>
      </c>
      <c r="H891" s="8"/>
      <c r="I891" s="8">
        <f t="shared" si="76"/>
        <v>21296.9385</v>
      </c>
      <c r="J891" s="14">
        <f t="shared" si="77"/>
        <v>2129.6938500000001</v>
      </c>
      <c r="K891" s="14">
        <f t="shared" si="78"/>
        <v>404.64183150000002</v>
      </c>
      <c r="L891" s="14">
        <f t="shared" si="79"/>
        <v>23831.274181500001</v>
      </c>
    </row>
    <row r="892" spans="1:12" ht="15">
      <c r="A892" s="3">
        <v>1397</v>
      </c>
      <c r="B892" s="26">
        <v>122</v>
      </c>
      <c r="C892" s="7" t="s">
        <v>151</v>
      </c>
      <c r="D892" s="4" t="s">
        <v>63</v>
      </c>
      <c r="E892" s="6" t="s">
        <v>134</v>
      </c>
      <c r="F892" s="12">
        <f>INDEX('PEDIDO JULIO'!A33:U41,1,21)</f>
        <v>5</v>
      </c>
      <c r="G892" s="8">
        <f>IFERROR(VLOOKUP($B892,'[1]INSUMO POR SEDES MARZO PRUEBA'!$B$6:$CD$109,47,0),"NO BD")</f>
        <v>5920.3881000000001</v>
      </c>
      <c r="H892" s="8"/>
      <c r="I892" s="8">
        <f t="shared" si="76"/>
        <v>29601.940500000001</v>
      </c>
      <c r="J892" s="14">
        <f t="shared" si="77"/>
        <v>2960.1940500000001</v>
      </c>
      <c r="K892" s="14">
        <f t="shared" si="78"/>
        <v>562.43686950000006</v>
      </c>
      <c r="L892" s="14">
        <f t="shared" si="79"/>
        <v>33124.571419500004</v>
      </c>
    </row>
    <row r="893" spans="1:12" ht="15">
      <c r="A893" s="3">
        <v>1398</v>
      </c>
      <c r="B893" s="26">
        <v>123</v>
      </c>
      <c r="C893" s="7" t="s">
        <v>160</v>
      </c>
      <c r="D893" s="4" t="s">
        <v>64</v>
      </c>
      <c r="E893" s="6" t="s">
        <v>134</v>
      </c>
      <c r="F893" s="12">
        <f>INDEX('PEDIDO JULIO'!A33:U41,1,21)</f>
        <v>5</v>
      </c>
      <c r="G893" s="8">
        <f>IFERROR(VLOOKUP($B893,'[1]INSUMO POR SEDES MARZO PRUEBA'!$B$6:$CD$109,47,0),"NO BD")</f>
        <v>5765.7860000000001</v>
      </c>
      <c r="H893" s="8"/>
      <c r="I893" s="8">
        <f t="shared" si="76"/>
        <v>28828.93</v>
      </c>
      <c r="J893" s="14">
        <f t="shared" si="77"/>
        <v>2882.893</v>
      </c>
      <c r="K893" s="14">
        <f t="shared" si="78"/>
        <v>547.74967000000004</v>
      </c>
      <c r="L893" s="14">
        <f t="shared" si="79"/>
        <v>32259.572670000001</v>
      </c>
    </row>
    <row r="894" spans="1:12" ht="27">
      <c r="A894" s="3">
        <v>1399</v>
      </c>
      <c r="B894" s="26">
        <v>124</v>
      </c>
      <c r="C894" s="7" t="s">
        <v>60</v>
      </c>
      <c r="D894" s="4" t="s">
        <v>65</v>
      </c>
      <c r="E894" s="6" t="s">
        <v>134</v>
      </c>
      <c r="F894" s="12">
        <f>INDEX('PEDIDO JULIO'!A33:U42,1,21)</f>
        <v>5</v>
      </c>
      <c r="G894" s="8">
        <f>IFERROR(VLOOKUP($B894,'[1]INSUMO POR SEDES MARZO PRUEBA'!$B$6:$CD$109,47,0),"NO BD")</f>
        <v>6169.1598000000004</v>
      </c>
      <c r="H894" s="8"/>
      <c r="I894" s="8">
        <f t="shared" si="76"/>
        <v>30845.799000000003</v>
      </c>
      <c r="J894" s="14">
        <f t="shared" si="77"/>
        <v>3084.5799000000006</v>
      </c>
      <c r="K894" s="14">
        <f t="shared" si="78"/>
        <v>586.07018100000016</v>
      </c>
      <c r="L894" s="14">
        <f t="shared" si="79"/>
        <v>34516.449081000006</v>
      </c>
    </row>
    <row r="895" spans="1:12" ht="15">
      <c r="A895" s="3">
        <v>1400</v>
      </c>
      <c r="B895" s="26">
        <v>137</v>
      </c>
      <c r="C895" s="7" t="s">
        <v>66</v>
      </c>
      <c r="D895" s="4" t="s">
        <v>67</v>
      </c>
      <c r="E895" s="6" t="s">
        <v>134</v>
      </c>
      <c r="F895" s="12">
        <f>INDEX('PEDIDO JULIO'!A33:U42,1,21)</f>
        <v>5</v>
      </c>
      <c r="G895" s="8">
        <f>IFERROR(VLOOKUP($B895,'[1]INSUMO POR SEDES MARZO PRUEBA'!$B$6:$CD$109,47,0),"NO BD")</f>
        <v>0</v>
      </c>
      <c r="H895" s="8"/>
      <c r="I895" s="8">
        <f t="shared" si="76"/>
        <v>0</v>
      </c>
      <c r="J895" s="14">
        <f t="shared" si="77"/>
        <v>0</v>
      </c>
      <c r="K895" s="14">
        <f t="shared" si="78"/>
        <v>0</v>
      </c>
      <c r="L895" s="14">
        <f t="shared" si="79"/>
        <v>0</v>
      </c>
    </row>
    <row r="896" spans="1:12" ht="15">
      <c r="A896" s="3">
        <v>1401</v>
      </c>
      <c r="B896" s="26">
        <v>139</v>
      </c>
      <c r="C896" s="7" t="s">
        <v>66</v>
      </c>
      <c r="D896" s="4" t="s">
        <v>68</v>
      </c>
      <c r="E896" s="6" t="s">
        <v>134</v>
      </c>
      <c r="F896" s="12">
        <f>INDEX('PEDIDO JULIO'!A33:U42,1,21)</f>
        <v>5</v>
      </c>
      <c r="G896" s="8">
        <f>IFERROR(VLOOKUP($B896,'[1]INSUMO POR SEDES MARZO PRUEBA'!$B$6:$CD$109,47,0),"NO BD")</f>
        <v>25429.996000000003</v>
      </c>
      <c r="H896" s="8"/>
      <c r="I896" s="8">
        <f t="shared" si="76"/>
        <v>127149.98000000001</v>
      </c>
      <c r="J896" s="14">
        <f t="shared" si="77"/>
        <v>12714.998000000001</v>
      </c>
      <c r="K896" s="14">
        <f t="shared" si="78"/>
        <v>2415.8496200000004</v>
      </c>
      <c r="L896" s="14">
        <f t="shared" si="79"/>
        <v>142280.82762</v>
      </c>
    </row>
    <row r="897" spans="1:12" ht="15">
      <c r="A897" s="3">
        <v>1402</v>
      </c>
      <c r="B897" s="26">
        <v>151</v>
      </c>
      <c r="C897" s="7" t="s">
        <v>66</v>
      </c>
      <c r="D897" s="4" t="s">
        <v>69</v>
      </c>
      <c r="E897" s="6" t="s">
        <v>134</v>
      </c>
      <c r="F897" s="12">
        <f>INDEX('PEDIDO JULIO'!A33:U42,1,21)</f>
        <v>5</v>
      </c>
      <c r="G897" s="8">
        <f>IFERROR(VLOOKUP($B897,'[1]INSUMO POR SEDES MARZO PRUEBA'!$B$6:$CD$109,47,0),"NO BD")</f>
        <v>4422.6080000000002</v>
      </c>
      <c r="H897" s="8"/>
      <c r="I897" s="8">
        <f t="shared" si="76"/>
        <v>22113.040000000001</v>
      </c>
      <c r="J897" s="14">
        <f t="shared" si="77"/>
        <v>2211.3040000000001</v>
      </c>
      <c r="K897" s="14">
        <f t="shared" si="78"/>
        <v>420.14776000000001</v>
      </c>
      <c r="L897" s="14">
        <f t="shared" si="79"/>
        <v>24744.491760000001</v>
      </c>
    </row>
    <row r="898" spans="1:12" ht="15">
      <c r="A898" s="3">
        <v>1403</v>
      </c>
      <c r="B898" s="26">
        <v>155</v>
      </c>
      <c r="C898" s="7" t="s">
        <v>66</v>
      </c>
      <c r="D898" s="4" t="s">
        <v>70</v>
      </c>
      <c r="E898" s="6" t="s">
        <v>134</v>
      </c>
      <c r="F898" s="12">
        <f>INDEX('PEDIDO JULIO'!A33:U43,1,21)</f>
        <v>5</v>
      </c>
      <c r="G898" s="8">
        <f>IFERROR(VLOOKUP($B898,'[1]INSUMO POR SEDES MARZO PRUEBA'!$B$6:$CD$109,47,0),"NO BD")</f>
        <v>5005.7028</v>
      </c>
      <c r="H898" s="8"/>
      <c r="I898" s="8">
        <f t="shared" si="76"/>
        <v>25028.513999999999</v>
      </c>
      <c r="J898" s="14">
        <f t="shared" si="77"/>
        <v>2502.8514</v>
      </c>
      <c r="K898" s="14">
        <f t="shared" si="78"/>
        <v>475.541766</v>
      </c>
      <c r="L898" s="14">
        <f t="shared" si="79"/>
        <v>28006.907165999997</v>
      </c>
    </row>
    <row r="899" spans="1:12" ht="15">
      <c r="A899" s="3">
        <v>1404</v>
      </c>
      <c r="B899" s="26">
        <v>156</v>
      </c>
      <c r="C899" s="7" t="s">
        <v>66</v>
      </c>
      <c r="D899" s="4" t="s">
        <v>71</v>
      </c>
      <c r="E899" s="6" t="s">
        <v>134</v>
      </c>
      <c r="F899" s="12">
        <f>INDEX('PEDIDO JULIO'!A33:U43,1,21)</f>
        <v>5</v>
      </c>
      <c r="G899" s="8">
        <f>IFERROR(VLOOKUP($B899,'[1]INSUMO POR SEDES MARZO PRUEBA'!$B$6:$CD$109,47,0),"NO BD")</f>
        <v>4422.6080000000002</v>
      </c>
      <c r="H899" s="8"/>
      <c r="I899" s="8">
        <f t="shared" si="76"/>
        <v>22113.040000000001</v>
      </c>
      <c r="J899" s="14">
        <f t="shared" si="77"/>
        <v>2211.3040000000001</v>
      </c>
      <c r="K899" s="14">
        <f t="shared" si="78"/>
        <v>420.14776000000001</v>
      </c>
      <c r="L899" s="14">
        <f t="shared" si="79"/>
        <v>24744.491760000001</v>
      </c>
    </row>
    <row r="900" spans="1:12" ht="15">
      <c r="A900" s="3">
        <v>1405</v>
      </c>
      <c r="B900" s="26">
        <v>157</v>
      </c>
      <c r="C900" s="7" t="s">
        <v>66</v>
      </c>
      <c r="D900" s="4" t="s">
        <v>72</v>
      </c>
      <c r="E900" s="6" t="s">
        <v>134</v>
      </c>
      <c r="F900" s="12">
        <f>INDEX('PEDIDO JULIO'!A33:U43,1,21)</f>
        <v>5</v>
      </c>
      <c r="G900" s="8">
        <f>IFERROR(VLOOKUP($B900,'[1]INSUMO POR SEDES MARZO PRUEBA'!$B$6:$CD$109,47,0),"NO BD")</f>
        <v>5970.7309999999998</v>
      </c>
      <c r="H900" s="8"/>
      <c r="I900" s="8">
        <f t="shared" si="76"/>
        <v>29853.654999999999</v>
      </c>
      <c r="J900" s="14">
        <f t="shared" si="77"/>
        <v>2985.3654999999999</v>
      </c>
      <c r="K900" s="14">
        <f t="shared" si="78"/>
        <v>567.21944499999995</v>
      </c>
      <c r="L900" s="14">
        <f t="shared" si="79"/>
        <v>33406.239945000001</v>
      </c>
    </row>
    <row r="901" spans="1:12" ht="15">
      <c r="A901" s="3">
        <v>1406</v>
      </c>
      <c r="B901" s="31">
        <v>159</v>
      </c>
      <c r="C901" s="7" t="s">
        <v>158</v>
      </c>
      <c r="D901" s="4" t="s">
        <v>73</v>
      </c>
      <c r="E901" s="6" t="s">
        <v>134</v>
      </c>
      <c r="F901" s="12">
        <f>INDEX('PEDIDO JULIO'!A33:U44,1,21)</f>
        <v>5</v>
      </c>
      <c r="G901" s="8">
        <f>IFERROR(VLOOKUP($B901,'[1]INSUMO POR SEDES MARZO PRUEBA'!$B$6:$CD$109,47,0),"NO BD")</f>
        <v>6716.8359</v>
      </c>
      <c r="H901" s="8"/>
      <c r="I901" s="8">
        <f t="shared" si="76"/>
        <v>33584.179499999998</v>
      </c>
      <c r="J901" s="14">
        <f t="shared" si="77"/>
        <v>3358.41795</v>
      </c>
      <c r="K901" s="14">
        <f t="shared" si="78"/>
        <v>638.09941049999998</v>
      </c>
      <c r="L901" s="14">
        <f t="shared" si="79"/>
        <v>37580.6968605</v>
      </c>
    </row>
    <row r="902" spans="1:12" ht="15">
      <c r="A902" s="3">
        <v>1407</v>
      </c>
      <c r="B902" s="26">
        <v>160</v>
      </c>
      <c r="C902" s="7" t="s">
        <v>158</v>
      </c>
      <c r="D902" s="4" t="s">
        <v>74</v>
      </c>
      <c r="E902" s="6" t="s">
        <v>134</v>
      </c>
      <c r="F902" s="12">
        <f>INDEX('PEDIDO JULIO'!A33:U44,1,21)</f>
        <v>5</v>
      </c>
      <c r="G902" s="8">
        <f>IFERROR(VLOOKUP($B902,'[1]INSUMO POR SEDES MARZO PRUEBA'!$B$6:$CD$109,47,0),"NO BD")</f>
        <v>3035.3931000000002</v>
      </c>
      <c r="H902" s="8"/>
      <c r="I902" s="8">
        <f t="shared" ref="I902:I965" si="80">+F902*G902</f>
        <v>15176.965500000002</v>
      </c>
      <c r="J902" s="14">
        <f t="shared" si="77"/>
        <v>1517.6965500000003</v>
      </c>
      <c r="K902" s="14">
        <f t="shared" si="78"/>
        <v>288.36234450000006</v>
      </c>
      <c r="L902" s="14">
        <f t="shared" si="79"/>
        <v>16983.024394500004</v>
      </c>
    </row>
    <row r="903" spans="1:12" ht="15">
      <c r="A903" s="3">
        <v>1408</v>
      </c>
      <c r="B903" s="26">
        <v>162</v>
      </c>
      <c r="C903" s="7" t="s">
        <v>158</v>
      </c>
      <c r="D903" s="4" t="s">
        <v>75</v>
      </c>
      <c r="E903" s="6" t="s">
        <v>134</v>
      </c>
      <c r="F903" s="12">
        <f>INDEX('PEDIDO JULIO'!A33:U44,1,21)</f>
        <v>5</v>
      </c>
      <c r="G903" s="8">
        <f>IFERROR(VLOOKUP($B903,'[1]INSUMO POR SEDES MARZO PRUEBA'!$B$6:$CD$109,47,0),"NO BD")</f>
        <v>2684.2539999999999</v>
      </c>
      <c r="H903" s="8"/>
      <c r="I903" s="8">
        <f t="shared" si="80"/>
        <v>13421.27</v>
      </c>
      <c r="J903" s="14">
        <f t="shared" si="77"/>
        <v>1342.1270000000002</v>
      </c>
      <c r="K903" s="14">
        <f t="shared" si="78"/>
        <v>255.00413000000003</v>
      </c>
      <c r="L903" s="14">
        <f t="shared" si="79"/>
        <v>15018.40113</v>
      </c>
    </row>
    <row r="904" spans="1:12" ht="15">
      <c r="A904" s="3">
        <v>1409</v>
      </c>
      <c r="B904" s="26">
        <v>164</v>
      </c>
      <c r="C904" s="7" t="s">
        <v>158</v>
      </c>
      <c r="D904" s="4" t="s">
        <v>76</v>
      </c>
      <c r="E904" s="6" t="s">
        <v>134</v>
      </c>
      <c r="F904" s="12">
        <f>INDEX('PEDIDO JULIO'!A33:U44,1,21)</f>
        <v>5</v>
      </c>
      <c r="G904" s="8">
        <f>IFERROR(VLOOKUP($B904,'[1]INSUMO POR SEDES MARZO PRUEBA'!$B$6:$CD$109,47,0),"NO BD")</f>
        <v>0</v>
      </c>
      <c r="H904" s="8"/>
      <c r="I904" s="8">
        <f t="shared" si="80"/>
        <v>0</v>
      </c>
      <c r="J904" s="14">
        <f t="shared" si="77"/>
        <v>0</v>
      </c>
      <c r="K904" s="14">
        <f t="shared" si="78"/>
        <v>0</v>
      </c>
      <c r="L904" s="14">
        <f t="shared" si="79"/>
        <v>0</v>
      </c>
    </row>
    <row r="905" spans="1:12" ht="15">
      <c r="A905" s="3">
        <v>1410</v>
      </c>
      <c r="B905" s="26">
        <v>169</v>
      </c>
      <c r="C905" s="7" t="s">
        <v>158</v>
      </c>
      <c r="D905" s="4" t="s">
        <v>77</v>
      </c>
      <c r="E905" s="6" t="s">
        <v>134</v>
      </c>
      <c r="F905" s="12">
        <f>INDEX('PEDIDO JULIO'!A33:U45,1,21)</f>
        <v>5</v>
      </c>
      <c r="G905" s="8">
        <f>IFERROR(VLOOKUP($B905,'[1]INSUMO POR SEDES MARZO PRUEBA'!$B$6:$CD$109,47,0),"NO BD")</f>
        <v>0</v>
      </c>
      <c r="H905" s="8"/>
      <c r="I905" s="8">
        <f t="shared" si="80"/>
        <v>0</v>
      </c>
      <c r="J905" s="14">
        <f t="shared" ref="J905:J929" si="81">+I905*10%</f>
        <v>0</v>
      </c>
      <c r="K905" s="14">
        <f t="shared" ref="K905:K929" si="82">+J905*19%</f>
        <v>0</v>
      </c>
      <c r="L905" s="14">
        <f t="shared" ref="L905:L929" si="83">SUM(I905:K905)</f>
        <v>0</v>
      </c>
    </row>
    <row r="906" spans="1:12" ht="15">
      <c r="A906" s="3">
        <v>1411</v>
      </c>
      <c r="B906" s="26">
        <v>170</v>
      </c>
      <c r="C906" s="7" t="s">
        <v>158</v>
      </c>
      <c r="D906" s="4" t="s">
        <v>78</v>
      </c>
      <c r="E906" s="6" t="s">
        <v>134</v>
      </c>
      <c r="F906" s="12">
        <f>INDEX('PEDIDO JULIO'!A33:U46,1,21)</f>
        <v>5</v>
      </c>
      <c r="G906" s="8">
        <f>IFERROR(VLOOKUP($B906,'[1]INSUMO POR SEDES MARZO PRUEBA'!$B$6:$CD$109,47,0),"NO BD")</f>
        <v>19405.664000000001</v>
      </c>
      <c r="H906" s="8"/>
      <c r="I906" s="8">
        <f t="shared" si="80"/>
        <v>97028.32</v>
      </c>
      <c r="J906" s="14">
        <f t="shared" si="81"/>
        <v>9702.8320000000003</v>
      </c>
      <c r="K906" s="14">
        <f t="shared" si="82"/>
        <v>1843.53808</v>
      </c>
      <c r="L906" s="14">
        <f t="shared" si="83"/>
        <v>108574.69008</v>
      </c>
    </row>
    <row r="907" spans="1:12" ht="15">
      <c r="A907" s="3">
        <v>1412</v>
      </c>
      <c r="B907" s="26">
        <v>174</v>
      </c>
      <c r="C907" s="7" t="s">
        <v>158</v>
      </c>
      <c r="D907" s="4" t="s">
        <v>79</v>
      </c>
      <c r="E907" s="6" t="s">
        <v>134</v>
      </c>
      <c r="F907" s="12">
        <f>INDEX('PEDIDO JULIO'!A33:U47,1,21)</f>
        <v>5</v>
      </c>
      <c r="G907" s="8">
        <f>IFERROR(VLOOKUP($B907,'[1]INSUMO POR SEDES MARZO PRUEBA'!$B$6:$CD$109,47,0),"NO BD")</f>
        <v>10050.1875</v>
      </c>
      <c r="H907" s="8"/>
      <c r="I907" s="8">
        <f t="shared" si="80"/>
        <v>50250.9375</v>
      </c>
      <c r="J907" s="14">
        <f t="shared" si="81"/>
        <v>5025.09375</v>
      </c>
      <c r="K907" s="14">
        <f t="shared" si="82"/>
        <v>954.76781249999999</v>
      </c>
      <c r="L907" s="14">
        <f t="shared" si="83"/>
        <v>56230.799062500002</v>
      </c>
    </row>
    <row r="908" spans="1:12" ht="15">
      <c r="A908" s="3">
        <v>1413</v>
      </c>
      <c r="B908" s="26">
        <v>192</v>
      </c>
      <c r="C908" s="7" t="s">
        <v>158</v>
      </c>
      <c r="D908" s="4" t="s">
        <v>80</v>
      </c>
      <c r="E908" s="6" t="s">
        <v>134</v>
      </c>
      <c r="F908" s="12">
        <f>INDEX('PEDIDO JULIO'!A33:U47,1,21)</f>
        <v>5</v>
      </c>
      <c r="G908" s="8">
        <f>IFERROR(VLOOKUP($B908,'[1]INSUMO POR SEDES MARZO PRUEBA'!$B$6:$CD$109,47,0),"NO BD")</f>
        <v>6866.2880999999998</v>
      </c>
      <c r="H908" s="8"/>
      <c r="I908" s="8">
        <f t="shared" si="80"/>
        <v>34331.440499999997</v>
      </c>
      <c r="J908" s="14">
        <f t="shared" si="81"/>
        <v>3433.1440499999999</v>
      </c>
      <c r="K908" s="14">
        <f t="shared" si="82"/>
        <v>652.29736949999995</v>
      </c>
      <c r="L908" s="14">
        <f t="shared" si="83"/>
        <v>38416.881919499996</v>
      </c>
    </row>
    <row r="909" spans="1:12" ht="15">
      <c r="A909" s="3">
        <v>1414</v>
      </c>
      <c r="B909" s="26">
        <v>195</v>
      </c>
      <c r="C909" s="7" t="s">
        <v>158</v>
      </c>
      <c r="D909" s="4" t="s">
        <v>81</v>
      </c>
      <c r="E909" s="6" t="s">
        <v>134</v>
      </c>
      <c r="F909" s="12">
        <f>INDEX('PEDIDO JULIO'!A33:U47,1,21)</f>
        <v>5</v>
      </c>
      <c r="G909" s="8">
        <f>IFERROR(VLOOKUP($B909,'[1]INSUMO POR SEDES MARZO PRUEBA'!$B$6:$CD$109,47,0),"NO BD")</f>
        <v>6431.0690000000004</v>
      </c>
      <c r="H909" s="8"/>
      <c r="I909" s="8">
        <f t="shared" si="80"/>
        <v>32155.345000000001</v>
      </c>
      <c r="J909" s="14">
        <f t="shared" si="81"/>
        <v>3215.5345000000002</v>
      </c>
      <c r="K909" s="14">
        <f t="shared" si="82"/>
        <v>610.9515550000001</v>
      </c>
      <c r="L909" s="14">
        <f t="shared" si="83"/>
        <v>35981.831055000002</v>
      </c>
    </row>
    <row r="910" spans="1:12" ht="15">
      <c r="A910" s="3">
        <v>1415</v>
      </c>
      <c r="B910" s="26">
        <v>204</v>
      </c>
      <c r="C910" s="7" t="s">
        <v>158</v>
      </c>
      <c r="D910" s="4" t="s">
        <v>82</v>
      </c>
      <c r="E910" s="6" t="s">
        <v>134</v>
      </c>
      <c r="F910" s="12">
        <f>INDEX('PEDIDO JULIO'!A33:U47,1,21)</f>
        <v>5</v>
      </c>
      <c r="G910" s="8">
        <f>IFERROR(VLOOKUP($B910,'[1]INSUMO POR SEDES MARZO PRUEBA'!$B$6:$CD$109,47,0),"NO BD")</f>
        <v>14760.243999999999</v>
      </c>
      <c r="H910" s="8"/>
      <c r="I910" s="8">
        <f t="shared" si="80"/>
        <v>73801.22</v>
      </c>
      <c r="J910" s="14">
        <f t="shared" si="81"/>
        <v>7380.1220000000003</v>
      </c>
      <c r="K910" s="14">
        <f t="shared" si="82"/>
        <v>1402.2231800000002</v>
      </c>
      <c r="L910" s="14">
        <f t="shared" si="83"/>
        <v>82583.565180000005</v>
      </c>
    </row>
    <row r="911" spans="1:12" ht="15">
      <c r="A911" s="3">
        <v>1416</v>
      </c>
      <c r="B911" s="26">
        <v>205</v>
      </c>
      <c r="C911" s="7" t="s">
        <v>158</v>
      </c>
      <c r="D911" s="4" t="s">
        <v>83</v>
      </c>
      <c r="E911" s="6" t="s">
        <v>134</v>
      </c>
      <c r="F911" s="12">
        <f>INDEX('PEDIDO JULIO'!A33:U47,1,21)</f>
        <v>5</v>
      </c>
      <c r="G911" s="8">
        <f>IFERROR(VLOOKUP($B911,'[1]INSUMO POR SEDES MARZO PRUEBA'!$B$6:$CD$109,47,0),"NO BD")</f>
        <v>32639.225399999996</v>
      </c>
      <c r="H911" s="8"/>
      <c r="I911" s="8">
        <f t="shared" si="80"/>
        <v>163196.12699999998</v>
      </c>
      <c r="J911" s="14">
        <f t="shared" si="81"/>
        <v>16319.612699999998</v>
      </c>
      <c r="K911" s="14">
        <f t="shared" si="82"/>
        <v>3100.7264129999994</v>
      </c>
      <c r="L911" s="14">
        <f t="shared" si="83"/>
        <v>182616.46611299997</v>
      </c>
    </row>
    <row r="912" spans="1:12" ht="15">
      <c r="A912" s="3">
        <v>1417</v>
      </c>
      <c r="B912" s="26">
        <v>207</v>
      </c>
      <c r="C912" s="7" t="s">
        <v>158</v>
      </c>
      <c r="D912" s="4" t="s">
        <v>84</v>
      </c>
      <c r="E912" s="6" t="s">
        <v>134</v>
      </c>
      <c r="F912" s="12">
        <f>INDEX('PEDIDO JULIO'!A33:U47,1,21)</f>
        <v>5</v>
      </c>
      <c r="G912" s="8">
        <f>IFERROR(VLOOKUP($B912,'[1]INSUMO POR SEDES MARZO PRUEBA'!$B$6:$CD$109,47,0),"NO BD")</f>
        <v>0</v>
      </c>
      <c r="H912" s="8"/>
      <c r="I912" s="8">
        <f t="shared" si="80"/>
        <v>0</v>
      </c>
      <c r="J912" s="14">
        <f t="shared" si="81"/>
        <v>0</v>
      </c>
      <c r="K912" s="14">
        <f t="shared" si="82"/>
        <v>0</v>
      </c>
      <c r="L912" s="14">
        <f t="shared" si="83"/>
        <v>0</v>
      </c>
    </row>
    <row r="913" spans="1:12" ht="15">
      <c r="A913" s="3">
        <v>1418</v>
      </c>
      <c r="B913" s="26">
        <v>212</v>
      </c>
      <c r="C913" s="7" t="s">
        <v>158</v>
      </c>
      <c r="D913" s="4" t="s">
        <v>85</v>
      </c>
      <c r="E913" s="6" t="s">
        <v>134</v>
      </c>
      <c r="F913" s="12">
        <f>INDEX('PEDIDO JULIO'!A33:U47,1,21)</f>
        <v>5</v>
      </c>
      <c r="G913" s="8">
        <f>IFERROR(VLOOKUP($B913,'[1]INSUMO POR SEDES MARZO PRUEBA'!$B$6:$CD$109,47,0),"NO BD")</f>
        <v>0</v>
      </c>
      <c r="H913" s="8"/>
      <c r="I913" s="8">
        <f t="shared" si="80"/>
        <v>0</v>
      </c>
      <c r="J913" s="14">
        <f t="shared" si="81"/>
        <v>0</v>
      </c>
      <c r="K913" s="14">
        <f t="shared" si="82"/>
        <v>0</v>
      </c>
      <c r="L913" s="14">
        <f t="shared" si="83"/>
        <v>0</v>
      </c>
    </row>
    <row r="914" spans="1:12" ht="15">
      <c r="A914" s="3">
        <v>1419</v>
      </c>
      <c r="B914" s="26">
        <v>218</v>
      </c>
      <c r="C914" s="7" t="s">
        <v>152</v>
      </c>
      <c r="D914" s="4" t="s">
        <v>86</v>
      </c>
      <c r="E914" s="6" t="s">
        <v>134</v>
      </c>
      <c r="F914" s="12">
        <f>INDEX('PEDIDO JULIO'!A33:U47,1,21)</f>
        <v>5</v>
      </c>
      <c r="G914" s="8">
        <f>IFERROR(VLOOKUP($B914,'[1]INSUMO POR SEDES MARZO PRUEBA'!$B$6:$CD$109,47,0),"NO BD")</f>
        <v>1437.768</v>
      </c>
      <c r="H914" s="8"/>
      <c r="I914" s="8">
        <f t="shared" si="80"/>
        <v>7188.84</v>
      </c>
      <c r="J914" s="14">
        <f t="shared" si="81"/>
        <v>718.88400000000001</v>
      </c>
      <c r="K914" s="14">
        <f t="shared" si="82"/>
        <v>136.58796000000001</v>
      </c>
      <c r="L914" s="14">
        <f t="shared" si="83"/>
        <v>8044.31196</v>
      </c>
    </row>
    <row r="915" spans="1:12" ht="15">
      <c r="A915" s="3">
        <v>1420</v>
      </c>
      <c r="B915" s="26">
        <v>251</v>
      </c>
      <c r="C915" s="7" t="s">
        <v>87</v>
      </c>
      <c r="D915" s="4" t="s">
        <v>88</v>
      </c>
      <c r="E915" s="6" t="s">
        <v>134</v>
      </c>
      <c r="F915" s="12">
        <f>INDEX('PEDIDO JULIO'!A33:U47,1,21)</f>
        <v>5</v>
      </c>
      <c r="G915" s="8">
        <f>IFERROR(VLOOKUP($B915,'[1]INSUMO POR SEDES MARZO PRUEBA'!$B$6:$CD$109,47,0),"NO BD")</f>
        <v>0</v>
      </c>
      <c r="H915" s="8"/>
      <c r="I915" s="8">
        <f t="shared" si="80"/>
        <v>0</v>
      </c>
      <c r="J915" s="14">
        <f t="shared" si="81"/>
        <v>0</v>
      </c>
      <c r="K915" s="14">
        <f t="shared" si="82"/>
        <v>0</v>
      </c>
      <c r="L915" s="14">
        <f t="shared" si="83"/>
        <v>0</v>
      </c>
    </row>
    <row r="916" spans="1:12" ht="15">
      <c r="A916" s="3">
        <v>1460</v>
      </c>
      <c r="B916" s="39">
        <v>3</v>
      </c>
      <c r="C916" s="7" t="s">
        <v>9</v>
      </c>
      <c r="D916" s="4" t="s">
        <v>10</v>
      </c>
      <c r="E916" s="6" t="s">
        <v>135</v>
      </c>
      <c r="F916" s="12">
        <f>INDEX('PEDIDO JULIO'!A10:V32,1,22)</f>
        <v>0</v>
      </c>
      <c r="G916" s="8">
        <f>IFERROR(VLOOKUP($B916,'[1]INSUMO POR SEDES MARZO PRUEBA'!$B$6:$CD$109,50,0),"NO BD")</f>
        <v>7268.7160000000003</v>
      </c>
      <c r="H916" s="8"/>
      <c r="I916" s="8">
        <f t="shared" si="80"/>
        <v>0</v>
      </c>
      <c r="J916" s="14">
        <f t="shared" si="81"/>
        <v>0</v>
      </c>
      <c r="K916" s="14">
        <f t="shared" si="82"/>
        <v>0</v>
      </c>
      <c r="L916" s="14">
        <f t="shared" si="83"/>
        <v>0</v>
      </c>
    </row>
    <row r="917" spans="1:12" ht="15">
      <c r="A917" s="3">
        <v>1461</v>
      </c>
      <c r="B917" s="39">
        <v>5</v>
      </c>
      <c r="C917" s="7" t="s">
        <v>156</v>
      </c>
      <c r="D917" s="5" t="s">
        <v>11</v>
      </c>
      <c r="E917" s="6" t="s">
        <v>135</v>
      </c>
      <c r="F917" s="12">
        <f>INDEX('PEDIDO JULIO'!A10:V32,1,22)</f>
        <v>0</v>
      </c>
      <c r="G917" s="8">
        <f>IFERROR(VLOOKUP($B917,'[1]INSUMO POR SEDES MARZO PRUEBA'!$B$6:$CD$109,50,0),"NO BD")</f>
        <v>0</v>
      </c>
      <c r="H917" s="8"/>
      <c r="I917" s="8">
        <f t="shared" si="80"/>
        <v>0</v>
      </c>
      <c r="J917" s="14">
        <f t="shared" si="81"/>
        <v>0</v>
      </c>
      <c r="K917" s="14">
        <f t="shared" si="82"/>
        <v>0</v>
      </c>
      <c r="L917" s="14">
        <f t="shared" si="83"/>
        <v>0</v>
      </c>
    </row>
    <row r="918" spans="1:12" ht="27">
      <c r="A918" s="3">
        <v>1462</v>
      </c>
      <c r="B918" s="39">
        <v>8</v>
      </c>
      <c r="C918" s="7" t="s">
        <v>157</v>
      </c>
      <c r="D918" s="4" t="s">
        <v>12</v>
      </c>
      <c r="E918" s="6" t="s">
        <v>135</v>
      </c>
      <c r="F918" s="12">
        <f>INDEX('PEDIDO JULIO'!A10:V33,1,22)</f>
        <v>0</v>
      </c>
      <c r="G918" s="8">
        <f>IFERROR(VLOOKUP($B918,'[1]INSUMO POR SEDES MARZO PRUEBA'!$B$6:$CD$109,50,0),"NO BD")</f>
        <v>0</v>
      </c>
      <c r="H918" s="8"/>
      <c r="I918" s="8">
        <f t="shared" si="80"/>
        <v>0</v>
      </c>
      <c r="J918" s="14">
        <f t="shared" si="81"/>
        <v>0</v>
      </c>
      <c r="K918" s="14">
        <f t="shared" si="82"/>
        <v>0</v>
      </c>
      <c r="L918" s="14">
        <f t="shared" si="83"/>
        <v>0</v>
      </c>
    </row>
    <row r="919" spans="1:12" ht="15">
      <c r="A919" s="3">
        <v>1463</v>
      </c>
      <c r="B919" s="39">
        <v>9</v>
      </c>
      <c r="C919" s="7" t="s">
        <v>13</v>
      </c>
      <c r="D919" s="4" t="s">
        <v>14</v>
      </c>
      <c r="E919" s="6" t="s">
        <v>135</v>
      </c>
      <c r="F919" s="12">
        <f>INDEX('PEDIDO JULIO'!A10:V33,1,22)</f>
        <v>0</v>
      </c>
      <c r="G919" s="8">
        <f>IFERROR(VLOOKUP($B919,'[1]INSUMO POR SEDES MARZO PRUEBA'!$B$6:$CD$109,50,0),"NO BD")</f>
        <v>3298.0379999999996</v>
      </c>
      <c r="H919" s="8"/>
      <c r="I919" s="8">
        <f t="shared" si="80"/>
        <v>0</v>
      </c>
      <c r="J919" s="14">
        <f t="shared" si="81"/>
        <v>0</v>
      </c>
      <c r="K919" s="14">
        <f t="shared" si="82"/>
        <v>0</v>
      </c>
      <c r="L919" s="14">
        <f t="shared" si="83"/>
        <v>0</v>
      </c>
    </row>
    <row r="920" spans="1:12" ht="27">
      <c r="A920" s="3">
        <v>1464</v>
      </c>
      <c r="B920" s="39">
        <v>13</v>
      </c>
      <c r="C920" s="7" t="s">
        <v>13</v>
      </c>
      <c r="D920" s="4" t="s">
        <v>15</v>
      </c>
      <c r="E920" s="6" t="s">
        <v>135</v>
      </c>
      <c r="F920" s="12">
        <f>INDEX('PEDIDO JULIO'!A11:V33,1,22)</f>
        <v>0</v>
      </c>
      <c r="G920" s="8">
        <f>IFERROR(VLOOKUP($B920,'[1]INSUMO POR SEDES MARZO PRUEBA'!$B$6:$CD$109,50,0),"NO BD")</f>
        <v>0</v>
      </c>
      <c r="H920" s="8"/>
      <c r="I920" s="8">
        <f t="shared" si="80"/>
        <v>0</v>
      </c>
      <c r="J920" s="14">
        <f t="shared" si="81"/>
        <v>0</v>
      </c>
      <c r="K920" s="14">
        <f t="shared" si="82"/>
        <v>0</v>
      </c>
      <c r="L920" s="14">
        <f t="shared" si="83"/>
        <v>0</v>
      </c>
    </row>
    <row r="921" spans="1:12" ht="15">
      <c r="A921" s="3">
        <v>1465</v>
      </c>
      <c r="B921" s="39">
        <v>17</v>
      </c>
      <c r="C921" s="7" t="s">
        <v>16</v>
      </c>
      <c r="D921" s="4" t="s">
        <v>17</v>
      </c>
      <c r="E921" s="6" t="s">
        <v>135</v>
      </c>
      <c r="F921" s="12">
        <f>INDEX('PEDIDO JULIO'!A12:V33,1,22)</f>
        <v>0</v>
      </c>
      <c r="G921" s="8">
        <f>IFERROR(VLOOKUP($B921,'[1]INSUMO POR SEDES MARZO PRUEBA'!$B$6:$CD$109,50,0),"NO BD")</f>
        <v>5647.0229999999992</v>
      </c>
      <c r="H921" s="8"/>
      <c r="I921" s="8">
        <f t="shared" si="80"/>
        <v>0</v>
      </c>
      <c r="J921" s="14">
        <f t="shared" si="81"/>
        <v>0</v>
      </c>
      <c r="K921" s="14">
        <f t="shared" si="82"/>
        <v>0</v>
      </c>
      <c r="L921" s="14">
        <f t="shared" si="83"/>
        <v>0</v>
      </c>
    </row>
    <row r="922" spans="1:12" ht="27">
      <c r="A922" s="3">
        <v>1466</v>
      </c>
      <c r="B922" s="39">
        <v>20</v>
      </c>
      <c r="C922" s="7" t="s">
        <v>18</v>
      </c>
      <c r="D922" s="4" t="s">
        <v>19</v>
      </c>
      <c r="E922" s="6" t="s">
        <v>135</v>
      </c>
      <c r="F922" s="12">
        <f>INDEX('PEDIDO JULIO'!A12:V33,1,22)</f>
        <v>0</v>
      </c>
      <c r="G922" s="8">
        <f>IFERROR(VLOOKUP($B922,'[1]INSUMO POR SEDES MARZO PRUEBA'!$B$6:$CD$109,50,0),"NO BD")</f>
        <v>0</v>
      </c>
      <c r="H922" s="8"/>
      <c r="I922" s="8">
        <f t="shared" si="80"/>
        <v>0</v>
      </c>
      <c r="J922" s="14">
        <f t="shared" si="81"/>
        <v>0</v>
      </c>
      <c r="K922" s="14">
        <f t="shared" si="82"/>
        <v>0</v>
      </c>
      <c r="L922" s="14">
        <f t="shared" si="83"/>
        <v>0</v>
      </c>
    </row>
    <row r="923" spans="1:12" ht="27">
      <c r="A923" s="3">
        <v>1467</v>
      </c>
      <c r="B923" s="39">
        <v>21</v>
      </c>
      <c r="C923" s="7" t="s">
        <v>20</v>
      </c>
      <c r="D923" s="4" t="s">
        <v>21</v>
      </c>
      <c r="E923" s="6" t="s">
        <v>135</v>
      </c>
      <c r="F923" s="12">
        <f>INDEX('PEDIDO JULIO'!A13:V34,1,22)</f>
        <v>0</v>
      </c>
      <c r="G923" s="8">
        <f>IFERROR(VLOOKUP($B923,'[1]INSUMO POR SEDES MARZO PRUEBA'!$B$6:$CD$109,50,0),"NO BD")</f>
        <v>0</v>
      </c>
      <c r="H923" s="8"/>
      <c r="I923" s="8">
        <f t="shared" si="80"/>
        <v>0</v>
      </c>
      <c r="J923" s="14">
        <f t="shared" si="81"/>
        <v>0</v>
      </c>
      <c r="K923" s="14">
        <f t="shared" si="82"/>
        <v>0</v>
      </c>
      <c r="L923" s="14">
        <f t="shared" si="83"/>
        <v>0</v>
      </c>
    </row>
    <row r="924" spans="1:12" ht="27">
      <c r="A924" s="3">
        <v>1468</v>
      </c>
      <c r="B924" s="39">
        <v>28</v>
      </c>
      <c r="C924" s="7" t="s">
        <v>22</v>
      </c>
      <c r="D924" s="4" t="s">
        <v>23</v>
      </c>
      <c r="E924" s="6" t="s">
        <v>135</v>
      </c>
      <c r="F924" s="12">
        <f>INDEX('PEDIDO JULIO'!A14:V34,1,22)</f>
        <v>0</v>
      </c>
      <c r="G924" s="8">
        <f>IFERROR(VLOOKUP($B924,'[1]INSUMO POR SEDES MARZO PRUEBA'!$B$6:$CD$109,50,0),"NO BD")</f>
        <v>2764.13</v>
      </c>
      <c r="H924" s="8"/>
      <c r="I924" s="8">
        <f t="shared" si="80"/>
        <v>0</v>
      </c>
      <c r="J924" s="14">
        <f t="shared" si="81"/>
        <v>0</v>
      </c>
      <c r="K924" s="14">
        <f t="shared" si="82"/>
        <v>0</v>
      </c>
      <c r="L924" s="14">
        <f t="shared" si="83"/>
        <v>0</v>
      </c>
    </row>
    <row r="925" spans="1:12" ht="15">
      <c r="A925" s="3">
        <v>1469</v>
      </c>
      <c r="B925" s="39">
        <v>29</v>
      </c>
      <c r="C925" s="7" t="s">
        <v>18</v>
      </c>
      <c r="D925" s="4" t="s">
        <v>24</v>
      </c>
      <c r="E925" s="6" t="s">
        <v>135</v>
      </c>
      <c r="F925" s="12">
        <f>INDEX('PEDIDO JULIO'!A15:V34,1,22)</f>
        <v>0</v>
      </c>
      <c r="G925" s="8">
        <f>IFERROR(VLOOKUP($B925,'[1]INSUMO POR SEDES MARZO PRUEBA'!$B$6:$CD$109,50,0),"NO BD")</f>
        <v>4829.3450000000012</v>
      </c>
      <c r="H925" s="8"/>
      <c r="I925" s="8">
        <f t="shared" si="80"/>
        <v>0</v>
      </c>
      <c r="J925" s="14">
        <f t="shared" si="81"/>
        <v>0</v>
      </c>
      <c r="K925" s="14">
        <f t="shared" si="82"/>
        <v>0</v>
      </c>
      <c r="L925" s="14">
        <f t="shared" si="83"/>
        <v>0</v>
      </c>
    </row>
    <row r="926" spans="1:12" ht="27">
      <c r="A926" s="3">
        <v>1470</v>
      </c>
      <c r="B926" s="39">
        <v>32</v>
      </c>
      <c r="C926" s="7" t="s">
        <v>155</v>
      </c>
      <c r="D926" s="4" t="s">
        <v>25</v>
      </c>
      <c r="E926" s="6" t="s">
        <v>135</v>
      </c>
      <c r="F926" s="12">
        <f>INDEX('PEDIDO JULIO'!A16:V34,1,22)</f>
        <v>0</v>
      </c>
      <c r="G926" s="8">
        <f>IFERROR(VLOOKUP($B926,'[1]INSUMO POR SEDES MARZO PRUEBA'!$B$6:$CD$109,50,0),"NO BD")</f>
        <v>4115.7160000000003</v>
      </c>
      <c r="H926" s="8"/>
      <c r="I926" s="8">
        <f t="shared" si="80"/>
        <v>0</v>
      </c>
      <c r="J926" s="14">
        <f t="shared" si="81"/>
        <v>0</v>
      </c>
      <c r="K926" s="14">
        <f t="shared" si="82"/>
        <v>0</v>
      </c>
      <c r="L926" s="14">
        <f t="shared" si="83"/>
        <v>0</v>
      </c>
    </row>
    <row r="927" spans="1:12" ht="27">
      <c r="A927" s="3">
        <v>1471</v>
      </c>
      <c r="B927" s="39">
        <v>38</v>
      </c>
      <c r="C927" s="7" t="s">
        <v>16</v>
      </c>
      <c r="D927" s="4" t="s">
        <v>26</v>
      </c>
      <c r="E927" s="6" t="s">
        <v>135</v>
      </c>
      <c r="F927" s="12">
        <f>INDEX('PEDIDO JULIO'!A17:V34,1,22)</f>
        <v>0</v>
      </c>
      <c r="G927" s="8">
        <f>IFERROR(VLOOKUP($B927,'[1]INSUMO POR SEDES MARZO PRUEBA'!$B$6:$CD$109,50,0),"NO BD")</f>
        <v>15622.484399999999</v>
      </c>
      <c r="H927" s="8"/>
      <c r="I927" s="8">
        <f t="shared" si="80"/>
        <v>0</v>
      </c>
      <c r="J927" s="14">
        <f t="shared" si="81"/>
        <v>0</v>
      </c>
      <c r="K927" s="14">
        <f t="shared" si="82"/>
        <v>0</v>
      </c>
      <c r="L927" s="14">
        <f t="shared" si="83"/>
        <v>0</v>
      </c>
    </row>
    <row r="928" spans="1:12" ht="15">
      <c r="A928" s="3">
        <v>1472</v>
      </c>
      <c r="B928" s="39">
        <v>44</v>
      </c>
      <c r="C928" s="7" t="s">
        <v>27</v>
      </c>
      <c r="D928" s="4" t="s">
        <v>28</v>
      </c>
      <c r="E928" s="6" t="s">
        <v>135</v>
      </c>
      <c r="F928" s="12">
        <f>INDEX('PEDIDO JULIO'!A17:V34,1,22)</f>
        <v>0</v>
      </c>
      <c r="G928" s="8">
        <f>IFERROR(VLOOKUP($B928,'[1]INSUMO POR SEDES MARZO PRUEBA'!$B$6:$CD$109,50,0),"NO BD")</f>
        <v>0</v>
      </c>
      <c r="H928" s="8"/>
      <c r="I928" s="8">
        <f t="shared" si="80"/>
        <v>0</v>
      </c>
      <c r="J928" s="14">
        <f t="shared" si="81"/>
        <v>0</v>
      </c>
      <c r="K928" s="14">
        <f t="shared" si="82"/>
        <v>0</v>
      </c>
      <c r="L928" s="14">
        <f t="shared" si="83"/>
        <v>0</v>
      </c>
    </row>
    <row r="929" spans="1:12" ht="15">
      <c r="A929" s="3">
        <v>1473</v>
      </c>
      <c r="B929" s="39">
        <v>50</v>
      </c>
      <c r="C929" s="7" t="s">
        <v>13</v>
      </c>
      <c r="D929" s="4" t="s">
        <v>29</v>
      </c>
      <c r="E929" s="6" t="s">
        <v>135</v>
      </c>
      <c r="F929" s="12">
        <f>INDEX('PEDIDO JULIO'!A18:V35,1,22)</f>
        <v>0</v>
      </c>
      <c r="G929" s="8">
        <f>IFERROR(VLOOKUP($B929,'[1]INSUMO POR SEDES MARZO PRUEBA'!$B$6:$CD$109,50,0),"NO BD")</f>
        <v>0</v>
      </c>
      <c r="H929" s="8"/>
      <c r="I929" s="8">
        <f t="shared" si="80"/>
        <v>0</v>
      </c>
      <c r="J929" s="14">
        <f t="shared" si="81"/>
        <v>0</v>
      </c>
      <c r="K929" s="14">
        <f t="shared" si="82"/>
        <v>0</v>
      </c>
      <c r="L929" s="14">
        <f t="shared" si="83"/>
        <v>0</v>
      </c>
    </row>
    <row r="930" spans="1:12" ht="15">
      <c r="A930" s="3">
        <v>1474</v>
      </c>
      <c r="B930" s="39">
        <v>52</v>
      </c>
      <c r="C930" s="7" t="s">
        <v>13</v>
      </c>
      <c r="D930" s="4" t="s">
        <v>30</v>
      </c>
      <c r="E930" s="6" t="s">
        <v>135</v>
      </c>
      <c r="F930" s="12">
        <f>INDEX('PEDIDO JULIO'!A18:V35,1,22)</f>
        <v>0</v>
      </c>
      <c r="G930" s="8">
        <f>IFERROR(VLOOKUP($B930,'[1]INSUMO POR SEDES MARZO PRUEBA'!$B$6:$CD$109,50,0),"NO BD")</f>
        <v>0</v>
      </c>
      <c r="H930" s="8"/>
      <c r="I930" s="8">
        <f t="shared" si="80"/>
        <v>0</v>
      </c>
      <c r="J930" s="14">
        <f t="shared" ref="J930:J980" si="84">+I930*10%</f>
        <v>0</v>
      </c>
      <c r="K930" s="14">
        <f t="shared" ref="K930:K980" si="85">+J930*19%</f>
        <v>0</v>
      </c>
      <c r="L930" s="14">
        <f t="shared" ref="L930:L980" si="86">SUM(I930:K930)</f>
        <v>0</v>
      </c>
    </row>
    <row r="931" spans="1:12" ht="15">
      <c r="A931" s="3">
        <v>1475</v>
      </c>
      <c r="B931" s="39">
        <v>57</v>
      </c>
      <c r="C931" s="7" t="s">
        <v>13</v>
      </c>
      <c r="D931" s="4" t="s">
        <v>31</v>
      </c>
      <c r="E931" s="6" t="s">
        <v>135</v>
      </c>
      <c r="F931" s="12">
        <f>INDEX('PEDIDO JULIO'!A18:V35,1,22)</f>
        <v>0</v>
      </c>
      <c r="G931" s="8">
        <f>IFERROR(VLOOKUP($B931,'[1]INSUMO POR SEDES MARZO PRUEBA'!$B$6:$CD$109,50,0),"NO BD")</f>
        <v>27464.2065</v>
      </c>
      <c r="H931" s="8"/>
      <c r="I931" s="8">
        <f t="shared" si="80"/>
        <v>0</v>
      </c>
      <c r="J931" s="14">
        <f t="shared" si="84"/>
        <v>0</v>
      </c>
      <c r="K931" s="14">
        <f t="shared" si="85"/>
        <v>0</v>
      </c>
      <c r="L931" s="14">
        <f t="shared" si="86"/>
        <v>0</v>
      </c>
    </row>
    <row r="932" spans="1:12" ht="15">
      <c r="A932" s="3">
        <v>1476</v>
      </c>
      <c r="B932" s="39">
        <v>59</v>
      </c>
      <c r="C932" s="7" t="s">
        <v>13</v>
      </c>
      <c r="D932" s="4" t="s">
        <v>32</v>
      </c>
      <c r="E932" s="6" t="s">
        <v>135</v>
      </c>
      <c r="F932" s="12">
        <f>INDEX('PEDIDO JULIO'!A19:V35,1,22)</f>
        <v>0</v>
      </c>
      <c r="G932" s="8">
        <f>IFERROR(VLOOKUP($B932,'[1]INSUMO POR SEDES MARZO PRUEBA'!$B$6:$CD$109,50,0),"NO BD")</f>
        <v>0</v>
      </c>
      <c r="H932" s="8"/>
      <c r="I932" s="8">
        <f t="shared" si="80"/>
        <v>0</v>
      </c>
      <c r="J932" s="14">
        <f t="shared" si="84"/>
        <v>0</v>
      </c>
      <c r="K932" s="14">
        <f t="shared" si="85"/>
        <v>0</v>
      </c>
      <c r="L932" s="14">
        <f t="shared" si="86"/>
        <v>0</v>
      </c>
    </row>
    <row r="933" spans="1:12" ht="15">
      <c r="A933" s="3">
        <v>1477</v>
      </c>
      <c r="B933" s="39">
        <v>62</v>
      </c>
      <c r="C933" s="7" t="s">
        <v>33</v>
      </c>
      <c r="D933" s="4" t="s">
        <v>34</v>
      </c>
      <c r="E933" s="6" t="s">
        <v>135</v>
      </c>
      <c r="F933" s="12">
        <f>INDEX('PEDIDO JULIO'!A19:V35,1,22)</f>
        <v>0</v>
      </c>
      <c r="G933" s="8">
        <f>IFERROR(VLOOKUP($B933,'[1]INSUMO POR SEDES MARZO PRUEBA'!$B$6:$CD$109,50,0),"NO BD")</f>
        <v>10100.3202</v>
      </c>
      <c r="H933" s="8"/>
      <c r="I933" s="8">
        <f t="shared" si="80"/>
        <v>0</v>
      </c>
      <c r="J933" s="14">
        <f t="shared" si="84"/>
        <v>0</v>
      </c>
      <c r="K933" s="14">
        <f t="shared" si="85"/>
        <v>0</v>
      </c>
      <c r="L933" s="14">
        <f t="shared" si="86"/>
        <v>0</v>
      </c>
    </row>
    <row r="934" spans="1:12" ht="15">
      <c r="A934" s="3">
        <v>1478</v>
      </c>
      <c r="B934" s="39">
        <v>63</v>
      </c>
      <c r="C934" s="7" t="s">
        <v>16</v>
      </c>
      <c r="D934" s="4" t="s">
        <v>35</v>
      </c>
      <c r="E934" s="6" t="s">
        <v>135</v>
      </c>
      <c r="F934" s="12">
        <f>INDEX('PEDIDO JULIO'!A20:V35,1,22)</f>
        <v>0</v>
      </c>
      <c r="G934" s="8">
        <f>IFERROR(VLOOKUP($B934,'[1]INSUMO POR SEDES MARZO PRUEBA'!$B$6:$CD$109,50,0),"NO BD")</f>
        <v>11443.4982</v>
      </c>
      <c r="H934" s="8"/>
      <c r="I934" s="8">
        <f t="shared" si="80"/>
        <v>0</v>
      </c>
      <c r="J934" s="14">
        <f t="shared" si="84"/>
        <v>0</v>
      </c>
      <c r="K934" s="14">
        <f t="shared" si="85"/>
        <v>0</v>
      </c>
      <c r="L934" s="14">
        <f t="shared" si="86"/>
        <v>0</v>
      </c>
    </row>
    <row r="935" spans="1:12" ht="15">
      <c r="A935" s="3">
        <v>1479</v>
      </c>
      <c r="B935" s="39">
        <v>64</v>
      </c>
      <c r="C935" s="7" t="s">
        <v>36</v>
      </c>
      <c r="D935" s="4" t="s">
        <v>37</v>
      </c>
      <c r="E935" s="6" t="s">
        <v>135</v>
      </c>
      <c r="F935" s="12">
        <f>INDEX('PEDIDO JULIO'!A20:V35,1,22)</f>
        <v>0</v>
      </c>
      <c r="G935" s="8">
        <f>IFERROR(VLOOKUP($B935,'[1]INSUMO POR SEDES MARZO PRUEBA'!$B$6:$CD$109,50,0),"NO BD")</f>
        <v>0</v>
      </c>
      <c r="H935" s="8"/>
      <c r="I935" s="8">
        <f t="shared" si="80"/>
        <v>0</v>
      </c>
      <c r="J935" s="14">
        <f t="shared" si="84"/>
        <v>0</v>
      </c>
      <c r="K935" s="14">
        <f t="shared" si="85"/>
        <v>0</v>
      </c>
      <c r="L935" s="14">
        <f t="shared" si="86"/>
        <v>0</v>
      </c>
    </row>
    <row r="936" spans="1:12" ht="15">
      <c r="A936" s="3">
        <v>1480</v>
      </c>
      <c r="B936" s="39">
        <v>65</v>
      </c>
      <c r="C936" s="7" t="s">
        <v>36</v>
      </c>
      <c r="D936" s="4" t="s">
        <v>38</v>
      </c>
      <c r="E936" s="6" t="s">
        <v>135</v>
      </c>
      <c r="F936" s="12">
        <f>INDEX('PEDIDO JULIO'!A21:V35,1,22)</f>
        <v>0</v>
      </c>
      <c r="G936" s="8">
        <f>IFERROR(VLOOKUP($B936,'[1]INSUMO POR SEDES MARZO PRUEBA'!$B$6:$CD$109,50,0),"NO BD")</f>
        <v>13820.650000000001</v>
      </c>
      <c r="H936" s="8"/>
      <c r="I936" s="8">
        <f t="shared" si="80"/>
        <v>0</v>
      </c>
      <c r="J936" s="14">
        <f t="shared" si="84"/>
        <v>0</v>
      </c>
      <c r="K936" s="14">
        <f t="shared" si="85"/>
        <v>0</v>
      </c>
      <c r="L936" s="14">
        <f t="shared" si="86"/>
        <v>0</v>
      </c>
    </row>
    <row r="937" spans="1:12" ht="15">
      <c r="A937" s="3">
        <v>1481</v>
      </c>
      <c r="B937" s="39">
        <v>66</v>
      </c>
      <c r="C937" s="7" t="s">
        <v>39</v>
      </c>
      <c r="D937" s="4" t="s">
        <v>40</v>
      </c>
      <c r="E937" s="6" t="s">
        <v>135</v>
      </c>
      <c r="F937" s="12">
        <f>INDEX('PEDIDO JULIO'!A22:V35,1,22)</f>
        <v>0</v>
      </c>
      <c r="G937" s="8">
        <f>IFERROR(VLOOKUP($B937,'[1]INSUMO POR SEDES MARZO PRUEBA'!$B$6:$CD$109,50,0),"NO BD")</f>
        <v>4178.9862000000003</v>
      </c>
      <c r="H937" s="8"/>
      <c r="I937" s="8">
        <f t="shared" si="80"/>
        <v>0</v>
      </c>
      <c r="J937" s="14">
        <f t="shared" si="84"/>
        <v>0</v>
      </c>
      <c r="K937" s="14">
        <f t="shared" si="85"/>
        <v>0</v>
      </c>
      <c r="L937" s="14">
        <f t="shared" si="86"/>
        <v>0</v>
      </c>
    </row>
    <row r="938" spans="1:12" ht="15">
      <c r="A938" s="3">
        <v>1482</v>
      </c>
      <c r="B938" s="39">
        <v>71</v>
      </c>
      <c r="C938" s="7" t="s">
        <v>39</v>
      </c>
      <c r="D938" s="4" t="s">
        <v>41</v>
      </c>
      <c r="E938" s="6" t="s">
        <v>135</v>
      </c>
      <c r="F938" s="12">
        <f>INDEX('PEDIDO JULIO'!A23:V36,1,22)</f>
        <v>0</v>
      </c>
      <c r="G938" s="8">
        <f>IFERROR(VLOOKUP($B938,'[1]INSUMO POR SEDES MARZO PRUEBA'!$B$6:$CD$109,50,0),"NO BD")</f>
        <v>5196.1440000000002</v>
      </c>
      <c r="H938" s="8"/>
      <c r="I938" s="8">
        <f t="shared" si="80"/>
        <v>0</v>
      </c>
      <c r="J938" s="14">
        <f t="shared" si="84"/>
        <v>0</v>
      </c>
      <c r="K938" s="14">
        <f t="shared" si="85"/>
        <v>0</v>
      </c>
      <c r="L938" s="14">
        <f t="shared" si="86"/>
        <v>0</v>
      </c>
    </row>
    <row r="939" spans="1:12" ht="15">
      <c r="A939" s="3">
        <v>1483</v>
      </c>
      <c r="B939" s="39">
        <v>72</v>
      </c>
      <c r="C939" s="7" t="s">
        <v>151</v>
      </c>
      <c r="D939" s="4" t="s">
        <v>42</v>
      </c>
      <c r="E939" s="6" t="s">
        <v>135</v>
      </c>
      <c r="F939" s="12">
        <f>INDEX('PEDIDO JULIO'!A23:V37,1,22)</f>
        <v>0</v>
      </c>
      <c r="G939" s="8">
        <f>IFERROR(VLOOKUP($B939,'[1]INSUMO POR SEDES MARZO PRUEBA'!$B$6:$CD$109,50,0),"NO BD")</f>
        <v>7861.3749000000007</v>
      </c>
      <c r="H939" s="8"/>
      <c r="I939" s="8">
        <f t="shared" si="80"/>
        <v>0</v>
      </c>
      <c r="J939" s="14">
        <f t="shared" si="84"/>
        <v>0</v>
      </c>
      <c r="K939" s="14">
        <f t="shared" si="85"/>
        <v>0</v>
      </c>
      <c r="L939" s="14">
        <f t="shared" si="86"/>
        <v>0</v>
      </c>
    </row>
    <row r="940" spans="1:12" ht="15">
      <c r="A940" s="3">
        <v>1484</v>
      </c>
      <c r="B940" s="39">
        <v>73</v>
      </c>
      <c r="C940" s="7" t="s">
        <v>151</v>
      </c>
      <c r="D940" s="4" t="s">
        <v>43</v>
      </c>
      <c r="E940" s="6" t="s">
        <v>135</v>
      </c>
      <c r="F940" s="12">
        <f>INDEX('PEDIDO JULIO'!A24:V37,1,22)</f>
        <v>0</v>
      </c>
      <c r="G940" s="8">
        <f>IFERROR(VLOOKUP($B940,'[1]INSUMO POR SEDES MARZO PRUEBA'!$B$6:$CD$109,50,0),"NO BD")</f>
        <v>21493.685699999998</v>
      </c>
      <c r="H940" s="8"/>
      <c r="I940" s="8">
        <f t="shared" si="80"/>
        <v>0</v>
      </c>
      <c r="J940" s="14">
        <f t="shared" si="84"/>
        <v>0</v>
      </c>
      <c r="K940" s="14">
        <f t="shared" si="85"/>
        <v>0</v>
      </c>
      <c r="L940" s="14">
        <f t="shared" si="86"/>
        <v>0</v>
      </c>
    </row>
    <row r="941" spans="1:12" ht="15">
      <c r="A941" s="3">
        <v>1485</v>
      </c>
      <c r="B941" s="39">
        <v>74</v>
      </c>
      <c r="C941" s="7" t="s">
        <v>151</v>
      </c>
      <c r="D941" s="4" t="s">
        <v>44</v>
      </c>
      <c r="E941" s="6" t="s">
        <v>135</v>
      </c>
      <c r="F941" s="12">
        <f>INDEX('PEDIDO JULIO'!A25:V37,1,22)</f>
        <v>0</v>
      </c>
      <c r="G941" s="8">
        <f>IFERROR(VLOOKUP($B941,'[1]INSUMO POR SEDES MARZO PRUEBA'!$B$6:$CD$109,50,0),"NO BD")</f>
        <v>6915.4749000000002</v>
      </c>
      <c r="H941" s="8"/>
      <c r="I941" s="8">
        <f t="shared" si="80"/>
        <v>0</v>
      </c>
      <c r="J941" s="14">
        <f t="shared" si="84"/>
        <v>0</v>
      </c>
      <c r="K941" s="14">
        <f t="shared" si="85"/>
        <v>0</v>
      </c>
      <c r="L941" s="14">
        <f t="shared" si="86"/>
        <v>0</v>
      </c>
    </row>
    <row r="942" spans="1:12" ht="40.5">
      <c r="A942" s="3">
        <v>1486</v>
      </c>
      <c r="B942" s="39">
        <v>79</v>
      </c>
      <c r="C942" s="7" t="s">
        <v>151</v>
      </c>
      <c r="D942" s="4" t="s">
        <v>45</v>
      </c>
      <c r="E942" s="6" t="s">
        <v>135</v>
      </c>
      <c r="F942" s="12">
        <f>INDEX('PEDIDO JULIO'!A26:V37,1,22)</f>
        <v>0</v>
      </c>
      <c r="G942" s="8">
        <f>IFERROR(VLOOKUP($B942,'[1]INSUMO POR SEDES MARZO PRUEBA'!$B$6:$CD$109,50,0),"NO BD")</f>
        <v>935.49510000000009</v>
      </c>
      <c r="H942" s="8"/>
      <c r="I942" s="8">
        <f t="shared" si="80"/>
        <v>0</v>
      </c>
      <c r="J942" s="14">
        <f t="shared" si="84"/>
        <v>0</v>
      </c>
      <c r="K942" s="14">
        <f t="shared" si="85"/>
        <v>0</v>
      </c>
      <c r="L942" s="14">
        <f t="shared" si="86"/>
        <v>0</v>
      </c>
    </row>
    <row r="943" spans="1:12" ht="27">
      <c r="A943" s="3">
        <v>1487</v>
      </c>
      <c r="B943" s="39">
        <v>80</v>
      </c>
      <c r="C943" s="7" t="s">
        <v>46</v>
      </c>
      <c r="D943" s="4" t="s">
        <v>47</v>
      </c>
      <c r="E943" s="6" t="s">
        <v>135</v>
      </c>
      <c r="F943" s="12">
        <f>INDEX('PEDIDO JULIO'!A27:V37,1,22)</f>
        <v>0</v>
      </c>
      <c r="G943" s="8">
        <f>IFERROR(VLOOKUP($B943,'[1]INSUMO POR SEDES MARZO PRUEBA'!$B$6:$CD$109,50,0),"NO BD")</f>
        <v>607.26779999999997</v>
      </c>
      <c r="H943" s="8"/>
      <c r="I943" s="8">
        <f t="shared" si="80"/>
        <v>0</v>
      </c>
      <c r="J943" s="14">
        <f t="shared" si="84"/>
        <v>0</v>
      </c>
      <c r="K943" s="14">
        <f t="shared" si="85"/>
        <v>0</v>
      </c>
      <c r="L943" s="14">
        <f t="shared" si="86"/>
        <v>0</v>
      </c>
    </row>
    <row r="944" spans="1:12" ht="15">
      <c r="A944" s="3">
        <v>1488</v>
      </c>
      <c r="B944" s="39">
        <v>81</v>
      </c>
      <c r="C944" s="7" t="s">
        <v>159</v>
      </c>
      <c r="D944" s="4" t="s">
        <v>48</v>
      </c>
      <c r="E944" s="6" t="s">
        <v>135</v>
      </c>
      <c r="F944" s="12">
        <f>INDEX('PEDIDO JULIO'!A28:V37,1,22)</f>
        <v>0</v>
      </c>
      <c r="G944" s="8">
        <f>IFERROR(VLOOKUP($B944,'[1]INSUMO POR SEDES MARZO PRUEBA'!$B$6:$CD$109,50,0),"NO BD")</f>
        <v>387.81900000000002</v>
      </c>
      <c r="H944" s="8"/>
      <c r="I944" s="8">
        <f t="shared" si="80"/>
        <v>0</v>
      </c>
      <c r="J944" s="14">
        <f t="shared" si="84"/>
        <v>0</v>
      </c>
      <c r="K944" s="14">
        <f t="shared" si="85"/>
        <v>0</v>
      </c>
      <c r="L944" s="14">
        <f t="shared" si="86"/>
        <v>0</v>
      </c>
    </row>
    <row r="945" spans="1:12" ht="15">
      <c r="A945" s="3">
        <v>1489</v>
      </c>
      <c r="B945" s="39">
        <v>82</v>
      </c>
      <c r="C945" s="7" t="s">
        <v>159</v>
      </c>
      <c r="D945" s="4" t="s">
        <v>49</v>
      </c>
      <c r="E945" s="6" t="s">
        <v>135</v>
      </c>
      <c r="F945" s="12">
        <f>INDEX('PEDIDO JULIO'!A28:V37,1,22)</f>
        <v>0</v>
      </c>
      <c r="G945" s="8">
        <f>IFERROR(VLOOKUP($B945,'[1]INSUMO POR SEDES MARZO PRUEBA'!$B$6:$CD$109,50,0),"NO BD")</f>
        <v>1003.7049999999999</v>
      </c>
      <c r="H945" s="8"/>
      <c r="I945" s="8">
        <f t="shared" si="80"/>
        <v>0</v>
      </c>
      <c r="J945" s="14">
        <f t="shared" si="84"/>
        <v>0</v>
      </c>
      <c r="K945" s="14">
        <f t="shared" si="85"/>
        <v>0</v>
      </c>
      <c r="L945" s="14">
        <f t="shared" si="86"/>
        <v>0</v>
      </c>
    </row>
    <row r="946" spans="1:12" ht="15">
      <c r="A946" s="3">
        <v>1490</v>
      </c>
      <c r="B946" s="39">
        <v>83</v>
      </c>
      <c r="C946" s="7" t="s">
        <v>159</v>
      </c>
      <c r="D946" s="4" t="s">
        <v>50</v>
      </c>
      <c r="E946" s="6" t="s">
        <v>135</v>
      </c>
      <c r="F946" s="12">
        <f>INDEX('PEDIDO JULIO'!A29:V37,1,22)</f>
        <v>0</v>
      </c>
      <c r="G946" s="8">
        <f>IFERROR(VLOOKUP($B946,'[1]INSUMO POR SEDES MARZO PRUEBA'!$B$6:$CD$109,50,0),"NO BD")</f>
        <v>336.32</v>
      </c>
      <c r="H946" s="8"/>
      <c r="I946" s="8">
        <f t="shared" si="80"/>
        <v>0</v>
      </c>
      <c r="J946" s="14">
        <f t="shared" si="84"/>
        <v>0</v>
      </c>
      <c r="K946" s="14">
        <f t="shared" si="85"/>
        <v>0</v>
      </c>
      <c r="L946" s="14">
        <f t="shared" si="86"/>
        <v>0</v>
      </c>
    </row>
    <row r="947" spans="1:12" ht="15">
      <c r="A947" s="3">
        <v>1491</v>
      </c>
      <c r="B947" s="39">
        <v>88</v>
      </c>
      <c r="C947" s="7" t="s">
        <v>159</v>
      </c>
      <c r="D947" s="4" t="s">
        <v>51</v>
      </c>
      <c r="E947" s="6" t="s">
        <v>135</v>
      </c>
      <c r="F947" s="12">
        <f>INDEX('PEDIDO JULIO'!A30:V37,1,22)</f>
        <v>0</v>
      </c>
      <c r="G947" s="8">
        <f>IFERROR(VLOOKUP($B947,'[1]INSUMO POR SEDES MARZO PRUEBA'!$B$6:$CD$109,50,0),"NO BD")</f>
        <v>0</v>
      </c>
      <c r="H947" s="8"/>
      <c r="I947" s="8">
        <f t="shared" si="80"/>
        <v>0</v>
      </c>
      <c r="J947" s="14">
        <f t="shared" si="84"/>
        <v>0</v>
      </c>
      <c r="K947" s="14">
        <f t="shared" si="85"/>
        <v>0</v>
      </c>
      <c r="L947" s="14">
        <f t="shared" si="86"/>
        <v>0</v>
      </c>
    </row>
    <row r="948" spans="1:12" ht="15">
      <c r="A948" s="3">
        <v>1492</v>
      </c>
      <c r="B948" s="39">
        <v>92</v>
      </c>
      <c r="C948" s="7" t="s">
        <v>159</v>
      </c>
      <c r="D948" s="4" t="s">
        <v>52</v>
      </c>
      <c r="E948" s="6" t="s">
        <v>135</v>
      </c>
      <c r="F948" s="12">
        <f>INDEX('PEDIDO JULIO'!A31:V37,1,22)</f>
        <v>0</v>
      </c>
      <c r="G948" s="8">
        <f>IFERROR(VLOOKUP($B948,'[1]INSUMO POR SEDES MARZO PRUEBA'!$B$6:$CD$109,50,0),"NO BD")</f>
        <v>2380.5149999999999</v>
      </c>
      <c r="H948" s="8"/>
      <c r="I948" s="8">
        <f t="shared" si="80"/>
        <v>0</v>
      </c>
      <c r="J948" s="14">
        <f t="shared" si="84"/>
        <v>0</v>
      </c>
      <c r="K948" s="14">
        <f t="shared" si="85"/>
        <v>0</v>
      </c>
      <c r="L948" s="14">
        <f t="shared" si="86"/>
        <v>0</v>
      </c>
    </row>
    <row r="949" spans="1:12" ht="15">
      <c r="A949" s="3">
        <v>1493</v>
      </c>
      <c r="B949" s="39">
        <v>94</v>
      </c>
      <c r="C949" s="7" t="s">
        <v>53</v>
      </c>
      <c r="D949" s="4" t="s">
        <v>54</v>
      </c>
      <c r="E949" s="6" t="s">
        <v>135</v>
      </c>
      <c r="F949" s="12">
        <f>INDEX('PEDIDO JULIO'!A32:V37,1,22)</f>
        <v>0</v>
      </c>
      <c r="G949" s="8">
        <f>IFERROR(VLOOKUP($B949,'[1]INSUMO POR SEDES MARZO PRUEBA'!$B$6:$CD$109,50,0),"NO BD")</f>
        <v>0</v>
      </c>
      <c r="H949" s="8"/>
      <c r="I949" s="8">
        <f t="shared" si="80"/>
        <v>0</v>
      </c>
      <c r="J949" s="14">
        <f t="shared" si="84"/>
        <v>0</v>
      </c>
      <c r="K949" s="14">
        <f t="shared" si="85"/>
        <v>0</v>
      </c>
      <c r="L949" s="14">
        <f t="shared" si="86"/>
        <v>0</v>
      </c>
    </row>
    <row r="950" spans="1:12" ht="15">
      <c r="A950" s="3">
        <v>1494</v>
      </c>
      <c r="B950" s="39">
        <v>98</v>
      </c>
      <c r="C950" s="7" t="s">
        <v>53</v>
      </c>
      <c r="D950" s="4" t="s">
        <v>55</v>
      </c>
      <c r="E950" s="6" t="s">
        <v>135</v>
      </c>
      <c r="F950" s="12">
        <f>INDEX('PEDIDO JULIO'!A33:V37,1,22)</f>
        <v>0</v>
      </c>
      <c r="G950" s="8">
        <f>IFERROR(VLOOKUP($B950,'[1]INSUMO POR SEDES MARZO PRUEBA'!$B$6:$CD$109,50,0),"NO BD")</f>
        <v>9503.4573</v>
      </c>
      <c r="H950" s="8"/>
      <c r="I950" s="8">
        <f t="shared" si="80"/>
        <v>0</v>
      </c>
      <c r="J950" s="14">
        <f t="shared" si="84"/>
        <v>0</v>
      </c>
      <c r="K950" s="14">
        <f t="shared" si="85"/>
        <v>0</v>
      </c>
      <c r="L950" s="14">
        <f t="shared" si="86"/>
        <v>0</v>
      </c>
    </row>
    <row r="951" spans="1:12" ht="15">
      <c r="A951" s="3">
        <v>1495</v>
      </c>
      <c r="B951" s="39">
        <v>100</v>
      </c>
      <c r="C951" s="7" t="s">
        <v>53</v>
      </c>
      <c r="D951" s="4" t="s">
        <v>56</v>
      </c>
      <c r="E951" s="6" t="s">
        <v>135</v>
      </c>
      <c r="F951" s="12">
        <f>INDEX('PEDIDO JULIO'!A33:V38,1,22)</f>
        <v>0</v>
      </c>
      <c r="G951" s="8">
        <f>IFERROR(VLOOKUP($B951,'[1]INSUMO POR SEDES MARZO PRUEBA'!$B$6:$CD$109,50,0),"NO BD")</f>
        <v>0</v>
      </c>
      <c r="H951" s="8"/>
      <c r="I951" s="8">
        <f t="shared" si="80"/>
        <v>0</v>
      </c>
      <c r="J951" s="14">
        <f t="shared" si="84"/>
        <v>0</v>
      </c>
      <c r="K951" s="14">
        <f t="shared" si="85"/>
        <v>0</v>
      </c>
      <c r="L951" s="14">
        <f t="shared" si="86"/>
        <v>0</v>
      </c>
    </row>
    <row r="952" spans="1:12" ht="15">
      <c r="A952" s="3">
        <v>1496</v>
      </c>
      <c r="B952" s="39">
        <v>102</v>
      </c>
      <c r="C952" s="7" t="s">
        <v>53</v>
      </c>
      <c r="D952" s="4" t="s">
        <v>57</v>
      </c>
      <c r="E952" s="6" t="s">
        <v>135</v>
      </c>
      <c r="F952" s="12">
        <f>INDEX('PEDIDO JULIO'!A33:V38,1,22)</f>
        <v>0</v>
      </c>
      <c r="G952" s="8">
        <f>IFERROR(VLOOKUP($B952,'[1]INSUMO POR SEDES MARZO PRUEBA'!$B$6:$CD$109,50,0),"NO BD")</f>
        <v>5422.8446999999996</v>
      </c>
      <c r="H952" s="8"/>
      <c r="I952" s="8">
        <f t="shared" si="80"/>
        <v>0</v>
      </c>
      <c r="J952" s="14">
        <f t="shared" si="84"/>
        <v>0</v>
      </c>
      <c r="K952" s="14">
        <f t="shared" si="85"/>
        <v>0</v>
      </c>
      <c r="L952" s="14">
        <f t="shared" si="86"/>
        <v>0</v>
      </c>
    </row>
    <row r="953" spans="1:12" ht="27">
      <c r="A953" s="3">
        <v>1497</v>
      </c>
      <c r="B953" s="39">
        <v>110</v>
      </c>
      <c r="C953" s="7" t="s">
        <v>160</v>
      </c>
      <c r="D953" s="4" t="s">
        <v>58</v>
      </c>
      <c r="E953" s="6" t="s">
        <v>135</v>
      </c>
      <c r="F953" s="12">
        <f>INDEX('PEDIDO JULIO'!A33:V39,1,22)</f>
        <v>0</v>
      </c>
      <c r="G953" s="8">
        <f>IFERROR(VLOOKUP($B953,'[1]INSUMO POR SEDES MARZO PRUEBA'!$B$6:$CD$109,50,0),"NO BD")</f>
        <v>1442.4974999999999</v>
      </c>
      <c r="H953" s="8"/>
      <c r="I953" s="8">
        <f t="shared" si="80"/>
        <v>0</v>
      </c>
      <c r="J953" s="14">
        <f t="shared" si="84"/>
        <v>0</v>
      </c>
      <c r="K953" s="14">
        <f t="shared" si="85"/>
        <v>0</v>
      </c>
      <c r="L953" s="14">
        <f t="shared" si="86"/>
        <v>0</v>
      </c>
    </row>
    <row r="954" spans="1:12" ht="15">
      <c r="A954" s="3">
        <v>1498</v>
      </c>
      <c r="B954" s="39">
        <v>118</v>
      </c>
      <c r="C954" s="7" t="s">
        <v>160</v>
      </c>
      <c r="D954" s="4" t="s">
        <v>59</v>
      </c>
      <c r="E954" s="6" t="s">
        <v>135</v>
      </c>
      <c r="F954" s="12">
        <f>INDEX('PEDIDO JULIO'!A33:V40,1,22)</f>
        <v>0</v>
      </c>
      <c r="G954" s="8">
        <f>IFERROR(VLOOKUP($B954,'[1]INSUMO POR SEDES MARZO PRUEBA'!$B$6:$CD$109,50,0),"NO BD")</f>
        <v>4129.7993999999999</v>
      </c>
      <c r="H954" s="8"/>
      <c r="I954" s="8">
        <f t="shared" si="80"/>
        <v>0</v>
      </c>
      <c r="J954" s="14">
        <f t="shared" si="84"/>
        <v>0</v>
      </c>
      <c r="K954" s="14">
        <f t="shared" si="85"/>
        <v>0</v>
      </c>
      <c r="L954" s="14">
        <f t="shared" si="86"/>
        <v>0</v>
      </c>
    </row>
    <row r="955" spans="1:12" ht="15">
      <c r="A955" s="3">
        <v>1499</v>
      </c>
      <c r="B955" s="39">
        <v>119</v>
      </c>
      <c r="C955" s="7" t="s">
        <v>60</v>
      </c>
      <c r="D955" s="4" t="s">
        <v>61</v>
      </c>
      <c r="E955" s="6" t="s">
        <v>135</v>
      </c>
      <c r="F955" s="12">
        <f>INDEX('PEDIDO JULIO'!A33:V40,1,22)</f>
        <v>0</v>
      </c>
      <c r="G955" s="8">
        <f>IFERROR(VLOOKUP($B955,'[1]INSUMO POR SEDES MARZO PRUEBA'!$B$6:$CD$109,50,0),"NO BD")</f>
        <v>4259.3877000000002</v>
      </c>
      <c r="H955" s="8"/>
      <c r="I955" s="8">
        <f t="shared" si="80"/>
        <v>0</v>
      </c>
      <c r="J955" s="14">
        <f t="shared" si="84"/>
        <v>0</v>
      </c>
      <c r="K955" s="14">
        <f t="shared" si="85"/>
        <v>0</v>
      </c>
      <c r="L955" s="14">
        <f t="shared" si="86"/>
        <v>0</v>
      </c>
    </row>
    <row r="956" spans="1:12" ht="15">
      <c r="A956" s="3">
        <v>1500</v>
      </c>
      <c r="B956" s="39">
        <v>120</v>
      </c>
      <c r="C956" s="7" t="s">
        <v>60</v>
      </c>
      <c r="D956" s="4" t="s">
        <v>62</v>
      </c>
      <c r="E956" s="6" t="s">
        <v>135</v>
      </c>
      <c r="F956" s="12">
        <f>INDEX('PEDIDO JULIO'!A33:V40,1,22)</f>
        <v>0</v>
      </c>
      <c r="G956" s="8">
        <f>IFERROR(VLOOKUP($B956,'[1]INSUMO POR SEDES MARZO PRUEBA'!$B$6:$CD$109,50,0),"NO BD")</f>
        <v>4259.3877000000002</v>
      </c>
      <c r="H956" s="8"/>
      <c r="I956" s="8">
        <f t="shared" si="80"/>
        <v>0</v>
      </c>
      <c r="J956" s="14">
        <f t="shared" si="84"/>
        <v>0</v>
      </c>
      <c r="K956" s="14">
        <f t="shared" si="85"/>
        <v>0</v>
      </c>
      <c r="L956" s="14">
        <f t="shared" si="86"/>
        <v>0</v>
      </c>
    </row>
    <row r="957" spans="1:12" ht="15">
      <c r="A957" s="3">
        <v>1501</v>
      </c>
      <c r="B957" s="39">
        <v>122</v>
      </c>
      <c r="C957" s="7" t="s">
        <v>151</v>
      </c>
      <c r="D957" s="4" t="s">
        <v>63</v>
      </c>
      <c r="E957" s="6" t="s">
        <v>135</v>
      </c>
      <c r="F957" s="12">
        <f>INDEX('PEDIDO JULIO'!A33:V41,1,22)</f>
        <v>0</v>
      </c>
      <c r="G957" s="8">
        <f>IFERROR(VLOOKUP($B957,'[1]INSUMO POR SEDES MARZO PRUEBA'!$B$6:$CD$109,50,0),"NO BD")</f>
        <v>5920.3881000000001</v>
      </c>
      <c r="H957" s="8"/>
      <c r="I957" s="8">
        <f t="shared" si="80"/>
        <v>0</v>
      </c>
      <c r="J957" s="14">
        <f t="shared" si="84"/>
        <v>0</v>
      </c>
      <c r="K957" s="14">
        <f t="shared" si="85"/>
        <v>0</v>
      </c>
      <c r="L957" s="14">
        <f t="shared" si="86"/>
        <v>0</v>
      </c>
    </row>
    <row r="958" spans="1:12" ht="15">
      <c r="A958" s="3">
        <v>1502</v>
      </c>
      <c r="B958" s="39">
        <v>123</v>
      </c>
      <c r="C958" s="7" t="s">
        <v>160</v>
      </c>
      <c r="D958" s="4" t="s">
        <v>64</v>
      </c>
      <c r="E958" s="6" t="s">
        <v>135</v>
      </c>
      <c r="F958" s="12">
        <f>INDEX('PEDIDO JULIO'!A33:V41,1,22)</f>
        <v>0</v>
      </c>
      <c r="G958" s="8">
        <f>IFERROR(VLOOKUP($B958,'[1]INSUMO POR SEDES MARZO PRUEBA'!$B$6:$CD$109,50,0),"NO BD")</f>
        <v>6169.1598000000004</v>
      </c>
      <c r="H958" s="8"/>
      <c r="I958" s="8">
        <f t="shared" si="80"/>
        <v>0</v>
      </c>
      <c r="J958" s="14">
        <f t="shared" si="84"/>
        <v>0</v>
      </c>
      <c r="K958" s="14">
        <f t="shared" si="85"/>
        <v>0</v>
      </c>
      <c r="L958" s="14">
        <f t="shared" si="86"/>
        <v>0</v>
      </c>
    </row>
    <row r="959" spans="1:12" ht="27">
      <c r="A959" s="3">
        <v>1503</v>
      </c>
      <c r="B959" s="39">
        <v>124</v>
      </c>
      <c r="C959" s="7" t="s">
        <v>60</v>
      </c>
      <c r="D959" s="4" t="s">
        <v>65</v>
      </c>
      <c r="E959" s="6" t="s">
        <v>135</v>
      </c>
      <c r="F959" s="12">
        <f>INDEX('PEDIDO JULIO'!A33:V42,1,22)</f>
        <v>0</v>
      </c>
      <c r="G959" s="8">
        <f>IFERROR(VLOOKUP($B959,'[1]INSUMO POR SEDES MARZO PRUEBA'!$B$6:$CD$109,50,0),"NO BD")</f>
        <v>6169.1598000000004</v>
      </c>
      <c r="H959" s="8"/>
      <c r="I959" s="8">
        <f t="shared" si="80"/>
        <v>0</v>
      </c>
      <c r="J959" s="14">
        <f t="shared" si="84"/>
        <v>0</v>
      </c>
      <c r="K959" s="14">
        <f t="shared" si="85"/>
        <v>0</v>
      </c>
      <c r="L959" s="14">
        <f t="shared" si="86"/>
        <v>0</v>
      </c>
    </row>
    <row r="960" spans="1:12" ht="15">
      <c r="A960" s="3">
        <v>1504</v>
      </c>
      <c r="B960" s="39">
        <v>137</v>
      </c>
      <c r="C960" s="7" t="s">
        <v>66</v>
      </c>
      <c r="D960" s="4" t="s">
        <v>67</v>
      </c>
      <c r="E960" s="6" t="s">
        <v>135</v>
      </c>
      <c r="F960" s="12">
        <f>INDEX('PEDIDO JULIO'!A33:V42,1,22)</f>
        <v>0</v>
      </c>
      <c r="G960" s="8">
        <f>IFERROR(VLOOKUP($B960,'[1]INSUMO POR SEDES MARZO PRUEBA'!$B$6:$CD$109,50,0),"NO BD")</f>
        <v>0</v>
      </c>
      <c r="H960" s="8"/>
      <c r="I960" s="8">
        <f t="shared" si="80"/>
        <v>0</v>
      </c>
      <c r="J960" s="14">
        <f t="shared" si="84"/>
        <v>0</v>
      </c>
      <c r="K960" s="14">
        <f t="shared" si="85"/>
        <v>0</v>
      </c>
      <c r="L960" s="14">
        <f t="shared" si="86"/>
        <v>0</v>
      </c>
    </row>
    <row r="961" spans="1:12" ht="15">
      <c r="A961" s="3">
        <v>1505</v>
      </c>
      <c r="B961" s="39">
        <v>139</v>
      </c>
      <c r="C961" s="7" t="s">
        <v>66</v>
      </c>
      <c r="D961" s="4" t="s">
        <v>68</v>
      </c>
      <c r="E961" s="6" t="s">
        <v>135</v>
      </c>
      <c r="F961" s="12">
        <f>INDEX('PEDIDO JULIO'!A33:V42,1,22)</f>
        <v>0</v>
      </c>
      <c r="G961" s="8">
        <f>IFERROR(VLOOKUP($B961,'[1]INSUMO POR SEDES MARZO PRUEBA'!$B$6:$CD$109,50,0),"NO BD")</f>
        <v>25429.996000000003</v>
      </c>
      <c r="H961" s="8"/>
      <c r="I961" s="8">
        <f t="shared" si="80"/>
        <v>0</v>
      </c>
      <c r="J961" s="14">
        <f t="shared" si="84"/>
        <v>0</v>
      </c>
      <c r="K961" s="14">
        <f t="shared" si="85"/>
        <v>0</v>
      </c>
      <c r="L961" s="14">
        <f t="shared" si="86"/>
        <v>0</v>
      </c>
    </row>
    <row r="962" spans="1:12" ht="15">
      <c r="A962" s="3">
        <v>1506</v>
      </c>
      <c r="B962" s="39">
        <v>151</v>
      </c>
      <c r="C962" s="7" t="s">
        <v>66</v>
      </c>
      <c r="D962" s="4" t="s">
        <v>69</v>
      </c>
      <c r="E962" s="6" t="s">
        <v>135</v>
      </c>
      <c r="F962" s="12">
        <f>INDEX('PEDIDO JULIO'!A33:V42,1,22)</f>
        <v>0</v>
      </c>
      <c r="G962" s="8">
        <f>IFERROR(VLOOKUP($B962,'[1]INSUMO POR SEDES MARZO PRUEBA'!$B$6:$CD$109,50,0),"NO BD")</f>
        <v>4422.6080000000002</v>
      </c>
      <c r="H962" s="8"/>
      <c r="I962" s="8">
        <f t="shared" si="80"/>
        <v>0</v>
      </c>
      <c r="J962" s="14">
        <f t="shared" si="84"/>
        <v>0</v>
      </c>
      <c r="K962" s="14">
        <f t="shared" si="85"/>
        <v>0</v>
      </c>
      <c r="L962" s="14">
        <f t="shared" si="86"/>
        <v>0</v>
      </c>
    </row>
    <row r="963" spans="1:12" ht="15">
      <c r="A963" s="3">
        <v>1507</v>
      </c>
      <c r="B963" s="39">
        <v>155</v>
      </c>
      <c r="C963" s="7" t="s">
        <v>66</v>
      </c>
      <c r="D963" s="4" t="s">
        <v>70</v>
      </c>
      <c r="E963" s="6" t="s">
        <v>135</v>
      </c>
      <c r="F963" s="12">
        <f>INDEX('PEDIDO JULIO'!A33:V43,1,22)</f>
        <v>0</v>
      </c>
      <c r="G963" s="8">
        <f>IFERROR(VLOOKUP($B963,'[1]INSUMO POR SEDES MARZO PRUEBA'!$B$6:$CD$109,50,0),"NO BD")</f>
        <v>5005.7028</v>
      </c>
      <c r="H963" s="8"/>
      <c r="I963" s="8">
        <f t="shared" si="80"/>
        <v>0</v>
      </c>
      <c r="J963" s="14">
        <f t="shared" si="84"/>
        <v>0</v>
      </c>
      <c r="K963" s="14">
        <f t="shared" si="85"/>
        <v>0</v>
      </c>
      <c r="L963" s="14">
        <f t="shared" si="86"/>
        <v>0</v>
      </c>
    </row>
    <row r="964" spans="1:12" ht="15">
      <c r="A964" s="3">
        <v>1508</v>
      </c>
      <c r="B964" s="39">
        <v>156</v>
      </c>
      <c r="C964" s="7" t="s">
        <v>66</v>
      </c>
      <c r="D964" s="4" t="s">
        <v>71</v>
      </c>
      <c r="E964" s="6" t="s">
        <v>135</v>
      </c>
      <c r="F964" s="12">
        <f>INDEX('PEDIDO JULIO'!A33:V43,1,22)</f>
        <v>0</v>
      </c>
      <c r="G964" s="8">
        <f>IFERROR(VLOOKUP($B964,'[1]INSUMO POR SEDES MARZO PRUEBA'!$B$6:$CD$109,50,0),"NO BD")</f>
        <v>4422.6080000000002</v>
      </c>
      <c r="H964" s="8"/>
      <c r="I964" s="8">
        <f t="shared" si="80"/>
        <v>0</v>
      </c>
      <c r="J964" s="14">
        <f t="shared" si="84"/>
        <v>0</v>
      </c>
      <c r="K964" s="14">
        <f t="shared" si="85"/>
        <v>0</v>
      </c>
      <c r="L964" s="14">
        <f t="shared" si="86"/>
        <v>0</v>
      </c>
    </row>
    <row r="965" spans="1:12" ht="15">
      <c r="A965" s="3">
        <v>1509</v>
      </c>
      <c r="B965" s="39">
        <v>157</v>
      </c>
      <c r="C965" s="7" t="s">
        <v>66</v>
      </c>
      <c r="D965" s="4" t="s">
        <v>72</v>
      </c>
      <c r="E965" s="6" t="s">
        <v>135</v>
      </c>
      <c r="F965" s="12">
        <f>INDEX('PEDIDO JULIO'!A33:V43,1,22)</f>
        <v>0</v>
      </c>
      <c r="G965" s="8">
        <f>IFERROR(VLOOKUP($B965,'[1]INSUMO POR SEDES MARZO PRUEBA'!$B$6:$CD$109,50,0),"NO BD")</f>
        <v>5970.7309999999998</v>
      </c>
      <c r="H965" s="8"/>
      <c r="I965" s="8">
        <f t="shared" si="80"/>
        <v>0</v>
      </c>
      <c r="J965" s="14">
        <f t="shared" si="84"/>
        <v>0</v>
      </c>
      <c r="K965" s="14">
        <f t="shared" si="85"/>
        <v>0</v>
      </c>
      <c r="L965" s="14">
        <f t="shared" si="86"/>
        <v>0</v>
      </c>
    </row>
    <row r="966" spans="1:12" ht="15">
      <c r="A966" s="3">
        <v>1510</v>
      </c>
      <c r="B966" s="39">
        <v>159</v>
      </c>
      <c r="C966" s="7" t="s">
        <v>158</v>
      </c>
      <c r="D966" s="4" t="s">
        <v>73</v>
      </c>
      <c r="E966" s="6" t="s">
        <v>135</v>
      </c>
      <c r="F966" s="12">
        <f>INDEX('PEDIDO JULIO'!A33:V44,1,22)</f>
        <v>0</v>
      </c>
      <c r="G966" s="8">
        <f>IFERROR(VLOOKUP($B966,'[1]INSUMO POR SEDES MARZO PRUEBA'!$B$6:$CD$109,50,0),"NO BD")</f>
        <v>6716.8359</v>
      </c>
      <c r="H966" s="8"/>
      <c r="I966" s="8">
        <f t="shared" ref="I966:I1029" si="87">+F966*G966</f>
        <v>0</v>
      </c>
      <c r="J966" s="14">
        <f t="shared" si="84"/>
        <v>0</v>
      </c>
      <c r="K966" s="14">
        <f t="shared" si="85"/>
        <v>0</v>
      </c>
      <c r="L966" s="14">
        <f t="shared" si="86"/>
        <v>0</v>
      </c>
    </row>
    <row r="967" spans="1:12" ht="15">
      <c r="A967" s="3">
        <v>1511</v>
      </c>
      <c r="B967" s="39">
        <v>160</v>
      </c>
      <c r="C967" s="7" t="s">
        <v>158</v>
      </c>
      <c r="D967" s="4" t="s">
        <v>74</v>
      </c>
      <c r="E967" s="6" t="s">
        <v>135</v>
      </c>
      <c r="F967" s="12">
        <f>INDEX('PEDIDO JULIO'!A33:V44,1,22)</f>
        <v>0</v>
      </c>
      <c r="G967" s="8">
        <f>IFERROR(VLOOKUP($B967,'[1]INSUMO POR SEDES MARZO PRUEBA'!$B$6:$CD$109,50,0),"NO BD")</f>
        <v>3035.3931000000002</v>
      </c>
      <c r="H967" s="8"/>
      <c r="I967" s="8">
        <f t="shared" si="87"/>
        <v>0</v>
      </c>
      <c r="J967" s="14">
        <f t="shared" si="84"/>
        <v>0</v>
      </c>
      <c r="K967" s="14">
        <f t="shared" si="85"/>
        <v>0</v>
      </c>
      <c r="L967" s="14">
        <f t="shared" si="86"/>
        <v>0</v>
      </c>
    </row>
    <row r="968" spans="1:12" ht="15">
      <c r="A968" s="3">
        <v>1512</v>
      </c>
      <c r="B968" s="39">
        <v>162</v>
      </c>
      <c r="C968" s="7" t="s">
        <v>158</v>
      </c>
      <c r="D968" s="4" t="s">
        <v>75</v>
      </c>
      <c r="E968" s="6" t="s">
        <v>135</v>
      </c>
      <c r="F968" s="12">
        <f>INDEX('PEDIDO JULIO'!A33:V44,1,22)</f>
        <v>0</v>
      </c>
      <c r="G968" s="8">
        <f>IFERROR(VLOOKUP($B968,'[1]INSUMO POR SEDES MARZO PRUEBA'!$B$6:$CD$109,50,0),"NO BD")</f>
        <v>2684.2539999999999</v>
      </c>
      <c r="H968" s="8"/>
      <c r="I968" s="8">
        <f t="shared" si="87"/>
        <v>0</v>
      </c>
      <c r="J968" s="14">
        <f t="shared" si="84"/>
        <v>0</v>
      </c>
      <c r="K968" s="14">
        <f t="shared" si="85"/>
        <v>0</v>
      </c>
      <c r="L968" s="14">
        <f t="shared" si="86"/>
        <v>0</v>
      </c>
    </row>
    <row r="969" spans="1:12" ht="15">
      <c r="A969" s="3">
        <v>1513</v>
      </c>
      <c r="B969" s="39">
        <v>164</v>
      </c>
      <c r="C969" s="7" t="s">
        <v>158</v>
      </c>
      <c r="D969" s="4" t="s">
        <v>76</v>
      </c>
      <c r="E969" s="6" t="s">
        <v>135</v>
      </c>
      <c r="F969" s="12">
        <f>INDEX('PEDIDO JULIO'!A33:V44,1,22)</f>
        <v>0</v>
      </c>
      <c r="G969" s="8">
        <f>IFERROR(VLOOKUP($B969,'[1]INSUMO POR SEDES MARZO PRUEBA'!$B$6:$CD$109,50,0),"NO BD")</f>
        <v>0</v>
      </c>
      <c r="H969" s="8"/>
      <c r="I969" s="8">
        <f t="shared" si="87"/>
        <v>0</v>
      </c>
      <c r="J969" s="14">
        <f t="shared" si="84"/>
        <v>0</v>
      </c>
      <c r="K969" s="14">
        <f t="shared" si="85"/>
        <v>0</v>
      </c>
      <c r="L969" s="14">
        <f t="shared" si="86"/>
        <v>0</v>
      </c>
    </row>
    <row r="970" spans="1:12" ht="15">
      <c r="A970" s="3">
        <v>1514</v>
      </c>
      <c r="B970" s="39">
        <v>169</v>
      </c>
      <c r="C970" s="7" t="s">
        <v>158</v>
      </c>
      <c r="D970" s="4" t="s">
        <v>77</v>
      </c>
      <c r="E970" s="6" t="s">
        <v>135</v>
      </c>
      <c r="F970" s="12">
        <f>INDEX('PEDIDO JULIO'!A33:V45,1,22)</f>
        <v>0</v>
      </c>
      <c r="G970" s="8">
        <f>IFERROR(VLOOKUP($B970,'[1]INSUMO POR SEDES MARZO PRUEBA'!$B$6:$CD$109,50,0),"NO BD")</f>
        <v>0</v>
      </c>
      <c r="H970" s="8"/>
      <c r="I970" s="8">
        <f t="shared" si="87"/>
        <v>0</v>
      </c>
      <c r="J970" s="14">
        <f t="shared" si="84"/>
        <v>0</v>
      </c>
      <c r="K970" s="14">
        <f t="shared" si="85"/>
        <v>0</v>
      </c>
      <c r="L970" s="14">
        <f t="shared" si="86"/>
        <v>0</v>
      </c>
    </row>
    <row r="971" spans="1:12" ht="15">
      <c r="A971" s="3">
        <v>1515</v>
      </c>
      <c r="B971" s="39">
        <v>170</v>
      </c>
      <c r="C971" s="7" t="s">
        <v>158</v>
      </c>
      <c r="D971" s="4" t="s">
        <v>78</v>
      </c>
      <c r="E971" s="6" t="s">
        <v>135</v>
      </c>
      <c r="F971" s="12">
        <f>INDEX('PEDIDO JULIO'!A33:V46,1,22)</f>
        <v>0</v>
      </c>
      <c r="G971" s="8">
        <f>IFERROR(VLOOKUP($B971,'[1]INSUMO POR SEDES MARZO PRUEBA'!$B$6:$CD$109,50,0),"NO BD")</f>
        <v>45575.353799999997</v>
      </c>
      <c r="H971" s="8"/>
      <c r="I971" s="8">
        <f t="shared" si="87"/>
        <v>0</v>
      </c>
      <c r="J971" s="14">
        <f t="shared" si="84"/>
        <v>0</v>
      </c>
      <c r="K971" s="14">
        <f t="shared" si="85"/>
        <v>0</v>
      </c>
      <c r="L971" s="14">
        <f t="shared" si="86"/>
        <v>0</v>
      </c>
    </row>
    <row r="972" spans="1:12" ht="15">
      <c r="A972" s="3">
        <v>1516</v>
      </c>
      <c r="B972" s="39">
        <v>174</v>
      </c>
      <c r="C972" s="7" t="s">
        <v>158</v>
      </c>
      <c r="D972" s="4" t="s">
        <v>79</v>
      </c>
      <c r="E972" s="6" t="s">
        <v>135</v>
      </c>
      <c r="F972" s="12">
        <f>INDEX('PEDIDO JULIO'!A33:V47,1,22)</f>
        <v>0</v>
      </c>
      <c r="G972" s="8">
        <f>IFERROR(VLOOKUP($B972,'[1]INSUMO POR SEDES MARZO PRUEBA'!$B$6:$CD$109,50,0),"NO BD")</f>
        <v>6081.0860000000002</v>
      </c>
      <c r="H972" s="8"/>
      <c r="I972" s="8">
        <f t="shared" si="87"/>
        <v>0</v>
      </c>
      <c r="J972" s="14">
        <f t="shared" si="84"/>
        <v>0</v>
      </c>
      <c r="K972" s="14">
        <f t="shared" si="85"/>
        <v>0</v>
      </c>
      <c r="L972" s="14">
        <f t="shared" si="86"/>
        <v>0</v>
      </c>
    </row>
    <row r="973" spans="1:12" ht="15">
      <c r="A973" s="3">
        <v>1517</v>
      </c>
      <c r="B973" s="39">
        <v>192</v>
      </c>
      <c r="C973" s="7" t="s">
        <v>158</v>
      </c>
      <c r="D973" s="4" t="s">
        <v>80</v>
      </c>
      <c r="E973" s="6" t="s">
        <v>135</v>
      </c>
      <c r="F973" s="12">
        <f>INDEX('PEDIDO JULIO'!A33:V47,1,22)</f>
        <v>0</v>
      </c>
      <c r="G973" s="8">
        <f>IFERROR(VLOOKUP($B973,'[1]INSUMO POR SEDES MARZO PRUEBA'!$B$6:$CD$109,50,0),"NO BD")</f>
        <v>6866.2880999999998</v>
      </c>
      <c r="H973" s="8"/>
      <c r="I973" s="8">
        <f t="shared" si="87"/>
        <v>0</v>
      </c>
      <c r="J973" s="14">
        <f t="shared" si="84"/>
        <v>0</v>
      </c>
      <c r="K973" s="14">
        <f t="shared" si="85"/>
        <v>0</v>
      </c>
      <c r="L973" s="14">
        <f t="shared" si="86"/>
        <v>0</v>
      </c>
    </row>
    <row r="974" spans="1:12" ht="15">
      <c r="A974" s="3">
        <v>1518</v>
      </c>
      <c r="B974" s="39">
        <v>195</v>
      </c>
      <c r="C974" s="7" t="s">
        <v>158</v>
      </c>
      <c r="D974" s="4" t="s">
        <v>81</v>
      </c>
      <c r="E974" s="6" t="s">
        <v>135</v>
      </c>
      <c r="F974" s="12">
        <f>INDEX('PEDIDO JULIO'!A33:V47,1,22)</f>
        <v>0</v>
      </c>
      <c r="G974" s="8">
        <f>IFERROR(VLOOKUP($B974,'[1]INSUMO POR SEDES MARZO PRUEBA'!$B$6:$CD$109,50,0),"NO BD")</f>
        <v>10697.1831</v>
      </c>
      <c r="H974" s="8"/>
      <c r="I974" s="8">
        <f t="shared" si="87"/>
        <v>0</v>
      </c>
      <c r="J974" s="14">
        <f t="shared" si="84"/>
        <v>0</v>
      </c>
      <c r="K974" s="14">
        <f t="shared" si="85"/>
        <v>0</v>
      </c>
      <c r="L974" s="14">
        <f t="shared" si="86"/>
        <v>0</v>
      </c>
    </row>
    <row r="975" spans="1:12" ht="15">
      <c r="A975" s="3">
        <v>1519</v>
      </c>
      <c r="B975" s="39">
        <v>204</v>
      </c>
      <c r="C975" s="7" t="s">
        <v>158</v>
      </c>
      <c r="D975" s="4" t="s">
        <v>82</v>
      </c>
      <c r="E975" s="6" t="s">
        <v>135</v>
      </c>
      <c r="F975" s="12">
        <f>INDEX('PEDIDO JULIO'!A33:V47,1,22)</f>
        <v>0</v>
      </c>
      <c r="G975" s="8">
        <f>IFERROR(VLOOKUP($B975,'[1]INSUMO POR SEDES MARZO PRUEBA'!$B$6:$CD$109,50,0),"NO BD")</f>
        <v>14760.243999999999</v>
      </c>
      <c r="H975" s="8"/>
      <c r="I975" s="8">
        <f t="shared" si="87"/>
        <v>0</v>
      </c>
      <c r="J975" s="14">
        <f t="shared" si="84"/>
        <v>0</v>
      </c>
      <c r="K975" s="14">
        <f t="shared" si="85"/>
        <v>0</v>
      </c>
      <c r="L975" s="14">
        <f t="shared" si="86"/>
        <v>0</v>
      </c>
    </row>
    <row r="976" spans="1:12" ht="15">
      <c r="A976" s="3">
        <v>1520</v>
      </c>
      <c r="B976" s="39">
        <v>205</v>
      </c>
      <c r="C976" s="7" t="s">
        <v>158</v>
      </c>
      <c r="D976" s="4" t="s">
        <v>83</v>
      </c>
      <c r="E976" s="6" t="s">
        <v>135</v>
      </c>
      <c r="F976" s="12">
        <f>INDEX('PEDIDO JULIO'!A33:V47,1,22)</f>
        <v>0</v>
      </c>
      <c r="G976" s="8">
        <f>IFERROR(VLOOKUP($B976,'[1]INSUMO POR SEDES MARZO PRUEBA'!$B$6:$CD$109,50,0),"NO BD")</f>
        <v>32639.225399999996</v>
      </c>
      <c r="H976" s="8"/>
      <c r="I976" s="8">
        <f t="shared" si="87"/>
        <v>0</v>
      </c>
      <c r="J976" s="14">
        <f t="shared" si="84"/>
        <v>0</v>
      </c>
      <c r="K976" s="14">
        <f t="shared" si="85"/>
        <v>0</v>
      </c>
      <c r="L976" s="14">
        <f t="shared" si="86"/>
        <v>0</v>
      </c>
    </row>
    <row r="977" spans="1:12" ht="15">
      <c r="A977" s="3">
        <v>1521</v>
      </c>
      <c r="B977" s="39">
        <v>207</v>
      </c>
      <c r="C977" s="7" t="s">
        <v>158</v>
      </c>
      <c r="D977" s="4" t="s">
        <v>84</v>
      </c>
      <c r="E977" s="6" t="s">
        <v>135</v>
      </c>
      <c r="F977" s="12">
        <f>INDEX('PEDIDO JULIO'!A33:V47,1,22)</f>
        <v>0</v>
      </c>
      <c r="G977" s="8">
        <f>IFERROR(VLOOKUP($B977,'[1]INSUMO POR SEDES MARZO PRUEBA'!$B$6:$CD$109,50,0),"NO BD")</f>
        <v>0</v>
      </c>
      <c r="H977" s="8"/>
      <c r="I977" s="8">
        <f t="shared" si="87"/>
        <v>0</v>
      </c>
      <c r="J977" s="14">
        <f t="shared" si="84"/>
        <v>0</v>
      </c>
      <c r="K977" s="14">
        <f t="shared" si="85"/>
        <v>0</v>
      </c>
      <c r="L977" s="14">
        <f t="shared" si="86"/>
        <v>0</v>
      </c>
    </row>
    <row r="978" spans="1:12" ht="15">
      <c r="A978" s="3">
        <v>1522</v>
      </c>
      <c r="B978" s="39">
        <v>212</v>
      </c>
      <c r="C978" s="7" t="s">
        <v>158</v>
      </c>
      <c r="D978" s="4" t="s">
        <v>85</v>
      </c>
      <c r="E978" s="6" t="s">
        <v>135</v>
      </c>
      <c r="F978" s="12">
        <f>INDEX('PEDIDO JULIO'!A33:V47,1,22)</f>
        <v>0</v>
      </c>
      <c r="G978" s="8">
        <f>IFERROR(VLOOKUP($B978,'[1]INSUMO POR SEDES MARZO PRUEBA'!$B$6:$CD$109,50,0),"NO BD")</f>
        <v>0</v>
      </c>
      <c r="H978" s="8"/>
      <c r="I978" s="8">
        <f t="shared" si="87"/>
        <v>0</v>
      </c>
      <c r="J978" s="14">
        <f t="shared" si="84"/>
        <v>0</v>
      </c>
      <c r="K978" s="14">
        <f t="shared" si="85"/>
        <v>0</v>
      </c>
      <c r="L978" s="14">
        <f t="shared" si="86"/>
        <v>0</v>
      </c>
    </row>
    <row r="979" spans="1:12" ht="15">
      <c r="A979" s="3">
        <v>1523</v>
      </c>
      <c r="B979" s="39">
        <v>218</v>
      </c>
      <c r="C979" s="7" t="s">
        <v>152</v>
      </c>
      <c r="D979" s="4" t="s">
        <v>86</v>
      </c>
      <c r="E979" s="6" t="s">
        <v>135</v>
      </c>
      <c r="F979" s="12">
        <f>INDEX('PEDIDO JULIO'!A33:V47,1,22)</f>
        <v>0</v>
      </c>
      <c r="G979" s="8">
        <f>IFERROR(VLOOKUP($B979,'[1]INSUMO POR SEDES MARZO PRUEBA'!$B$6:$CD$109,50,0),"NO BD")</f>
        <v>2587.0365000000002</v>
      </c>
      <c r="H979" s="8"/>
      <c r="I979" s="8">
        <f t="shared" si="87"/>
        <v>0</v>
      </c>
      <c r="J979" s="14">
        <f t="shared" si="84"/>
        <v>0</v>
      </c>
      <c r="K979" s="14">
        <f t="shared" si="85"/>
        <v>0</v>
      </c>
      <c r="L979" s="14">
        <f t="shared" si="86"/>
        <v>0</v>
      </c>
    </row>
    <row r="980" spans="1:12" ht="15">
      <c r="A980" s="3">
        <v>1524</v>
      </c>
      <c r="B980" s="39">
        <v>251</v>
      </c>
      <c r="C980" s="7" t="s">
        <v>87</v>
      </c>
      <c r="D980" s="4" t="s">
        <v>88</v>
      </c>
      <c r="E980" s="6" t="s">
        <v>135</v>
      </c>
      <c r="F980" s="12">
        <f>INDEX('PEDIDO JULIO'!A33:V47,1,22)</f>
        <v>0</v>
      </c>
      <c r="G980" s="8">
        <f>IFERROR(VLOOKUP($B980,'[1]INSUMO POR SEDES MARZO PRUEBA'!$B$6:$CD$109,50,0),"NO BD")</f>
        <v>20399.279400000003</v>
      </c>
      <c r="H980" s="8"/>
      <c r="I980" s="8">
        <f t="shared" si="87"/>
        <v>0</v>
      </c>
      <c r="J980" s="14">
        <f t="shared" si="84"/>
        <v>0</v>
      </c>
      <c r="K980" s="14">
        <f t="shared" si="85"/>
        <v>0</v>
      </c>
      <c r="L980" s="14">
        <f t="shared" si="86"/>
        <v>0</v>
      </c>
    </row>
    <row r="981" spans="1:12" ht="15">
      <c r="A981" s="3">
        <v>1569</v>
      </c>
      <c r="B981" s="26">
        <v>3</v>
      </c>
      <c r="C981" s="7" t="s">
        <v>16</v>
      </c>
      <c r="D981" s="4" t="s">
        <v>17</v>
      </c>
      <c r="E981" s="6" t="s">
        <v>136</v>
      </c>
      <c r="F981" s="12">
        <f>INDEX('PEDIDO JULIO'!A10:W32,1,23)</f>
        <v>0</v>
      </c>
      <c r="G981" s="8">
        <f>IFERROR(VLOOKUP($B981,'[1]INSUMO POR SEDES MARZO PRUEBA'!$B$6:$CD$109,53,0),"NO BD")</f>
        <v>7268.7160000000003</v>
      </c>
      <c r="H981" s="8"/>
      <c r="I981" s="8">
        <f t="shared" si="87"/>
        <v>0</v>
      </c>
      <c r="J981" s="14">
        <f t="shared" ref="J981:J1013" si="88">+I981*10%</f>
        <v>0</v>
      </c>
      <c r="K981" s="14">
        <f t="shared" ref="K981:K1013" si="89">+J981*19%</f>
        <v>0</v>
      </c>
      <c r="L981" s="14">
        <f t="shared" ref="L981:L1013" si="90">SUM(I981:K981)</f>
        <v>0</v>
      </c>
    </row>
    <row r="982" spans="1:12" ht="27">
      <c r="A982" s="3">
        <v>1570</v>
      </c>
      <c r="B982" s="26">
        <v>5</v>
      </c>
      <c r="C982" s="7" t="s">
        <v>18</v>
      </c>
      <c r="D982" s="4" t="s">
        <v>19</v>
      </c>
      <c r="E982" s="6" t="s">
        <v>136</v>
      </c>
      <c r="F982" s="12">
        <f>INDEX('PEDIDO JULIO'!A10:W32,1,23)</f>
        <v>0</v>
      </c>
      <c r="G982" s="8">
        <f>IFERROR(VLOOKUP($B982,'[1]INSUMO POR SEDES MARZO PRUEBA'!$B$6:$CD$109,53,0),"NO BD")</f>
        <v>0</v>
      </c>
      <c r="H982" s="8"/>
      <c r="I982" s="8">
        <f t="shared" si="87"/>
        <v>0</v>
      </c>
      <c r="J982" s="14">
        <f t="shared" si="88"/>
        <v>0</v>
      </c>
      <c r="K982" s="14">
        <f t="shared" si="89"/>
        <v>0</v>
      </c>
      <c r="L982" s="14">
        <f t="shared" si="90"/>
        <v>0</v>
      </c>
    </row>
    <row r="983" spans="1:12" ht="27">
      <c r="A983" s="3">
        <v>1571</v>
      </c>
      <c r="B983" s="26">
        <v>8</v>
      </c>
      <c r="C983" s="7" t="s">
        <v>20</v>
      </c>
      <c r="D983" s="4" t="s">
        <v>21</v>
      </c>
      <c r="E983" s="6" t="s">
        <v>136</v>
      </c>
      <c r="F983" s="12">
        <f>INDEX('PEDIDO JULIO'!A10:W33,1,23)</f>
        <v>0</v>
      </c>
      <c r="G983" s="8">
        <f>IFERROR(VLOOKUP($B983,'[1]INSUMO POR SEDES MARZO PRUEBA'!$B$6:$CD$109,53,0),"NO BD")</f>
        <v>0</v>
      </c>
      <c r="H983" s="8"/>
      <c r="I983" s="8">
        <f t="shared" si="87"/>
        <v>0</v>
      </c>
      <c r="J983" s="14">
        <f t="shared" si="88"/>
        <v>0</v>
      </c>
      <c r="K983" s="14">
        <f t="shared" si="89"/>
        <v>0</v>
      </c>
      <c r="L983" s="14">
        <f t="shared" si="90"/>
        <v>0</v>
      </c>
    </row>
    <row r="984" spans="1:12" ht="27">
      <c r="A984" s="3">
        <v>1572</v>
      </c>
      <c r="B984" s="26">
        <v>9</v>
      </c>
      <c r="C984" s="7" t="s">
        <v>22</v>
      </c>
      <c r="D984" s="4" t="s">
        <v>23</v>
      </c>
      <c r="E984" s="6" t="s">
        <v>136</v>
      </c>
      <c r="F984" s="12">
        <f>INDEX('PEDIDO JULIO'!A10:W33,1,23)</f>
        <v>0</v>
      </c>
      <c r="G984" s="8">
        <f>IFERROR(VLOOKUP($B984,'[1]INSUMO POR SEDES MARZO PRUEBA'!$B$6:$CD$109,53,0),"NO BD")</f>
        <v>0</v>
      </c>
      <c r="H984" s="8"/>
      <c r="I984" s="8">
        <f t="shared" si="87"/>
        <v>0</v>
      </c>
      <c r="J984" s="14">
        <f t="shared" si="88"/>
        <v>0</v>
      </c>
      <c r="K984" s="14">
        <f t="shared" si="89"/>
        <v>0</v>
      </c>
      <c r="L984" s="14">
        <f t="shared" si="90"/>
        <v>0</v>
      </c>
    </row>
    <row r="985" spans="1:12" ht="15">
      <c r="A985" s="3">
        <v>1573</v>
      </c>
      <c r="B985" s="26">
        <v>13</v>
      </c>
      <c r="C985" s="7" t="s">
        <v>18</v>
      </c>
      <c r="D985" s="4" t="s">
        <v>24</v>
      </c>
      <c r="E985" s="6" t="s">
        <v>136</v>
      </c>
      <c r="F985" s="12">
        <f>INDEX('PEDIDO JULIO'!A11:W33,1,23)</f>
        <v>0</v>
      </c>
      <c r="G985" s="8">
        <f>IFERROR(VLOOKUP($B985,'[1]INSUMO POR SEDES MARZO PRUEBA'!$B$6:$CD$109,53,0),"NO BD")</f>
        <v>0</v>
      </c>
      <c r="H985" s="8"/>
      <c r="I985" s="8">
        <f t="shared" si="87"/>
        <v>0</v>
      </c>
      <c r="J985" s="14">
        <f t="shared" si="88"/>
        <v>0</v>
      </c>
      <c r="K985" s="14">
        <f t="shared" si="89"/>
        <v>0</v>
      </c>
      <c r="L985" s="14">
        <f t="shared" si="90"/>
        <v>0</v>
      </c>
    </row>
    <row r="986" spans="1:12" ht="27">
      <c r="A986" s="3">
        <v>1574</v>
      </c>
      <c r="B986" s="26">
        <v>17</v>
      </c>
      <c r="C986" s="7" t="s">
        <v>155</v>
      </c>
      <c r="D986" s="4" t="s">
        <v>25</v>
      </c>
      <c r="E986" s="6" t="s">
        <v>136</v>
      </c>
      <c r="F986" s="12">
        <f>INDEX('PEDIDO JULIO'!A12:W33,1,23)</f>
        <v>0</v>
      </c>
      <c r="G986" s="8">
        <f>IFERROR(VLOOKUP($B986,'[1]INSUMO POR SEDES MARZO PRUEBA'!$B$6:$CD$109,53,0),"NO BD")</f>
        <v>0</v>
      </c>
      <c r="H986" s="8"/>
      <c r="I986" s="8">
        <f t="shared" si="87"/>
        <v>0</v>
      </c>
      <c r="J986" s="14">
        <f t="shared" si="88"/>
        <v>0</v>
      </c>
      <c r="K986" s="14">
        <f t="shared" si="89"/>
        <v>0</v>
      </c>
      <c r="L986" s="14">
        <f t="shared" si="90"/>
        <v>0</v>
      </c>
    </row>
    <row r="987" spans="1:12" ht="27">
      <c r="A987" s="3">
        <v>1575</v>
      </c>
      <c r="B987" s="31">
        <v>20</v>
      </c>
      <c r="C987" s="7" t="s">
        <v>16</v>
      </c>
      <c r="D987" s="4" t="s">
        <v>26</v>
      </c>
      <c r="E987" s="6" t="s">
        <v>136</v>
      </c>
      <c r="F987" s="12">
        <f>INDEX('PEDIDO JULIO'!A12:W33,1,23)</f>
        <v>0</v>
      </c>
      <c r="G987" s="8">
        <f>IFERROR(VLOOKUP($B987,'[1]INSUMO POR SEDES MARZO PRUEBA'!$B$6:$CD$109,53,0),"NO BD")</f>
        <v>0</v>
      </c>
      <c r="H987" s="8"/>
      <c r="I987" s="8">
        <f t="shared" si="87"/>
        <v>0</v>
      </c>
      <c r="J987" s="14">
        <f t="shared" si="88"/>
        <v>0</v>
      </c>
      <c r="K987" s="14">
        <f t="shared" si="89"/>
        <v>0</v>
      </c>
      <c r="L987" s="14">
        <f t="shared" si="90"/>
        <v>0</v>
      </c>
    </row>
    <row r="988" spans="1:12" ht="15">
      <c r="A988" s="3">
        <v>1576</v>
      </c>
      <c r="B988" s="26">
        <v>21</v>
      </c>
      <c r="C988" s="7" t="s">
        <v>27</v>
      </c>
      <c r="D988" s="4" t="s">
        <v>28</v>
      </c>
      <c r="E988" s="6" t="s">
        <v>136</v>
      </c>
      <c r="F988" s="12">
        <f>INDEX('PEDIDO JULIO'!A13:W34,1,23)</f>
        <v>0</v>
      </c>
      <c r="G988" s="8">
        <f>IFERROR(VLOOKUP($B988,'[1]INSUMO POR SEDES MARZO PRUEBA'!$B$6:$CD$109,53,0),"NO BD")</f>
        <v>0</v>
      </c>
      <c r="H988" s="8"/>
      <c r="I988" s="8">
        <f t="shared" si="87"/>
        <v>0</v>
      </c>
      <c r="J988" s="14">
        <f t="shared" si="88"/>
        <v>0</v>
      </c>
      <c r="K988" s="14">
        <f t="shared" si="89"/>
        <v>0</v>
      </c>
      <c r="L988" s="14">
        <f t="shared" si="90"/>
        <v>0</v>
      </c>
    </row>
    <row r="989" spans="1:12" ht="15">
      <c r="A989" s="3">
        <v>1577</v>
      </c>
      <c r="B989" s="26">
        <v>28</v>
      </c>
      <c r="C989" s="7" t="s">
        <v>13</v>
      </c>
      <c r="D989" s="4" t="s">
        <v>29</v>
      </c>
      <c r="E989" s="6" t="s">
        <v>136</v>
      </c>
      <c r="F989" s="12">
        <f>INDEX('PEDIDO JULIO'!A14:W34,1,23)</f>
        <v>0</v>
      </c>
      <c r="G989" s="8">
        <f>IFERROR(VLOOKUP($B989,'[1]INSUMO POR SEDES MARZO PRUEBA'!$B$6:$CD$109,53,0),"NO BD")</f>
        <v>2764.13</v>
      </c>
      <c r="H989" s="8"/>
      <c r="I989" s="8">
        <f t="shared" si="87"/>
        <v>0</v>
      </c>
      <c r="J989" s="14">
        <f t="shared" si="88"/>
        <v>0</v>
      </c>
      <c r="K989" s="14">
        <f t="shared" si="89"/>
        <v>0</v>
      </c>
      <c r="L989" s="14">
        <f t="shared" si="90"/>
        <v>0</v>
      </c>
    </row>
    <row r="990" spans="1:12" ht="15">
      <c r="A990" s="3">
        <v>1578</v>
      </c>
      <c r="B990" s="26">
        <v>29</v>
      </c>
      <c r="C990" s="7" t="s">
        <v>13</v>
      </c>
      <c r="D990" s="4" t="s">
        <v>30</v>
      </c>
      <c r="E990" s="6" t="s">
        <v>136</v>
      </c>
      <c r="F990" s="12">
        <f>INDEX('PEDIDO JULIO'!A15:W34,1,23)</f>
        <v>0</v>
      </c>
      <c r="G990" s="8">
        <f>IFERROR(VLOOKUP($B990,'[1]INSUMO POR SEDES MARZO PRUEBA'!$B$6:$CD$109,53,0),"NO BD")</f>
        <v>4829.3450000000012</v>
      </c>
      <c r="H990" s="8"/>
      <c r="I990" s="8">
        <f t="shared" si="87"/>
        <v>0</v>
      </c>
      <c r="J990" s="14">
        <f t="shared" si="88"/>
        <v>0</v>
      </c>
      <c r="K990" s="14">
        <f t="shared" si="89"/>
        <v>0</v>
      </c>
      <c r="L990" s="14">
        <f t="shared" si="90"/>
        <v>0</v>
      </c>
    </row>
    <row r="991" spans="1:12" ht="15">
      <c r="A991" s="3">
        <v>1579</v>
      </c>
      <c r="B991" s="26">
        <v>32</v>
      </c>
      <c r="C991" s="7" t="s">
        <v>13</v>
      </c>
      <c r="D991" s="4" t="s">
        <v>31</v>
      </c>
      <c r="E991" s="6" t="s">
        <v>136</v>
      </c>
      <c r="F991" s="12">
        <f>INDEX('PEDIDO JULIO'!A16:W34,1,23)</f>
        <v>0</v>
      </c>
      <c r="G991" s="8">
        <f>IFERROR(VLOOKUP($B991,'[1]INSUMO POR SEDES MARZO PRUEBA'!$B$6:$CD$109,53,0),"NO BD")</f>
        <v>0</v>
      </c>
      <c r="H991" s="8"/>
      <c r="I991" s="8">
        <f t="shared" si="87"/>
        <v>0</v>
      </c>
      <c r="J991" s="14">
        <f t="shared" si="88"/>
        <v>0</v>
      </c>
      <c r="K991" s="14">
        <f t="shared" si="89"/>
        <v>0</v>
      </c>
      <c r="L991" s="14">
        <f t="shared" si="90"/>
        <v>0</v>
      </c>
    </row>
    <row r="992" spans="1:12" ht="15">
      <c r="A992" s="3">
        <v>1580</v>
      </c>
      <c r="B992" s="26">
        <v>38</v>
      </c>
      <c r="C992" s="7" t="s">
        <v>13</v>
      </c>
      <c r="D992" s="4" t="s">
        <v>32</v>
      </c>
      <c r="E992" s="6" t="s">
        <v>136</v>
      </c>
      <c r="F992" s="12">
        <f>INDEX('PEDIDO JULIO'!A17:W34,1,23)</f>
        <v>0</v>
      </c>
      <c r="G992" s="8">
        <f>IFERROR(VLOOKUP($B992,'[1]INSUMO POR SEDES MARZO PRUEBA'!$B$6:$CD$109,53,0),"NO BD")</f>
        <v>15622.484399999999</v>
      </c>
      <c r="H992" s="8"/>
      <c r="I992" s="8">
        <f t="shared" si="87"/>
        <v>0</v>
      </c>
      <c r="J992" s="14">
        <f t="shared" si="88"/>
        <v>0</v>
      </c>
      <c r="K992" s="14">
        <f t="shared" si="89"/>
        <v>0</v>
      </c>
      <c r="L992" s="14">
        <f t="shared" si="90"/>
        <v>0</v>
      </c>
    </row>
    <row r="993" spans="1:12" ht="15">
      <c r="A993" s="3">
        <v>1581</v>
      </c>
      <c r="B993" s="26">
        <v>44</v>
      </c>
      <c r="C993" s="7" t="s">
        <v>33</v>
      </c>
      <c r="D993" s="4" t="s">
        <v>34</v>
      </c>
      <c r="E993" s="6" t="s">
        <v>136</v>
      </c>
      <c r="F993" s="12">
        <f>INDEX('PEDIDO JULIO'!A17:W34,1,23)</f>
        <v>0</v>
      </c>
      <c r="G993" s="8">
        <f>IFERROR(VLOOKUP($B993,'[1]INSUMO POR SEDES MARZO PRUEBA'!$B$6:$CD$109,53,0),"NO BD")</f>
        <v>0</v>
      </c>
      <c r="H993" s="8"/>
      <c r="I993" s="8">
        <f t="shared" si="87"/>
        <v>0</v>
      </c>
      <c r="J993" s="14">
        <f t="shared" si="88"/>
        <v>0</v>
      </c>
      <c r="K993" s="14">
        <f t="shared" si="89"/>
        <v>0</v>
      </c>
      <c r="L993" s="14">
        <f t="shared" si="90"/>
        <v>0</v>
      </c>
    </row>
    <row r="994" spans="1:12" ht="15">
      <c r="A994" s="3">
        <v>1582</v>
      </c>
      <c r="B994" s="26">
        <v>50</v>
      </c>
      <c r="C994" s="7" t="s">
        <v>16</v>
      </c>
      <c r="D994" s="4" t="s">
        <v>35</v>
      </c>
      <c r="E994" s="6" t="s">
        <v>136</v>
      </c>
      <c r="F994" s="12">
        <f>INDEX('PEDIDO JULIO'!A18:W35,1,23)</f>
        <v>0</v>
      </c>
      <c r="G994" s="8">
        <f>IFERROR(VLOOKUP($B994,'[1]INSUMO POR SEDES MARZO PRUEBA'!$B$6:$CD$109,53,0),"NO BD")</f>
        <v>0</v>
      </c>
      <c r="H994" s="8"/>
      <c r="I994" s="8">
        <f t="shared" si="87"/>
        <v>0</v>
      </c>
      <c r="J994" s="14">
        <f t="shared" si="88"/>
        <v>0</v>
      </c>
      <c r="K994" s="14">
        <f t="shared" si="89"/>
        <v>0</v>
      </c>
      <c r="L994" s="14">
        <f t="shared" si="90"/>
        <v>0</v>
      </c>
    </row>
    <row r="995" spans="1:12" ht="15">
      <c r="A995" s="3">
        <v>1583</v>
      </c>
      <c r="B995" s="26">
        <v>52</v>
      </c>
      <c r="C995" s="7" t="s">
        <v>36</v>
      </c>
      <c r="D995" s="4" t="s">
        <v>37</v>
      </c>
      <c r="E995" s="6" t="s">
        <v>136</v>
      </c>
      <c r="F995" s="12">
        <f>INDEX('PEDIDO JULIO'!A18:W35,1,23)</f>
        <v>0</v>
      </c>
      <c r="G995" s="8">
        <f>IFERROR(VLOOKUP($B995,'[1]INSUMO POR SEDES MARZO PRUEBA'!$B$6:$CD$109,53,0),"NO BD")</f>
        <v>0</v>
      </c>
      <c r="H995" s="8"/>
      <c r="I995" s="8">
        <f t="shared" si="87"/>
        <v>0</v>
      </c>
      <c r="J995" s="14">
        <f t="shared" si="88"/>
        <v>0</v>
      </c>
      <c r="K995" s="14">
        <f t="shared" si="89"/>
        <v>0</v>
      </c>
      <c r="L995" s="14">
        <f t="shared" si="90"/>
        <v>0</v>
      </c>
    </row>
    <row r="996" spans="1:12" ht="15">
      <c r="A996" s="3">
        <v>1584</v>
      </c>
      <c r="B996" s="26">
        <v>57</v>
      </c>
      <c r="C996" s="7" t="s">
        <v>36</v>
      </c>
      <c r="D996" s="4" t="s">
        <v>38</v>
      </c>
      <c r="E996" s="6" t="s">
        <v>136</v>
      </c>
      <c r="F996" s="12">
        <f>INDEX('PEDIDO JULIO'!A18:W35,1,23)</f>
        <v>0</v>
      </c>
      <c r="G996" s="8">
        <f>IFERROR(VLOOKUP($B996,'[1]INSUMO POR SEDES MARZO PRUEBA'!$B$6:$CD$109,53,0),"NO BD")</f>
        <v>27464.2065</v>
      </c>
      <c r="H996" s="8"/>
      <c r="I996" s="8">
        <f t="shared" si="87"/>
        <v>0</v>
      </c>
      <c r="J996" s="14">
        <f t="shared" si="88"/>
        <v>0</v>
      </c>
      <c r="K996" s="14">
        <f t="shared" si="89"/>
        <v>0</v>
      </c>
      <c r="L996" s="14">
        <f t="shared" si="90"/>
        <v>0</v>
      </c>
    </row>
    <row r="997" spans="1:12" ht="15">
      <c r="A997" s="3">
        <v>1585</v>
      </c>
      <c r="B997" s="26">
        <v>59</v>
      </c>
      <c r="C997" s="7" t="s">
        <v>39</v>
      </c>
      <c r="D997" s="4" t="s">
        <v>40</v>
      </c>
      <c r="E997" s="6" t="s">
        <v>136</v>
      </c>
      <c r="F997" s="12">
        <f>INDEX('PEDIDO JULIO'!A19:W35,1,23)</f>
        <v>0</v>
      </c>
      <c r="G997" s="8">
        <f>IFERROR(VLOOKUP($B997,'[1]INSUMO POR SEDES MARZO PRUEBA'!$B$6:$CD$109,53,0),"NO BD")</f>
        <v>0</v>
      </c>
      <c r="H997" s="8"/>
      <c r="I997" s="8">
        <f t="shared" si="87"/>
        <v>0</v>
      </c>
      <c r="J997" s="14">
        <f t="shared" si="88"/>
        <v>0</v>
      </c>
      <c r="K997" s="14">
        <f t="shared" si="89"/>
        <v>0</v>
      </c>
      <c r="L997" s="14">
        <f t="shared" si="90"/>
        <v>0</v>
      </c>
    </row>
    <row r="998" spans="1:12" ht="15">
      <c r="A998" s="3">
        <v>1586</v>
      </c>
      <c r="B998" s="26">
        <v>62</v>
      </c>
      <c r="C998" s="7" t="s">
        <v>39</v>
      </c>
      <c r="D998" s="4" t="s">
        <v>41</v>
      </c>
      <c r="E998" s="6" t="s">
        <v>136</v>
      </c>
      <c r="F998" s="12">
        <f>INDEX('PEDIDO JULIO'!A19:W35,1,23)</f>
        <v>0</v>
      </c>
      <c r="G998" s="8">
        <f>IFERROR(VLOOKUP($B998,'[1]INSUMO POR SEDES MARZO PRUEBA'!$B$6:$CD$109,53,0),"NO BD")</f>
        <v>5167.7669999999998</v>
      </c>
      <c r="H998" s="8"/>
      <c r="I998" s="8">
        <f t="shared" si="87"/>
        <v>0</v>
      </c>
      <c r="J998" s="14">
        <f t="shared" si="88"/>
        <v>0</v>
      </c>
      <c r="K998" s="14">
        <f t="shared" si="89"/>
        <v>0</v>
      </c>
      <c r="L998" s="14">
        <f t="shared" si="90"/>
        <v>0</v>
      </c>
    </row>
    <row r="999" spans="1:12" ht="15">
      <c r="A999" s="3">
        <v>1587</v>
      </c>
      <c r="B999" s="26">
        <v>63</v>
      </c>
      <c r="C999" s="7" t="s">
        <v>151</v>
      </c>
      <c r="D999" s="4" t="s">
        <v>42</v>
      </c>
      <c r="E999" s="6" t="s">
        <v>136</v>
      </c>
      <c r="F999" s="12">
        <f>INDEX('PEDIDO JULIO'!A20:W35,1,23)</f>
        <v>0</v>
      </c>
      <c r="G999" s="8">
        <f>IFERROR(VLOOKUP($B999,'[1]INSUMO POR SEDES MARZO PRUEBA'!$B$6:$CD$109,53,0),"NO BD")</f>
        <v>11443.4982</v>
      </c>
      <c r="H999" s="8"/>
      <c r="I999" s="8">
        <f t="shared" si="87"/>
        <v>0</v>
      </c>
      <c r="J999" s="14">
        <f t="shared" si="88"/>
        <v>0</v>
      </c>
      <c r="K999" s="14">
        <f t="shared" si="89"/>
        <v>0</v>
      </c>
      <c r="L999" s="14">
        <f t="shared" si="90"/>
        <v>0</v>
      </c>
    </row>
    <row r="1000" spans="1:12" ht="15">
      <c r="A1000" s="3">
        <v>1588</v>
      </c>
      <c r="B1000" s="26">
        <v>64</v>
      </c>
      <c r="C1000" s="7" t="s">
        <v>151</v>
      </c>
      <c r="D1000" s="4" t="s">
        <v>43</v>
      </c>
      <c r="E1000" s="6" t="s">
        <v>136</v>
      </c>
      <c r="F1000" s="12">
        <f>INDEX('PEDIDO JULIO'!A20:W35,1,23)</f>
        <v>0</v>
      </c>
      <c r="G1000" s="8">
        <f>IFERROR(VLOOKUP($B1000,'[1]INSUMO POR SEDES MARZO PRUEBA'!$B$6:$CD$109,53,0),"NO BD")</f>
        <v>0</v>
      </c>
      <c r="H1000" s="8"/>
      <c r="I1000" s="8">
        <f t="shared" si="87"/>
        <v>0</v>
      </c>
      <c r="J1000" s="14">
        <f t="shared" si="88"/>
        <v>0</v>
      </c>
      <c r="K1000" s="14">
        <f t="shared" si="89"/>
        <v>0</v>
      </c>
      <c r="L1000" s="14">
        <f t="shared" si="90"/>
        <v>0</v>
      </c>
    </row>
    <row r="1001" spans="1:12" ht="15">
      <c r="A1001" s="3">
        <v>1589</v>
      </c>
      <c r="B1001" s="26">
        <v>65</v>
      </c>
      <c r="C1001" s="7" t="s">
        <v>151</v>
      </c>
      <c r="D1001" s="4" t="s">
        <v>44</v>
      </c>
      <c r="E1001" s="6" t="s">
        <v>136</v>
      </c>
      <c r="F1001" s="12">
        <f>INDEX('PEDIDO JULIO'!A21:W35,1,23)</f>
        <v>0</v>
      </c>
      <c r="G1001" s="8">
        <f>IFERROR(VLOOKUP($B1001,'[1]INSUMO POR SEDES MARZO PRUEBA'!$B$6:$CD$109,53,0),"NO BD")</f>
        <v>21295.046699999999</v>
      </c>
      <c r="H1001" s="8"/>
      <c r="I1001" s="8">
        <f t="shared" si="87"/>
        <v>0</v>
      </c>
      <c r="J1001" s="14">
        <f t="shared" si="88"/>
        <v>0</v>
      </c>
      <c r="K1001" s="14">
        <f t="shared" si="89"/>
        <v>0</v>
      </c>
      <c r="L1001" s="14">
        <f t="shared" si="90"/>
        <v>0</v>
      </c>
    </row>
    <row r="1002" spans="1:12" ht="40.5">
      <c r="A1002" s="3">
        <v>1590</v>
      </c>
      <c r="B1002" s="26">
        <v>66</v>
      </c>
      <c r="C1002" s="7" t="s">
        <v>151</v>
      </c>
      <c r="D1002" s="4" t="s">
        <v>45</v>
      </c>
      <c r="E1002" s="6" t="s">
        <v>136</v>
      </c>
      <c r="F1002" s="12">
        <f>INDEX('PEDIDO JULIO'!A22:W35,1,23)</f>
        <v>0</v>
      </c>
      <c r="G1002" s="8">
        <f>IFERROR(VLOOKUP($B1002,'[1]INSUMO POR SEDES MARZO PRUEBA'!$B$6:$CD$109,53,0),"NO BD")</f>
        <v>4178.9862000000003</v>
      </c>
      <c r="H1002" s="8"/>
      <c r="I1002" s="8">
        <f t="shared" si="87"/>
        <v>0</v>
      </c>
      <c r="J1002" s="14">
        <f t="shared" si="88"/>
        <v>0</v>
      </c>
      <c r="K1002" s="14">
        <f t="shared" si="89"/>
        <v>0</v>
      </c>
      <c r="L1002" s="14">
        <f t="shared" si="90"/>
        <v>0</v>
      </c>
    </row>
    <row r="1003" spans="1:12" ht="27">
      <c r="A1003" s="3">
        <v>1591</v>
      </c>
      <c r="B1003" s="26">
        <v>71</v>
      </c>
      <c r="C1003" s="7" t="s">
        <v>46</v>
      </c>
      <c r="D1003" s="4" t="s">
        <v>47</v>
      </c>
      <c r="E1003" s="6" t="s">
        <v>136</v>
      </c>
      <c r="F1003" s="12">
        <f>INDEX('PEDIDO JULIO'!A23:W36,1,23)</f>
        <v>0</v>
      </c>
      <c r="G1003" s="8">
        <f>IFERROR(VLOOKUP($B1003,'[1]INSUMO POR SEDES MARZO PRUEBA'!$B$6:$CD$109,53,0),"NO BD")</f>
        <v>7960.6944000000003</v>
      </c>
      <c r="H1003" s="8"/>
      <c r="I1003" s="8">
        <f t="shared" si="87"/>
        <v>0</v>
      </c>
      <c r="J1003" s="14">
        <f t="shared" si="88"/>
        <v>0</v>
      </c>
      <c r="K1003" s="14">
        <f t="shared" si="89"/>
        <v>0</v>
      </c>
      <c r="L1003" s="14">
        <f t="shared" si="90"/>
        <v>0</v>
      </c>
    </row>
    <row r="1004" spans="1:12" ht="15">
      <c r="A1004" s="3">
        <v>1592</v>
      </c>
      <c r="B1004" s="26">
        <v>72</v>
      </c>
      <c r="C1004" s="7" t="s">
        <v>159</v>
      </c>
      <c r="D1004" s="4" t="s">
        <v>48</v>
      </c>
      <c r="E1004" s="6" t="s">
        <v>136</v>
      </c>
      <c r="F1004" s="12">
        <f>INDEX('PEDIDO JULIO'!A23:W37,1,23)</f>
        <v>0</v>
      </c>
      <c r="G1004" s="8">
        <f>IFERROR(VLOOKUP($B1004,'[1]INSUMO POR SEDES MARZO PRUEBA'!$B$6:$CD$109,53,0),"NO BD")</f>
        <v>7861.3749000000007</v>
      </c>
      <c r="H1004" s="8"/>
      <c r="I1004" s="8">
        <f t="shared" si="87"/>
        <v>0</v>
      </c>
      <c r="J1004" s="14">
        <f t="shared" si="88"/>
        <v>0</v>
      </c>
      <c r="K1004" s="14">
        <f t="shared" si="89"/>
        <v>0</v>
      </c>
      <c r="L1004" s="14">
        <f t="shared" si="90"/>
        <v>0</v>
      </c>
    </row>
    <row r="1005" spans="1:12" ht="15">
      <c r="A1005" s="3">
        <v>1593</v>
      </c>
      <c r="B1005" s="26">
        <v>73</v>
      </c>
      <c r="C1005" s="7" t="s">
        <v>159</v>
      </c>
      <c r="D1005" s="4" t="s">
        <v>49</v>
      </c>
      <c r="E1005" s="6" t="s">
        <v>136</v>
      </c>
      <c r="F1005" s="12">
        <f>INDEX('PEDIDO JULIO'!A24:W37,1,23)</f>
        <v>0</v>
      </c>
      <c r="G1005" s="8">
        <f>IFERROR(VLOOKUP($B1005,'[1]INSUMO POR SEDES MARZO PRUEBA'!$B$6:$CD$109,53,0),"NO BD")</f>
        <v>21493.685699999998</v>
      </c>
      <c r="H1005" s="8"/>
      <c r="I1005" s="8">
        <f t="shared" si="87"/>
        <v>0</v>
      </c>
      <c r="J1005" s="14">
        <f t="shared" si="88"/>
        <v>0</v>
      </c>
      <c r="K1005" s="14">
        <f t="shared" si="89"/>
        <v>0</v>
      </c>
      <c r="L1005" s="14">
        <f t="shared" si="90"/>
        <v>0</v>
      </c>
    </row>
    <row r="1006" spans="1:12" ht="15">
      <c r="A1006" s="3">
        <v>1594</v>
      </c>
      <c r="B1006" s="26">
        <v>74</v>
      </c>
      <c r="C1006" s="7" t="s">
        <v>159</v>
      </c>
      <c r="D1006" s="4" t="s">
        <v>50</v>
      </c>
      <c r="E1006" s="6" t="s">
        <v>136</v>
      </c>
      <c r="F1006" s="12">
        <f>INDEX('PEDIDO JULIO'!A25:W37,1,23)</f>
        <v>0</v>
      </c>
      <c r="G1006" s="8">
        <f>IFERROR(VLOOKUP($B1006,'[1]INSUMO POR SEDES MARZO PRUEBA'!$B$6:$CD$109,53,0),"NO BD")</f>
        <v>6915.4749000000002</v>
      </c>
      <c r="H1006" s="8"/>
      <c r="I1006" s="8">
        <f t="shared" si="87"/>
        <v>0</v>
      </c>
      <c r="J1006" s="14">
        <f t="shared" si="88"/>
        <v>0</v>
      </c>
      <c r="K1006" s="14">
        <f t="shared" si="89"/>
        <v>0</v>
      </c>
      <c r="L1006" s="14">
        <f t="shared" si="90"/>
        <v>0</v>
      </c>
    </row>
    <row r="1007" spans="1:12" ht="15">
      <c r="A1007" s="3">
        <v>1595</v>
      </c>
      <c r="B1007" s="26">
        <v>79</v>
      </c>
      <c r="C1007" s="7" t="s">
        <v>159</v>
      </c>
      <c r="D1007" s="4" t="s">
        <v>51</v>
      </c>
      <c r="E1007" s="6" t="s">
        <v>136</v>
      </c>
      <c r="F1007" s="12">
        <f>INDEX('PEDIDO JULIO'!A26:W37,1,23)</f>
        <v>0</v>
      </c>
      <c r="G1007" s="8">
        <f>IFERROR(VLOOKUP($B1007,'[1]INSUMO POR SEDES MARZO PRUEBA'!$B$6:$CD$109,53,0),"NO BD")</f>
        <v>935.49510000000009</v>
      </c>
      <c r="H1007" s="8"/>
      <c r="I1007" s="8">
        <f t="shared" si="87"/>
        <v>0</v>
      </c>
      <c r="J1007" s="14">
        <f t="shared" si="88"/>
        <v>0</v>
      </c>
      <c r="K1007" s="14">
        <f t="shared" si="89"/>
        <v>0</v>
      </c>
      <c r="L1007" s="14">
        <f t="shared" si="90"/>
        <v>0</v>
      </c>
    </row>
    <row r="1008" spans="1:12" ht="15">
      <c r="A1008" s="3">
        <v>1596</v>
      </c>
      <c r="B1008" s="26">
        <v>80</v>
      </c>
      <c r="C1008" s="7" t="s">
        <v>159</v>
      </c>
      <c r="D1008" s="4" t="s">
        <v>52</v>
      </c>
      <c r="E1008" s="6" t="s">
        <v>136</v>
      </c>
      <c r="F1008" s="12">
        <f>INDEX('PEDIDO JULIO'!A27:W37,1,23)</f>
        <v>0</v>
      </c>
      <c r="G1008" s="8">
        <f>IFERROR(VLOOKUP($B1008,'[1]INSUMO POR SEDES MARZO PRUEBA'!$B$6:$CD$109,53,0),"NO BD")</f>
        <v>607.26779999999997</v>
      </c>
      <c r="H1008" s="8"/>
      <c r="I1008" s="8">
        <f t="shared" si="87"/>
        <v>0</v>
      </c>
      <c r="J1008" s="14">
        <f t="shared" si="88"/>
        <v>0</v>
      </c>
      <c r="K1008" s="14">
        <f t="shared" si="89"/>
        <v>0</v>
      </c>
      <c r="L1008" s="14">
        <f t="shared" si="90"/>
        <v>0</v>
      </c>
    </row>
    <row r="1009" spans="1:12" ht="15">
      <c r="A1009" s="3">
        <v>1597</v>
      </c>
      <c r="B1009" s="26">
        <v>81</v>
      </c>
      <c r="C1009" s="7" t="s">
        <v>53</v>
      </c>
      <c r="D1009" s="4" t="s">
        <v>54</v>
      </c>
      <c r="E1009" s="6" t="s">
        <v>136</v>
      </c>
      <c r="F1009" s="12">
        <f>INDEX('PEDIDO JULIO'!A28:W37,1,23)</f>
        <v>0</v>
      </c>
      <c r="G1009" s="8">
        <f>IFERROR(VLOOKUP($B1009,'[1]INSUMO POR SEDES MARZO PRUEBA'!$B$6:$CD$109,53,0),"NO BD")</f>
        <v>387.81900000000002</v>
      </c>
      <c r="H1009" s="8"/>
      <c r="I1009" s="8">
        <f t="shared" si="87"/>
        <v>0</v>
      </c>
      <c r="J1009" s="14">
        <f t="shared" si="88"/>
        <v>0</v>
      </c>
      <c r="K1009" s="14">
        <f t="shared" si="89"/>
        <v>0</v>
      </c>
      <c r="L1009" s="14">
        <f t="shared" si="90"/>
        <v>0</v>
      </c>
    </row>
    <row r="1010" spans="1:12" ht="15">
      <c r="A1010" s="3">
        <v>1598</v>
      </c>
      <c r="B1010" s="26">
        <v>82</v>
      </c>
      <c r="C1010" s="7" t="s">
        <v>53</v>
      </c>
      <c r="D1010" s="4" t="s">
        <v>55</v>
      </c>
      <c r="E1010" s="6" t="s">
        <v>136</v>
      </c>
      <c r="F1010" s="12">
        <f>INDEX('PEDIDO JULIO'!A28:W37,1,23)</f>
        <v>0</v>
      </c>
      <c r="G1010" s="8">
        <f>IFERROR(VLOOKUP($B1010,'[1]INSUMO POR SEDES MARZO PRUEBA'!$B$6:$CD$109,53,0),"NO BD")</f>
        <v>1003.7049999999999</v>
      </c>
      <c r="H1010" s="8"/>
      <c r="I1010" s="8">
        <f t="shared" si="87"/>
        <v>0</v>
      </c>
      <c r="J1010" s="14">
        <f t="shared" si="88"/>
        <v>0</v>
      </c>
      <c r="K1010" s="14">
        <f t="shared" si="89"/>
        <v>0</v>
      </c>
      <c r="L1010" s="14">
        <f t="shared" si="90"/>
        <v>0</v>
      </c>
    </row>
    <row r="1011" spans="1:12" ht="15">
      <c r="A1011" s="3">
        <v>1599</v>
      </c>
      <c r="B1011" s="26">
        <v>83</v>
      </c>
      <c r="C1011" s="7" t="s">
        <v>53</v>
      </c>
      <c r="D1011" s="4" t="s">
        <v>56</v>
      </c>
      <c r="E1011" s="6" t="s">
        <v>136</v>
      </c>
      <c r="F1011" s="12">
        <f>INDEX('PEDIDO JULIO'!A29:W37,1,23)</f>
        <v>0</v>
      </c>
      <c r="G1011" s="8">
        <f>IFERROR(VLOOKUP($B1011,'[1]INSUMO POR SEDES MARZO PRUEBA'!$B$6:$CD$109,53,0),"NO BD")</f>
        <v>0</v>
      </c>
      <c r="H1011" s="8"/>
      <c r="I1011" s="8">
        <f t="shared" si="87"/>
        <v>0</v>
      </c>
      <c r="J1011" s="14">
        <f t="shared" si="88"/>
        <v>0</v>
      </c>
      <c r="K1011" s="14">
        <f t="shared" si="89"/>
        <v>0</v>
      </c>
      <c r="L1011" s="14">
        <f t="shared" si="90"/>
        <v>0</v>
      </c>
    </row>
    <row r="1012" spans="1:12" ht="15">
      <c r="A1012" s="3">
        <v>1600</v>
      </c>
      <c r="B1012" s="26">
        <v>88</v>
      </c>
      <c r="C1012" s="7" t="s">
        <v>53</v>
      </c>
      <c r="D1012" s="4" t="s">
        <v>57</v>
      </c>
      <c r="E1012" s="6" t="s">
        <v>136</v>
      </c>
      <c r="F1012" s="12">
        <f>INDEX('PEDIDO JULIO'!A30:W37,1,23)</f>
        <v>0</v>
      </c>
      <c r="G1012" s="8">
        <f>IFERROR(VLOOKUP($B1012,'[1]INSUMO POR SEDES MARZO PRUEBA'!$B$6:$CD$109,53,0),"NO BD")</f>
        <v>0</v>
      </c>
      <c r="H1012" s="8"/>
      <c r="I1012" s="8">
        <f t="shared" si="87"/>
        <v>0</v>
      </c>
      <c r="J1012" s="14">
        <f t="shared" si="88"/>
        <v>0</v>
      </c>
      <c r="K1012" s="14">
        <f t="shared" si="89"/>
        <v>0</v>
      </c>
      <c r="L1012" s="14">
        <f t="shared" si="90"/>
        <v>0</v>
      </c>
    </row>
    <row r="1013" spans="1:12" ht="27">
      <c r="A1013" s="3">
        <v>1601</v>
      </c>
      <c r="B1013" s="26">
        <v>92</v>
      </c>
      <c r="C1013" s="7" t="s">
        <v>160</v>
      </c>
      <c r="D1013" s="4" t="s">
        <v>58</v>
      </c>
      <c r="E1013" s="6" t="s">
        <v>136</v>
      </c>
      <c r="F1013" s="12">
        <f>INDEX('PEDIDO JULIO'!A31:W37,1,23)</f>
        <v>0</v>
      </c>
      <c r="G1013" s="8">
        <f>IFERROR(VLOOKUP($B1013,'[1]INSUMO POR SEDES MARZO PRUEBA'!$B$6:$CD$109,53,0),"NO BD")</f>
        <v>2380.5149999999999</v>
      </c>
      <c r="H1013" s="8"/>
      <c r="I1013" s="8">
        <f t="shared" si="87"/>
        <v>0</v>
      </c>
      <c r="J1013" s="14">
        <f t="shared" si="88"/>
        <v>0</v>
      </c>
      <c r="K1013" s="14">
        <f t="shared" si="89"/>
        <v>0</v>
      </c>
      <c r="L1013" s="14">
        <f t="shared" si="90"/>
        <v>0</v>
      </c>
    </row>
    <row r="1014" spans="1:12" ht="15">
      <c r="A1014" s="3">
        <v>1602</v>
      </c>
      <c r="B1014" s="26">
        <v>94</v>
      </c>
      <c r="C1014" s="7" t="s">
        <v>160</v>
      </c>
      <c r="D1014" s="4" t="s">
        <v>59</v>
      </c>
      <c r="E1014" s="6" t="s">
        <v>136</v>
      </c>
      <c r="F1014" s="12">
        <f>INDEX('PEDIDO JULIO'!A32:W37,1,23)</f>
        <v>0</v>
      </c>
      <c r="G1014" s="8">
        <f>IFERROR(VLOOKUP($B1014,'[1]INSUMO POR SEDES MARZO PRUEBA'!$B$6:$CD$109,53,0),"NO BD")</f>
        <v>0</v>
      </c>
      <c r="H1014" s="8"/>
      <c r="I1014" s="8">
        <f t="shared" si="87"/>
        <v>0</v>
      </c>
      <c r="J1014" s="14">
        <f t="shared" ref="J1014:J1045" si="91">+I1014*10%</f>
        <v>0</v>
      </c>
      <c r="K1014" s="14">
        <f t="shared" ref="K1014:K1045" si="92">+J1014*19%</f>
        <v>0</v>
      </c>
      <c r="L1014" s="14">
        <f t="shared" ref="L1014:L1045" si="93">SUM(I1014:K1014)</f>
        <v>0</v>
      </c>
    </row>
    <row r="1015" spans="1:12" ht="15">
      <c r="A1015" s="3">
        <v>1603</v>
      </c>
      <c r="B1015" s="26">
        <v>98</v>
      </c>
      <c r="C1015" s="7" t="s">
        <v>60</v>
      </c>
      <c r="D1015" s="4" t="s">
        <v>61</v>
      </c>
      <c r="E1015" s="6" t="s">
        <v>136</v>
      </c>
      <c r="F1015" s="12">
        <f>INDEX('PEDIDO JULIO'!A33:W37,1,23)</f>
        <v>0</v>
      </c>
      <c r="G1015" s="8">
        <f>IFERROR(VLOOKUP($B1015,'[1]INSUMO POR SEDES MARZO PRUEBA'!$B$6:$CD$109,53,0),"NO BD")</f>
        <v>9503.4573</v>
      </c>
      <c r="H1015" s="8"/>
      <c r="I1015" s="8">
        <f t="shared" si="87"/>
        <v>0</v>
      </c>
      <c r="J1015" s="14">
        <f t="shared" si="91"/>
        <v>0</v>
      </c>
      <c r="K1015" s="14">
        <f t="shared" si="92"/>
        <v>0</v>
      </c>
      <c r="L1015" s="14">
        <f t="shared" si="93"/>
        <v>0</v>
      </c>
    </row>
    <row r="1016" spans="1:12" ht="15">
      <c r="A1016" s="3">
        <v>1604</v>
      </c>
      <c r="B1016" s="26">
        <v>100</v>
      </c>
      <c r="C1016" s="7" t="s">
        <v>60</v>
      </c>
      <c r="D1016" s="4" t="s">
        <v>62</v>
      </c>
      <c r="E1016" s="6" t="s">
        <v>136</v>
      </c>
      <c r="F1016" s="12">
        <f>INDEX('PEDIDO JULIO'!A33:W38,1,23)</f>
        <v>0</v>
      </c>
      <c r="G1016" s="8">
        <f>IFERROR(VLOOKUP($B1016,'[1]INSUMO POR SEDES MARZO PRUEBA'!$B$6:$CD$109,53,0),"NO BD")</f>
        <v>0</v>
      </c>
      <c r="H1016" s="8"/>
      <c r="I1016" s="8">
        <f t="shared" si="87"/>
        <v>0</v>
      </c>
      <c r="J1016" s="14">
        <f t="shared" si="91"/>
        <v>0</v>
      </c>
      <c r="K1016" s="14">
        <f t="shared" si="92"/>
        <v>0</v>
      </c>
      <c r="L1016" s="14">
        <f t="shared" si="93"/>
        <v>0</v>
      </c>
    </row>
    <row r="1017" spans="1:12" ht="15">
      <c r="A1017" s="3">
        <v>1605</v>
      </c>
      <c r="B1017" s="26">
        <v>102</v>
      </c>
      <c r="C1017" s="7" t="s">
        <v>151</v>
      </c>
      <c r="D1017" s="4" t="s">
        <v>63</v>
      </c>
      <c r="E1017" s="6" t="s">
        <v>136</v>
      </c>
      <c r="F1017" s="12">
        <f>INDEX('PEDIDO JULIO'!A33:W38,1,23)</f>
        <v>0</v>
      </c>
      <c r="G1017" s="8">
        <f>IFERROR(VLOOKUP($B1017,'[1]INSUMO POR SEDES MARZO PRUEBA'!$B$6:$CD$109,53,0),"NO BD")</f>
        <v>5422.8446999999996</v>
      </c>
      <c r="H1017" s="8"/>
      <c r="I1017" s="8">
        <f t="shared" si="87"/>
        <v>0</v>
      </c>
      <c r="J1017" s="14">
        <f t="shared" si="91"/>
        <v>0</v>
      </c>
      <c r="K1017" s="14">
        <f t="shared" si="92"/>
        <v>0</v>
      </c>
      <c r="L1017" s="14">
        <f t="shared" si="93"/>
        <v>0</v>
      </c>
    </row>
    <row r="1018" spans="1:12" ht="15">
      <c r="A1018" s="3">
        <v>1606</v>
      </c>
      <c r="B1018" s="26">
        <v>110</v>
      </c>
      <c r="C1018" s="7" t="s">
        <v>160</v>
      </c>
      <c r="D1018" s="4" t="s">
        <v>64</v>
      </c>
      <c r="E1018" s="6" t="s">
        <v>136</v>
      </c>
      <c r="F1018" s="12">
        <f>INDEX('PEDIDO JULIO'!A33:W39,1,23)</f>
        <v>0</v>
      </c>
      <c r="G1018" s="8">
        <f>IFERROR(VLOOKUP($B1018,'[1]INSUMO POR SEDES MARZO PRUEBA'!$B$6:$CD$109,53,0),"NO BD")</f>
        <v>1442.4974999999999</v>
      </c>
      <c r="H1018" s="8"/>
      <c r="I1018" s="8">
        <f t="shared" si="87"/>
        <v>0</v>
      </c>
      <c r="J1018" s="14">
        <f t="shared" si="91"/>
        <v>0</v>
      </c>
      <c r="K1018" s="14">
        <f t="shared" si="92"/>
        <v>0</v>
      </c>
      <c r="L1018" s="14">
        <f t="shared" si="93"/>
        <v>0</v>
      </c>
    </row>
    <row r="1019" spans="1:12" ht="27">
      <c r="A1019" s="3">
        <v>1607</v>
      </c>
      <c r="B1019" s="26">
        <v>118</v>
      </c>
      <c r="C1019" s="7" t="s">
        <v>60</v>
      </c>
      <c r="D1019" s="4" t="s">
        <v>65</v>
      </c>
      <c r="E1019" s="6" t="s">
        <v>136</v>
      </c>
      <c r="F1019" s="12">
        <f>INDEX('PEDIDO JULIO'!A33:W40,1,23)</f>
        <v>0</v>
      </c>
      <c r="G1019" s="8">
        <f>IFERROR(VLOOKUP($B1019,'[1]INSUMO POR SEDES MARZO PRUEBA'!$B$6:$CD$109,53,0),"NO BD")</f>
        <v>4129.7993999999999</v>
      </c>
      <c r="H1019" s="8"/>
      <c r="I1019" s="8">
        <f t="shared" si="87"/>
        <v>0</v>
      </c>
      <c r="J1019" s="14">
        <f t="shared" si="91"/>
        <v>0</v>
      </c>
      <c r="K1019" s="14">
        <f t="shared" si="92"/>
        <v>0</v>
      </c>
      <c r="L1019" s="14">
        <f t="shared" si="93"/>
        <v>0</v>
      </c>
    </row>
    <row r="1020" spans="1:12" ht="15">
      <c r="A1020" s="3">
        <v>1608</v>
      </c>
      <c r="B1020" s="26">
        <v>119</v>
      </c>
      <c r="C1020" s="7" t="s">
        <v>66</v>
      </c>
      <c r="D1020" s="4" t="s">
        <v>67</v>
      </c>
      <c r="E1020" s="6" t="s">
        <v>136</v>
      </c>
      <c r="F1020" s="12">
        <f>INDEX('PEDIDO JULIO'!A33:W40,1,23)</f>
        <v>0</v>
      </c>
      <c r="G1020" s="8">
        <f>IFERROR(VLOOKUP($B1020,'[1]INSUMO POR SEDES MARZO PRUEBA'!$B$6:$CD$109,53,0),"NO BD")</f>
        <v>4259.3877000000002</v>
      </c>
      <c r="H1020" s="8"/>
      <c r="I1020" s="8">
        <f t="shared" si="87"/>
        <v>0</v>
      </c>
      <c r="J1020" s="14">
        <f t="shared" si="91"/>
        <v>0</v>
      </c>
      <c r="K1020" s="14">
        <f t="shared" si="92"/>
        <v>0</v>
      </c>
      <c r="L1020" s="14">
        <f t="shared" si="93"/>
        <v>0</v>
      </c>
    </row>
    <row r="1021" spans="1:12" ht="15">
      <c r="A1021" s="3">
        <v>1609</v>
      </c>
      <c r="B1021" s="26">
        <v>120</v>
      </c>
      <c r="C1021" s="7" t="s">
        <v>66</v>
      </c>
      <c r="D1021" s="4" t="s">
        <v>68</v>
      </c>
      <c r="E1021" s="6" t="s">
        <v>136</v>
      </c>
      <c r="F1021" s="12">
        <f>INDEX('PEDIDO JULIO'!A33:W40,1,23)</f>
        <v>0</v>
      </c>
      <c r="G1021" s="8">
        <f>IFERROR(VLOOKUP($B1021,'[1]INSUMO POR SEDES MARZO PRUEBA'!$B$6:$CD$109,53,0),"NO BD")</f>
        <v>4259.3877000000002</v>
      </c>
      <c r="H1021" s="8"/>
      <c r="I1021" s="8">
        <f t="shared" si="87"/>
        <v>0</v>
      </c>
      <c r="J1021" s="14">
        <f t="shared" si="91"/>
        <v>0</v>
      </c>
      <c r="K1021" s="14">
        <f t="shared" si="92"/>
        <v>0</v>
      </c>
      <c r="L1021" s="14">
        <f t="shared" si="93"/>
        <v>0</v>
      </c>
    </row>
    <row r="1022" spans="1:12" ht="15">
      <c r="A1022" s="3">
        <v>1610</v>
      </c>
      <c r="B1022" s="26">
        <v>122</v>
      </c>
      <c r="C1022" s="7" t="s">
        <v>66</v>
      </c>
      <c r="D1022" s="4" t="s">
        <v>69</v>
      </c>
      <c r="E1022" s="6" t="s">
        <v>136</v>
      </c>
      <c r="F1022" s="12">
        <f>INDEX('PEDIDO JULIO'!A33:W41,1,23)</f>
        <v>0</v>
      </c>
      <c r="G1022" s="8">
        <f>IFERROR(VLOOKUP($B1022,'[1]INSUMO POR SEDES MARZO PRUEBA'!$B$6:$CD$109,53,0),"NO BD")</f>
        <v>5920.3881000000001</v>
      </c>
      <c r="H1022" s="8"/>
      <c r="I1022" s="8">
        <f t="shared" si="87"/>
        <v>0</v>
      </c>
      <c r="J1022" s="14">
        <f t="shared" si="91"/>
        <v>0</v>
      </c>
      <c r="K1022" s="14">
        <f t="shared" si="92"/>
        <v>0</v>
      </c>
      <c r="L1022" s="14">
        <f t="shared" si="93"/>
        <v>0</v>
      </c>
    </row>
    <row r="1023" spans="1:12" ht="15">
      <c r="A1023" s="3">
        <v>1611</v>
      </c>
      <c r="B1023" s="26">
        <v>123</v>
      </c>
      <c r="C1023" s="7" t="s">
        <v>66</v>
      </c>
      <c r="D1023" s="4" t="s">
        <v>70</v>
      </c>
      <c r="E1023" s="6" t="s">
        <v>136</v>
      </c>
      <c r="F1023" s="12">
        <f>INDEX('PEDIDO JULIO'!A33:W41,1,23)</f>
        <v>0</v>
      </c>
      <c r="G1023" s="8">
        <f>IFERROR(VLOOKUP($B1023,'[1]INSUMO POR SEDES MARZO PRUEBA'!$B$6:$CD$109,53,0),"NO BD")</f>
        <v>6169.1598000000004</v>
      </c>
      <c r="H1023" s="8"/>
      <c r="I1023" s="8">
        <f t="shared" si="87"/>
        <v>0</v>
      </c>
      <c r="J1023" s="14">
        <f t="shared" si="91"/>
        <v>0</v>
      </c>
      <c r="K1023" s="14">
        <f t="shared" si="92"/>
        <v>0</v>
      </c>
      <c r="L1023" s="14">
        <f t="shared" si="93"/>
        <v>0</v>
      </c>
    </row>
    <row r="1024" spans="1:12" ht="15">
      <c r="A1024" s="3">
        <v>1612</v>
      </c>
      <c r="B1024" s="26">
        <v>124</v>
      </c>
      <c r="C1024" s="7" t="s">
        <v>66</v>
      </c>
      <c r="D1024" s="4" t="s">
        <v>71</v>
      </c>
      <c r="E1024" s="6" t="s">
        <v>136</v>
      </c>
      <c r="F1024" s="12">
        <f>INDEX('PEDIDO JULIO'!A33:W42,1,23)</f>
        <v>0</v>
      </c>
      <c r="G1024" s="8">
        <f>IFERROR(VLOOKUP($B1024,'[1]INSUMO POR SEDES MARZO PRUEBA'!$B$6:$CD$109,53,0),"NO BD")</f>
        <v>6169.1598000000004</v>
      </c>
      <c r="H1024" s="8"/>
      <c r="I1024" s="8">
        <f t="shared" si="87"/>
        <v>0</v>
      </c>
      <c r="J1024" s="14">
        <f t="shared" si="91"/>
        <v>0</v>
      </c>
      <c r="K1024" s="14">
        <f t="shared" si="92"/>
        <v>0</v>
      </c>
      <c r="L1024" s="14">
        <f t="shared" si="93"/>
        <v>0</v>
      </c>
    </row>
    <row r="1025" spans="1:12" ht="15">
      <c r="A1025" s="3">
        <v>1613</v>
      </c>
      <c r="B1025" s="26">
        <v>137</v>
      </c>
      <c r="C1025" s="7" t="s">
        <v>66</v>
      </c>
      <c r="D1025" s="4" t="s">
        <v>72</v>
      </c>
      <c r="E1025" s="6" t="s">
        <v>136</v>
      </c>
      <c r="F1025" s="12">
        <f>INDEX('PEDIDO JULIO'!A33:W42,1,23)</f>
        <v>0</v>
      </c>
      <c r="G1025" s="8">
        <f>IFERROR(VLOOKUP($B1025,'[1]INSUMO POR SEDES MARZO PRUEBA'!$B$6:$CD$109,53,0),"NO BD")</f>
        <v>0</v>
      </c>
      <c r="H1025" s="8"/>
      <c r="I1025" s="8">
        <f t="shared" si="87"/>
        <v>0</v>
      </c>
      <c r="J1025" s="14">
        <f t="shared" si="91"/>
        <v>0</v>
      </c>
      <c r="K1025" s="14">
        <f t="shared" si="92"/>
        <v>0</v>
      </c>
      <c r="L1025" s="14">
        <f t="shared" si="93"/>
        <v>0</v>
      </c>
    </row>
    <row r="1026" spans="1:12" ht="15">
      <c r="A1026" s="3">
        <v>1614</v>
      </c>
      <c r="B1026" s="26">
        <v>139</v>
      </c>
      <c r="C1026" s="7" t="s">
        <v>158</v>
      </c>
      <c r="D1026" s="4" t="s">
        <v>73</v>
      </c>
      <c r="E1026" s="6" t="s">
        <v>136</v>
      </c>
      <c r="F1026" s="12">
        <f>INDEX('PEDIDO JULIO'!A33:W42,1,23)</f>
        <v>0</v>
      </c>
      <c r="G1026" s="8">
        <f>IFERROR(VLOOKUP($B1026,'[1]INSUMO POR SEDES MARZO PRUEBA'!$B$6:$CD$109,53,0),"NO BD")</f>
        <v>51246.970200000003</v>
      </c>
      <c r="H1026" s="8"/>
      <c r="I1026" s="8">
        <f t="shared" si="87"/>
        <v>0</v>
      </c>
      <c r="J1026" s="14">
        <f t="shared" si="91"/>
        <v>0</v>
      </c>
      <c r="K1026" s="14">
        <f t="shared" si="92"/>
        <v>0</v>
      </c>
      <c r="L1026" s="14">
        <f t="shared" si="93"/>
        <v>0</v>
      </c>
    </row>
    <row r="1027" spans="1:12" ht="15">
      <c r="A1027" s="3">
        <v>1615</v>
      </c>
      <c r="B1027" s="26">
        <v>151</v>
      </c>
      <c r="C1027" s="7" t="s">
        <v>158</v>
      </c>
      <c r="D1027" s="4" t="s">
        <v>74</v>
      </c>
      <c r="E1027" s="6" t="s">
        <v>136</v>
      </c>
      <c r="F1027" s="12">
        <f>INDEX('PEDIDO JULIO'!A33:W42,1,23)</f>
        <v>0</v>
      </c>
      <c r="G1027" s="8">
        <f>IFERROR(VLOOKUP($B1027,'[1]INSUMO POR SEDES MARZO PRUEBA'!$B$6:$CD$109,53,0),"NO BD")</f>
        <v>4422.6080000000002</v>
      </c>
      <c r="H1027" s="8"/>
      <c r="I1027" s="8">
        <f t="shared" si="87"/>
        <v>0</v>
      </c>
      <c r="J1027" s="14">
        <f t="shared" si="91"/>
        <v>0</v>
      </c>
      <c r="K1027" s="14">
        <f t="shared" si="92"/>
        <v>0</v>
      </c>
      <c r="L1027" s="14">
        <f t="shared" si="93"/>
        <v>0</v>
      </c>
    </row>
    <row r="1028" spans="1:12" ht="15">
      <c r="A1028" s="3">
        <v>1616</v>
      </c>
      <c r="B1028" s="26">
        <v>155</v>
      </c>
      <c r="C1028" s="7" t="s">
        <v>158</v>
      </c>
      <c r="D1028" s="4" t="s">
        <v>75</v>
      </c>
      <c r="E1028" s="6" t="s">
        <v>136</v>
      </c>
      <c r="F1028" s="12">
        <f>INDEX('PEDIDO JULIO'!A33:W43,1,23)</f>
        <v>0</v>
      </c>
      <c r="G1028" s="8">
        <f>IFERROR(VLOOKUP($B1028,'[1]INSUMO POR SEDES MARZO PRUEBA'!$B$6:$CD$109,53,0),"NO BD")</f>
        <v>5005.7028</v>
      </c>
      <c r="H1028" s="8"/>
      <c r="I1028" s="8">
        <f t="shared" si="87"/>
        <v>0</v>
      </c>
      <c r="J1028" s="14">
        <f t="shared" si="91"/>
        <v>0</v>
      </c>
      <c r="K1028" s="14">
        <f t="shared" si="92"/>
        <v>0</v>
      </c>
      <c r="L1028" s="14">
        <f t="shared" si="93"/>
        <v>0</v>
      </c>
    </row>
    <row r="1029" spans="1:12" ht="15">
      <c r="A1029" s="3">
        <v>1617</v>
      </c>
      <c r="B1029" s="26">
        <v>156</v>
      </c>
      <c r="C1029" s="7" t="s">
        <v>158</v>
      </c>
      <c r="D1029" s="4" t="s">
        <v>76</v>
      </c>
      <c r="E1029" s="6" t="s">
        <v>136</v>
      </c>
      <c r="F1029" s="12">
        <f>INDEX('PEDIDO JULIO'!A33:W43,1,23)</f>
        <v>0</v>
      </c>
      <c r="G1029" s="8">
        <f>IFERROR(VLOOKUP($B1029,'[1]INSUMO POR SEDES MARZO PRUEBA'!$B$6:$CD$109,53,0),"NO BD")</f>
        <v>7711.9227000000001</v>
      </c>
      <c r="H1029" s="8"/>
      <c r="I1029" s="8">
        <f t="shared" si="87"/>
        <v>0</v>
      </c>
      <c r="J1029" s="14">
        <f t="shared" si="91"/>
        <v>0</v>
      </c>
      <c r="K1029" s="14">
        <f t="shared" si="92"/>
        <v>0</v>
      </c>
      <c r="L1029" s="14">
        <f t="shared" si="93"/>
        <v>0</v>
      </c>
    </row>
    <row r="1030" spans="1:12" ht="15">
      <c r="A1030" s="3">
        <v>1618</v>
      </c>
      <c r="B1030" s="26">
        <v>157</v>
      </c>
      <c r="C1030" s="7" t="s">
        <v>158</v>
      </c>
      <c r="D1030" s="4" t="s">
        <v>77</v>
      </c>
      <c r="E1030" s="6" t="s">
        <v>136</v>
      </c>
      <c r="F1030" s="12">
        <f>INDEX('PEDIDO JULIO'!A33:W43,1,23)</f>
        <v>0</v>
      </c>
      <c r="G1030" s="8">
        <f>IFERROR(VLOOKUP($B1030,'[1]INSUMO POR SEDES MARZO PRUEBA'!$B$6:$CD$109,53,0),"NO BD")</f>
        <v>8955.7812000000013</v>
      </c>
      <c r="H1030" s="8"/>
      <c r="I1030" s="8">
        <f t="shared" ref="I1030:I1093" si="94">+F1030*G1030</f>
        <v>0</v>
      </c>
      <c r="J1030" s="14">
        <f t="shared" si="91"/>
        <v>0</v>
      </c>
      <c r="K1030" s="14">
        <f t="shared" si="92"/>
        <v>0</v>
      </c>
      <c r="L1030" s="14">
        <f t="shared" si="93"/>
        <v>0</v>
      </c>
    </row>
    <row r="1031" spans="1:12" ht="15">
      <c r="A1031" s="3">
        <v>1619</v>
      </c>
      <c r="B1031" s="31">
        <v>159</v>
      </c>
      <c r="C1031" s="7" t="s">
        <v>158</v>
      </c>
      <c r="D1031" s="4" t="s">
        <v>78</v>
      </c>
      <c r="E1031" s="6" t="s">
        <v>136</v>
      </c>
      <c r="F1031" s="12">
        <f>INDEX('PEDIDO JULIO'!A33:W44,1,23)</f>
        <v>0</v>
      </c>
      <c r="G1031" s="8">
        <f>IFERROR(VLOOKUP($B1031,'[1]INSUMO POR SEDES MARZO PRUEBA'!$B$6:$CD$109,53,0),"NO BD")</f>
        <v>6716.8359</v>
      </c>
      <c r="H1031" s="8"/>
      <c r="I1031" s="8">
        <f t="shared" si="94"/>
        <v>0</v>
      </c>
      <c r="J1031" s="14">
        <f t="shared" si="91"/>
        <v>0</v>
      </c>
      <c r="K1031" s="14">
        <f t="shared" si="92"/>
        <v>0</v>
      </c>
      <c r="L1031" s="14">
        <f t="shared" si="93"/>
        <v>0</v>
      </c>
    </row>
    <row r="1032" spans="1:12" ht="15">
      <c r="A1032" s="3">
        <v>1620</v>
      </c>
      <c r="B1032" s="26">
        <v>160</v>
      </c>
      <c r="C1032" s="7" t="s">
        <v>158</v>
      </c>
      <c r="D1032" s="4" t="s">
        <v>79</v>
      </c>
      <c r="E1032" s="6" t="s">
        <v>136</v>
      </c>
      <c r="F1032" s="12">
        <f>INDEX('PEDIDO JULIO'!A33:W44,1,23)</f>
        <v>0</v>
      </c>
      <c r="G1032" s="8">
        <f>IFERROR(VLOOKUP($B1032,'[1]INSUMO POR SEDES MARZO PRUEBA'!$B$6:$CD$109,53,0),"NO BD")</f>
        <v>3035.3931000000002</v>
      </c>
      <c r="H1032" s="8"/>
      <c r="I1032" s="8">
        <f t="shared" si="94"/>
        <v>0</v>
      </c>
      <c r="J1032" s="14">
        <f t="shared" si="91"/>
        <v>0</v>
      </c>
      <c r="K1032" s="14">
        <f t="shared" si="92"/>
        <v>0</v>
      </c>
      <c r="L1032" s="14">
        <f t="shared" si="93"/>
        <v>0</v>
      </c>
    </row>
    <row r="1033" spans="1:12" ht="15">
      <c r="A1033" s="3">
        <v>1621</v>
      </c>
      <c r="B1033" s="26">
        <v>162</v>
      </c>
      <c r="C1033" s="7" t="s">
        <v>158</v>
      </c>
      <c r="D1033" s="4" t="s">
        <v>80</v>
      </c>
      <c r="E1033" s="6" t="s">
        <v>136</v>
      </c>
      <c r="F1033" s="12">
        <f>INDEX('PEDIDO JULIO'!A33:W44,1,23)</f>
        <v>0</v>
      </c>
      <c r="G1033" s="8">
        <f>IFERROR(VLOOKUP($B1033,'[1]INSUMO POR SEDES MARZO PRUEBA'!$B$6:$CD$109,53,0),"NO BD")</f>
        <v>4030.4798999999998</v>
      </c>
      <c r="H1033" s="8"/>
      <c r="I1033" s="8">
        <f t="shared" si="94"/>
        <v>0</v>
      </c>
      <c r="J1033" s="14">
        <f t="shared" si="91"/>
        <v>0</v>
      </c>
      <c r="K1033" s="14">
        <f t="shared" si="92"/>
        <v>0</v>
      </c>
      <c r="L1033" s="14">
        <f t="shared" si="93"/>
        <v>0</v>
      </c>
    </row>
    <row r="1034" spans="1:12" ht="15">
      <c r="A1034" s="3">
        <v>1622</v>
      </c>
      <c r="B1034" s="26">
        <v>164</v>
      </c>
      <c r="C1034" s="7" t="s">
        <v>158</v>
      </c>
      <c r="D1034" s="4" t="s">
        <v>81</v>
      </c>
      <c r="E1034" s="6" t="s">
        <v>136</v>
      </c>
      <c r="F1034" s="12">
        <f>INDEX('PEDIDO JULIO'!A33:W44,1,23)</f>
        <v>0</v>
      </c>
      <c r="G1034" s="8">
        <f>IFERROR(VLOOKUP($B1034,'[1]INSUMO POR SEDES MARZO PRUEBA'!$B$6:$CD$109,53,0),"NO BD")</f>
        <v>0</v>
      </c>
      <c r="H1034" s="8"/>
      <c r="I1034" s="8">
        <f t="shared" si="94"/>
        <v>0</v>
      </c>
      <c r="J1034" s="14">
        <f t="shared" si="91"/>
        <v>0</v>
      </c>
      <c r="K1034" s="14">
        <f t="shared" si="92"/>
        <v>0</v>
      </c>
      <c r="L1034" s="14">
        <f t="shared" si="93"/>
        <v>0</v>
      </c>
    </row>
    <row r="1035" spans="1:12" ht="15">
      <c r="A1035" s="3">
        <v>1623</v>
      </c>
      <c r="B1035" s="26">
        <v>169</v>
      </c>
      <c r="C1035" s="7" t="s">
        <v>158</v>
      </c>
      <c r="D1035" s="4" t="s">
        <v>82</v>
      </c>
      <c r="E1035" s="6" t="s">
        <v>136</v>
      </c>
      <c r="F1035" s="12">
        <f>INDEX('PEDIDO JULIO'!A33:W45,1,23)</f>
        <v>0</v>
      </c>
      <c r="G1035" s="8">
        <f>IFERROR(VLOOKUP($B1035,'[1]INSUMO POR SEDES MARZO PRUEBA'!$B$6:$CD$109,53,0),"NO BD")</f>
        <v>0</v>
      </c>
      <c r="H1035" s="8"/>
      <c r="I1035" s="8">
        <f t="shared" si="94"/>
        <v>0</v>
      </c>
      <c r="J1035" s="14">
        <f t="shared" si="91"/>
        <v>0</v>
      </c>
      <c r="K1035" s="14">
        <f t="shared" si="92"/>
        <v>0</v>
      </c>
      <c r="L1035" s="14">
        <f t="shared" si="93"/>
        <v>0</v>
      </c>
    </row>
    <row r="1036" spans="1:12" ht="15">
      <c r="A1036" s="3">
        <v>1624</v>
      </c>
      <c r="B1036" s="26">
        <v>170</v>
      </c>
      <c r="C1036" s="7" t="s">
        <v>158</v>
      </c>
      <c r="D1036" s="4" t="s">
        <v>83</v>
      </c>
      <c r="E1036" s="6" t="s">
        <v>136</v>
      </c>
      <c r="F1036" s="12">
        <f>INDEX('PEDIDO JULIO'!A33:W46,1,23)</f>
        <v>0</v>
      </c>
      <c r="G1036" s="8">
        <f>IFERROR(VLOOKUP($B1036,'[1]INSUMO POR SEDES MARZO PRUEBA'!$B$6:$CD$109,53,0),"NO BD")</f>
        <v>45575.353799999997</v>
      </c>
      <c r="H1036" s="8"/>
      <c r="I1036" s="8">
        <f t="shared" si="94"/>
        <v>0</v>
      </c>
      <c r="J1036" s="14">
        <f t="shared" si="91"/>
        <v>0</v>
      </c>
      <c r="K1036" s="14">
        <f t="shared" si="92"/>
        <v>0</v>
      </c>
      <c r="L1036" s="14">
        <f t="shared" si="93"/>
        <v>0</v>
      </c>
    </row>
    <row r="1037" spans="1:12" ht="15">
      <c r="A1037" s="3">
        <v>1625</v>
      </c>
      <c r="B1037" s="26">
        <v>174</v>
      </c>
      <c r="C1037" s="7" t="s">
        <v>158</v>
      </c>
      <c r="D1037" s="4" t="s">
        <v>84</v>
      </c>
      <c r="E1037" s="6" t="s">
        <v>136</v>
      </c>
      <c r="F1037" s="12">
        <f>INDEX('PEDIDO JULIO'!A33:W47,1,23)</f>
        <v>0</v>
      </c>
      <c r="G1037" s="8">
        <f>IFERROR(VLOOKUP($B1037,'[1]INSUMO POR SEDES MARZO PRUEBA'!$B$6:$CD$109,53,0),"NO BD")</f>
        <v>10050.1875</v>
      </c>
      <c r="H1037" s="8"/>
      <c r="I1037" s="8">
        <f t="shared" si="94"/>
        <v>0</v>
      </c>
      <c r="J1037" s="14">
        <f t="shared" si="91"/>
        <v>0</v>
      </c>
      <c r="K1037" s="14">
        <f t="shared" si="92"/>
        <v>0</v>
      </c>
      <c r="L1037" s="14">
        <f t="shared" si="93"/>
        <v>0</v>
      </c>
    </row>
    <row r="1038" spans="1:12" ht="15">
      <c r="A1038" s="3">
        <v>1626</v>
      </c>
      <c r="B1038" s="26">
        <v>192</v>
      </c>
      <c r="C1038" s="7" t="s">
        <v>158</v>
      </c>
      <c r="D1038" s="4" t="s">
        <v>85</v>
      </c>
      <c r="E1038" s="6" t="s">
        <v>136</v>
      </c>
      <c r="F1038" s="12">
        <f>INDEX('PEDIDO JULIO'!A33:W47,1,23)</f>
        <v>0</v>
      </c>
      <c r="G1038" s="8">
        <f>IFERROR(VLOOKUP($B1038,'[1]INSUMO POR SEDES MARZO PRUEBA'!$B$6:$CD$109,53,0),"NO BD")</f>
        <v>6866.2880999999998</v>
      </c>
      <c r="H1038" s="8"/>
      <c r="I1038" s="8">
        <f t="shared" si="94"/>
        <v>0</v>
      </c>
      <c r="J1038" s="14">
        <f t="shared" si="91"/>
        <v>0</v>
      </c>
      <c r="K1038" s="14">
        <f t="shared" si="92"/>
        <v>0</v>
      </c>
      <c r="L1038" s="14">
        <f t="shared" si="93"/>
        <v>0</v>
      </c>
    </row>
    <row r="1039" spans="1:12" ht="15">
      <c r="A1039" s="3">
        <v>1627</v>
      </c>
      <c r="B1039" s="26">
        <v>195</v>
      </c>
      <c r="C1039" s="7" t="s">
        <v>152</v>
      </c>
      <c r="D1039" s="4" t="s">
        <v>86</v>
      </c>
      <c r="E1039" s="6" t="s">
        <v>136</v>
      </c>
      <c r="F1039" s="12">
        <f>INDEX('PEDIDO JULIO'!A33:W47,1,23)</f>
        <v>0</v>
      </c>
      <c r="G1039" s="8">
        <f>IFERROR(VLOOKUP($B1039,'[1]INSUMO POR SEDES MARZO PRUEBA'!$B$6:$CD$109,53,0),"NO BD")</f>
        <v>6431.0690000000004</v>
      </c>
      <c r="H1039" s="8"/>
      <c r="I1039" s="8">
        <f t="shared" si="94"/>
        <v>0</v>
      </c>
      <c r="J1039" s="14">
        <f t="shared" si="91"/>
        <v>0</v>
      </c>
      <c r="K1039" s="14">
        <f t="shared" si="92"/>
        <v>0</v>
      </c>
      <c r="L1039" s="14">
        <f t="shared" si="93"/>
        <v>0</v>
      </c>
    </row>
    <row r="1040" spans="1:12" ht="15">
      <c r="A1040" s="3">
        <v>1628</v>
      </c>
      <c r="B1040" s="26">
        <v>204</v>
      </c>
      <c r="C1040" s="7" t="s">
        <v>87</v>
      </c>
      <c r="D1040" s="4" t="s">
        <v>88</v>
      </c>
      <c r="E1040" s="6" t="s">
        <v>136</v>
      </c>
      <c r="F1040" s="12">
        <f>INDEX('PEDIDO JULIO'!A33:W47,1,23)</f>
        <v>0</v>
      </c>
      <c r="G1040" s="8">
        <f>IFERROR(VLOOKUP($B1040,'[1]INSUMO POR SEDES MARZO PRUEBA'!$B$6:$CD$109,53,0),"NO BD")</f>
        <v>25673.6178</v>
      </c>
      <c r="H1040" s="8"/>
      <c r="I1040" s="8">
        <f t="shared" si="94"/>
        <v>0</v>
      </c>
      <c r="J1040" s="14">
        <f t="shared" si="91"/>
        <v>0</v>
      </c>
      <c r="K1040" s="14">
        <f t="shared" si="92"/>
        <v>0</v>
      </c>
      <c r="L1040" s="14">
        <f t="shared" si="93"/>
        <v>0</v>
      </c>
    </row>
    <row r="1041" spans="1:12" ht="15">
      <c r="A1041" s="3">
        <v>1629</v>
      </c>
      <c r="B1041" s="26">
        <v>205</v>
      </c>
      <c r="C1041" s="7" t="s">
        <v>87</v>
      </c>
      <c r="D1041" s="4" t="s">
        <v>89</v>
      </c>
      <c r="E1041" s="6" t="s">
        <v>136</v>
      </c>
      <c r="F1041" s="12">
        <f>INDEX('PEDIDO JULIO'!A33:W47,1,23)</f>
        <v>0</v>
      </c>
      <c r="G1041" s="8">
        <f>IFERROR(VLOOKUP($B1041,'[1]INSUMO POR SEDES MARZO PRUEBA'!$B$6:$CD$109,53,0),"NO BD")</f>
        <v>32639.225399999996</v>
      </c>
      <c r="H1041" s="8"/>
      <c r="I1041" s="8">
        <f t="shared" si="94"/>
        <v>0</v>
      </c>
      <c r="J1041" s="14">
        <f t="shared" si="91"/>
        <v>0</v>
      </c>
      <c r="K1041" s="14">
        <f t="shared" si="92"/>
        <v>0</v>
      </c>
      <c r="L1041" s="14">
        <f t="shared" si="93"/>
        <v>0</v>
      </c>
    </row>
    <row r="1042" spans="1:12" ht="15">
      <c r="A1042" s="3">
        <v>1630</v>
      </c>
      <c r="B1042" s="26">
        <v>207</v>
      </c>
      <c r="C1042" s="7" t="s">
        <v>90</v>
      </c>
      <c r="D1042" s="4" t="s">
        <v>91</v>
      </c>
      <c r="E1042" s="6" t="s">
        <v>136</v>
      </c>
      <c r="F1042" s="12">
        <f>INDEX('PEDIDO JULIO'!A33:W47,1,23)</f>
        <v>0</v>
      </c>
      <c r="G1042" s="8">
        <f>IFERROR(VLOOKUP($B1042,'[1]INSUMO POR SEDES MARZO PRUEBA'!$B$6:$CD$109,53,0),"NO BD")</f>
        <v>0</v>
      </c>
      <c r="H1042" s="8"/>
      <c r="I1042" s="8">
        <f t="shared" si="94"/>
        <v>0</v>
      </c>
      <c r="J1042" s="14">
        <f t="shared" si="91"/>
        <v>0</v>
      </c>
      <c r="K1042" s="14">
        <f t="shared" si="92"/>
        <v>0</v>
      </c>
      <c r="L1042" s="14">
        <f t="shared" si="93"/>
        <v>0</v>
      </c>
    </row>
    <row r="1043" spans="1:12" ht="15">
      <c r="A1043" s="3">
        <v>1631</v>
      </c>
      <c r="B1043" s="26">
        <v>212</v>
      </c>
      <c r="C1043" s="7" t="s">
        <v>90</v>
      </c>
      <c r="D1043" s="4" t="s">
        <v>92</v>
      </c>
      <c r="E1043" s="6" t="s">
        <v>136</v>
      </c>
      <c r="F1043" s="12">
        <f>INDEX('PEDIDO JULIO'!A33:W47,1,23)</f>
        <v>0</v>
      </c>
      <c r="G1043" s="8">
        <f>IFERROR(VLOOKUP($B1043,'[1]INSUMO POR SEDES MARZO PRUEBA'!$B$6:$CD$109,53,0),"NO BD")</f>
        <v>0</v>
      </c>
      <c r="H1043" s="8"/>
      <c r="I1043" s="8">
        <f t="shared" si="94"/>
        <v>0</v>
      </c>
      <c r="J1043" s="14">
        <f t="shared" si="91"/>
        <v>0</v>
      </c>
      <c r="K1043" s="14">
        <f t="shared" si="92"/>
        <v>0</v>
      </c>
      <c r="L1043" s="14">
        <f t="shared" si="93"/>
        <v>0</v>
      </c>
    </row>
    <row r="1044" spans="1:12" ht="15">
      <c r="A1044" s="3">
        <v>1632</v>
      </c>
      <c r="B1044" s="26">
        <v>218</v>
      </c>
      <c r="C1044" s="7" t="s">
        <v>93</v>
      </c>
      <c r="D1044" s="4" t="s">
        <v>94</v>
      </c>
      <c r="E1044" s="6" t="s">
        <v>136</v>
      </c>
      <c r="F1044" s="12">
        <f>INDEX('PEDIDO JULIO'!A33:W47,1,23)</f>
        <v>0</v>
      </c>
      <c r="G1044" s="8">
        <f>IFERROR(VLOOKUP($B1044,'[1]INSUMO POR SEDES MARZO PRUEBA'!$B$6:$CD$109,53,0),"NO BD")</f>
        <v>1437.768</v>
      </c>
      <c r="H1044" s="8"/>
      <c r="I1044" s="8">
        <f t="shared" si="94"/>
        <v>0</v>
      </c>
      <c r="J1044" s="14">
        <f t="shared" si="91"/>
        <v>0</v>
      </c>
      <c r="K1044" s="14">
        <f t="shared" si="92"/>
        <v>0</v>
      </c>
      <c r="L1044" s="14">
        <f t="shared" si="93"/>
        <v>0</v>
      </c>
    </row>
    <row r="1045" spans="1:12" ht="15">
      <c r="A1045" s="3">
        <v>1633</v>
      </c>
      <c r="B1045" s="26">
        <v>251</v>
      </c>
      <c r="C1045" s="7" t="s">
        <v>154</v>
      </c>
      <c r="D1045" s="4" t="s">
        <v>95</v>
      </c>
      <c r="E1045" s="6" t="s">
        <v>136</v>
      </c>
      <c r="F1045" s="12">
        <f>INDEX('PEDIDO JULIO'!A33:W47,1,23)</f>
        <v>0</v>
      </c>
      <c r="G1045" s="8">
        <f>IFERROR(VLOOKUP($B1045,'[1]INSUMO POR SEDES MARZO PRUEBA'!$B$6:$CD$109,53,0),"NO BD")</f>
        <v>0</v>
      </c>
      <c r="H1045" s="8"/>
      <c r="I1045" s="8">
        <f t="shared" si="94"/>
        <v>0</v>
      </c>
      <c r="J1045" s="14">
        <f t="shared" si="91"/>
        <v>0</v>
      </c>
      <c r="K1045" s="14">
        <f t="shared" si="92"/>
        <v>0</v>
      </c>
      <c r="L1045" s="14">
        <f t="shared" si="93"/>
        <v>0</v>
      </c>
    </row>
    <row r="1046" spans="1:12" ht="27">
      <c r="A1046" s="3">
        <v>1674</v>
      </c>
      <c r="B1046" s="39">
        <v>3</v>
      </c>
      <c r="C1046" s="7" t="s">
        <v>18</v>
      </c>
      <c r="D1046" s="4" t="s">
        <v>19</v>
      </c>
      <c r="E1046" s="6" t="s">
        <v>137</v>
      </c>
      <c r="F1046" s="12">
        <f>INDEX('PEDIDO JULIO'!A10:X32,1,24)</f>
        <v>0</v>
      </c>
      <c r="G1046" s="8">
        <f>IFERROR(VLOOKUP($B1046,'[1]INSUMO POR SEDES MARZO PRUEBA'!$B$6:$CD$109,56,0),"NO BD")</f>
        <v>7268.7160000000003</v>
      </c>
      <c r="H1046" s="8"/>
      <c r="I1046" s="8">
        <f t="shared" si="94"/>
        <v>0</v>
      </c>
      <c r="J1046" s="14">
        <f t="shared" ref="J1046:J1101" si="95">+I1046*10%</f>
        <v>0</v>
      </c>
      <c r="K1046" s="14">
        <f t="shared" ref="K1046:K1101" si="96">+J1046*19%</f>
        <v>0</v>
      </c>
      <c r="L1046" s="14">
        <f t="shared" ref="L1046:L1101" si="97">SUM(I1046:K1046)</f>
        <v>0</v>
      </c>
    </row>
    <row r="1047" spans="1:12" ht="27">
      <c r="A1047" s="3">
        <v>1675</v>
      </c>
      <c r="B1047" s="39">
        <v>5</v>
      </c>
      <c r="C1047" s="7" t="s">
        <v>20</v>
      </c>
      <c r="D1047" s="4" t="s">
        <v>21</v>
      </c>
      <c r="E1047" s="6" t="s">
        <v>137</v>
      </c>
      <c r="F1047" s="12">
        <f>INDEX('PEDIDO JULIO'!A10:X32,1,24)</f>
        <v>0</v>
      </c>
      <c r="G1047" s="8">
        <f>IFERROR(VLOOKUP($B1047,'[1]INSUMO POR SEDES MARZO PRUEBA'!$B$6:$CD$109,56,0),"NO BD")</f>
        <v>0</v>
      </c>
      <c r="H1047" s="8"/>
      <c r="I1047" s="8">
        <f t="shared" si="94"/>
        <v>0</v>
      </c>
      <c r="J1047" s="14">
        <f t="shared" si="95"/>
        <v>0</v>
      </c>
      <c r="K1047" s="14">
        <f t="shared" si="96"/>
        <v>0</v>
      </c>
      <c r="L1047" s="14">
        <f t="shared" si="97"/>
        <v>0</v>
      </c>
    </row>
    <row r="1048" spans="1:12" ht="27">
      <c r="A1048" s="3">
        <v>1676</v>
      </c>
      <c r="B1048" s="39">
        <v>8</v>
      </c>
      <c r="C1048" s="7" t="s">
        <v>22</v>
      </c>
      <c r="D1048" s="4" t="s">
        <v>23</v>
      </c>
      <c r="E1048" s="6" t="s">
        <v>137</v>
      </c>
      <c r="F1048" s="12">
        <f>INDEX('PEDIDO JULIO'!A10:X33,1,24)</f>
        <v>0</v>
      </c>
      <c r="G1048" s="8">
        <f>IFERROR(VLOOKUP($B1048,'[1]INSUMO POR SEDES MARZO PRUEBA'!$B$6:$CD$109,56,0),"NO BD")</f>
        <v>2211.3040000000001</v>
      </c>
      <c r="H1048" s="8"/>
      <c r="I1048" s="8">
        <f t="shared" si="94"/>
        <v>0</v>
      </c>
      <c r="J1048" s="14">
        <f t="shared" si="95"/>
        <v>0</v>
      </c>
      <c r="K1048" s="14">
        <f t="shared" si="96"/>
        <v>0</v>
      </c>
      <c r="L1048" s="14">
        <f t="shared" si="97"/>
        <v>0</v>
      </c>
    </row>
    <row r="1049" spans="1:12" ht="15">
      <c r="A1049" s="3">
        <v>1677</v>
      </c>
      <c r="B1049" s="39">
        <v>9</v>
      </c>
      <c r="C1049" s="7" t="s">
        <v>18</v>
      </c>
      <c r="D1049" s="4" t="s">
        <v>24</v>
      </c>
      <c r="E1049" s="6" t="s">
        <v>137</v>
      </c>
      <c r="F1049" s="12">
        <f>INDEX('PEDIDO JULIO'!A10:X33,1,24)</f>
        <v>0</v>
      </c>
      <c r="G1049" s="8">
        <f>IFERROR(VLOOKUP($B1049,'[1]INSUMO POR SEDES MARZO PRUEBA'!$B$6:$CD$109,56,0),"NO BD")</f>
        <v>3298.0379999999996</v>
      </c>
      <c r="H1049" s="8"/>
      <c r="I1049" s="8">
        <f t="shared" si="94"/>
        <v>0</v>
      </c>
      <c r="J1049" s="14">
        <f t="shared" si="95"/>
        <v>0</v>
      </c>
      <c r="K1049" s="14">
        <f t="shared" si="96"/>
        <v>0</v>
      </c>
      <c r="L1049" s="14">
        <f t="shared" si="97"/>
        <v>0</v>
      </c>
    </row>
    <row r="1050" spans="1:12" ht="27">
      <c r="A1050" s="3">
        <v>1678</v>
      </c>
      <c r="B1050" s="39">
        <v>13</v>
      </c>
      <c r="C1050" s="7" t="s">
        <v>155</v>
      </c>
      <c r="D1050" s="4" t="s">
        <v>25</v>
      </c>
      <c r="E1050" s="6" t="s">
        <v>137</v>
      </c>
      <c r="F1050" s="12">
        <f>INDEX('PEDIDO JULIO'!A11:X33,1,24)</f>
        <v>0</v>
      </c>
      <c r="G1050" s="8">
        <f>IFERROR(VLOOKUP($B1050,'[1]INSUMO POR SEDES MARZO PRUEBA'!$B$6:$CD$109,56,0),"NO BD")</f>
        <v>6507.7919999999995</v>
      </c>
      <c r="H1050" s="8"/>
      <c r="I1050" s="8">
        <f t="shared" si="94"/>
        <v>0</v>
      </c>
      <c r="J1050" s="14">
        <f t="shared" si="95"/>
        <v>0</v>
      </c>
      <c r="K1050" s="14">
        <f t="shared" si="96"/>
        <v>0</v>
      </c>
      <c r="L1050" s="14">
        <f t="shared" si="97"/>
        <v>0</v>
      </c>
    </row>
    <row r="1051" spans="1:12" ht="27">
      <c r="A1051" s="3">
        <v>1679</v>
      </c>
      <c r="B1051" s="39">
        <v>17</v>
      </c>
      <c r="C1051" s="7" t="s">
        <v>16</v>
      </c>
      <c r="D1051" s="4" t="s">
        <v>26</v>
      </c>
      <c r="E1051" s="6" t="s">
        <v>137</v>
      </c>
      <c r="F1051" s="12">
        <f>INDEX('PEDIDO JULIO'!A12:X33,1,24)</f>
        <v>0</v>
      </c>
      <c r="G1051" s="8">
        <f>IFERROR(VLOOKUP($B1051,'[1]INSUMO POR SEDES MARZO PRUEBA'!$B$6:$CD$109,56,0),"NO BD")</f>
        <v>5647.0229999999992</v>
      </c>
      <c r="H1051" s="8"/>
      <c r="I1051" s="8">
        <f t="shared" si="94"/>
        <v>0</v>
      </c>
      <c r="J1051" s="14">
        <f t="shared" si="95"/>
        <v>0</v>
      </c>
      <c r="K1051" s="14">
        <f t="shared" si="96"/>
        <v>0</v>
      </c>
      <c r="L1051" s="14">
        <f t="shared" si="97"/>
        <v>0</v>
      </c>
    </row>
    <row r="1052" spans="1:12" ht="15">
      <c r="A1052" s="3">
        <v>1680</v>
      </c>
      <c r="B1052" s="39">
        <v>20</v>
      </c>
      <c r="C1052" s="7" t="s">
        <v>27</v>
      </c>
      <c r="D1052" s="4" t="s">
        <v>28</v>
      </c>
      <c r="E1052" s="6" t="s">
        <v>137</v>
      </c>
      <c r="F1052" s="12">
        <f>INDEX('PEDIDO JULIO'!A12:X33,1,24)</f>
        <v>0</v>
      </c>
      <c r="G1052" s="8">
        <f>IFERROR(VLOOKUP($B1052,'[1]INSUMO POR SEDES MARZO PRUEBA'!$B$6:$CD$109,56,0),"NO BD")</f>
        <v>0</v>
      </c>
      <c r="H1052" s="8"/>
      <c r="I1052" s="8">
        <f t="shared" si="94"/>
        <v>0</v>
      </c>
      <c r="J1052" s="14">
        <f t="shared" si="95"/>
        <v>0</v>
      </c>
      <c r="K1052" s="14">
        <f t="shared" si="96"/>
        <v>0</v>
      </c>
      <c r="L1052" s="14">
        <f t="shared" si="97"/>
        <v>0</v>
      </c>
    </row>
    <row r="1053" spans="1:12" ht="15">
      <c r="A1053" s="3">
        <v>1681</v>
      </c>
      <c r="B1053" s="39">
        <v>21</v>
      </c>
      <c r="C1053" s="7" t="s">
        <v>13</v>
      </c>
      <c r="D1053" s="4" t="s">
        <v>29</v>
      </c>
      <c r="E1053" s="6" t="s">
        <v>137</v>
      </c>
      <c r="F1053" s="12">
        <f>INDEX('PEDIDO JULIO'!A13:X34,1,24)</f>
        <v>0</v>
      </c>
      <c r="G1053" s="8">
        <f>IFERROR(VLOOKUP($B1053,'[1]INSUMO POR SEDES MARZO PRUEBA'!$B$6:$CD$109,56,0),"NO BD")</f>
        <v>5932.8950000000013</v>
      </c>
      <c r="H1053" s="8"/>
      <c r="I1053" s="8">
        <f t="shared" si="94"/>
        <v>0</v>
      </c>
      <c r="J1053" s="14">
        <f t="shared" si="95"/>
        <v>0</v>
      </c>
      <c r="K1053" s="14">
        <f t="shared" si="96"/>
        <v>0</v>
      </c>
      <c r="L1053" s="14">
        <f t="shared" si="97"/>
        <v>0</v>
      </c>
    </row>
    <row r="1054" spans="1:12" ht="15">
      <c r="A1054" s="3">
        <v>1682</v>
      </c>
      <c r="B1054" s="39">
        <v>28</v>
      </c>
      <c r="C1054" s="7" t="s">
        <v>13</v>
      </c>
      <c r="D1054" s="4" t="s">
        <v>30</v>
      </c>
      <c r="E1054" s="6" t="s">
        <v>137</v>
      </c>
      <c r="F1054" s="12">
        <f>INDEX('PEDIDO JULIO'!A14:X34,1,24)</f>
        <v>0</v>
      </c>
      <c r="G1054" s="8">
        <f>IFERROR(VLOOKUP($B1054,'[1]INSUMO POR SEDES MARZO PRUEBA'!$B$6:$CD$109,56,0),"NO BD")</f>
        <v>2764.13</v>
      </c>
      <c r="H1054" s="8"/>
      <c r="I1054" s="8">
        <f t="shared" si="94"/>
        <v>0</v>
      </c>
      <c r="J1054" s="14">
        <f t="shared" si="95"/>
        <v>0</v>
      </c>
      <c r="K1054" s="14">
        <f t="shared" si="96"/>
        <v>0</v>
      </c>
      <c r="L1054" s="14">
        <f t="shared" si="97"/>
        <v>0</v>
      </c>
    </row>
    <row r="1055" spans="1:12" ht="15">
      <c r="A1055" s="3">
        <v>1683</v>
      </c>
      <c r="B1055" s="39">
        <v>29</v>
      </c>
      <c r="C1055" s="7" t="s">
        <v>13</v>
      </c>
      <c r="D1055" s="4" t="s">
        <v>31</v>
      </c>
      <c r="E1055" s="6" t="s">
        <v>137</v>
      </c>
      <c r="F1055" s="12">
        <f>INDEX('PEDIDO JULIO'!A15:X34,1,24)</f>
        <v>0</v>
      </c>
      <c r="G1055" s="8">
        <f>IFERROR(VLOOKUP($B1055,'[1]INSUMO POR SEDES MARZO PRUEBA'!$B$6:$CD$109,56,0),"NO BD")</f>
        <v>4829.3450000000012</v>
      </c>
      <c r="H1055" s="8"/>
      <c r="I1055" s="8">
        <f t="shared" si="94"/>
        <v>0</v>
      </c>
      <c r="J1055" s="14">
        <f t="shared" si="95"/>
        <v>0</v>
      </c>
      <c r="K1055" s="14">
        <f t="shared" si="96"/>
        <v>0</v>
      </c>
      <c r="L1055" s="14">
        <f t="shared" si="97"/>
        <v>0</v>
      </c>
    </row>
    <row r="1056" spans="1:12" ht="15">
      <c r="A1056" s="3">
        <v>1684</v>
      </c>
      <c r="B1056" s="39">
        <v>32</v>
      </c>
      <c r="C1056" s="7" t="s">
        <v>13</v>
      </c>
      <c r="D1056" s="4" t="s">
        <v>32</v>
      </c>
      <c r="E1056" s="6" t="s">
        <v>137</v>
      </c>
      <c r="F1056" s="12">
        <f>INDEX('PEDIDO JULIO'!A16:X34,1,24)</f>
        <v>0</v>
      </c>
      <c r="G1056" s="8">
        <f>IFERROR(VLOOKUP($B1056,'[1]INSUMO POR SEDES MARZO PRUEBA'!$B$6:$CD$109,56,0),"NO BD")</f>
        <v>4115.7160000000003</v>
      </c>
      <c r="H1056" s="8"/>
      <c r="I1056" s="8">
        <f t="shared" si="94"/>
        <v>0</v>
      </c>
      <c r="J1056" s="14">
        <f t="shared" si="95"/>
        <v>0</v>
      </c>
      <c r="K1056" s="14">
        <f t="shared" si="96"/>
        <v>0</v>
      </c>
      <c r="L1056" s="14">
        <f t="shared" si="97"/>
        <v>0</v>
      </c>
    </row>
    <row r="1057" spans="1:12" ht="15">
      <c r="A1057" s="3">
        <v>1685</v>
      </c>
      <c r="B1057" s="39">
        <v>38</v>
      </c>
      <c r="C1057" s="7" t="s">
        <v>33</v>
      </c>
      <c r="D1057" s="4" t="s">
        <v>34</v>
      </c>
      <c r="E1057" s="6" t="s">
        <v>137</v>
      </c>
      <c r="F1057" s="12">
        <f>INDEX('PEDIDO JULIO'!A17:X34,1,24)</f>
        <v>0</v>
      </c>
      <c r="G1057" s="8">
        <f>IFERROR(VLOOKUP($B1057,'[1]INSUMO POR SEDES MARZO PRUEBA'!$B$6:$CD$109,56,0),"NO BD")</f>
        <v>15622.484399999999</v>
      </c>
      <c r="H1057" s="8"/>
      <c r="I1057" s="8">
        <f t="shared" si="94"/>
        <v>0</v>
      </c>
      <c r="J1057" s="14">
        <f t="shared" si="95"/>
        <v>0</v>
      </c>
      <c r="K1057" s="14">
        <f t="shared" si="96"/>
        <v>0</v>
      </c>
      <c r="L1057" s="14">
        <f t="shared" si="97"/>
        <v>0</v>
      </c>
    </row>
    <row r="1058" spans="1:12" ht="15">
      <c r="A1058" s="3">
        <v>1686</v>
      </c>
      <c r="B1058" s="39">
        <v>44</v>
      </c>
      <c r="C1058" s="7" t="s">
        <v>16</v>
      </c>
      <c r="D1058" s="4" t="s">
        <v>35</v>
      </c>
      <c r="E1058" s="6" t="s">
        <v>137</v>
      </c>
      <c r="F1058" s="12">
        <f>INDEX('PEDIDO JULIO'!A17:X34,1,24)</f>
        <v>0</v>
      </c>
      <c r="G1058" s="8">
        <f>IFERROR(VLOOKUP($B1058,'[1]INSUMO POR SEDES MARZO PRUEBA'!$B$6:$CD$109,56,0),"NO BD")</f>
        <v>0</v>
      </c>
      <c r="H1058" s="8"/>
      <c r="I1058" s="8">
        <f t="shared" si="94"/>
        <v>0</v>
      </c>
      <c r="J1058" s="14">
        <f t="shared" si="95"/>
        <v>0</v>
      </c>
      <c r="K1058" s="14">
        <f t="shared" si="96"/>
        <v>0</v>
      </c>
      <c r="L1058" s="14">
        <f t="shared" si="97"/>
        <v>0</v>
      </c>
    </row>
    <row r="1059" spans="1:12" ht="15">
      <c r="A1059" s="3">
        <v>1687</v>
      </c>
      <c r="B1059" s="39">
        <v>50</v>
      </c>
      <c r="C1059" s="7" t="s">
        <v>36</v>
      </c>
      <c r="D1059" s="4" t="s">
        <v>37</v>
      </c>
      <c r="E1059" s="6" t="s">
        <v>137</v>
      </c>
      <c r="F1059" s="12">
        <f>INDEX('PEDIDO JULIO'!A18:X35,1,24)</f>
        <v>0</v>
      </c>
      <c r="G1059" s="8">
        <f>IFERROR(VLOOKUP($B1059,'[1]INSUMO POR SEDES MARZO PRUEBA'!$B$6:$CD$109,56,0),"NO BD")</f>
        <v>0</v>
      </c>
      <c r="H1059" s="8"/>
      <c r="I1059" s="8">
        <f t="shared" si="94"/>
        <v>0</v>
      </c>
      <c r="J1059" s="14">
        <f t="shared" si="95"/>
        <v>0</v>
      </c>
      <c r="K1059" s="14">
        <f t="shared" si="96"/>
        <v>0</v>
      </c>
      <c r="L1059" s="14">
        <f t="shared" si="97"/>
        <v>0</v>
      </c>
    </row>
    <row r="1060" spans="1:12" ht="15">
      <c r="A1060" s="3">
        <v>1688</v>
      </c>
      <c r="B1060" s="39">
        <v>52</v>
      </c>
      <c r="C1060" s="7" t="s">
        <v>36</v>
      </c>
      <c r="D1060" s="4" t="s">
        <v>38</v>
      </c>
      <c r="E1060" s="6" t="s">
        <v>137</v>
      </c>
      <c r="F1060" s="12">
        <f>INDEX('PEDIDO JULIO'!A18:X35,1,24)</f>
        <v>0</v>
      </c>
      <c r="G1060" s="8">
        <f>IFERROR(VLOOKUP($B1060,'[1]INSUMO POR SEDES MARZO PRUEBA'!$B$6:$CD$109,56,0),"NO BD")</f>
        <v>0</v>
      </c>
      <c r="H1060" s="8"/>
      <c r="I1060" s="8">
        <f t="shared" si="94"/>
        <v>0</v>
      </c>
      <c r="J1060" s="14">
        <f t="shared" si="95"/>
        <v>0</v>
      </c>
      <c r="K1060" s="14">
        <f t="shared" si="96"/>
        <v>0</v>
      </c>
      <c r="L1060" s="14">
        <f t="shared" si="97"/>
        <v>0</v>
      </c>
    </row>
    <row r="1061" spans="1:12" ht="15">
      <c r="A1061" s="3">
        <v>1689</v>
      </c>
      <c r="B1061" s="39">
        <v>57</v>
      </c>
      <c r="C1061" s="7" t="s">
        <v>39</v>
      </c>
      <c r="D1061" s="4" t="s">
        <v>40</v>
      </c>
      <c r="E1061" s="6" t="s">
        <v>137</v>
      </c>
      <c r="F1061" s="12">
        <f>INDEX('PEDIDO JULIO'!A18:X35,1,24)</f>
        <v>0</v>
      </c>
      <c r="G1061" s="8">
        <f>IFERROR(VLOOKUP($B1061,'[1]INSUMO POR SEDES MARZO PRUEBA'!$B$6:$CD$109,56,0),"NO BD")</f>
        <v>27464.2065</v>
      </c>
      <c r="H1061" s="8"/>
      <c r="I1061" s="8">
        <f t="shared" si="94"/>
        <v>0</v>
      </c>
      <c r="J1061" s="14">
        <f t="shared" si="95"/>
        <v>0</v>
      </c>
      <c r="K1061" s="14">
        <f t="shared" si="96"/>
        <v>0</v>
      </c>
      <c r="L1061" s="14">
        <f t="shared" si="97"/>
        <v>0</v>
      </c>
    </row>
    <row r="1062" spans="1:12" ht="15">
      <c r="A1062" s="3">
        <v>1690</v>
      </c>
      <c r="B1062" s="39">
        <v>59</v>
      </c>
      <c r="C1062" s="7" t="s">
        <v>39</v>
      </c>
      <c r="D1062" s="4" t="s">
        <v>41</v>
      </c>
      <c r="E1062" s="6" t="s">
        <v>137</v>
      </c>
      <c r="F1062" s="12">
        <f>INDEX('PEDIDO JULIO'!A19:X35,1,24)</f>
        <v>0</v>
      </c>
      <c r="G1062" s="8">
        <f>IFERROR(VLOOKUP($B1062,'[1]INSUMO POR SEDES MARZO PRUEBA'!$B$6:$CD$109,56,0),"NO BD")</f>
        <v>0</v>
      </c>
      <c r="H1062" s="8"/>
      <c r="I1062" s="8">
        <f t="shared" si="94"/>
        <v>0</v>
      </c>
      <c r="J1062" s="14">
        <f t="shared" si="95"/>
        <v>0</v>
      </c>
      <c r="K1062" s="14">
        <f t="shared" si="96"/>
        <v>0</v>
      </c>
      <c r="L1062" s="14">
        <f t="shared" si="97"/>
        <v>0</v>
      </c>
    </row>
    <row r="1063" spans="1:12" ht="15">
      <c r="A1063" s="3">
        <v>1691</v>
      </c>
      <c r="B1063" s="39">
        <v>62</v>
      </c>
      <c r="C1063" s="7" t="s">
        <v>151</v>
      </c>
      <c r="D1063" s="4" t="s">
        <v>42</v>
      </c>
      <c r="E1063" s="6" t="s">
        <v>137</v>
      </c>
      <c r="F1063" s="12">
        <f>INDEX('PEDIDO JULIO'!A19:X35,1,24)</f>
        <v>0</v>
      </c>
      <c r="G1063" s="8">
        <f>IFERROR(VLOOKUP($B1063,'[1]INSUMO POR SEDES MARZO PRUEBA'!$B$6:$CD$109,56,0),"NO BD")</f>
        <v>10100.3202</v>
      </c>
      <c r="H1063" s="8"/>
      <c r="I1063" s="8">
        <f t="shared" si="94"/>
        <v>0</v>
      </c>
      <c r="J1063" s="14">
        <f t="shared" si="95"/>
        <v>0</v>
      </c>
      <c r="K1063" s="14">
        <f t="shared" si="96"/>
        <v>0</v>
      </c>
      <c r="L1063" s="14">
        <f t="shared" si="97"/>
        <v>0</v>
      </c>
    </row>
    <row r="1064" spans="1:12" ht="15">
      <c r="A1064" s="3">
        <v>1692</v>
      </c>
      <c r="B1064" s="39">
        <v>63</v>
      </c>
      <c r="C1064" s="7" t="s">
        <v>151</v>
      </c>
      <c r="D1064" s="4" t="s">
        <v>43</v>
      </c>
      <c r="E1064" s="6" t="s">
        <v>137</v>
      </c>
      <c r="F1064" s="12">
        <f>INDEX('PEDIDO JULIO'!A20:X35,1,24)</f>
        <v>0</v>
      </c>
      <c r="G1064" s="8">
        <f>IFERROR(VLOOKUP($B1064,'[1]INSUMO POR SEDES MARZO PRUEBA'!$B$6:$CD$109,56,0),"NO BD")</f>
        <v>11443.4982</v>
      </c>
      <c r="H1064" s="8"/>
      <c r="I1064" s="8">
        <f t="shared" si="94"/>
        <v>0</v>
      </c>
      <c r="J1064" s="14">
        <f t="shared" si="95"/>
        <v>0</v>
      </c>
      <c r="K1064" s="14">
        <f t="shared" si="96"/>
        <v>0</v>
      </c>
      <c r="L1064" s="14">
        <f t="shared" si="97"/>
        <v>0</v>
      </c>
    </row>
    <row r="1065" spans="1:12" ht="15">
      <c r="A1065" s="3">
        <v>1693</v>
      </c>
      <c r="B1065" s="39">
        <v>64</v>
      </c>
      <c r="C1065" s="7" t="s">
        <v>151</v>
      </c>
      <c r="D1065" s="4" t="s">
        <v>44</v>
      </c>
      <c r="E1065" s="6" t="s">
        <v>137</v>
      </c>
      <c r="F1065" s="12">
        <f>INDEX('PEDIDO JULIO'!A20:X35,1,24)</f>
        <v>0</v>
      </c>
      <c r="G1065" s="8">
        <f>IFERROR(VLOOKUP($B1065,'[1]INSUMO POR SEDES MARZO PRUEBA'!$B$6:$CD$109,56,0),"NO BD")</f>
        <v>0</v>
      </c>
      <c r="H1065" s="8"/>
      <c r="I1065" s="8">
        <f t="shared" si="94"/>
        <v>0</v>
      </c>
      <c r="J1065" s="14">
        <f t="shared" si="95"/>
        <v>0</v>
      </c>
      <c r="K1065" s="14">
        <f t="shared" si="96"/>
        <v>0</v>
      </c>
      <c r="L1065" s="14">
        <f t="shared" si="97"/>
        <v>0</v>
      </c>
    </row>
    <row r="1066" spans="1:12" ht="40.5">
      <c r="A1066" s="3">
        <v>1694</v>
      </c>
      <c r="B1066" s="39">
        <v>65</v>
      </c>
      <c r="C1066" s="7" t="s">
        <v>151</v>
      </c>
      <c r="D1066" s="4" t="s">
        <v>45</v>
      </c>
      <c r="E1066" s="6" t="s">
        <v>137</v>
      </c>
      <c r="F1066" s="12">
        <f>INDEX('PEDIDO JULIO'!A21:X35,1,24)</f>
        <v>0</v>
      </c>
      <c r="G1066" s="8">
        <f>IFERROR(VLOOKUP($B1066,'[1]INSUMO POR SEDES MARZO PRUEBA'!$B$6:$CD$109,56,0),"NO BD")</f>
        <v>13820.650000000001</v>
      </c>
      <c r="H1066" s="8"/>
      <c r="I1066" s="8">
        <f t="shared" si="94"/>
        <v>0</v>
      </c>
      <c r="J1066" s="14">
        <f t="shared" si="95"/>
        <v>0</v>
      </c>
      <c r="K1066" s="14">
        <f t="shared" si="96"/>
        <v>0</v>
      </c>
      <c r="L1066" s="14">
        <f t="shared" si="97"/>
        <v>0</v>
      </c>
    </row>
    <row r="1067" spans="1:12" ht="27">
      <c r="A1067" s="3">
        <v>1695</v>
      </c>
      <c r="B1067" s="39">
        <v>66</v>
      </c>
      <c r="C1067" s="7" t="s">
        <v>46</v>
      </c>
      <c r="D1067" s="4" t="s">
        <v>47</v>
      </c>
      <c r="E1067" s="6" t="s">
        <v>137</v>
      </c>
      <c r="F1067" s="12">
        <f>INDEX('PEDIDO JULIO'!A22:X35,1,24)</f>
        <v>0</v>
      </c>
      <c r="G1067" s="8">
        <f>IFERROR(VLOOKUP($B1067,'[1]INSUMO POR SEDES MARZO PRUEBA'!$B$6:$CD$109,56,0),"NO BD")</f>
        <v>4178.9862000000003</v>
      </c>
      <c r="H1067" s="8"/>
      <c r="I1067" s="8">
        <f t="shared" si="94"/>
        <v>0</v>
      </c>
      <c r="J1067" s="14">
        <f t="shared" si="95"/>
        <v>0</v>
      </c>
      <c r="K1067" s="14">
        <f t="shared" si="96"/>
        <v>0</v>
      </c>
      <c r="L1067" s="14">
        <f t="shared" si="97"/>
        <v>0</v>
      </c>
    </row>
    <row r="1068" spans="1:12" ht="15">
      <c r="A1068" s="3">
        <v>1696</v>
      </c>
      <c r="B1068" s="39">
        <v>71</v>
      </c>
      <c r="C1068" s="7" t="s">
        <v>159</v>
      </c>
      <c r="D1068" s="4" t="s">
        <v>48</v>
      </c>
      <c r="E1068" s="6" t="s">
        <v>137</v>
      </c>
      <c r="F1068" s="12">
        <f>INDEX('PEDIDO JULIO'!A23:X36,1,24)</f>
        <v>2</v>
      </c>
      <c r="G1068" s="8">
        <f>IFERROR(VLOOKUP($B1068,'[1]INSUMO POR SEDES MARZO PRUEBA'!$B$6:$CD$109,56,0),"NO BD")</f>
        <v>5196.1440000000002</v>
      </c>
      <c r="H1068" s="8"/>
      <c r="I1068" s="8">
        <f t="shared" si="94"/>
        <v>10392.288</v>
      </c>
      <c r="J1068" s="14">
        <f t="shared" si="95"/>
        <v>1039.2288000000001</v>
      </c>
      <c r="K1068" s="14">
        <f t="shared" si="96"/>
        <v>197.45347200000003</v>
      </c>
      <c r="L1068" s="14">
        <f t="shared" si="97"/>
        <v>11628.970272</v>
      </c>
    </row>
    <row r="1069" spans="1:12" ht="15">
      <c r="A1069" s="3">
        <v>1697</v>
      </c>
      <c r="B1069" s="39">
        <v>72</v>
      </c>
      <c r="C1069" s="7" t="s">
        <v>159</v>
      </c>
      <c r="D1069" s="4" t="s">
        <v>49</v>
      </c>
      <c r="E1069" s="6" t="s">
        <v>137</v>
      </c>
      <c r="F1069" s="12">
        <f>INDEX('PEDIDO JULIO'!A23:X37,1,24)</f>
        <v>2</v>
      </c>
      <c r="G1069" s="8">
        <f>IFERROR(VLOOKUP($B1069,'[1]INSUMO POR SEDES MARZO PRUEBA'!$B$6:$CD$109,56,0),"NO BD")</f>
        <v>5196.1440000000002</v>
      </c>
      <c r="H1069" s="8"/>
      <c r="I1069" s="8">
        <f t="shared" si="94"/>
        <v>10392.288</v>
      </c>
      <c r="J1069" s="14">
        <f t="shared" si="95"/>
        <v>1039.2288000000001</v>
      </c>
      <c r="K1069" s="14">
        <f t="shared" si="96"/>
        <v>197.45347200000003</v>
      </c>
      <c r="L1069" s="14">
        <f t="shared" si="97"/>
        <v>11628.970272</v>
      </c>
    </row>
    <row r="1070" spans="1:12" ht="15">
      <c r="A1070" s="3">
        <v>1698</v>
      </c>
      <c r="B1070" s="39">
        <v>73</v>
      </c>
      <c r="C1070" s="7" t="s">
        <v>159</v>
      </c>
      <c r="D1070" s="4" t="s">
        <v>50</v>
      </c>
      <c r="E1070" s="6" t="s">
        <v>137</v>
      </c>
      <c r="F1070" s="12">
        <f>INDEX('PEDIDO JULIO'!A24:X37,1,24)</f>
        <v>0</v>
      </c>
      <c r="G1070" s="8">
        <f>IFERROR(VLOOKUP($B1070,'[1]INSUMO POR SEDES MARZO PRUEBA'!$B$6:$CD$109,56,0),"NO BD")</f>
        <v>21493.685699999998</v>
      </c>
      <c r="H1070" s="8"/>
      <c r="I1070" s="8">
        <f t="shared" si="94"/>
        <v>0</v>
      </c>
      <c r="J1070" s="14">
        <f t="shared" si="95"/>
        <v>0</v>
      </c>
      <c r="K1070" s="14">
        <f t="shared" si="96"/>
        <v>0</v>
      </c>
      <c r="L1070" s="14">
        <f t="shared" si="97"/>
        <v>0</v>
      </c>
    </row>
    <row r="1071" spans="1:12" ht="15">
      <c r="A1071" s="3">
        <v>1699</v>
      </c>
      <c r="B1071" s="39">
        <v>74</v>
      </c>
      <c r="C1071" s="7" t="s">
        <v>159</v>
      </c>
      <c r="D1071" s="4" t="s">
        <v>51</v>
      </c>
      <c r="E1071" s="6" t="s">
        <v>137</v>
      </c>
      <c r="F1071" s="12">
        <f>INDEX('PEDIDO JULIO'!A25:X37,1,24)</f>
        <v>0</v>
      </c>
      <c r="G1071" s="8">
        <f>IFERROR(VLOOKUP($B1071,'[1]INSUMO POR SEDES MARZO PRUEBA'!$B$6:$CD$109,56,0),"NO BD")</f>
        <v>6915.4749000000002</v>
      </c>
      <c r="H1071" s="8"/>
      <c r="I1071" s="8">
        <f t="shared" si="94"/>
        <v>0</v>
      </c>
      <c r="J1071" s="14">
        <f t="shared" si="95"/>
        <v>0</v>
      </c>
      <c r="K1071" s="14">
        <f t="shared" si="96"/>
        <v>0</v>
      </c>
      <c r="L1071" s="14">
        <f t="shared" si="97"/>
        <v>0</v>
      </c>
    </row>
    <row r="1072" spans="1:12" ht="15">
      <c r="A1072" s="3">
        <v>1700</v>
      </c>
      <c r="B1072" s="39">
        <v>79</v>
      </c>
      <c r="C1072" s="7" t="s">
        <v>159</v>
      </c>
      <c r="D1072" s="4" t="s">
        <v>52</v>
      </c>
      <c r="E1072" s="6" t="s">
        <v>137</v>
      </c>
      <c r="F1072" s="12">
        <f>INDEX('PEDIDO JULIO'!A26:X37,1,24)</f>
        <v>0</v>
      </c>
      <c r="G1072" s="8">
        <f>IFERROR(VLOOKUP($B1072,'[1]INSUMO POR SEDES MARZO PRUEBA'!$B$6:$CD$109,56,0),"NO BD")</f>
        <v>935.49510000000009</v>
      </c>
      <c r="H1072" s="8"/>
      <c r="I1072" s="8">
        <f t="shared" si="94"/>
        <v>0</v>
      </c>
      <c r="J1072" s="14">
        <f t="shared" si="95"/>
        <v>0</v>
      </c>
      <c r="K1072" s="14">
        <f t="shared" si="96"/>
        <v>0</v>
      </c>
      <c r="L1072" s="14">
        <f t="shared" si="97"/>
        <v>0</v>
      </c>
    </row>
    <row r="1073" spans="1:12" ht="15">
      <c r="A1073" s="3">
        <v>1701</v>
      </c>
      <c r="B1073" s="39">
        <v>80</v>
      </c>
      <c r="C1073" s="7" t="s">
        <v>53</v>
      </c>
      <c r="D1073" s="4" t="s">
        <v>54</v>
      </c>
      <c r="E1073" s="6" t="s">
        <v>137</v>
      </c>
      <c r="F1073" s="12">
        <f>INDEX('PEDIDO JULIO'!A27:X37,1,24)</f>
        <v>0</v>
      </c>
      <c r="G1073" s="8">
        <f>IFERROR(VLOOKUP($B1073,'[1]INSUMO POR SEDES MARZO PRUEBA'!$B$6:$CD$109,56,0),"NO BD")</f>
        <v>607.26779999999997</v>
      </c>
      <c r="H1073" s="8"/>
      <c r="I1073" s="8">
        <f t="shared" si="94"/>
        <v>0</v>
      </c>
      <c r="J1073" s="14">
        <f t="shared" si="95"/>
        <v>0</v>
      </c>
      <c r="K1073" s="14">
        <f t="shared" si="96"/>
        <v>0</v>
      </c>
      <c r="L1073" s="14">
        <f t="shared" si="97"/>
        <v>0</v>
      </c>
    </row>
    <row r="1074" spans="1:12" ht="15">
      <c r="A1074" s="3">
        <v>1702</v>
      </c>
      <c r="B1074" s="39">
        <v>81</v>
      </c>
      <c r="C1074" s="7" t="s">
        <v>53</v>
      </c>
      <c r="D1074" s="4" t="s">
        <v>55</v>
      </c>
      <c r="E1074" s="6" t="s">
        <v>137</v>
      </c>
      <c r="F1074" s="12">
        <f>INDEX('PEDIDO JULIO'!A28:X37,1,24)</f>
        <v>0</v>
      </c>
      <c r="G1074" s="8">
        <f>IFERROR(VLOOKUP($B1074,'[1]INSUMO POR SEDES MARZO PRUEBA'!$B$6:$CD$109,56,0),"NO BD")</f>
        <v>387.81900000000002</v>
      </c>
      <c r="H1074" s="8"/>
      <c r="I1074" s="8">
        <f t="shared" si="94"/>
        <v>0</v>
      </c>
      <c r="J1074" s="14">
        <f t="shared" si="95"/>
        <v>0</v>
      </c>
      <c r="K1074" s="14">
        <f t="shared" si="96"/>
        <v>0</v>
      </c>
      <c r="L1074" s="14">
        <f t="shared" si="97"/>
        <v>0</v>
      </c>
    </row>
    <row r="1075" spans="1:12" ht="15">
      <c r="A1075" s="3">
        <v>1703</v>
      </c>
      <c r="B1075" s="39">
        <v>82</v>
      </c>
      <c r="C1075" s="7" t="s">
        <v>53</v>
      </c>
      <c r="D1075" s="4" t="s">
        <v>56</v>
      </c>
      <c r="E1075" s="6" t="s">
        <v>137</v>
      </c>
      <c r="F1075" s="12">
        <f>INDEX('PEDIDO JULIO'!A28:X37,1,24)</f>
        <v>0</v>
      </c>
      <c r="G1075" s="8">
        <f>IFERROR(VLOOKUP($B1075,'[1]INSUMO POR SEDES MARZO PRUEBA'!$B$6:$CD$109,56,0),"NO BD")</f>
        <v>1003.7049999999999</v>
      </c>
      <c r="H1075" s="8"/>
      <c r="I1075" s="8">
        <f t="shared" si="94"/>
        <v>0</v>
      </c>
      <c r="J1075" s="14">
        <f t="shared" si="95"/>
        <v>0</v>
      </c>
      <c r="K1075" s="14">
        <f t="shared" si="96"/>
        <v>0</v>
      </c>
      <c r="L1075" s="14">
        <f t="shared" si="97"/>
        <v>0</v>
      </c>
    </row>
    <row r="1076" spans="1:12" ht="15">
      <c r="A1076" s="3">
        <v>1704</v>
      </c>
      <c r="B1076" s="39">
        <v>83</v>
      </c>
      <c r="C1076" s="7" t="s">
        <v>53</v>
      </c>
      <c r="D1076" s="4" t="s">
        <v>57</v>
      </c>
      <c r="E1076" s="6" t="s">
        <v>137</v>
      </c>
      <c r="F1076" s="12">
        <f>INDEX('PEDIDO JULIO'!A29:X37,1,24)</f>
        <v>0</v>
      </c>
      <c r="G1076" s="8">
        <f>IFERROR(VLOOKUP($B1076,'[1]INSUMO POR SEDES MARZO PRUEBA'!$B$6:$CD$109,56,0),"NO BD")</f>
        <v>336.32</v>
      </c>
      <c r="H1076" s="8"/>
      <c r="I1076" s="8">
        <f t="shared" si="94"/>
        <v>0</v>
      </c>
      <c r="J1076" s="14">
        <f t="shared" si="95"/>
        <v>0</v>
      </c>
      <c r="K1076" s="14">
        <f t="shared" si="96"/>
        <v>0</v>
      </c>
      <c r="L1076" s="14">
        <f t="shared" si="97"/>
        <v>0</v>
      </c>
    </row>
    <row r="1077" spans="1:12" ht="27">
      <c r="A1077" s="3">
        <v>1705</v>
      </c>
      <c r="B1077" s="39">
        <v>88</v>
      </c>
      <c r="C1077" s="7" t="s">
        <v>160</v>
      </c>
      <c r="D1077" s="4" t="s">
        <v>58</v>
      </c>
      <c r="E1077" s="6" t="s">
        <v>137</v>
      </c>
      <c r="F1077" s="12">
        <f>INDEX('PEDIDO JULIO'!A30:X37,1,24)</f>
        <v>0</v>
      </c>
      <c r="G1077" s="8">
        <f>IFERROR(VLOOKUP($B1077,'[1]INSUMO POR SEDES MARZO PRUEBA'!$B$6:$CD$109,56,0),"NO BD")</f>
        <v>0</v>
      </c>
      <c r="H1077" s="8"/>
      <c r="I1077" s="8">
        <f t="shared" si="94"/>
        <v>0</v>
      </c>
      <c r="J1077" s="14">
        <f t="shared" si="95"/>
        <v>0</v>
      </c>
      <c r="K1077" s="14">
        <f t="shared" si="96"/>
        <v>0</v>
      </c>
      <c r="L1077" s="14">
        <f t="shared" si="97"/>
        <v>0</v>
      </c>
    </row>
    <row r="1078" spans="1:12" ht="15">
      <c r="A1078" s="3">
        <v>1706</v>
      </c>
      <c r="B1078" s="39">
        <v>92</v>
      </c>
      <c r="C1078" s="7" t="s">
        <v>160</v>
      </c>
      <c r="D1078" s="4" t="s">
        <v>59</v>
      </c>
      <c r="E1078" s="6" t="s">
        <v>137</v>
      </c>
      <c r="F1078" s="12">
        <f>INDEX('PEDIDO JULIO'!A31:X37,1,24)</f>
        <v>0</v>
      </c>
      <c r="G1078" s="8">
        <f>IFERROR(VLOOKUP($B1078,'[1]INSUMO POR SEDES MARZO PRUEBA'!$B$6:$CD$109,56,0),"NO BD")</f>
        <v>2380.5149999999999</v>
      </c>
      <c r="H1078" s="8"/>
      <c r="I1078" s="8">
        <f t="shared" si="94"/>
        <v>0</v>
      </c>
      <c r="J1078" s="14">
        <f t="shared" si="95"/>
        <v>0</v>
      </c>
      <c r="K1078" s="14">
        <f t="shared" si="96"/>
        <v>0</v>
      </c>
      <c r="L1078" s="14">
        <f t="shared" si="97"/>
        <v>0</v>
      </c>
    </row>
    <row r="1079" spans="1:12" ht="15">
      <c r="A1079" s="3">
        <v>1707</v>
      </c>
      <c r="B1079" s="39">
        <v>94</v>
      </c>
      <c r="C1079" s="7" t="s">
        <v>60</v>
      </c>
      <c r="D1079" s="4" t="s">
        <v>61</v>
      </c>
      <c r="E1079" s="6" t="s">
        <v>137</v>
      </c>
      <c r="F1079" s="12">
        <f>INDEX('PEDIDO JULIO'!A32:X37,1,24)</f>
        <v>0</v>
      </c>
      <c r="G1079" s="8">
        <f>IFERROR(VLOOKUP($B1079,'[1]INSUMO POR SEDES MARZO PRUEBA'!$B$6:$CD$109,56,0),"NO BD")</f>
        <v>3316.9560000000001</v>
      </c>
      <c r="H1079" s="8"/>
      <c r="I1079" s="8">
        <f t="shared" si="94"/>
        <v>0</v>
      </c>
      <c r="J1079" s="14">
        <f t="shared" si="95"/>
        <v>0</v>
      </c>
      <c r="K1079" s="14">
        <f t="shared" si="96"/>
        <v>0</v>
      </c>
      <c r="L1079" s="14">
        <f t="shared" si="97"/>
        <v>0</v>
      </c>
    </row>
    <row r="1080" spans="1:12" ht="15">
      <c r="A1080" s="3">
        <v>1708</v>
      </c>
      <c r="B1080" s="39">
        <v>98</v>
      </c>
      <c r="C1080" s="7" t="s">
        <v>60</v>
      </c>
      <c r="D1080" s="4" t="s">
        <v>62</v>
      </c>
      <c r="E1080" s="6" t="s">
        <v>137</v>
      </c>
      <c r="F1080" s="12">
        <f>INDEX('PEDIDO JULIO'!A33:X37,1,24)</f>
        <v>0</v>
      </c>
      <c r="G1080" s="8">
        <f>IFERROR(VLOOKUP($B1080,'[1]INSUMO POR SEDES MARZO PRUEBA'!$B$6:$CD$109,56,0),"NO BD")</f>
        <v>9503.4573</v>
      </c>
      <c r="H1080" s="8"/>
      <c r="I1080" s="8">
        <f t="shared" si="94"/>
        <v>0</v>
      </c>
      <c r="J1080" s="14">
        <f t="shared" si="95"/>
        <v>0</v>
      </c>
      <c r="K1080" s="14">
        <f t="shared" si="96"/>
        <v>0</v>
      </c>
      <c r="L1080" s="14">
        <f t="shared" si="97"/>
        <v>0</v>
      </c>
    </row>
    <row r="1081" spans="1:12" ht="15">
      <c r="A1081" s="3">
        <v>1709</v>
      </c>
      <c r="B1081" s="39">
        <v>100</v>
      </c>
      <c r="C1081" s="7" t="s">
        <v>151</v>
      </c>
      <c r="D1081" s="4" t="s">
        <v>63</v>
      </c>
      <c r="E1081" s="6" t="s">
        <v>137</v>
      </c>
      <c r="F1081" s="12">
        <f>INDEX('PEDIDO JULIO'!A33:X38,1,24)</f>
        <v>0</v>
      </c>
      <c r="G1081" s="8">
        <f>IFERROR(VLOOKUP($B1081,'[1]INSUMO POR SEDES MARZO PRUEBA'!$B$6:$CD$109,56,0),"NO BD")</f>
        <v>0</v>
      </c>
      <c r="H1081" s="8"/>
      <c r="I1081" s="8">
        <f t="shared" si="94"/>
        <v>0</v>
      </c>
      <c r="J1081" s="14">
        <f t="shared" si="95"/>
        <v>0</v>
      </c>
      <c r="K1081" s="14">
        <f t="shared" si="96"/>
        <v>0</v>
      </c>
      <c r="L1081" s="14">
        <f t="shared" si="97"/>
        <v>0</v>
      </c>
    </row>
    <row r="1082" spans="1:12" ht="15">
      <c r="A1082" s="3">
        <v>1710</v>
      </c>
      <c r="B1082" s="39">
        <v>102</v>
      </c>
      <c r="C1082" s="7" t="s">
        <v>160</v>
      </c>
      <c r="D1082" s="4" t="s">
        <v>64</v>
      </c>
      <c r="E1082" s="6" t="s">
        <v>137</v>
      </c>
      <c r="F1082" s="12">
        <f>INDEX('PEDIDO JULIO'!A33:X38,1,24)</f>
        <v>0</v>
      </c>
      <c r="G1082" s="8">
        <f>IFERROR(VLOOKUP($B1082,'[1]INSUMO POR SEDES MARZO PRUEBA'!$B$6:$CD$109,56,0),"NO BD")</f>
        <v>5422.8446999999996</v>
      </c>
      <c r="H1082" s="8"/>
      <c r="I1082" s="8">
        <f t="shared" si="94"/>
        <v>0</v>
      </c>
      <c r="J1082" s="14">
        <f t="shared" si="95"/>
        <v>0</v>
      </c>
      <c r="K1082" s="14">
        <f t="shared" si="96"/>
        <v>0</v>
      </c>
      <c r="L1082" s="14">
        <f t="shared" si="97"/>
        <v>0</v>
      </c>
    </row>
    <row r="1083" spans="1:12" ht="27">
      <c r="A1083" s="3">
        <v>1711</v>
      </c>
      <c r="B1083" s="39">
        <v>110</v>
      </c>
      <c r="C1083" s="7" t="s">
        <v>60</v>
      </c>
      <c r="D1083" s="4" t="s">
        <v>65</v>
      </c>
      <c r="E1083" s="6" t="s">
        <v>137</v>
      </c>
      <c r="F1083" s="12">
        <f>INDEX('PEDIDO JULIO'!A33:X39,1,24)</f>
        <v>0</v>
      </c>
      <c r="G1083" s="8">
        <f>IFERROR(VLOOKUP($B1083,'[1]INSUMO POR SEDES MARZO PRUEBA'!$B$6:$CD$109,56,0),"NO BD")</f>
        <v>1442.4974999999999</v>
      </c>
      <c r="H1083" s="8"/>
      <c r="I1083" s="8">
        <f t="shared" si="94"/>
        <v>0</v>
      </c>
      <c r="J1083" s="14">
        <f t="shared" si="95"/>
        <v>0</v>
      </c>
      <c r="K1083" s="14">
        <f t="shared" si="96"/>
        <v>0</v>
      </c>
      <c r="L1083" s="14">
        <f t="shared" si="97"/>
        <v>0</v>
      </c>
    </row>
    <row r="1084" spans="1:12" ht="15">
      <c r="A1084" s="3">
        <v>1712</v>
      </c>
      <c r="B1084" s="39">
        <v>118</v>
      </c>
      <c r="C1084" s="7" t="s">
        <v>66</v>
      </c>
      <c r="D1084" s="4" t="s">
        <v>67</v>
      </c>
      <c r="E1084" s="6" t="s">
        <v>137</v>
      </c>
      <c r="F1084" s="12">
        <f>INDEX('PEDIDO JULIO'!A33:X40,1,24)</f>
        <v>0</v>
      </c>
      <c r="G1084" s="8">
        <f>IFERROR(VLOOKUP($B1084,'[1]INSUMO POR SEDES MARZO PRUEBA'!$B$6:$CD$109,56,0),"NO BD")</f>
        <v>4129.7993999999999</v>
      </c>
      <c r="H1084" s="8"/>
      <c r="I1084" s="8">
        <f t="shared" si="94"/>
        <v>0</v>
      </c>
      <c r="J1084" s="14">
        <f t="shared" si="95"/>
        <v>0</v>
      </c>
      <c r="K1084" s="14">
        <f t="shared" si="96"/>
        <v>0</v>
      </c>
      <c r="L1084" s="14">
        <f t="shared" si="97"/>
        <v>0</v>
      </c>
    </row>
    <row r="1085" spans="1:12" ht="15">
      <c r="A1085" s="3">
        <v>1713</v>
      </c>
      <c r="B1085" s="39">
        <v>119</v>
      </c>
      <c r="C1085" s="7" t="s">
        <v>66</v>
      </c>
      <c r="D1085" s="4" t="s">
        <v>68</v>
      </c>
      <c r="E1085" s="6" t="s">
        <v>137</v>
      </c>
      <c r="F1085" s="12">
        <f>INDEX('PEDIDO JULIO'!A33:X40,1,24)</f>
        <v>0</v>
      </c>
      <c r="G1085" s="8">
        <f>IFERROR(VLOOKUP($B1085,'[1]INSUMO POR SEDES MARZO PRUEBA'!$B$6:$CD$109,56,0),"NO BD")</f>
        <v>2821.9350000000004</v>
      </c>
      <c r="H1085" s="8"/>
      <c r="I1085" s="8">
        <f t="shared" si="94"/>
        <v>0</v>
      </c>
      <c r="J1085" s="14">
        <f t="shared" si="95"/>
        <v>0</v>
      </c>
      <c r="K1085" s="14">
        <f t="shared" si="96"/>
        <v>0</v>
      </c>
      <c r="L1085" s="14">
        <f t="shared" si="97"/>
        <v>0</v>
      </c>
    </row>
    <row r="1086" spans="1:12" ht="15">
      <c r="A1086" s="3">
        <v>1714</v>
      </c>
      <c r="B1086" s="39">
        <v>120</v>
      </c>
      <c r="C1086" s="7" t="s">
        <v>66</v>
      </c>
      <c r="D1086" s="4" t="s">
        <v>69</v>
      </c>
      <c r="E1086" s="6" t="s">
        <v>137</v>
      </c>
      <c r="F1086" s="12">
        <f>INDEX('PEDIDO JULIO'!A33:X40,1,24)</f>
        <v>0</v>
      </c>
      <c r="G1086" s="8">
        <f>IFERROR(VLOOKUP($B1086,'[1]INSUMO POR SEDES MARZO PRUEBA'!$B$6:$CD$109,56,0),"NO BD")</f>
        <v>4259.3877000000002</v>
      </c>
      <c r="H1086" s="8"/>
      <c r="I1086" s="8">
        <f t="shared" si="94"/>
        <v>0</v>
      </c>
      <c r="J1086" s="14">
        <f t="shared" si="95"/>
        <v>0</v>
      </c>
      <c r="K1086" s="14">
        <f t="shared" si="96"/>
        <v>0</v>
      </c>
      <c r="L1086" s="14">
        <f t="shared" si="97"/>
        <v>0</v>
      </c>
    </row>
    <row r="1087" spans="1:12" ht="15">
      <c r="A1087" s="3">
        <v>1715</v>
      </c>
      <c r="B1087" s="39">
        <v>122</v>
      </c>
      <c r="C1087" s="7" t="s">
        <v>66</v>
      </c>
      <c r="D1087" s="4" t="s">
        <v>70</v>
      </c>
      <c r="E1087" s="6" t="s">
        <v>137</v>
      </c>
      <c r="F1087" s="12">
        <f>INDEX('PEDIDO JULIO'!A33:X41,1,24)</f>
        <v>0</v>
      </c>
      <c r="G1087" s="8">
        <f>IFERROR(VLOOKUP($B1087,'[1]INSUMO POR SEDES MARZO PRUEBA'!$B$6:$CD$109,56,0),"NO BD")</f>
        <v>5920.3881000000001</v>
      </c>
      <c r="H1087" s="8"/>
      <c r="I1087" s="8">
        <f t="shared" si="94"/>
        <v>0</v>
      </c>
      <c r="J1087" s="14">
        <f t="shared" si="95"/>
        <v>0</v>
      </c>
      <c r="K1087" s="14">
        <f t="shared" si="96"/>
        <v>0</v>
      </c>
      <c r="L1087" s="14">
        <f t="shared" si="97"/>
        <v>0</v>
      </c>
    </row>
    <row r="1088" spans="1:12" ht="15">
      <c r="A1088" s="3">
        <v>1716</v>
      </c>
      <c r="B1088" s="39">
        <v>123</v>
      </c>
      <c r="C1088" s="7" t="s">
        <v>66</v>
      </c>
      <c r="D1088" s="4" t="s">
        <v>71</v>
      </c>
      <c r="E1088" s="6" t="s">
        <v>137</v>
      </c>
      <c r="F1088" s="12">
        <f>INDEX('PEDIDO JULIO'!A33:X41,1,24)</f>
        <v>0</v>
      </c>
      <c r="G1088" s="8">
        <f>IFERROR(VLOOKUP($B1088,'[1]INSUMO POR SEDES MARZO PRUEBA'!$B$6:$CD$109,56,0),"NO BD")</f>
        <v>6169.1598000000004</v>
      </c>
      <c r="H1088" s="8"/>
      <c r="I1088" s="8">
        <f t="shared" si="94"/>
        <v>0</v>
      </c>
      <c r="J1088" s="14">
        <f t="shared" si="95"/>
        <v>0</v>
      </c>
      <c r="K1088" s="14">
        <f t="shared" si="96"/>
        <v>0</v>
      </c>
      <c r="L1088" s="14">
        <f t="shared" si="97"/>
        <v>0</v>
      </c>
    </row>
    <row r="1089" spans="1:12" ht="15">
      <c r="A1089" s="3">
        <v>1717</v>
      </c>
      <c r="B1089" s="39">
        <v>124</v>
      </c>
      <c r="C1089" s="7" t="s">
        <v>66</v>
      </c>
      <c r="D1089" s="4" t="s">
        <v>72</v>
      </c>
      <c r="E1089" s="6" t="s">
        <v>137</v>
      </c>
      <c r="F1089" s="12">
        <f>INDEX('PEDIDO JULIO'!A33:X42,1,24)</f>
        <v>0</v>
      </c>
      <c r="G1089" s="8">
        <f>IFERROR(VLOOKUP($B1089,'[1]INSUMO POR SEDES MARZO PRUEBA'!$B$6:$CD$109,56,0),"NO BD")</f>
        <v>6169.1598000000004</v>
      </c>
      <c r="H1089" s="8"/>
      <c r="I1089" s="8">
        <f t="shared" si="94"/>
        <v>0</v>
      </c>
      <c r="J1089" s="14">
        <f t="shared" si="95"/>
        <v>0</v>
      </c>
      <c r="K1089" s="14">
        <f t="shared" si="96"/>
        <v>0</v>
      </c>
      <c r="L1089" s="14">
        <f t="shared" si="97"/>
        <v>0</v>
      </c>
    </row>
    <row r="1090" spans="1:12" ht="15">
      <c r="A1090" s="3">
        <v>1718</v>
      </c>
      <c r="B1090" s="39">
        <v>137</v>
      </c>
      <c r="C1090" s="7" t="s">
        <v>158</v>
      </c>
      <c r="D1090" s="4" t="s">
        <v>73</v>
      </c>
      <c r="E1090" s="6" t="s">
        <v>137</v>
      </c>
      <c r="F1090" s="12">
        <f>INDEX('PEDIDO JULIO'!A33:X42,1,24)</f>
        <v>0</v>
      </c>
      <c r="G1090" s="8">
        <f>IFERROR(VLOOKUP($B1090,'[1]INSUMO POR SEDES MARZO PRUEBA'!$B$6:$CD$109,56,0),"NO BD")</f>
        <v>0</v>
      </c>
      <c r="H1090" s="8"/>
      <c r="I1090" s="8">
        <f t="shared" si="94"/>
        <v>0</v>
      </c>
      <c r="J1090" s="14">
        <f t="shared" si="95"/>
        <v>0</v>
      </c>
      <c r="K1090" s="14">
        <f t="shared" si="96"/>
        <v>0</v>
      </c>
      <c r="L1090" s="14">
        <f t="shared" si="97"/>
        <v>0</v>
      </c>
    </row>
    <row r="1091" spans="1:12" ht="15">
      <c r="A1091" s="3">
        <v>1719</v>
      </c>
      <c r="B1091" s="39">
        <v>139</v>
      </c>
      <c r="C1091" s="7" t="s">
        <v>158</v>
      </c>
      <c r="D1091" s="4" t="s">
        <v>74</v>
      </c>
      <c r="E1091" s="6" t="s">
        <v>137</v>
      </c>
      <c r="F1091" s="12">
        <f>INDEX('PEDIDO JULIO'!A33:X42,1,24)</f>
        <v>0</v>
      </c>
      <c r="G1091" s="8">
        <f>IFERROR(VLOOKUP($B1091,'[1]INSUMO POR SEDES MARZO PRUEBA'!$B$6:$CD$109,56,0),"NO BD")</f>
        <v>25429.996000000003</v>
      </c>
      <c r="H1091" s="8"/>
      <c r="I1091" s="8">
        <f t="shared" si="94"/>
        <v>0</v>
      </c>
      <c r="J1091" s="14">
        <f t="shared" si="95"/>
        <v>0</v>
      </c>
      <c r="K1091" s="14">
        <f t="shared" si="96"/>
        <v>0</v>
      </c>
      <c r="L1091" s="14">
        <f t="shared" si="97"/>
        <v>0</v>
      </c>
    </row>
    <row r="1092" spans="1:12" ht="15">
      <c r="A1092" s="3">
        <v>1720</v>
      </c>
      <c r="B1092" s="39">
        <v>151</v>
      </c>
      <c r="C1092" s="7" t="s">
        <v>158</v>
      </c>
      <c r="D1092" s="4" t="s">
        <v>75</v>
      </c>
      <c r="E1092" s="6" t="s">
        <v>137</v>
      </c>
      <c r="F1092" s="12">
        <f>INDEX('PEDIDO JULIO'!A33:X42,1,24)</f>
        <v>0</v>
      </c>
      <c r="G1092" s="8">
        <f>IFERROR(VLOOKUP($B1092,'[1]INSUMO POR SEDES MARZO PRUEBA'!$B$6:$CD$109,56,0),"NO BD")</f>
        <v>4422.6080000000002</v>
      </c>
      <c r="H1092" s="8"/>
      <c r="I1092" s="8">
        <f t="shared" si="94"/>
        <v>0</v>
      </c>
      <c r="J1092" s="14">
        <f t="shared" si="95"/>
        <v>0</v>
      </c>
      <c r="K1092" s="14">
        <f t="shared" si="96"/>
        <v>0</v>
      </c>
      <c r="L1092" s="14">
        <f t="shared" si="97"/>
        <v>0</v>
      </c>
    </row>
    <row r="1093" spans="1:12" ht="15">
      <c r="A1093" s="3">
        <v>1721</v>
      </c>
      <c r="B1093" s="39">
        <v>155</v>
      </c>
      <c r="C1093" s="7" t="s">
        <v>158</v>
      </c>
      <c r="D1093" s="4" t="s">
        <v>76</v>
      </c>
      <c r="E1093" s="6" t="s">
        <v>137</v>
      </c>
      <c r="F1093" s="12">
        <f>INDEX('PEDIDO JULIO'!A33:X43,1,24)</f>
        <v>0</v>
      </c>
      <c r="G1093" s="8">
        <f>IFERROR(VLOOKUP($B1093,'[1]INSUMO POR SEDES MARZO PRUEBA'!$B$6:$CD$109,56,0),"NO BD")</f>
        <v>5005.7028</v>
      </c>
      <c r="H1093" s="8"/>
      <c r="I1093" s="8">
        <f t="shared" si="94"/>
        <v>0</v>
      </c>
      <c r="J1093" s="14">
        <f t="shared" si="95"/>
        <v>0</v>
      </c>
      <c r="K1093" s="14">
        <f t="shared" si="96"/>
        <v>0</v>
      </c>
      <c r="L1093" s="14">
        <f t="shared" si="97"/>
        <v>0</v>
      </c>
    </row>
    <row r="1094" spans="1:12" ht="15">
      <c r="A1094" s="3">
        <v>1722</v>
      </c>
      <c r="B1094" s="39">
        <v>156</v>
      </c>
      <c r="C1094" s="7" t="s">
        <v>158</v>
      </c>
      <c r="D1094" s="4" t="s">
        <v>77</v>
      </c>
      <c r="E1094" s="6" t="s">
        <v>137</v>
      </c>
      <c r="F1094" s="12">
        <f>INDEX('PEDIDO JULIO'!A33:X43,1,24)</f>
        <v>0</v>
      </c>
      <c r="G1094" s="8">
        <f>IFERROR(VLOOKUP($B1094,'[1]INSUMO POR SEDES MARZO PRUEBA'!$B$6:$CD$109,56,0),"NO BD")</f>
        <v>4422.6080000000002</v>
      </c>
      <c r="H1094" s="8"/>
      <c r="I1094" s="8">
        <f t="shared" ref="I1094:I1157" si="98">+F1094*G1094</f>
        <v>0</v>
      </c>
      <c r="J1094" s="14">
        <f t="shared" si="95"/>
        <v>0</v>
      </c>
      <c r="K1094" s="14">
        <f t="shared" si="96"/>
        <v>0</v>
      </c>
      <c r="L1094" s="14">
        <f t="shared" si="97"/>
        <v>0</v>
      </c>
    </row>
    <row r="1095" spans="1:12" ht="15">
      <c r="A1095" s="3">
        <v>1723</v>
      </c>
      <c r="B1095" s="39">
        <v>157</v>
      </c>
      <c r="C1095" s="7" t="s">
        <v>158</v>
      </c>
      <c r="D1095" s="4" t="s">
        <v>78</v>
      </c>
      <c r="E1095" s="6" t="s">
        <v>137</v>
      </c>
      <c r="F1095" s="12">
        <f>INDEX('PEDIDO JULIO'!A33:X43,1,24)</f>
        <v>0</v>
      </c>
      <c r="G1095" s="8">
        <f>IFERROR(VLOOKUP($B1095,'[1]INSUMO POR SEDES MARZO PRUEBA'!$B$6:$CD$109,56,0),"NO BD")</f>
        <v>8955.7812000000013</v>
      </c>
      <c r="H1095" s="8"/>
      <c r="I1095" s="8">
        <f t="shared" si="98"/>
        <v>0</v>
      </c>
      <c r="J1095" s="14">
        <f t="shared" si="95"/>
        <v>0</v>
      </c>
      <c r="K1095" s="14">
        <f t="shared" si="96"/>
        <v>0</v>
      </c>
      <c r="L1095" s="14">
        <f t="shared" si="97"/>
        <v>0</v>
      </c>
    </row>
    <row r="1096" spans="1:12" ht="15">
      <c r="A1096" s="3">
        <v>1724</v>
      </c>
      <c r="B1096" s="39">
        <v>159</v>
      </c>
      <c r="C1096" s="7" t="s">
        <v>158</v>
      </c>
      <c r="D1096" s="4" t="s">
        <v>79</v>
      </c>
      <c r="E1096" s="6" t="s">
        <v>137</v>
      </c>
      <c r="F1096" s="12">
        <f>INDEX('PEDIDO JULIO'!A33:X44,1,24)</f>
        <v>0</v>
      </c>
      <c r="G1096" s="8">
        <f>IFERROR(VLOOKUP($B1096,'[1]INSUMO POR SEDES MARZO PRUEBA'!$B$6:$CD$109,56,0),"NO BD")</f>
        <v>6716.8359</v>
      </c>
      <c r="H1096" s="8"/>
      <c r="I1096" s="8">
        <f t="shared" si="98"/>
        <v>0</v>
      </c>
      <c r="J1096" s="14">
        <f t="shared" si="95"/>
        <v>0</v>
      </c>
      <c r="K1096" s="14">
        <f t="shared" si="96"/>
        <v>0</v>
      </c>
      <c r="L1096" s="14">
        <f t="shared" si="97"/>
        <v>0</v>
      </c>
    </row>
    <row r="1097" spans="1:12" ht="15">
      <c r="A1097" s="3">
        <v>1725</v>
      </c>
      <c r="B1097" s="39">
        <v>160</v>
      </c>
      <c r="C1097" s="7" t="s">
        <v>158</v>
      </c>
      <c r="D1097" s="4" t="s">
        <v>80</v>
      </c>
      <c r="E1097" s="6" t="s">
        <v>137</v>
      </c>
      <c r="F1097" s="12">
        <f>INDEX('PEDIDO JULIO'!A33:X44,1,24)</f>
        <v>0</v>
      </c>
      <c r="G1097" s="8">
        <f>IFERROR(VLOOKUP($B1097,'[1]INSUMO POR SEDES MARZO PRUEBA'!$B$6:$CD$109,56,0),"NO BD")</f>
        <v>3035.3931000000002</v>
      </c>
      <c r="H1097" s="8"/>
      <c r="I1097" s="8">
        <f t="shared" si="98"/>
        <v>0</v>
      </c>
      <c r="J1097" s="14">
        <f t="shared" si="95"/>
        <v>0</v>
      </c>
      <c r="K1097" s="14">
        <f t="shared" si="96"/>
        <v>0</v>
      </c>
      <c r="L1097" s="14">
        <f t="shared" si="97"/>
        <v>0</v>
      </c>
    </row>
    <row r="1098" spans="1:12" ht="15">
      <c r="A1098" s="3">
        <v>1726</v>
      </c>
      <c r="B1098" s="39">
        <v>162</v>
      </c>
      <c r="C1098" s="7" t="s">
        <v>158</v>
      </c>
      <c r="D1098" s="4" t="s">
        <v>81</v>
      </c>
      <c r="E1098" s="6" t="s">
        <v>137</v>
      </c>
      <c r="F1098" s="12">
        <f>INDEX('PEDIDO JULIO'!A33:X44,1,24)</f>
        <v>0</v>
      </c>
      <c r="G1098" s="8">
        <f>IFERROR(VLOOKUP($B1098,'[1]INSUMO POR SEDES MARZO PRUEBA'!$B$6:$CD$109,56,0),"NO BD")</f>
        <v>4030.4798999999998</v>
      </c>
      <c r="H1098" s="8"/>
      <c r="I1098" s="8">
        <f t="shared" si="98"/>
        <v>0</v>
      </c>
      <c r="J1098" s="14">
        <f t="shared" si="95"/>
        <v>0</v>
      </c>
      <c r="K1098" s="14">
        <f t="shared" si="96"/>
        <v>0</v>
      </c>
      <c r="L1098" s="14">
        <f t="shared" si="97"/>
        <v>0</v>
      </c>
    </row>
    <row r="1099" spans="1:12" ht="15">
      <c r="A1099" s="3">
        <v>1727</v>
      </c>
      <c r="B1099" s="39">
        <v>164</v>
      </c>
      <c r="C1099" s="7" t="s">
        <v>158</v>
      </c>
      <c r="D1099" s="4" t="s">
        <v>82</v>
      </c>
      <c r="E1099" s="6" t="s">
        <v>137</v>
      </c>
      <c r="F1099" s="12">
        <f>INDEX('PEDIDO JULIO'!A33:X44,1,24)</f>
        <v>0</v>
      </c>
      <c r="G1099" s="8">
        <f>IFERROR(VLOOKUP($B1099,'[1]INSUMO POR SEDES MARZO PRUEBA'!$B$6:$CD$109,56,0),"NO BD")</f>
        <v>0</v>
      </c>
      <c r="H1099" s="8"/>
      <c r="I1099" s="8">
        <f t="shared" si="98"/>
        <v>0</v>
      </c>
      <c r="J1099" s="14">
        <f t="shared" si="95"/>
        <v>0</v>
      </c>
      <c r="K1099" s="14">
        <f t="shared" si="96"/>
        <v>0</v>
      </c>
      <c r="L1099" s="14">
        <f t="shared" si="97"/>
        <v>0</v>
      </c>
    </row>
    <row r="1100" spans="1:12" ht="15">
      <c r="A1100" s="3">
        <v>1728</v>
      </c>
      <c r="B1100" s="39">
        <v>169</v>
      </c>
      <c r="C1100" s="7" t="s">
        <v>158</v>
      </c>
      <c r="D1100" s="4" t="s">
        <v>83</v>
      </c>
      <c r="E1100" s="6" t="s">
        <v>137</v>
      </c>
      <c r="F1100" s="12">
        <f>INDEX('PEDIDO JULIO'!A33:X45,1,24)</f>
        <v>0</v>
      </c>
      <c r="G1100" s="8">
        <f>IFERROR(VLOOKUP($B1100,'[1]INSUMO POR SEDES MARZO PRUEBA'!$B$6:$CD$109,56,0),"NO BD")</f>
        <v>0</v>
      </c>
      <c r="H1100" s="8"/>
      <c r="I1100" s="8">
        <f t="shared" si="98"/>
        <v>0</v>
      </c>
      <c r="J1100" s="14">
        <f t="shared" si="95"/>
        <v>0</v>
      </c>
      <c r="K1100" s="14">
        <f t="shared" si="96"/>
        <v>0</v>
      </c>
      <c r="L1100" s="14">
        <f t="shared" si="97"/>
        <v>0</v>
      </c>
    </row>
    <row r="1101" spans="1:12" ht="15">
      <c r="A1101" s="3">
        <v>1729</v>
      </c>
      <c r="B1101" s="39">
        <v>170</v>
      </c>
      <c r="C1101" s="7" t="s">
        <v>158</v>
      </c>
      <c r="D1101" s="4" t="s">
        <v>84</v>
      </c>
      <c r="E1101" s="6" t="s">
        <v>137</v>
      </c>
      <c r="F1101" s="12">
        <f>INDEX('PEDIDO JULIO'!A33:X46,1,24)</f>
        <v>0</v>
      </c>
      <c r="G1101" s="8">
        <f>IFERROR(VLOOKUP($B1101,'[1]INSUMO POR SEDES MARZO PRUEBA'!$B$6:$CD$109,56,0),"NO BD")</f>
        <v>45575.353799999997</v>
      </c>
      <c r="H1101" s="8"/>
      <c r="I1101" s="8">
        <f t="shared" si="98"/>
        <v>0</v>
      </c>
      <c r="J1101" s="14">
        <f t="shared" si="95"/>
        <v>0</v>
      </c>
      <c r="K1101" s="14">
        <f t="shared" si="96"/>
        <v>0</v>
      </c>
      <c r="L1101" s="14">
        <f t="shared" si="97"/>
        <v>0</v>
      </c>
    </row>
    <row r="1102" spans="1:12" ht="15">
      <c r="A1102" s="3">
        <v>1730</v>
      </c>
      <c r="B1102" s="39">
        <v>174</v>
      </c>
      <c r="C1102" s="7" t="s">
        <v>158</v>
      </c>
      <c r="D1102" s="4" t="s">
        <v>85</v>
      </c>
      <c r="E1102" s="6" t="s">
        <v>137</v>
      </c>
      <c r="F1102" s="12">
        <f>INDEX('PEDIDO JULIO'!A33:X47,1,24)</f>
        <v>0</v>
      </c>
      <c r="G1102" s="8">
        <f>IFERROR(VLOOKUP($B1102,'[1]INSUMO POR SEDES MARZO PRUEBA'!$B$6:$CD$109,56,0),"NO BD")</f>
        <v>10050.1875</v>
      </c>
      <c r="H1102" s="8"/>
      <c r="I1102" s="8">
        <f t="shared" si="98"/>
        <v>0</v>
      </c>
      <c r="J1102" s="14">
        <f t="shared" ref="J1102:J1133" si="99">+I1102*10%</f>
        <v>0</v>
      </c>
      <c r="K1102" s="14">
        <f t="shared" ref="K1102:K1133" si="100">+J1102*19%</f>
        <v>0</v>
      </c>
      <c r="L1102" s="14">
        <f t="shared" ref="L1102:L1133" si="101">SUM(I1102:K1102)</f>
        <v>0</v>
      </c>
    </row>
    <row r="1103" spans="1:12" ht="15">
      <c r="A1103" s="3">
        <v>1731</v>
      </c>
      <c r="B1103" s="39">
        <v>192</v>
      </c>
      <c r="C1103" s="7" t="s">
        <v>152</v>
      </c>
      <c r="D1103" s="4" t="s">
        <v>86</v>
      </c>
      <c r="E1103" s="6" t="s">
        <v>137</v>
      </c>
      <c r="F1103" s="12">
        <f>INDEX('PEDIDO JULIO'!A33:X47,1,24)</f>
        <v>0</v>
      </c>
      <c r="G1103" s="8">
        <f>IFERROR(VLOOKUP($B1103,'[1]INSUMO POR SEDES MARZO PRUEBA'!$B$6:$CD$109,56,0),"NO BD")</f>
        <v>6866.2880999999998</v>
      </c>
      <c r="H1103" s="8"/>
      <c r="I1103" s="8">
        <f t="shared" si="98"/>
        <v>0</v>
      </c>
      <c r="J1103" s="14">
        <f t="shared" si="99"/>
        <v>0</v>
      </c>
      <c r="K1103" s="14">
        <f t="shared" si="100"/>
        <v>0</v>
      </c>
      <c r="L1103" s="14">
        <f t="shared" si="101"/>
        <v>0</v>
      </c>
    </row>
    <row r="1104" spans="1:12" ht="15">
      <c r="A1104" s="3">
        <v>1732</v>
      </c>
      <c r="B1104" s="39">
        <v>195</v>
      </c>
      <c r="C1104" s="7" t="s">
        <v>87</v>
      </c>
      <c r="D1104" s="4" t="s">
        <v>88</v>
      </c>
      <c r="E1104" s="6" t="s">
        <v>137</v>
      </c>
      <c r="F1104" s="12">
        <f>INDEX('PEDIDO JULIO'!A33:X47,1,24)</f>
        <v>0</v>
      </c>
      <c r="G1104" s="8">
        <f>IFERROR(VLOOKUP($B1104,'[1]INSUMO POR SEDES MARZO PRUEBA'!$B$6:$CD$109,56,0),"NO BD")</f>
        <v>6431.0690000000004</v>
      </c>
      <c r="H1104" s="8"/>
      <c r="I1104" s="8">
        <f t="shared" si="98"/>
        <v>0</v>
      </c>
      <c r="J1104" s="14">
        <f t="shared" si="99"/>
        <v>0</v>
      </c>
      <c r="K1104" s="14">
        <f t="shared" si="100"/>
        <v>0</v>
      </c>
      <c r="L1104" s="14">
        <f t="shared" si="101"/>
        <v>0</v>
      </c>
    </row>
    <row r="1105" spans="1:12" ht="15">
      <c r="A1105" s="3">
        <v>1733</v>
      </c>
      <c r="B1105" s="39">
        <v>204</v>
      </c>
      <c r="C1105" s="7" t="s">
        <v>87</v>
      </c>
      <c r="D1105" s="4" t="s">
        <v>89</v>
      </c>
      <c r="E1105" s="6" t="s">
        <v>137</v>
      </c>
      <c r="F1105" s="12">
        <f>INDEX('PEDIDO JULIO'!A33:X47,1,24)</f>
        <v>0</v>
      </c>
      <c r="G1105" s="8">
        <f>IFERROR(VLOOKUP($B1105,'[1]INSUMO POR SEDES MARZO PRUEBA'!$B$6:$CD$109,56,0),"NO BD")</f>
        <v>14760.243999999999</v>
      </c>
      <c r="H1105" s="8"/>
      <c r="I1105" s="8">
        <f t="shared" si="98"/>
        <v>0</v>
      </c>
      <c r="J1105" s="14">
        <f t="shared" si="99"/>
        <v>0</v>
      </c>
      <c r="K1105" s="14">
        <f t="shared" si="100"/>
        <v>0</v>
      </c>
      <c r="L1105" s="14">
        <f t="shared" si="101"/>
        <v>0</v>
      </c>
    </row>
    <row r="1106" spans="1:12" ht="15">
      <c r="A1106" s="3">
        <v>1734</v>
      </c>
      <c r="B1106" s="39">
        <v>205</v>
      </c>
      <c r="C1106" s="7" t="s">
        <v>90</v>
      </c>
      <c r="D1106" s="4" t="s">
        <v>91</v>
      </c>
      <c r="E1106" s="6" t="s">
        <v>137</v>
      </c>
      <c r="F1106" s="12">
        <f>INDEX('PEDIDO JULIO'!A33:X47,1,24)</f>
        <v>0</v>
      </c>
      <c r="G1106" s="8">
        <f>IFERROR(VLOOKUP($B1106,'[1]INSUMO POR SEDES MARZO PRUEBA'!$B$6:$CD$109,56,0),"NO BD")</f>
        <v>32639.225399999996</v>
      </c>
      <c r="H1106" s="8"/>
      <c r="I1106" s="8">
        <f t="shared" si="98"/>
        <v>0</v>
      </c>
      <c r="J1106" s="14">
        <f t="shared" si="99"/>
        <v>0</v>
      </c>
      <c r="K1106" s="14">
        <f t="shared" si="100"/>
        <v>0</v>
      </c>
      <c r="L1106" s="14">
        <f t="shared" si="101"/>
        <v>0</v>
      </c>
    </row>
    <row r="1107" spans="1:12" ht="15">
      <c r="A1107" s="3">
        <v>1735</v>
      </c>
      <c r="B1107" s="39">
        <v>207</v>
      </c>
      <c r="C1107" s="7" t="s">
        <v>90</v>
      </c>
      <c r="D1107" s="4" t="s">
        <v>92</v>
      </c>
      <c r="E1107" s="6" t="s">
        <v>137</v>
      </c>
      <c r="F1107" s="12">
        <f>INDEX('PEDIDO JULIO'!A33:X47,1,24)</f>
        <v>0</v>
      </c>
      <c r="G1107" s="8">
        <f>IFERROR(VLOOKUP($B1107,'[1]INSUMO POR SEDES MARZO PRUEBA'!$B$6:$CD$109,56,0),"NO BD")</f>
        <v>0</v>
      </c>
      <c r="H1107" s="8"/>
      <c r="I1107" s="8">
        <f t="shared" si="98"/>
        <v>0</v>
      </c>
      <c r="J1107" s="14">
        <f t="shared" si="99"/>
        <v>0</v>
      </c>
      <c r="K1107" s="14">
        <f t="shared" si="100"/>
        <v>0</v>
      </c>
      <c r="L1107" s="14">
        <f t="shared" si="101"/>
        <v>0</v>
      </c>
    </row>
    <row r="1108" spans="1:12" ht="15">
      <c r="A1108" s="3">
        <v>1736</v>
      </c>
      <c r="B1108" s="39">
        <v>212</v>
      </c>
      <c r="C1108" s="7" t="s">
        <v>93</v>
      </c>
      <c r="D1108" s="4" t="s">
        <v>94</v>
      </c>
      <c r="E1108" s="6" t="s">
        <v>137</v>
      </c>
      <c r="F1108" s="12">
        <f>INDEX('PEDIDO JULIO'!A33:X47,1,24)</f>
        <v>0</v>
      </c>
      <c r="G1108" s="8">
        <f>IFERROR(VLOOKUP($B1108,'[1]INSUMO POR SEDES MARZO PRUEBA'!$B$6:$CD$109,56,0),"NO BD")</f>
        <v>0</v>
      </c>
      <c r="H1108" s="8"/>
      <c r="I1108" s="8">
        <f t="shared" si="98"/>
        <v>0</v>
      </c>
      <c r="J1108" s="14">
        <f t="shared" si="99"/>
        <v>0</v>
      </c>
      <c r="K1108" s="14">
        <f t="shared" si="100"/>
        <v>0</v>
      </c>
      <c r="L1108" s="14">
        <f t="shared" si="101"/>
        <v>0</v>
      </c>
    </row>
    <row r="1109" spans="1:12" ht="15">
      <c r="A1109" s="3">
        <v>1737</v>
      </c>
      <c r="B1109" s="39">
        <v>218</v>
      </c>
      <c r="C1109" s="7" t="s">
        <v>154</v>
      </c>
      <c r="D1109" s="4" t="s">
        <v>95</v>
      </c>
      <c r="E1109" s="6" t="s">
        <v>137</v>
      </c>
      <c r="F1109" s="12">
        <f>INDEX('PEDIDO JULIO'!A33:X47,1,24)</f>
        <v>0</v>
      </c>
      <c r="G1109" s="8">
        <f>IFERROR(VLOOKUP($B1109,'[1]INSUMO POR SEDES MARZO PRUEBA'!$B$6:$CD$109,56,0),"NO BD")</f>
        <v>2587.0365000000002</v>
      </c>
      <c r="H1109" s="8"/>
      <c r="I1109" s="8">
        <f t="shared" si="98"/>
        <v>0</v>
      </c>
      <c r="J1109" s="14">
        <f t="shared" si="99"/>
        <v>0</v>
      </c>
      <c r="K1109" s="14">
        <f t="shared" si="100"/>
        <v>0</v>
      </c>
      <c r="L1109" s="14">
        <f t="shared" si="101"/>
        <v>0</v>
      </c>
    </row>
    <row r="1110" spans="1:12" ht="15">
      <c r="A1110" s="3">
        <v>1738</v>
      </c>
      <c r="B1110" s="39">
        <v>251</v>
      </c>
      <c r="C1110" s="7" t="s">
        <v>154</v>
      </c>
      <c r="D1110" s="4" t="s">
        <v>96</v>
      </c>
      <c r="E1110" s="6" t="s">
        <v>137</v>
      </c>
      <c r="F1110" s="12">
        <f>INDEX('PEDIDO JULIO'!A33:X47,1,24)</f>
        <v>0</v>
      </c>
      <c r="G1110" s="8">
        <f>IFERROR(VLOOKUP($B1110,'[1]INSUMO POR SEDES MARZO PRUEBA'!$B$6:$CD$109,56,0),"NO BD")</f>
        <v>0</v>
      </c>
      <c r="H1110" s="8"/>
      <c r="I1110" s="8">
        <f t="shared" si="98"/>
        <v>0</v>
      </c>
      <c r="J1110" s="14">
        <f t="shared" si="99"/>
        <v>0</v>
      </c>
      <c r="K1110" s="14">
        <f t="shared" si="100"/>
        <v>0</v>
      </c>
      <c r="L1110" s="14">
        <f t="shared" si="101"/>
        <v>0</v>
      </c>
    </row>
    <row r="1111" spans="1:12" ht="15">
      <c r="A1111" s="3">
        <v>1771</v>
      </c>
      <c r="B1111" s="26">
        <v>3</v>
      </c>
      <c r="C1111" s="7" t="s">
        <v>6</v>
      </c>
      <c r="D1111" s="4" t="s">
        <v>8</v>
      </c>
      <c r="E1111" s="6" t="s">
        <v>138</v>
      </c>
      <c r="F1111" s="12">
        <f>INDEX('PEDIDO JULIO'!A10:Y32,1,25)</f>
        <v>0</v>
      </c>
      <c r="G1111" s="8">
        <f>IFERROR(VLOOKUP($B1111,'[1]INSUMO POR SEDES MARZO PRUEBA'!$B$6:$CD$109,59,0),"NO BD")</f>
        <v>7268.7160000000003</v>
      </c>
      <c r="H1111" s="8"/>
      <c r="I1111" s="8">
        <f t="shared" si="98"/>
        <v>0</v>
      </c>
      <c r="J1111" s="14">
        <f t="shared" si="99"/>
        <v>0</v>
      </c>
      <c r="K1111" s="14">
        <f t="shared" si="100"/>
        <v>0</v>
      </c>
      <c r="L1111" s="14">
        <f t="shared" si="101"/>
        <v>0</v>
      </c>
    </row>
    <row r="1112" spans="1:12" ht="15">
      <c r="A1112" s="3">
        <v>1772</v>
      </c>
      <c r="B1112" s="26">
        <v>5</v>
      </c>
      <c r="C1112" s="7" t="s">
        <v>9</v>
      </c>
      <c r="D1112" s="4" t="s">
        <v>10</v>
      </c>
      <c r="E1112" s="6" t="s">
        <v>138</v>
      </c>
      <c r="F1112" s="12">
        <f>INDEX('PEDIDO JULIO'!A10:Y32,1,25)</f>
        <v>0</v>
      </c>
      <c r="G1112" s="8">
        <f>IFERROR(VLOOKUP($B1112,'[1]INSUMO POR SEDES MARZO PRUEBA'!$B$6:$CD$109,59,0),"NO BD")</f>
        <v>0</v>
      </c>
      <c r="H1112" s="8"/>
      <c r="I1112" s="8">
        <f t="shared" si="98"/>
        <v>0</v>
      </c>
      <c r="J1112" s="14">
        <f t="shared" si="99"/>
        <v>0</v>
      </c>
      <c r="K1112" s="14">
        <f t="shared" si="100"/>
        <v>0</v>
      </c>
      <c r="L1112" s="14">
        <f t="shared" si="101"/>
        <v>0</v>
      </c>
    </row>
    <row r="1113" spans="1:12" ht="15">
      <c r="A1113" s="3">
        <v>1773</v>
      </c>
      <c r="B1113" s="26">
        <v>8</v>
      </c>
      <c r="C1113" s="7" t="s">
        <v>156</v>
      </c>
      <c r="D1113" s="5" t="s">
        <v>11</v>
      </c>
      <c r="E1113" s="6" t="s">
        <v>138</v>
      </c>
      <c r="F1113" s="12">
        <f>INDEX('PEDIDO JULIO'!A10:Y33,1,25)</f>
        <v>0</v>
      </c>
      <c r="G1113" s="8">
        <f>IFERROR(VLOOKUP($B1113,'[1]INSUMO POR SEDES MARZO PRUEBA'!$B$6:$CD$109,59,0),"NO BD")</f>
        <v>0</v>
      </c>
      <c r="H1113" s="8"/>
      <c r="I1113" s="8">
        <f t="shared" si="98"/>
        <v>0</v>
      </c>
      <c r="J1113" s="14">
        <f t="shared" si="99"/>
        <v>0</v>
      </c>
      <c r="K1113" s="14">
        <f t="shared" si="100"/>
        <v>0</v>
      </c>
      <c r="L1113" s="14">
        <f t="shared" si="101"/>
        <v>0</v>
      </c>
    </row>
    <row r="1114" spans="1:12" ht="27">
      <c r="A1114" s="3">
        <v>1774</v>
      </c>
      <c r="B1114" s="26">
        <v>9</v>
      </c>
      <c r="C1114" s="7" t="s">
        <v>157</v>
      </c>
      <c r="D1114" s="4" t="s">
        <v>12</v>
      </c>
      <c r="E1114" s="6" t="s">
        <v>138</v>
      </c>
      <c r="F1114" s="12">
        <f>INDEX('PEDIDO JULIO'!A10:Y33,1,25)</f>
        <v>0</v>
      </c>
      <c r="G1114" s="8">
        <f>IFERROR(VLOOKUP($B1114,'[1]INSUMO POR SEDES MARZO PRUEBA'!$B$6:$CD$109,59,0),"NO BD")</f>
        <v>0</v>
      </c>
      <c r="H1114" s="8"/>
      <c r="I1114" s="8">
        <f t="shared" si="98"/>
        <v>0</v>
      </c>
      <c r="J1114" s="14">
        <f t="shared" si="99"/>
        <v>0</v>
      </c>
      <c r="K1114" s="14">
        <f t="shared" si="100"/>
        <v>0</v>
      </c>
      <c r="L1114" s="14">
        <f t="shared" si="101"/>
        <v>0</v>
      </c>
    </row>
    <row r="1115" spans="1:12" ht="15">
      <c r="A1115" s="3">
        <v>1775</v>
      </c>
      <c r="B1115" s="26">
        <v>13</v>
      </c>
      <c r="C1115" s="7" t="s">
        <v>13</v>
      </c>
      <c r="D1115" s="4" t="s">
        <v>14</v>
      </c>
      <c r="E1115" s="6" t="s">
        <v>138</v>
      </c>
      <c r="F1115" s="12">
        <f>INDEX('PEDIDO JULIO'!A11:Y33,1,25)</f>
        <v>2</v>
      </c>
      <c r="G1115" s="8">
        <f>IFERROR(VLOOKUP($B1115,'[1]INSUMO POR SEDES MARZO PRUEBA'!$B$6:$CD$109,59,0),"NO BD")</f>
        <v>0</v>
      </c>
      <c r="H1115" s="8"/>
      <c r="I1115" s="8">
        <f t="shared" si="98"/>
        <v>0</v>
      </c>
      <c r="J1115" s="14">
        <f t="shared" si="99"/>
        <v>0</v>
      </c>
      <c r="K1115" s="14">
        <f t="shared" si="100"/>
        <v>0</v>
      </c>
      <c r="L1115" s="14">
        <f t="shared" si="101"/>
        <v>0</v>
      </c>
    </row>
    <row r="1116" spans="1:12" ht="27">
      <c r="A1116" s="3">
        <v>1776</v>
      </c>
      <c r="B1116" s="26">
        <v>17</v>
      </c>
      <c r="C1116" s="7" t="s">
        <v>13</v>
      </c>
      <c r="D1116" s="4" t="s">
        <v>15</v>
      </c>
      <c r="E1116" s="6" t="s">
        <v>138</v>
      </c>
      <c r="F1116" s="12">
        <f>INDEX('PEDIDO JULIO'!A12:Y33,1,25)</f>
        <v>0</v>
      </c>
      <c r="G1116" s="8">
        <f>IFERROR(VLOOKUP($B1116,'[1]INSUMO POR SEDES MARZO PRUEBA'!$B$6:$CD$109,59,0),"NO BD")</f>
        <v>0</v>
      </c>
      <c r="H1116" s="8"/>
      <c r="I1116" s="8">
        <f t="shared" si="98"/>
        <v>0</v>
      </c>
      <c r="J1116" s="14">
        <f t="shared" si="99"/>
        <v>0</v>
      </c>
      <c r="K1116" s="14">
        <f t="shared" si="100"/>
        <v>0</v>
      </c>
      <c r="L1116" s="14">
        <f t="shared" si="101"/>
        <v>0</v>
      </c>
    </row>
    <row r="1117" spans="1:12" ht="15">
      <c r="A1117" s="3">
        <v>1777</v>
      </c>
      <c r="B1117" s="31">
        <v>20</v>
      </c>
      <c r="C1117" s="7" t="s">
        <v>16</v>
      </c>
      <c r="D1117" s="4" t="s">
        <v>17</v>
      </c>
      <c r="E1117" s="6" t="s">
        <v>138</v>
      </c>
      <c r="F1117" s="12">
        <f>INDEX('PEDIDO JULIO'!A12:Y33,1,25)</f>
        <v>0</v>
      </c>
      <c r="G1117" s="8">
        <f>IFERROR(VLOOKUP($B1117,'[1]INSUMO POR SEDES MARZO PRUEBA'!$B$6:$CD$109,59,0),"NO BD")</f>
        <v>0</v>
      </c>
      <c r="H1117" s="8"/>
      <c r="I1117" s="8">
        <f t="shared" si="98"/>
        <v>0</v>
      </c>
      <c r="J1117" s="14">
        <f t="shared" si="99"/>
        <v>0</v>
      </c>
      <c r="K1117" s="14">
        <f t="shared" si="100"/>
        <v>0</v>
      </c>
      <c r="L1117" s="14">
        <f t="shared" si="101"/>
        <v>0</v>
      </c>
    </row>
    <row r="1118" spans="1:12" ht="27">
      <c r="A1118" s="3">
        <v>1778</v>
      </c>
      <c r="B1118" s="26">
        <v>21</v>
      </c>
      <c r="C1118" s="7" t="s">
        <v>18</v>
      </c>
      <c r="D1118" s="4" t="s">
        <v>19</v>
      </c>
      <c r="E1118" s="6" t="s">
        <v>138</v>
      </c>
      <c r="F1118" s="12">
        <f>INDEX('PEDIDO JULIO'!A13:Y34,1,25)</f>
        <v>0</v>
      </c>
      <c r="G1118" s="8">
        <f>IFERROR(VLOOKUP($B1118,'[1]INSUMO POR SEDES MARZO PRUEBA'!$B$6:$CD$109,59,0),"NO BD")</f>
        <v>0</v>
      </c>
      <c r="H1118" s="8"/>
      <c r="I1118" s="8">
        <f t="shared" si="98"/>
        <v>0</v>
      </c>
      <c r="J1118" s="14">
        <f t="shared" si="99"/>
        <v>0</v>
      </c>
      <c r="K1118" s="14">
        <f t="shared" si="100"/>
        <v>0</v>
      </c>
      <c r="L1118" s="14">
        <f t="shared" si="101"/>
        <v>0</v>
      </c>
    </row>
    <row r="1119" spans="1:12" ht="27">
      <c r="A1119" s="3">
        <v>1779</v>
      </c>
      <c r="B1119" s="26">
        <v>28</v>
      </c>
      <c r="C1119" s="7" t="s">
        <v>20</v>
      </c>
      <c r="D1119" s="4" t="s">
        <v>21</v>
      </c>
      <c r="E1119" s="6" t="s">
        <v>138</v>
      </c>
      <c r="F1119" s="12">
        <f>INDEX('PEDIDO JULIO'!A14:Y34,1,25)</f>
        <v>0</v>
      </c>
      <c r="G1119" s="8">
        <f>IFERROR(VLOOKUP($B1119,'[1]INSUMO POR SEDES MARZO PRUEBA'!$B$6:$CD$109,59,0),"NO BD")</f>
        <v>2764.13</v>
      </c>
      <c r="H1119" s="8"/>
      <c r="I1119" s="8">
        <f t="shared" si="98"/>
        <v>0</v>
      </c>
      <c r="J1119" s="14">
        <f t="shared" si="99"/>
        <v>0</v>
      </c>
      <c r="K1119" s="14">
        <f t="shared" si="100"/>
        <v>0</v>
      </c>
      <c r="L1119" s="14">
        <f t="shared" si="101"/>
        <v>0</v>
      </c>
    </row>
    <row r="1120" spans="1:12" ht="27">
      <c r="A1120" s="3">
        <v>1780</v>
      </c>
      <c r="B1120" s="26">
        <v>29</v>
      </c>
      <c r="C1120" s="7" t="s">
        <v>22</v>
      </c>
      <c r="D1120" s="4" t="s">
        <v>23</v>
      </c>
      <c r="E1120" s="6" t="s">
        <v>138</v>
      </c>
      <c r="F1120" s="12">
        <f>INDEX('PEDIDO JULIO'!A15:Y34,1,25)</f>
        <v>0</v>
      </c>
      <c r="G1120" s="8">
        <f>IFERROR(VLOOKUP($B1120,'[1]INSUMO POR SEDES MARZO PRUEBA'!$B$6:$CD$109,59,0),"NO BD")</f>
        <v>0</v>
      </c>
      <c r="H1120" s="8"/>
      <c r="I1120" s="8">
        <f t="shared" si="98"/>
        <v>0</v>
      </c>
      <c r="J1120" s="14">
        <f t="shared" si="99"/>
        <v>0</v>
      </c>
      <c r="K1120" s="14">
        <f t="shared" si="100"/>
        <v>0</v>
      </c>
      <c r="L1120" s="14">
        <f t="shared" si="101"/>
        <v>0</v>
      </c>
    </row>
    <row r="1121" spans="1:12" ht="15">
      <c r="A1121" s="3">
        <v>1781</v>
      </c>
      <c r="B1121" s="26">
        <v>32</v>
      </c>
      <c r="C1121" s="7" t="s">
        <v>18</v>
      </c>
      <c r="D1121" s="4" t="s">
        <v>24</v>
      </c>
      <c r="E1121" s="6" t="s">
        <v>138</v>
      </c>
      <c r="F1121" s="12">
        <f>INDEX('PEDIDO JULIO'!A16:Y34,1,25)</f>
        <v>0</v>
      </c>
      <c r="G1121" s="8">
        <f>IFERROR(VLOOKUP($B1121,'[1]INSUMO POR SEDES MARZO PRUEBA'!$B$6:$CD$109,59,0),"NO BD")</f>
        <v>4115.7160000000003</v>
      </c>
      <c r="H1121" s="8"/>
      <c r="I1121" s="8">
        <f t="shared" si="98"/>
        <v>0</v>
      </c>
      <c r="J1121" s="14">
        <f t="shared" si="99"/>
        <v>0</v>
      </c>
      <c r="K1121" s="14">
        <f t="shared" si="100"/>
        <v>0</v>
      </c>
      <c r="L1121" s="14">
        <f t="shared" si="101"/>
        <v>0</v>
      </c>
    </row>
    <row r="1122" spans="1:12" ht="27">
      <c r="A1122" s="3">
        <v>1782</v>
      </c>
      <c r="B1122" s="26">
        <v>38</v>
      </c>
      <c r="C1122" s="7" t="s">
        <v>155</v>
      </c>
      <c r="D1122" s="4" t="s">
        <v>25</v>
      </c>
      <c r="E1122" s="6" t="s">
        <v>138</v>
      </c>
      <c r="F1122" s="12">
        <f>INDEX('PEDIDO JULIO'!A17:Y34,1,25)</f>
        <v>0</v>
      </c>
      <c r="G1122" s="8">
        <f>IFERROR(VLOOKUP($B1122,'[1]INSUMO POR SEDES MARZO PRUEBA'!$B$6:$CD$109,59,0),"NO BD")</f>
        <v>15622.484399999999</v>
      </c>
      <c r="H1122" s="8"/>
      <c r="I1122" s="8">
        <f t="shared" si="98"/>
        <v>0</v>
      </c>
      <c r="J1122" s="14">
        <f t="shared" si="99"/>
        <v>0</v>
      </c>
      <c r="K1122" s="14">
        <f t="shared" si="100"/>
        <v>0</v>
      </c>
      <c r="L1122" s="14">
        <f t="shared" si="101"/>
        <v>0</v>
      </c>
    </row>
    <row r="1123" spans="1:12" ht="27">
      <c r="A1123" s="3">
        <v>1783</v>
      </c>
      <c r="B1123" s="26">
        <v>44</v>
      </c>
      <c r="C1123" s="7" t="s">
        <v>16</v>
      </c>
      <c r="D1123" s="4" t="s">
        <v>26</v>
      </c>
      <c r="E1123" s="6" t="s">
        <v>138</v>
      </c>
      <c r="F1123" s="12">
        <f>INDEX('PEDIDO JULIO'!A17:Y34,1,25)</f>
        <v>0</v>
      </c>
      <c r="G1123" s="8">
        <f>IFERROR(VLOOKUP($B1123,'[1]INSUMO POR SEDES MARZO PRUEBA'!$B$6:$CD$109,59,0),"NO BD")</f>
        <v>0</v>
      </c>
      <c r="H1123" s="8"/>
      <c r="I1123" s="8">
        <f t="shared" si="98"/>
        <v>0</v>
      </c>
      <c r="J1123" s="14">
        <f t="shared" si="99"/>
        <v>0</v>
      </c>
      <c r="K1123" s="14">
        <f t="shared" si="100"/>
        <v>0</v>
      </c>
      <c r="L1123" s="14">
        <f t="shared" si="101"/>
        <v>0</v>
      </c>
    </row>
    <row r="1124" spans="1:12" ht="15">
      <c r="A1124" s="3">
        <v>1784</v>
      </c>
      <c r="B1124" s="26">
        <v>50</v>
      </c>
      <c r="C1124" s="7" t="s">
        <v>27</v>
      </c>
      <c r="D1124" s="4" t="s">
        <v>28</v>
      </c>
      <c r="E1124" s="6" t="s">
        <v>138</v>
      </c>
      <c r="F1124" s="12">
        <f>INDEX('PEDIDO JULIO'!A18:Y35,1,25)</f>
        <v>0</v>
      </c>
      <c r="G1124" s="8">
        <f>IFERROR(VLOOKUP($B1124,'[1]INSUMO POR SEDES MARZO PRUEBA'!$B$6:$CD$109,59,0),"NO BD")</f>
        <v>0</v>
      </c>
      <c r="H1124" s="8"/>
      <c r="I1124" s="8">
        <f t="shared" si="98"/>
        <v>0</v>
      </c>
      <c r="J1124" s="14">
        <f t="shared" si="99"/>
        <v>0</v>
      </c>
      <c r="K1124" s="14">
        <f t="shared" si="100"/>
        <v>0</v>
      </c>
      <c r="L1124" s="14">
        <f t="shared" si="101"/>
        <v>0</v>
      </c>
    </row>
    <row r="1125" spans="1:12" ht="15">
      <c r="A1125" s="3">
        <v>1785</v>
      </c>
      <c r="B1125" s="26">
        <v>52</v>
      </c>
      <c r="C1125" s="7" t="s">
        <v>13</v>
      </c>
      <c r="D1125" s="4" t="s">
        <v>29</v>
      </c>
      <c r="E1125" s="6" t="s">
        <v>138</v>
      </c>
      <c r="F1125" s="12">
        <f>INDEX('PEDIDO JULIO'!A18:Y35,1,25)</f>
        <v>0</v>
      </c>
      <c r="G1125" s="8">
        <f>IFERROR(VLOOKUP($B1125,'[1]INSUMO POR SEDES MARZO PRUEBA'!$B$6:$CD$109,59,0),"NO BD")</f>
        <v>0</v>
      </c>
      <c r="H1125" s="8"/>
      <c r="I1125" s="8">
        <f t="shared" si="98"/>
        <v>0</v>
      </c>
      <c r="J1125" s="14">
        <f t="shared" si="99"/>
        <v>0</v>
      </c>
      <c r="K1125" s="14">
        <f t="shared" si="100"/>
        <v>0</v>
      </c>
      <c r="L1125" s="14">
        <f t="shared" si="101"/>
        <v>0</v>
      </c>
    </row>
    <row r="1126" spans="1:12" ht="15">
      <c r="A1126" s="3">
        <v>1786</v>
      </c>
      <c r="B1126" s="26">
        <v>57</v>
      </c>
      <c r="C1126" s="7" t="s">
        <v>13</v>
      </c>
      <c r="D1126" s="4" t="s">
        <v>30</v>
      </c>
      <c r="E1126" s="6" t="s">
        <v>138</v>
      </c>
      <c r="F1126" s="12">
        <f>INDEX('PEDIDO JULIO'!A18:Y35,1,25)</f>
        <v>0</v>
      </c>
      <c r="G1126" s="8">
        <f>IFERROR(VLOOKUP($B1126,'[1]INSUMO POR SEDES MARZO PRUEBA'!$B$6:$CD$109,59,0),"NO BD")</f>
        <v>27464.2065</v>
      </c>
      <c r="H1126" s="8"/>
      <c r="I1126" s="8">
        <f t="shared" si="98"/>
        <v>0</v>
      </c>
      <c r="J1126" s="14">
        <f t="shared" si="99"/>
        <v>0</v>
      </c>
      <c r="K1126" s="14">
        <f t="shared" si="100"/>
        <v>0</v>
      </c>
      <c r="L1126" s="14">
        <f t="shared" si="101"/>
        <v>0</v>
      </c>
    </row>
    <row r="1127" spans="1:12" ht="15">
      <c r="A1127" s="3">
        <v>1787</v>
      </c>
      <c r="B1127" s="26">
        <v>59</v>
      </c>
      <c r="C1127" s="7" t="s">
        <v>13</v>
      </c>
      <c r="D1127" s="4" t="s">
        <v>31</v>
      </c>
      <c r="E1127" s="6" t="s">
        <v>138</v>
      </c>
      <c r="F1127" s="12">
        <f>INDEX('PEDIDO JULIO'!A19:Y35,1,25)</f>
        <v>0</v>
      </c>
      <c r="G1127" s="8">
        <f>IFERROR(VLOOKUP($B1127,'[1]INSUMO POR SEDES MARZO PRUEBA'!$B$6:$CD$109,59,0),"NO BD")</f>
        <v>0</v>
      </c>
      <c r="H1127" s="8"/>
      <c r="I1127" s="8">
        <f t="shared" si="98"/>
        <v>0</v>
      </c>
      <c r="J1127" s="14">
        <f t="shared" si="99"/>
        <v>0</v>
      </c>
      <c r="K1127" s="14">
        <f t="shared" si="100"/>
        <v>0</v>
      </c>
      <c r="L1127" s="14">
        <f t="shared" si="101"/>
        <v>0</v>
      </c>
    </row>
    <row r="1128" spans="1:12" ht="15">
      <c r="A1128" s="3">
        <v>1788</v>
      </c>
      <c r="B1128" s="26">
        <v>62</v>
      </c>
      <c r="C1128" s="7" t="s">
        <v>13</v>
      </c>
      <c r="D1128" s="4" t="s">
        <v>32</v>
      </c>
      <c r="E1128" s="6" t="s">
        <v>138</v>
      </c>
      <c r="F1128" s="12">
        <f>INDEX('PEDIDO JULIO'!A19:Y35,1,25)</f>
        <v>0</v>
      </c>
      <c r="G1128" s="8">
        <f>IFERROR(VLOOKUP($B1128,'[1]INSUMO POR SEDES MARZO PRUEBA'!$B$6:$CD$109,59,0),"NO BD")</f>
        <v>10100.3202</v>
      </c>
      <c r="H1128" s="8"/>
      <c r="I1128" s="8">
        <f t="shared" si="98"/>
        <v>0</v>
      </c>
      <c r="J1128" s="14">
        <f t="shared" si="99"/>
        <v>0</v>
      </c>
      <c r="K1128" s="14">
        <f t="shared" si="100"/>
        <v>0</v>
      </c>
      <c r="L1128" s="14">
        <f t="shared" si="101"/>
        <v>0</v>
      </c>
    </row>
    <row r="1129" spans="1:12" ht="15">
      <c r="A1129" s="3">
        <v>1789</v>
      </c>
      <c r="B1129" s="26">
        <v>63</v>
      </c>
      <c r="C1129" s="7" t="s">
        <v>33</v>
      </c>
      <c r="D1129" s="4" t="s">
        <v>34</v>
      </c>
      <c r="E1129" s="6" t="s">
        <v>138</v>
      </c>
      <c r="F1129" s="12">
        <f>INDEX('PEDIDO JULIO'!A20:Y35,1,25)</f>
        <v>0</v>
      </c>
      <c r="G1129" s="8">
        <f>IFERROR(VLOOKUP($B1129,'[1]INSUMO POR SEDES MARZO PRUEBA'!$B$6:$CD$109,59,0),"NO BD")</f>
        <v>11443.4982</v>
      </c>
      <c r="H1129" s="8"/>
      <c r="I1129" s="8">
        <f t="shared" si="98"/>
        <v>0</v>
      </c>
      <c r="J1129" s="14">
        <f t="shared" si="99"/>
        <v>0</v>
      </c>
      <c r="K1129" s="14">
        <f t="shared" si="100"/>
        <v>0</v>
      </c>
      <c r="L1129" s="14">
        <f t="shared" si="101"/>
        <v>0</v>
      </c>
    </row>
    <row r="1130" spans="1:12" ht="15">
      <c r="A1130" s="3">
        <v>1790</v>
      </c>
      <c r="B1130" s="26">
        <v>64</v>
      </c>
      <c r="C1130" s="7" t="s">
        <v>16</v>
      </c>
      <c r="D1130" s="4" t="s">
        <v>35</v>
      </c>
      <c r="E1130" s="6" t="s">
        <v>138</v>
      </c>
      <c r="F1130" s="12">
        <f>INDEX('PEDIDO JULIO'!A20:Y35,1,25)</f>
        <v>0</v>
      </c>
      <c r="G1130" s="8">
        <f>IFERROR(VLOOKUP($B1130,'[1]INSUMO POR SEDES MARZO PRUEBA'!$B$6:$CD$109,59,0),"NO BD")</f>
        <v>0</v>
      </c>
      <c r="H1130" s="8"/>
      <c r="I1130" s="8">
        <f t="shared" si="98"/>
        <v>0</v>
      </c>
      <c r="J1130" s="14">
        <f t="shared" si="99"/>
        <v>0</v>
      </c>
      <c r="K1130" s="14">
        <f t="shared" si="100"/>
        <v>0</v>
      </c>
      <c r="L1130" s="14">
        <f t="shared" si="101"/>
        <v>0</v>
      </c>
    </row>
    <row r="1131" spans="1:12" ht="15">
      <c r="A1131" s="3">
        <v>1791</v>
      </c>
      <c r="B1131" s="26">
        <v>65</v>
      </c>
      <c r="C1131" s="7" t="s">
        <v>36</v>
      </c>
      <c r="D1131" s="4" t="s">
        <v>37</v>
      </c>
      <c r="E1131" s="6" t="s">
        <v>138</v>
      </c>
      <c r="F1131" s="12">
        <f>INDEX('PEDIDO JULIO'!A21:Y35,1,25)</f>
        <v>0</v>
      </c>
      <c r="G1131" s="8">
        <f>IFERROR(VLOOKUP($B1131,'[1]INSUMO POR SEDES MARZO PRUEBA'!$B$6:$CD$109,59,0),"NO BD")</f>
        <v>21295.046699999999</v>
      </c>
      <c r="H1131" s="8"/>
      <c r="I1131" s="8">
        <f t="shared" si="98"/>
        <v>0</v>
      </c>
      <c r="J1131" s="14">
        <f t="shared" si="99"/>
        <v>0</v>
      </c>
      <c r="K1131" s="14">
        <f t="shared" si="100"/>
        <v>0</v>
      </c>
      <c r="L1131" s="14">
        <f t="shared" si="101"/>
        <v>0</v>
      </c>
    </row>
    <row r="1132" spans="1:12" ht="15">
      <c r="A1132" s="3">
        <v>1792</v>
      </c>
      <c r="B1132" s="26">
        <v>66</v>
      </c>
      <c r="C1132" s="7" t="s">
        <v>36</v>
      </c>
      <c r="D1132" s="4" t="s">
        <v>38</v>
      </c>
      <c r="E1132" s="6" t="s">
        <v>138</v>
      </c>
      <c r="F1132" s="12">
        <f>INDEX('PEDIDO JULIO'!A22:Y35,1,25)</f>
        <v>0</v>
      </c>
      <c r="G1132" s="8">
        <f>IFERROR(VLOOKUP($B1132,'[1]INSUMO POR SEDES MARZO PRUEBA'!$B$6:$CD$109,59,0),"NO BD")</f>
        <v>4178.9862000000003</v>
      </c>
      <c r="H1132" s="8"/>
      <c r="I1132" s="8">
        <f t="shared" si="98"/>
        <v>0</v>
      </c>
      <c r="J1132" s="14">
        <f t="shared" si="99"/>
        <v>0</v>
      </c>
      <c r="K1132" s="14">
        <f t="shared" si="100"/>
        <v>0</v>
      </c>
      <c r="L1132" s="14">
        <f t="shared" si="101"/>
        <v>0</v>
      </c>
    </row>
    <row r="1133" spans="1:12" ht="15">
      <c r="A1133" s="3">
        <v>1793</v>
      </c>
      <c r="B1133" s="26">
        <v>71</v>
      </c>
      <c r="C1133" s="7" t="s">
        <v>39</v>
      </c>
      <c r="D1133" s="4" t="s">
        <v>40</v>
      </c>
      <c r="E1133" s="6" t="s">
        <v>138</v>
      </c>
      <c r="F1133" s="12">
        <f>INDEX('PEDIDO JULIO'!A23:Y36,1,25)</f>
        <v>3</v>
      </c>
      <c r="G1133" s="8">
        <f>IFERROR(VLOOKUP($B1133,'[1]INSUMO POR SEDES MARZO PRUEBA'!$B$6:$CD$109,59,0),"NO BD")</f>
        <v>7960.6944000000003</v>
      </c>
      <c r="H1133" s="8"/>
      <c r="I1133" s="8">
        <f t="shared" si="98"/>
        <v>23882.083200000001</v>
      </c>
      <c r="J1133" s="14">
        <f t="shared" si="99"/>
        <v>2388.2083200000002</v>
      </c>
      <c r="K1133" s="14">
        <f t="shared" si="100"/>
        <v>453.75958080000004</v>
      </c>
      <c r="L1133" s="14">
        <f t="shared" si="101"/>
        <v>26724.051100800003</v>
      </c>
    </row>
    <row r="1134" spans="1:12" ht="15">
      <c r="A1134" s="3">
        <v>1794</v>
      </c>
      <c r="B1134" s="26">
        <v>72</v>
      </c>
      <c r="C1134" s="7" t="s">
        <v>39</v>
      </c>
      <c r="D1134" s="4" t="s">
        <v>41</v>
      </c>
      <c r="E1134" s="6" t="s">
        <v>138</v>
      </c>
      <c r="F1134" s="12">
        <f>INDEX('PEDIDO JULIO'!A23:Y37,1,25)</f>
        <v>3</v>
      </c>
      <c r="G1134" s="8">
        <f>IFERROR(VLOOKUP($B1134,'[1]INSUMO POR SEDES MARZO PRUEBA'!$B$6:$CD$109,59,0),"NO BD")</f>
        <v>7861.3749000000007</v>
      </c>
      <c r="H1134" s="8"/>
      <c r="I1134" s="8">
        <f t="shared" si="98"/>
        <v>23584.1247</v>
      </c>
      <c r="J1134" s="14">
        <f t="shared" ref="J1134:J1175" si="102">+I1134*10%</f>
        <v>2358.4124700000002</v>
      </c>
      <c r="K1134" s="14">
        <f t="shared" ref="K1134:K1175" si="103">+J1134*19%</f>
        <v>448.09836930000006</v>
      </c>
      <c r="L1134" s="14">
        <f t="shared" ref="L1134:L1175" si="104">SUM(I1134:K1134)</f>
        <v>26390.635539300001</v>
      </c>
    </row>
    <row r="1135" spans="1:12" ht="15">
      <c r="A1135" s="3">
        <v>1795</v>
      </c>
      <c r="B1135" s="26">
        <v>73</v>
      </c>
      <c r="C1135" s="7" t="s">
        <v>151</v>
      </c>
      <c r="D1135" s="4" t="s">
        <v>42</v>
      </c>
      <c r="E1135" s="6" t="s">
        <v>138</v>
      </c>
      <c r="F1135" s="12">
        <f>INDEX('PEDIDO JULIO'!A24:Y37,1,25)</f>
        <v>2</v>
      </c>
      <c r="G1135" s="8">
        <f>IFERROR(VLOOKUP($B1135,'[1]INSUMO POR SEDES MARZO PRUEBA'!$B$6:$CD$109,59,0),"NO BD")</f>
        <v>21493.685699999998</v>
      </c>
      <c r="H1135" s="8"/>
      <c r="I1135" s="8">
        <f t="shared" si="98"/>
        <v>42987.371399999996</v>
      </c>
      <c r="J1135" s="14">
        <f t="shared" si="102"/>
        <v>4298.7371400000002</v>
      </c>
      <c r="K1135" s="14">
        <f t="shared" si="103"/>
        <v>816.7600566000001</v>
      </c>
      <c r="L1135" s="14">
        <f t="shared" si="104"/>
        <v>48102.86859659999</v>
      </c>
    </row>
    <row r="1136" spans="1:12" ht="15">
      <c r="A1136" s="3">
        <v>1796</v>
      </c>
      <c r="B1136" s="26">
        <v>74</v>
      </c>
      <c r="C1136" s="7" t="s">
        <v>151</v>
      </c>
      <c r="D1136" s="4" t="s">
        <v>43</v>
      </c>
      <c r="E1136" s="6" t="s">
        <v>138</v>
      </c>
      <c r="F1136" s="12">
        <f>INDEX('PEDIDO JULIO'!A25:Y37,1,25)</f>
        <v>0</v>
      </c>
      <c r="G1136" s="8">
        <f>IFERROR(VLOOKUP($B1136,'[1]INSUMO POR SEDES MARZO PRUEBA'!$B$6:$CD$109,59,0),"NO BD")</f>
        <v>6915.4749000000002</v>
      </c>
      <c r="H1136" s="8"/>
      <c r="I1136" s="8">
        <f t="shared" si="98"/>
        <v>0</v>
      </c>
      <c r="J1136" s="14">
        <f t="shared" si="102"/>
        <v>0</v>
      </c>
      <c r="K1136" s="14">
        <f t="shared" si="103"/>
        <v>0</v>
      </c>
      <c r="L1136" s="14">
        <f t="shared" si="104"/>
        <v>0</v>
      </c>
    </row>
    <row r="1137" spans="1:12" ht="15">
      <c r="A1137" s="3">
        <v>1797</v>
      </c>
      <c r="B1137" s="26">
        <v>79</v>
      </c>
      <c r="C1137" s="7" t="s">
        <v>151</v>
      </c>
      <c r="D1137" s="4" t="s">
        <v>44</v>
      </c>
      <c r="E1137" s="6" t="s">
        <v>138</v>
      </c>
      <c r="F1137" s="12">
        <f>INDEX('PEDIDO JULIO'!A26:Y37,1,25)</f>
        <v>0</v>
      </c>
      <c r="G1137" s="8">
        <f>IFERROR(VLOOKUP($B1137,'[1]INSUMO POR SEDES MARZO PRUEBA'!$B$6:$CD$109,59,0),"NO BD")</f>
        <v>935.49510000000009</v>
      </c>
      <c r="H1137" s="8"/>
      <c r="I1137" s="8">
        <f t="shared" si="98"/>
        <v>0</v>
      </c>
      <c r="J1137" s="14">
        <f t="shared" si="102"/>
        <v>0</v>
      </c>
      <c r="K1137" s="14">
        <f t="shared" si="103"/>
        <v>0</v>
      </c>
      <c r="L1137" s="14">
        <f t="shared" si="104"/>
        <v>0</v>
      </c>
    </row>
    <row r="1138" spans="1:12" ht="40.5">
      <c r="A1138" s="3">
        <v>1798</v>
      </c>
      <c r="B1138" s="26">
        <v>80</v>
      </c>
      <c r="C1138" s="7" t="s">
        <v>151</v>
      </c>
      <c r="D1138" s="4" t="s">
        <v>45</v>
      </c>
      <c r="E1138" s="6" t="s">
        <v>138</v>
      </c>
      <c r="F1138" s="12">
        <f>INDEX('PEDIDO JULIO'!A27:Y37,1,25)</f>
        <v>0</v>
      </c>
      <c r="G1138" s="8">
        <f>IFERROR(VLOOKUP($B1138,'[1]INSUMO POR SEDES MARZO PRUEBA'!$B$6:$CD$109,59,0),"NO BD")</f>
        <v>433.01199999999994</v>
      </c>
      <c r="H1138" s="8"/>
      <c r="I1138" s="8">
        <f t="shared" si="98"/>
        <v>0</v>
      </c>
      <c r="J1138" s="14">
        <f t="shared" si="102"/>
        <v>0</v>
      </c>
      <c r="K1138" s="14">
        <f t="shared" si="103"/>
        <v>0</v>
      </c>
      <c r="L1138" s="14">
        <f t="shared" si="104"/>
        <v>0</v>
      </c>
    </row>
    <row r="1139" spans="1:12" ht="27">
      <c r="A1139" s="3">
        <v>1799</v>
      </c>
      <c r="B1139" s="26">
        <v>81</v>
      </c>
      <c r="C1139" s="7" t="s">
        <v>46</v>
      </c>
      <c r="D1139" s="4" t="s">
        <v>47</v>
      </c>
      <c r="E1139" s="6" t="s">
        <v>138</v>
      </c>
      <c r="F1139" s="12">
        <f>INDEX('PEDIDO JULIO'!A28:Y37,1,25)</f>
        <v>0</v>
      </c>
      <c r="G1139" s="8">
        <f>IFERROR(VLOOKUP($B1139,'[1]INSUMO POR SEDES MARZO PRUEBA'!$B$6:$CD$109,59,0),"NO BD")</f>
        <v>387.81900000000002</v>
      </c>
      <c r="H1139" s="8"/>
      <c r="I1139" s="8">
        <f t="shared" si="98"/>
        <v>0</v>
      </c>
      <c r="J1139" s="14">
        <f t="shared" si="102"/>
        <v>0</v>
      </c>
      <c r="K1139" s="14">
        <f t="shared" si="103"/>
        <v>0</v>
      </c>
      <c r="L1139" s="14">
        <f t="shared" si="104"/>
        <v>0</v>
      </c>
    </row>
    <row r="1140" spans="1:12" ht="15">
      <c r="A1140" s="3">
        <v>1800</v>
      </c>
      <c r="B1140" s="26">
        <v>82</v>
      </c>
      <c r="C1140" s="7" t="s">
        <v>159</v>
      </c>
      <c r="D1140" s="4" t="s">
        <v>48</v>
      </c>
      <c r="E1140" s="6" t="s">
        <v>138</v>
      </c>
      <c r="F1140" s="12">
        <f>INDEX('PEDIDO JULIO'!A28:Y37,1,25)</f>
        <v>0</v>
      </c>
      <c r="G1140" s="8">
        <f>IFERROR(VLOOKUP($B1140,'[1]INSUMO POR SEDES MARZO PRUEBA'!$B$6:$CD$109,59,0),"NO BD")</f>
        <v>1003.7049999999999</v>
      </c>
      <c r="H1140" s="8"/>
      <c r="I1140" s="8">
        <f t="shared" si="98"/>
        <v>0</v>
      </c>
      <c r="J1140" s="14">
        <f t="shared" si="102"/>
        <v>0</v>
      </c>
      <c r="K1140" s="14">
        <f t="shared" si="103"/>
        <v>0</v>
      </c>
      <c r="L1140" s="14">
        <f t="shared" si="104"/>
        <v>0</v>
      </c>
    </row>
    <row r="1141" spans="1:12" ht="15">
      <c r="A1141" s="3">
        <v>1801</v>
      </c>
      <c r="B1141" s="26">
        <v>83</v>
      </c>
      <c r="C1141" s="7" t="s">
        <v>159</v>
      </c>
      <c r="D1141" s="4" t="s">
        <v>49</v>
      </c>
      <c r="E1141" s="6" t="s">
        <v>138</v>
      </c>
      <c r="F1141" s="12">
        <f>INDEX('PEDIDO JULIO'!A29:Y37,1,25)</f>
        <v>2</v>
      </c>
      <c r="G1141" s="8">
        <f>IFERROR(VLOOKUP($B1141,'[1]INSUMO POR SEDES MARZO PRUEBA'!$B$6:$CD$109,59,0),"NO BD")</f>
        <v>0</v>
      </c>
      <c r="H1141" s="8"/>
      <c r="I1141" s="8">
        <f t="shared" si="98"/>
        <v>0</v>
      </c>
      <c r="J1141" s="14">
        <f t="shared" si="102"/>
        <v>0</v>
      </c>
      <c r="K1141" s="14">
        <f t="shared" si="103"/>
        <v>0</v>
      </c>
      <c r="L1141" s="14">
        <f t="shared" si="104"/>
        <v>0</v>
      </c>
    </row>
    <row r="1142" spans="1:12" ht="15">
      <c r="A1142" s="3">
        <v>1802</v>
      </c>
      <c r="B1142" s="26">
        <v>88</v>
      </c>
      <c r="C1142" s="7" t="s">
        <v>159</v>
      </c>
      <c r="D1142" s="4" t="s">
        <v>50</v>
      </c>
      <c r="E1142" s="6" t="s">
        <v>138</v>
      </c>
      <c r="F1142" s="12">
        <f>INDEX('PEDIDO JULIO'!A30:Y37,1,25)</f>
        <v>0</v>
      </c>
      <c r="G1142" s="8">
        <f>IFERROR(VLOOKUP($B1142,'[1]INSUMO POR SEDES MARZO PRUEBA'!$B$6:$CD$109,59,0),"NO BD")</f>
        <v>0</v>
      </c>
      <c r="H1142" s="8"/>
      <c r="I1142" s="8">
        <f t="shared" si="98"/>
        <v>0</v>
      </c>
      <c r="J1142" s="14">
        <f t="shared" si="102"/>
        <v>0</v>
      </c>
      <c r="K1142" s="14">
        <f t="shared" si="103"/>
        <v>0</v>
      </c>
      <c r="L1142" s="14">
        <f t="shared" si="104"/>
        <v>0</v>
      </c>
    </row>
    <row r="1143" spans="1:12" ht="15">
      <c r="A1143" s="3">
        <v>1803</v>
      </c>
      <c r="B1143" s="26">
        <v>92</v>
      </c>
      <c r="C1143" s="7" t="s">
        <v>159</v>
      </c>
      <c r="D1143" s="4" t="s">
        <v>51</v>
      </c>
      <c r="E1143" s="6" t="s">
        <v>138</v>
      </c>
      <c r="F1143" s="12">
        <f>INDEX('PEDIDO JULIO'!A31:Y37,1,25)</f>
        <v>0</v>
      </c>
      <c r="G1143" s="8">
        <f>IFERROR(VLOOKUP($B1143,'[1]INSUMO POR SEDES MARZO PRUEBA'!$B$6:$CD$109,59,0),"NO BD")</f>
        <v>2380.5149999999999</v>
      </c>
      <c r="H1143" s="8"/>
      <c r="I1143" s="8">
        <f t="shared" si="98"/>
        <v>0</v>
      </c>
      <c r="J1143" s="14">
        <f t="shared" si="102"/>
        <v>0</v>
      </c>
      <c r="K1143" s="14">
        <f t="shared" si="103"/>
        <v>0</v>
      </c>
      <c r="L1143" s="14">
        <f t="shared" si="104"/>
        <v>0</v>
      </c>
    </row>
    <row r="1144" spans="1:12" ht="15">
      <c r="A1144" s="3">
        <v>1804</v>
      </c>
      <c r="B1144" s="26">
        <v>94</v>
      </c>
      <c r="C1144" s="7" t="s">
        <v>159</v>
      </c>
      <c r="D1144" s="4" t="s">
        <v>52</v>
      </c>
      <c r="E1144" s="6" t="s">
        <v>138</v>
      </c>
      <c r="F1144" s="12">
        <f>INDEX('PEDIDO JULIO'!A32:Y37,1,25)</f>
        <v>5</v>
      </c>
      <c r="G1144" s="8">
        <f>IFERROR(VLOOKUP($B1144,'[1]INSUMO POR SEDES MARZO PRUEBA'!$B$6:$CD$109,59,0),"NO BD")</f>
        <v>0</v>
      </c>
      <c r="H1144" s="8"/>
      <c r="I1144" s="8">
        <f t="shared" si="98"/>
        <v>0</v>
      </c>
      <c r="J1144" s="14">
        <f t="shared" si="102"/>
        <v>0</v>
      </c>
      <c r="K1144" s="14">
        <f t="shared" si="103"/>
        <v>0</v>
      </c>
      <c r="L1144" s="14">
        <f t="shared" si="104"/>
        <v>0</v>
      </c>
    </row>
    <row r="1145" spans="1:12" ht="15">
      <c r="A1145" s="3">
        <v>1805</v>
      </c>
      <c r="B1145" s="26">
        <v>98</v>
      </c>
      <c r="C1145" s="7" t="s">
        <v>53</v>
      </c>
      <c r="D1145" s="4" t="s">
        <v>54</v>
      </c>
      <c r="E1145" s="6" t="s">
        <v>138</v>
      </c>
      <c r="F1145" s="12">
        <f>INDEX('PEDIDO JULIO'!A33:Y37,1,25)</f>
        <v>0</v>
      </c>
      <c r="G1145" s="8">
        <f>IFERROR(VLOOKUP($B1145,'[1]INSUMO POR SEDES MARZO PRUEBA'!$B$6:$CD$109,59,0),"NO BD")</f>
        <v>9503.4573</v>
      </c>
      <c r="H1145" s="8"/>
      <c r="I1145" s="8">
        <f t="shared" si="98"/>
        <v>0</v>
      </c>
      <c r="J1145" s="14">
        <f t="shared" si="102"/>
        <v>0</v>
      </c>
      <c r="K1145" s="14">
        <f t="shared" si="103"/>
        <v>0</v>
      </c>
      <c r="L1145" s="14">
        <f t="shared" si="104"/>
        <v>0</v>
      </c>
    </row>
    <row r="1146" spans="1:12" ht="15">
      <c r="A1146" s="3">
        <v>1806</v>
      </c>
      <c r="B1146" s="26">
        <v>100</v>
      </c>
      <c r="C1146" s="7" t="s">
        <v>53</v>
      </c>
      <c r="D1146" s="4" t="s">
        <v>55</v>
      </c>
      <c r="E1146" s="6" t="s">
        <v>138</v>
      </c>
      <c r="F1146" s="12">
        <f>INDEX('PEDIDO JULIO'!A33:Y38,1,25)</f>
        <v>0</v>
      </c>
      <c r="G1146" s="8">
        <f>IFERROR(VLOOKUP($B1146,'[1]INSUMO POR SEDES MARZO PRUEBA'!$B$6:$CD$109,59,0),"NO BD")</f>
        <v>0</v>
      </c>
      <c r="H1146" s="8"/>
      <c r="I1146" s="8">
        <f t="shared" si="98"/>
        <v>0</v>
      </c>
      <c r="J1146" s="14">
        <f t="shared" si="102"/>
        <v>0</v>
      </c>
      <c r="K1146" s="14">
        <f t="shared" si="103"/>
        <v>0</v>
      </c>
      <c r="L1146" s="14">
        <f t="shared" si="104"/>
        <v>0</v>
      </c>
    </row>
    <row r="1147" spans="1:12" ht="15">
      <c r="A1147" s="3">
        <v>1807</v>
      </c>
      <c r="B1147" s="26">
        <v>102</v>
      </c>
      <c r="C1147" s="7" t="s">
        <v>53</v>
      </c>
      <c r="D1147" s="4" t="s">
        <v>56</v>
      </c>
      <c r="E1147" s="6" t="s">
        <v>138</v>
      </c>
      <c r="F1147" s="12">
        <f>INDEX('PEDIDO JULIO'!A33:Y38,1,25)</f>
        <v>0</v>
      </c>
      <c r="G1147" s="8">
        <f>IFERROR(VLOOKUP($B1147,'[1]INSUMO POR SEDES MARZO PRUEBA'!$B$6:$CD$109,59,0),"NO BD")</f>
        <v>5422.8446999999996</v>
      </c>
      <c r="H1147" s="8"/>
      <c r="I1147" s="8">
        <f t="shared" si="98"/>
        <v>0</v>
      </c>
      <c r="J1147" s="14">
        <f t="shared" si="102"/>
        <v>0</v>
      </c>
      <c r="K1147" s="14">
        <f t="shared" si="103"/>
        <v>0</v>
      </c>
      <c r="L1147" s="14">
        <f t="shared" si="104"/>
        <v>0</v>
      </c>
    </row>
    <row r="1148" spans="1:12" ht="15">
      <c r="A1148" s="3">
        <v>1808</v>
      </c>
      <c r="B1148" s="26">
        <v>110</v>
      </c>
      <c r="C1148" s="7" t="s">
        <v>53</v>
      </c>
      <c r="D1148" s="4" t="s">
        <v>57</v>
      </c>
      <c r="E1148" s="6" t="s">
        <v>138</v>
      </c>
      <c r="F1148" s="12">
        <f>INDEX('PEDIDO JULIO'!A33:Y39,1,25)</f>
        <v>0</v>
      </c>
      <c r="G1148" s="8">
        <f>IFERROR(VLOOKUP($B1148,'[1]INSUMO POR SEDES MARZO PRUEBA'!$B$6:$CD$109,59,0),"NO BD")</f>
        <v>1442.4974999999999</v>
      </c>
      <c r="H1148" s="8"/>
      <c r="I1148" s="8">
        <f t="shared" si="98"/>
        <v>0</v>
      </c>
      <c r="J1148" s="14">
        <f t="shared" si="102"/>
        <v>0</v>
      </c>
      <c r="K1148" s="14">
        <f t="shared" si="103"/>
        <v>0</v>
      </c>
      <c r="L1148" s="14">
        <f t="shared" si="104"/>
        <v>0</v>
      </c>
    </row>
    <row r="1149" spans="1:12" ht="27">
      <c r="A1149" s="3">
        <v>1809</v>
      </c>
      <c r="B1149" s="26">
        <v>118</v>
      </c>
      <c r="C1149" s="7" t="s">
        <v>160</v>
      </c>
      <c r="D1149" s="4" t="s">
        <v>58</v>
      </c>
      <c r="E1149" s="6" t="s">
        <v>138</v>
      </c>
      <c r="F1149" s="12">
        <f>INDEX('PEDIDO JULIO'!A33:Y40,1,25)</f>
        <v>0</v>
      </c>
      <c r="G1149" s="8">
        <f>IFERROR(VLOOKUP($B1149,'[1]INSUMO POR SEDES MARZO PRUEBA'!$B$6:$CD$109,59,0),"NO BD")</f>
        <v>4129.7993999999999</v>
      </c>
      <c r="H1149" s="8"/>
      <c r="I1149" s="8">
        <f t="shared" si="98"/>
        <v>0</v>
      </c>
      <c r="J1149" s="14">
        <f t="shared" si="102"/>
        <v>0</v>
      </c>
      <c r="K1149" s="14">
        <f t="shared" si="103"/>
        <v>0</v>
      </c>
      <c r="L1149" s="14">
        <f t="shared" si="104"/>
        <v>0</v>
      </c>
    </row>
    <row r="1150" spans="1:12" ht="15">
      <c r="A1150" s="3">
        <v>1810</v>
      </c>
      <c r="B1150" s="26">
        <v>119</v>
      </c>
      <c r="C1150" s="7" t="s">
        <v>160</v>
      </c>
      <c r="D1150" s="4" t="s">
        <v>59</v>
      </c>
      <c r="E1150" s="6" t="s">
        <v>138</v>
      </c>
      <c r="F1150" s="12">
        <f>INDEX('PEDIDO JULIO'!A33:Y40,1,25)</f>
        <v>0</v>
      </c>
      <c r="G1150" s="8">
        <f>IFERROR(VLOOKUP($B1150,'[1]INSUMO POR SEDES MARZO PRUEBA'!$B$6:$CD$109,59,0),"NO BD")</f>
        <v>4259.3877000000002</v>
      </c>
      <c r="H1150" s="8"/>
      <c r="I1150" s="8">
        <f t="shared" si="98"/>
        <v>0</v>
      </c>
      <c r="J1150" s="14">
        <f t="shared" si="102"/>
        <v>0</v>
      </c>
      <c r="K1150" s="14">
        <f t="shared" si="103"/>
        <v>0</v>
      </c>
      <c r="L1150" s="14">
        <f t="shared" si="104"/>
        <v>0</v>
      </c>
    </row>
    <row r="1151" spans="1:12" ht="15">
      <c r="A1151" s="3">
        <v>1811</v>
      </c>
      <c r="B1151" s="26">
        <v>120</v>
      </c>
      <c r="C1151" s="7" t="s">
        <v>60</v>
      </c>
      <c r="D1151" s="4" t="s">
        <v>61</v>
      </c>
      <c r="E1151" s="6" t="s">
        <v>138</v>
      </c>
      <c r="F1151" s="12">
        <f>INDEX('PEDIDO JULIO'!A33:Y40,1,25)</f>
        <v>0</v>
      </c>
      <c r="G1151" s="8">
        <f>IFERROR(VLOOKUP($B1151,'[1]INSUMO POR SEDES MARZO PRUEBA'!$B$6:$CD$109,59,0),"NO BD")</f>
        <v>4259.3877000000002</v>
      </c>
      <c r="H1151" s="8"/>
      <c r="I1151" s="8">
        <f t="shared" si="98"/>
        <v>0</v>
      </c>
      <c r="J1151" s="14">
        <f t="shared" si="102"/>
        <v>0</v>
      </c>
      <c r="K1151" s="14">
        <f t="shared" si="103"/>
        <v>0</v>
      </c>
      <c r="L1151" s="14">
        <f t="shared" si="104"/>
        <v>0</v>
      </c>
    </row>
    <row r="1152" spans="1:12" ht="15">
      <c r="A1152" s="3">
        <v>1812</v>
      </c>
      <c r="B1152" s="26">
        <v>122</v>
      </c>
      <c r="C1152" s="7" t="s">
        <v>60</v>
      </c>
      <c r="D1152" s="4" t="s">
        <v>62</v>
      </c>
      <c r="E1152" s="6" t="s">
        <v>138</v>
      </c>
      <c r="F1152" s="12">
        <f>INDEX('PEDIDO JULIO'!A33:Y41,1,25)</f>
        <v>0</v>
      </c>
      <c r="G1152" s="8">
        <f>IFERROR(VLOOKUP($B1152,'[1]INSUMO POR SEDES MARZO PRUEBA'!$B$6:$CD$109,59,0),"NO BD")</f>
        <v>5920.3881000000001</v>
      </c>
      <c r="H1152" s="8"/>
      <c r="I1152" s="8">
        <f t="shared" si="98"/>
        <v>0</v>
      </c>
      <c r="J1152" s="14">
        <f t="shared" si="102"/>
        <v>0</v>
      </c>
      <c r="K1152" s="14">
        <f t="shared" si="103"/>
        <v>0</v>
      </c>
      <c r="L1152" s="14">
        <f t="shared" si="104"/>
        <v>0</v>
      </c>
    </row>
    <row r="1153" spans="1:12" ht="15">
      <c r="A1153" s="3">
        <v>1813</v>
      </c>
      <c r="B1153" s="26">
        <v>123</v>
      </c>
      <c r="C1153" s="7" t="s">
        <v>151</v>
      </c>
      <c r="D1153" s="4" t="s">
        <v>63</v>
      </c>
      <c r="E1153" s="6" t="s">
        <v>138</v>
      </c>
      <c r="F1153" s="12">
        <f>INDEX('PEDIDO JULIO'!A33:Y41,1,25)</f>
        <v>0</v>
      </c>
      <c r="G1153" s="8">
        <f>IFERROR(VLOOKUP($B1153,'[1]INSUMO POR SEDES MARZO PRUEBA'!$B$6:$CD$109,59,0),"NO BD")</f>
        <v>6169.1598000000004</v>
      </c>
      <c r="H1153" s="8"/>
      <c r="I1153" s="8">
        <f t="shared" si="98"/>
        <v>0</v>
      </c>
      <c r="J1153" s="14">
        <f t="shared" si="102"/>
        <v>0</v>
      </c>
      <c r="K1153" s="14">
        <f t="shared" si="103"/>
        <v>0</v>
      </c>
      <c r="L1153" s="14">
        <f t="shared" si="104"/>
        <v>0</v>
      </c>
    </row>
    <row r="1154" spans="1:12" ht="15">
      <c r="A1154" s="3">
        <v>1814</v>
      </c>
      <c r="B1154" s="26">
        <v>124</v>
      </c>
      <c r="C1154" s="7" t="s">
        <v>160</v>
      </c>
      <c r="D1154" s="4" t="s">
        <v>64</v>
      </c>
      <c r="E1154" s="6" t="s">
        <v>138</v>
      </c>
      <c r="F1154" s="12">
        <f>INDEX('PEDIDO JULIO'!A33:Y42,1,25)</f>
        <v>0</v>
      </c>
      <c r="G1154" s="8">
        <f>IFERROR(VLOOKUP($B1154,'[1]INSUMO POR SEDES MARZO PRUEBA'!$B$6:$CD$109,59,0),"NO BD")</f>
        <v>6169.1598000000004</v>
      </c>
      <c r="H1154" s="8"/>
      <c r="I1154" s="8">
        <f t="shared" si="98"/>
        <v>0</v>
      </c>
      <c r="J1154" s="14">
        <f t="shared" si="102"/>
        <v>0</v>
      </c>
      <c r="K1154" s="14">
        <f t="shared" si="103"/>
        <v>0</v>
      </c>
      <c r="L1154" s="14">
        <f t="shared" si="104"/>
        <v>0</v>
      </c>
    </row>
    <row r="1155" spans="1:12" ht="27">
      <c r="A1155" s="3">
        <v>1815</v>
      </c>
      <c r="B1155" s="26">
        <v>137</v>
      </c>
      <c r="C1155" s="7" t="s">
        <v>60</v>
      </c>
      <c r="D1155" s="4" t="s">
        <v>65</v>
      </c>
      <c r="E1155" s="6" t="s">
        <v>138</v>
      </c>
      <c r="F1155" s="12">
        <f>INDEX('PEDIDO JULIO'!A33:Y42,1,25)</f>
        <v>0</v>
      </c>
      <c r="G1155" s="8">
        <f>IFERROR(VLOOKUP($B1155,'[1]INSUMO POR SEDES MARZO PRUEBA'!$B$6:$CD$109,59,0),"NO BD")</f>
        <v>0</v>
      </c>
      <c r="H1155" s="8"/>
      <c r="I1155" s="8">
        <f t="shared" si="98"/>
        <v>0</v>
      </c>
      <c r="J1155" s="14">
        <f t="shared" si="102"/>
        <v>0</v>
      </c>
      <c r="K1155" s="14">
        <f t="shared" si="103"/>
        <v>0</v>
      </c>
      <c r="L1155" s="14">
        <f t="shared" si="104"/>
        <v>0</v>
      </c>
    </row>
    <row r="1156" spans="1:12" ht="15">
      <c r="A1156" s="3">
        <v>1816</v>
      </c>
      <c r="B1156" s="26">
        <v>139</v>
      </c>
      <c r="C1156" s="7" t="s">
        <v>66</v>
      </c>
      <c r="D1156" s="4" t="s">
        <v>67</v>
      </c>
      <c r="E1156" s="6" t="s">
        <v>138</v>
      </c>
      <c r="F1156" s="12">
        <f>INDEX('PEDIDO JULIO'!A33:Y42,1,25)</f>
        <v>0</v>
      </c>
      <c r="G1156" s="8">
        <f>IFERROR(VLOOKUP($B1156,'[1]INSUMO POR SEDES MARZO PRUEBA'!$B$6:$CD$109,59,0),"NO BD")</f>
        <v>25429.996000000003</v>
      </c>
      <c r="H1156" s="8"/>
      <c r="I1156" s="8">
        <f t="shared" si="98"/>
        <v>0</v>
      </c>
      <c r="J1156" s="14">
        <f t="shared" si="102"/>
        <v>0</v>
      </c>
      <c r="K1156" s="14">
        <f t="shared" si="103"/>
        <v>0</v>
      </c>
      <c r="L1156" s="14">
        <f t="shared" si="104"/>
        <v>0</v>
      </c>
    </row>
    <row r="1157" spans="1:12" ht="15">
      <c r="A1157" s="3">
        <v>1817</v>
      </c>
      <c r="B1157" s="26">
        <v>151</v>
      </c>
      <c r="C1157" s="7" t="s">
        <v>66</v>
      </c>
      <c r="D1157" s="4" t="s">
        <v>68</v>
      </c>
      <c r="E1157" s="6" t="s">
        <v>138</v>
      </c>
      <c r="F1157" s="12">
        <f>INDEX('PEDIDO JULIO'!A33:Y42,1,25)</f>
        <v>0</v>
      </c>
      <c r="G1157" s="8">
        <f>IFERROR(VLOOKUP($B1157,'[1]INSUMO POR SEDES MARZO PRUEBA'!$B$6:$CD$109,59,0),"NO BD")</f>
        <v>4422.6080000000002</v>
      </c>
      <c r="H1157" s="8"/>
      <c r="I1157" s="8">
        <f t="shared" si="98"/>
        <v>0</v>
      </c>
      <c r="J1157" s="14">
        <f t="shared" si="102"/>
        <v>0</v>
      </c>
      <c r="K1157" s="14">
        <f t="shared" si="103"/>
        <v>0</v>
      </c>
      <c r="L1157" s="14">
        <f t="shared" si="104"/>
        <v>0</v>
      </c>
    </row>
    <row r="1158" spans="1:12" ht="15">
      <c r="A1158" s="3">
        <v>1818</v>
      </c>
      <c r="B1158" s="26">
        <v>155</v>
      </c>
      <c r="C1158" s="7" t="s">
        <v>66</v>
      </c>
      <c r="D1158" s="4" t="s">
        <v>69</v>
      </c>
      <c r="E1158" s="6" t="s">
        <v>138</v>
      </c>
      <c r="F1158" s="12">
        <f>INDEX('PEDIDO JULIO'!A33:Y43,1,25)</f>
        <v>0</v>
      </c>
      <c r="G1158" s="8">
        <f>IFERROR(VLOOKUP($B1158,'[1]INSUMO POR SEDES MARZO PRUEBA'!$B$6:$CD$109,59,0),"NO BD")</f>
        <v>5005.7028</v>
      </c>
      <c r="H1158" s="8"/>
      <c r="I1158" s="8">
        <f t="shared" ref="I1158:I1221" si="105">+F1158*G1158</f>
        <v>0</v>
      </c>
      <c r="J1158" s="14">
        <f t="shared" si="102"/>
        <v>0</v>
      </c>
      <c r="K1158" s="14">
        <f t="shared" si="103"/>
        <v>0</v>
      </c>
      <c r="L1158" s="14">
        <f t="shared" si="104"/>
        <v>0</v>
      </c>
    </row>
    <row r="1159" spans="1:12" ht="15">
      <c r="A1159" s="3">
        <v>1819</v>
      </c>
      <c r="B1159" s="26">
        <v>156</v>
      </c>
      <c r="C1159" s="7" t="s">
        <v>66</v>
      </c>
      <c r="D1159" s="4" t="s">
        <v>70</v>
      </c>
      <c r="E1159" s="6" t="s">
        <v>138</v>
      </c>
      <c r="F1159" s="12">
        <f>INDEX('PEDIDO JULIO'!A33:Y43,1,25)</f>
        <v>0</v>
      </c>
      <c r="G1159" s="8">
        <f>IFERROR(VLOOKUP($B1159,'[1]INSUMO POR SEDES MARZO PRUEBA'!$B$6:$CD$109,59,0),"NO BD")</f>
        <v>7711.9227000000001</v>
      </c>
      <c r="H1159" s="8"/>
      <c r="I1159" s="8">
        <f t="shared" si="105"/>
        <v>0</v>
      </c>
      <c r="J1159" s="14">
        <f t="shared" si="102"/>
        <v>0</v>
      </c>
      <c r="K1159" s="14">
        <f t="shared" si="103"/>
        <v>0</v>
      </c>
      <c r="L1159" s="14">
        <f t="shared" si="104"/>
        <v>0</v>
      </c>
    </row>
    <row r="1160" spans="1:12" ht="15">
      <c r="A1160" s="3">
        <v>1820</v>
      </c>
      <c r="B1160" s="26">
        <v>157</v>
      </c>
      <c r="C1160" s="7" t="s">
        <v>66</v>
      </c>
      <c r="D1160" s="4" t="s">
        <v>71</v>
      </c>
      <c r="E1160" s="6" t="s">
        <v>138</v>
      </c>
      <c r="F1160" s="12">
        <f>INDEX('PEDIDO JULIO'!A33:Y43,1,25)</f>
        <v>0</v>
      </c>
      <c r="G1160" s="8">
        <f>IFERROR(VLOOKUP($B1160,'[1]INSUMO POR SEDES MARZO PRUEBA'!$B$6:$CD$109,59,0),"NO BD")</f>
        <v>8955.7812000000013</v>
      </c>
      <c r="H1160" s="8"/>
      <c r="I1160" s="8">
        <f t="shared" si="105"/>
        <v>0</v>
      </c>
      <c r="J1160" s="14">
        <f t="shared" si="102"/>
        <v>0</v>
      </c>
      <c r="K1160" s="14">
        <f t="shared" si="103"/>
        <v>0</v>
      </c>
      <c r="L1160" s="14">
        <f t="shared" si="104"/>
        <v>0</v>
      </c>
    </row>
    <row r="1161" spans="1:12" ht="15">
      <c r="A1161" s="3">
        <v>1821</v>
      </c>
      <c r="B1161" s="31">
        <v>159</v>
      </c>
      <c r="C1161" s="7" t="s">
        <v>66</v>
      </c>
      <c r="D1161" s="4" t="s">
        <v>72</v>
      </c>
      <c r="E1161" s="6" t="s">
        <v>138</v>
      </c>
      <c r="F1161" s="12">
        <f>INDEX('PEDIDO JULIO'!A33:Y44,1,25)</f>
        <v>0</v>
      </c>
      <c r="G1161" s="8">
        <f>IFERROR(VLOOKUP($B1161,'[1]INSUMO POR SEDES MARZO PRUEBA'!$B$6:$CD$109,59,0),"NO BD")</f>
        <v>6716.8359</v>
      </c>
      <c r="H1161" s="8"/>
      <c r="I1161" s="8">
        <f t="shared" si="105"/>
        <v>0</v>
      </c>
      <c r="J1161" s="14">
        <f t="shared" si="102"/>
        <v>0</v>
      </c>
      <c r="K1161" s="14">
        <f t="shared" si="103"/>
        <v>0</v>
      </c>
      <c r="L1161" s="14">
        <f t="shared" si="104"/>
        <v>0</v>
      </c>
    </row>
    <row r="1162" spans="1:12" ht="15">
      <c r="A1162" s="3">
        <v>1822</v>
      </c>
      <c r="B1162" s="26">
        <v>160</v>
      </c>
      <c r="C1162" s="7" t="s">
        <v>158</v>
      </c>
      <c r="D1162" s="4" t="s">
        <v>73</v>
      </c>
      <c r="E1162" s="6" t="s">
        <v>138</v>
      </c>
      <c r="F1162" s="12">
        <f>INDEX('PEDIDO JULIO'!A33:Y44,1,25)</f>
        <v>0</v>
      </c>
      <c r="G1162" s="8">
        <f>IFERROR(VLOOKUP($B1162,'[1]INSUMO POR SEDES MARZO PRUEBA'!$B$6:$CD$109,59,0),"NO BD")</f>
        <v>3035.3931000000002</v>
      </c>
      <c r="H1162" s="8"/>
      <c r="I1162" s="8">
        <f t="shared" si="105"/>
        <v>0</v>
      </c>
      <c r="J1162" s="14">
        <f t="shared" si="102"/>
        <v>0</v>
      </c>
      <c r="K1162" s="14">
        <f t="shared" si="103"/>
        <v>0</v>
      </c>
      <c r="L1162" s="14">
        <f t="shared" si="104"/>
        <v>0</v>
      </c>
    </row>
    <row r="1163" spans="1:12" ht="15">
      <c r="A1163" s="3">
        <v>1823</v>
      </c>
      <c r="B1163" s="26">
        <v>162</v>
      </c>
      <c r="C1163" s="7" t="s">
        <v>158</v>
      </c>
      <c r="D1163" s="4" t="s">
        <v>74</v>
      </c>
      <c r="E1163" s="6" t="s">
        <v>138</v>
      </c>
      <c r="F1163" s="12">
        <f>INDEX('PEDIDO JULIO'!A33:Y44,1,25)</f>
        <v>0</v>
      </c>
      <c r="G1163" s="8">
        <f>IFERROR(VLOOKUP($B1163,'[1]INSUMO POR SEDES MARZO PRUEBA'!$B$6:$CD$109,59,0),"NO BD")</f>
        <v>4030.4798999999998</v>
      </c>
      <c r="H1163" s="8"/>
      <c r="I1163" s="8">
        <f t="shared" si="105"/>
        <v>0</v>
      </c>
      <c r="J1163" s="14">
        <f t="shared" si="102"/>
        <v>0</v>
      </c>
      <c r="K1163" s="14">
        <f t="shared" si="103"/>
        <v>0</v>
      </c>
      <c r="L1163" s="14">
        <f t="shared" si="104"/>
        <v>0</v>
      </c>
    </row>
    <row r="1164" spans="1:12" ht="15">
      <c r="A1164" s="3">
        <v>1824</v>
      </c>
      <c r="B1164" s="26">
        <v>164</v>
      </c>
      <c r="C1164" s="7" t="s">
        <v>158</v>
      </c>
      <c r="D1164" s="4" t="s">
        <v>75</v>
      </c>
      <c r="E1164" s="6" t="s">
        <v>138</v>
      </c>
      <c r="F1164" s="12">
        <f>INDEX('PEDIDO JULIO'!A33:Y44,1,25)</f>
        <v>0</v>
      </c>
      <c r="G1164" s="8">
        <f>IFERROR(VLOOKUP($B1164,'[1]INSUMO POR SEDES MARZO PRUEBA'!$B$6:$CD$109,59,0),"NO BD")</f>
        <v>0</v>
      </c>
      <c r="H1164" s="8"/>
      <c r="I1164" s="8">
        <f t="shared" si="105"/>
        <v>0</v>
      </c>
      <c r="J1164" s="14">
        <f t="shared" si="102"/>
        <v>0</v>
      </c>
      <c r="K1164" s="14">
        <f t="shared" si="103"/>
        <v>0</v>
      </c>
      <c r="L1164" s="14">
        <f t="shared" si="104"/>
        <v>0</v>
      </c>
    </row>
    <row r="1165" spans="1:12" ht="15">
      <c r="A1165" s="3">
        <v>1825</v>
      </c>
      <c r="B1165" s="26">
        <v>169</v>
      </c>
      <c r="C1165" s="7" t="s">
        <v>158</v>
      </c>
      <c r="D1165" s="4" t="s">
        <v>76</v>
      </c>
      <c r="E1165" s="6" t="s">
        <v>138</v>
      </c>
      <c r="F1165" s="12">
        <f>INDEX('PEDIDO JULIO'!A33:Y45,1,25)</f>
        <v>0</v>
      </c>
      <c r="G1165" s="8">
        <f>IFERROR(VLOOKUP($B1165,'[1]INSUMO POR SEDES MARZO PRUEBA'!$B$6:$CD$109,59,0),"NO BD")</f>
        <v>0</v>
      </c>
      <c r="H1165" s="8"/>
      <c r="I1165" s="8">
        <f t="shared" si="105"/>
        <v>0</v>
      </c>
      <c r="J1165" s="14">
        <f t="shared" si="102"/>
        <v>0</v>
      </c>
      <c r="K1165" s="14">
        <f t="shared" si="103"/>
        <v>0</v>
      </c>
      <c r="L1165" s="14">
        <f t="shared" si="104"/>
        <v>0</v>
      </c>
    </row>
    <row r="1166" spans="1:12" ht="15">
      <c r="A1166" s="3">
        <v>1826</v>
      </c>
      <c r="B1166" s="26">
        <v>170</v>
      </c>
      <c r="C1166" s="7" t="s">
        <v>158</v>
      </c>
      <c r="D1166" s="4" t="s">
        <v>77</v>
      </c>
      <c r="E1166" s="6" t="s">
        <v>138</v>
      </c>
      <c r="F1166" s="12">
        <f>INDEX('PEDIDO JULIO'!A33:Y46,1,25)</f>
        <v>0</v>
      </c>
      <c r="G1166" s="8">
        <f>IFERROR(VLOOKUP($B1166,'[1]INSUMO POR SEDES MARZO PRUEBA'!$B$6:$CD$109,59,0),"NO BD")</f>
        <v>45575.353799999997</v>
      </c>
      <c r="H1166" s="8"/>
      <c r="I1166" s="8">
        <f t="shared" si="105"/>
        <v>0</v>
      </c>
      <c r="J1166" s="14">
        <f t="shared" si="102"/>
        <v>0</v>
      </c>
      <c r="K1166" s="14">
        <f t="shared" si="103"/>
        <v>0</v>
      </c>
      <c r="L1166" s="14">
        <f t="shared" si="104"/>
        <v>0</v>
      </c>
    </row>
    <row r="1167" spans="1:12" ht="15">
      <c r="A1167" s="3">
        <v>1827</v>
      </c>
      <c r="B1167" s="26">
        <v>174</v>
      </c>
      <c r="C1167" s="7" t="s">
        <v>158</v>
      </c>
      <c r="D1167" s="4" t="s">
        <v>78</v>
      </c>
      <c r="E1167" s="6" t="s">
        <v>138</v>
      </c>
      <c r="F1167" s="12">
        <f>INDEX('PEDIDO JULIO'!A33:Y47,1,25)</f>
        <v>0</v>
      </c>
      <c r="G1167" s="8">
        <f>IFERROR(VLOOKUP($B1167,'[1]INSUMO POR SEDES MARZO PRUEBA'!$B$6:$CD$109,59,0),"NO BD")</f>
        <v>6081.0860000000002</v>
      </c>
      <c r="H1167" s="8"/>
      <c r="I1167" s="8">
        <f t="shared" si="105"/>
        <v>0</v>
      </c>
      <c r="J1167" s="14">
        <f t="shared" si="102"/>
        <v>0</v>
      </c>
      <c r="K1167" s="14">
        <f t="shared" si="103"/>
        <v>0</v>
      </c>
      <c r="L1167" s="14">
        <f t="shared" si="104"/>
        <v>0</v>
      </c>
    </row>
    <row r="1168" spans="1:12" ht="15">
      <c r="A1168" s="3">
        <v>1828</v>
      </c>
      <c r="B1168" s="26">
        <v>192</v>
      </c>
      <c r="C1168" s="7" t="s">
        <v>158</v>
      </c>
      <c r="D1168" s="4" t="s">
        <v>79</v>
      </c>
      <c r="E1168" s="6" t="s">
        <v>138</v>
      </c>
      <c r="F1168" s="12">
        <f>INDEX('PEDIDO JULIO'!A33:Y47,1,25)</f>
        <v>0</v>
      </c>
      <c r="G1168" s="8">
        <f>IFERROR(VLOOKUP($B1168,'[1]INSUMO POR SEDES MARZO PRUEBA'!$B$6:$CD$109,59,0),"NO BD")</f>
        <v>6866.2880999999998</v>
      </c>
      <c r="H1168" s="8"/>
      <c r="I1168" s="8">
        <f t="shared" si="105"/>
        <v>0</v>
      </c>
      <c r="J1168" s="14">
        <f t="shared" si="102"/>
        <v>0</v>
      </c>
      <c r="K1168" s="14">
        <f t="shared" si="103"/>
        <v>0</v>
      </c>
      <c r="L1168" s="14">
        <f t="shared" si="104"/>
        <v>0</v>
      </c>
    </row>
    <row r="1169" spans="1:12" ht="15">
      <c r="A1169" s="3">
        <v>1829</v>
      </c>
      <c r="B1169" s="26">
        <v>195</v>
      </c>
      <c r="C1169" s="7" t="s">
        <v>158</v>
      </c>
      <c r="D1169" s="4" t="s">
        <v>80</v>
      </c>
      <c r="E1169" s="6" t="s">
        <v>138</v>
      </c>
      <c r="F1169" s="12">
        <f>INDEX('PEDIDO JULIO'!A33:Y47,1,25)</f>
        <v>0</v>
      </c>
      <c r="G1169" s="8">
        <f>IFERROR(VLOOKUP($B1169,'[1]INSUMO POR SEDES MARZO PRUEBA'!$B$6:$CD$109,59,0),"NO BD")</f>
        <v>10697.1831</v>
      </c>
      <c r="H1169" s="8"/>
      <c r="I1169" s="8">
        <f t="shared" si="105"/>
        <v>0</v>
      </c>
      <c r="J1169" s="14">
        <f t="shared" si="102"/>
        <v>0</v>
      </c>
      <c r="K1169" s="14">
        <f t="shared" si="103"/>
        <v>0</v>
      </c>
      <c r="L1169" s="14">
        <f t="shared" si="104"/>
        <v>0</v>
      </c>
    </row>
    <row r="1170" spans="1:12" ht="15">
      <c r="A1170" s="3">
        <v>1830</v>
      </c>
      <c r="B1170" s="26">
        <v>204</v>
      </c>
      <c r="C1170" s="7" t="s">
        <v>158</v>
      </c>
      <c r="D1170" s="4" t="s">
        <v>81</v>
      </c>
      <c r="E1170" s="6" t="s">
        <v>138</v>
      </c>
      <c r="F1170" s="12">
        <f>INDEX('PEDIDO JULIO'!A33:Y47,1,25)</f>
        <v>0</v>
      </c>
      <c r="G1170" s="8">
        <f>IFERROR(VLOOKUP($B1170,'[1]INSUMO POR SEDES MARZO PRUEBA'!$B$6:$CD$109,59,0),"NO BD")</f>
        <v>14760.243999999999</v>
      </c>
      <c r="H1170" s="8"/>
      <c r="I1170" s="8">
        <f t="shared" si="105"/>
        <v>0</v>
      </c>
      <c r="J1170" s="14">
        <f t="shared" si="102"/>
        <v>0</v>
      </c>
      <c r="K1170" s="14">
        <f t="shared" si="103"/>
        <v>0</v>
      </c>
      <c r="L1170" s="14">
        <f t="shared" si="104"/>
        <v>0</v>
      </c>
    </row>
    <row r="1171" spans="1:12" ht="15">
      <c r="A1171" s="3">
        <v>1831</v>
      </c>
      <c r="B1171" s="26">
        <v>205</v>
      </c>
      <c r="C1171" s="7" t="s">
        <v>158</v>
      </c>
      <c r="D1171" s="4" t="s">
        <v>82</v>
      </c>
      <c r="E1171" s="6" t="s">
        <v>138</v>
      </c>
      <c r="F1171" s="12">
        <f>INDEX('PEDIDO JULIO'!A33:Y47,1,25)</f>
        <v>0</v>
      </c>
      <c r="G1171" s="8">
        <f>IFERROR(VLOOKUP($B1171,'[1]INSUMO POR SEDES MARZO PRUEBA'!$B$6:$CD$109,59,0),"NO BD")</f>
        <v>32639.225399999996</v>
      </c>
      <c r="H1171" s="8"/>
      <c r="I1171" s="8">
        <f t="shared" si="105"/>
        <v>0</v>
      </c>
      <c r="J1171" s="14">
        <f t="shared" si="102"/>
        <v>0</v>
      </c>
      <c r="K1171" s="14">
        <f t="shared" si="103"/>
        <v>0</v>
      </c>
      <c r="L1171" s="14">
        <f t="shared" si="104"/>
        <v>0</v>
      </c>
    </row>
    <row r="1172" spans="1:12" ht="15">
      <c r="A1172" s="3">
        <v>1832</v>
      </c>
      <c r="B1172" s="26">
        <v>207</v>
      </c>
      <c r="C1172" s="7" t="s">
        <v>158</v>
      </c>
      <c r="D1172" s="4" t="s">
        <v>83</v>
      </c>
      <c r="E1172" s="6" t="s">
        <v>138</v>
      </c>
      <c r="F1172" s="12">
        <f>INDEX('PEDIDO JULIO'!A33:Y47,1,25)</f>
        <v>0</v>
      </c>
      <c r="G1172" s="8">
        <f>IFERROR(VLOOKUP($B1172,'[1]INSUMO POR SEDES MARZO PRUEBA'!$B$6:$CD$109,59,0),"NO BD")</f>
        <v>0</v>
      </c>
      <c r="H1172" s="8"/>
      <c r="I1172" s="8">
        <f t="shared" si="105"/>
        <v>0</v>
      </c>
      <c r="J1172" s="14">
        <f t="shared" si="102"/>
        <v>0</v>
      </c>
      <c r="K1172" s="14">
        <f t="shared" si="103"/>
        <v>0</v>
      </c>
      <c r="L1172" s="14">
        <f t="shared" si="104"/>
        <v>0</v>
      </c>
    </row>
    <row r="1173" spans="1:12" ht="15">
      <c r="A1173" s="3">
        <v>1833</v>
      </c>
      <c r="B1173" s="26">
        <v>212</v>
      </c>
      <c r="C1173" s="7" t="s">
        <v>158</v>
      </c>
      <c r="D1173" s="4" t="s">
        <v>84</v>
      </c>
      <c r="E1173" s="6" t="s">
        <v>138</v>
      </c>
      <c r="F1173" s="12">
        <f>INDEX('PEDIDO JULIO'!A33:Y47,1,25)</f>
        <v>0</v>
      </c>
      <c r="G1173" s="8">
        <f>IFERROR(VLOOKUP($B1173,'[1]INSUMO POR SEDES MARZO PRUEBA'!$B$6:$CD$109,59,0),"NO BD")</f>
        <v>0</v>
      </c>
      <c r="H1173" s="8"/>
      <c r="I1173" s="8">
        <f t="shared" si="105"/>
        <v>0</v>
      </c>
      <c r="J1173" s="14">
        <f t="shared" si="102"/>
        <v>0</v>
      </c>
      <c r="K1173" s="14">
        <f t="shared" si="103"/>
        <v>0</v>
      </c>
      <c r="L1173" s="14">
        <f t="shared" si="104"/>
        <v>0</v>
      </c>
    </row>
    <row r="1174" spans="1:12" ht="15">
      <c r="A1174" s="3">
        <v>1834</v>
      </c>
      <c r="B1174" s="26">
        <v>218</v>
      </c>
      <c r="C1174" s="7" t="s">
        <v>158</v>
      </c>
      <c r="D1174" s="4" t="s">
        <v>85</v>
      </c>
      <c r="E1174" s="6" t="s">
        <v>138</v>
      </c>
      <c r="F1174" s="12">
        <f>INDEX('PEDIDO JULIO'!A33:Y47,1,25)</f>
        <v>0</v>
      </c>
      <c r="G1174" s="8">
        <f>IFERROR(VLOOKUP($B1174,'[1]INSUMO POR SEDES MARZO PRUEBA'!$B$6:$CD$109,59,0),"NO BD")</f>
        <v>1437.768</v>
      </c>
      <c r="H1174" s="8"/>
      <c r="I1174" s="8">
        <f t="shared" si="105"/>
        <v>0</v>
      </c>
      <c r="J1174" s="14">
        <f t="shared" si="102"/>
        <v>0</v>
      </c>
      <c r="K1174" s="14">
        <f t="shared" si="103"/>
        <v>0</v>
      </c>
      <c r="L1174" s="14">
        <f t="shared" si="104"/>
        <v>0</v>
      </c>
    </row>
    <row r="1175" spans="1:12" ht="15">
      <c r="A1175" s="3">
        <v>1835</v>
      </c>
      <c r="B1175" s="26">
        <v>251</v>
      </c>
      <c r="C1175" s="7" t="s">
        <v>152</v>
      </c>
      <c r="D1175" s="4" t="s">
        <v>86</v>
      </c>
      <c r="E1175" s="6" t="s">
        <v>138</v>
      </c>
      <c r="F1175" s="12">
        <f>INDEX('PEDIDO JULIO'!A33:Y47,1,25)</f>
        <v>0</v>
      </c>
      <c r="G1175" s="8">
        <f>IFERROR(VLOOKUP($B1175,'[1]INSUMO POR SEDES MARZO PRUEBA'!$B$6:$CD$109,59,0),"NO BD")</f>
        <v>16031.954000000002</v>
      </c>
      <c r="H1175" s="8"/>
      <c r="I1175" s="8">
        <f t="shared" si="105"/>
        <v>0</v>
      </c>
      <c r="J1175" s="14">
        <f t="shared" si="102"/>
        <v>0</v>
      </c>
      <c r="K1175" s="14">
        <f t="shared" si="103"/>
        <v>0</v>
      </c>
      <c r="L1175" s="14">
        <f t="shared" si="104"/>
        <v>0</v>
      </c>
    </row>
    <row r="1176" spans="1:12" ht="15">
      <c r="A1176" s="3">
        <v>1875</v>
      </c>
      <c r="B1176" s="39">
        <v>3</v>
      </c>
      <c r="C1176" s="7" t="s">
        <v>6</v>
      </c>
      <c r="D1176" s="4" t="s">
        <v>8</v>
      </c>
      <c r="E1176" s="6" t="s">
        <v>139</v>
      </c>
      <c r="F1176" s="12">
        <f>INDEX('PEDIDO JULIO'!A10:Z32,1,26)</f>
        <v>0</v>
      </c>
      <c r="G1176" s="8">
        <f>IFERROR(VLOOKUP($B1176,'[1]INSUMO POR SEDES MARZO PRUEBA'!$B$6:$CD$109,62,0),"NO BD")</f>
        <v>7268.7160000000003</v>
      </c>
      <c r="H1176" s="8"/>
      <c r="I1176" s="8">
        <f t="shared" si="105"/>
        <v>0</v>
      </c>
      <c r="J1176" s="14">
        <f t="shared" ref="J1176:J1222" si="106">+I1176*10%</f>
        <v>0</v>
      </c>
      <c r="K1176" s="14">
        <f t="shared" ref="K1176:K1222" si="107">+J1176*19%</f>
        <v>0</v>
      </c>
      <c r="L1176" s="14">
        <f t="shared" ref="L1176:L1222" si="108">SUM(I1176:K1176)</f>
        <v>0</v>
      </c>
    </row>
    <row r="1177" spans="1:12" ht="15">
      <c r="A1177" s="3">
        <v>1876</v>
      </c>
      <c r="B1177" s="39">
        <v>5</v>
      </c>
      <c r="C1177" s="7" t="s">
        <v>9</v>
      </c>
      <c r="D1177" s="4" t="s">
        <v>10</v>
      </c>
      <c r="E1177" s="6" t="s">
        <v>139</v>
      </c>
      <c r="F1177" s="12">
        <f>INDEX('PEDIDO JULIO'!A10:Z32,1,26)</f>
        <v>0</v>
      </c>
      <c r="G1177" s="8">
        <f>IFERROR(VLOOKUP($B1177,'[1]INSUMO POR SEDES MARZO PRUEBA'!$B$6:$CD$109,62,0),"NO BD")</f>
        <v>0</v>
      </c>
      <c r="H1177" s="8"/>
      <c r="I1177" s="8">
        <f t="shared" si="105"/>
        <v>0</v>
      </c>
      <c r="J1177" s="14">
        <f t="shared" si="106"/>
        <v>0</v>
      </c>
      <c r="K1177" s="14">
        <f t="shared" si="107"/>
        <v>0</v>
      </c>
      <c r="L1177" s="14">
        <f t="shared" si="108"/>
        <v>0</v>
      </c>
    </row>
    <row r="1178" spans="1:12" ht="15">
      <c r="A1178" s="3">
        <v>1877</v>
      </c>
      <c r="B1178" s="39">
        <v>8</v>
      </c>
      <c r="C1178" s="7" t="s">
        <v>156</v>
      </c>
      <c r="D1178" s="5" t="s">
        <v>11</v>
      </c>
      <c r="E1178" s="6" t="s">
        <v>139</v>
      </c>
      <c r="F1178" s="12">
        <f>INDEX('PEDIDO JULIO'!A10:Z33,1,26)</f>
        <v>0</v>
      </c>
      <c r="G1178" s="8">
        <f>IFERROR(VLOOKUP($B1178,'[1]INSUMO POR SEDES MARZO PRUEBA'!$B$6:$CD$109,62,0),"NO BD")</f>
        <v>2211.3040000000001</v>
      </c>
      <c r="H1178" s="8"/>
      <c r="I1178" s="8">
        <f t="shared" si="105"/>
        <v>0</v>
      </c>
      <c r="J1178" s="14">
        <f t="shared" si="106"/>
        <v>0</v>
      </c>
      <c r="K1178" s="14">
        <f t="shared" si="107"/>
        <v>0</v>
      </c>
      <c r="L1178" s="14">
        <f t="shared" si="108"/>
        <v>0</v>
      </c>
    </row>
    <row r="1179" spans="1:12" ht="27">
      <c r="A1179" s="3">
        <v>1878</v>
      </c>
      <c r="B1179" s="39">
        <v>9</v>
      </c>
      <c r="C1179" s="7" t="s">
        <v>157</v>
      </c>
      <c r="D1179" s="4" t="s">
        <v>12</v>
      </c>
      <c r="E1179" s="6" t="s">
        <v>139</v>
      </c>
      <c r="F1179" s="12">
        <f>INDEX('PEDIDO JULIO'!A10:Z33,1,26)</f>
        <v>0</v>
      </c>
      <c r="G1179" s="8">
        <f>IFERROR(VLOOKUP($B1179,'[1]INSUMO POR SEDES MARZO PRUEBA'!$B$6:$CD$109,62,0),"NO BD")</f>
        <v>3298.0379999999996</v>
      </c>
      <c r="H1179" s="8"/>
      <c r="I1179" s="8">
        <f t="shared" si="105"/>
        <v>0</v>
      </c>
      <c r="J1179" s="14">
        <f t="shared" si="106"/>
        <v>0</v>
      </c>
      <c r="K1179" s="14">
        <f t="shared" si="107"/>
        <v>0</v>
      </c>
      <c r="L1179" s="14">
        <f t="shared" si="108"/>
        <v>0</v>
      </c>
    </row>
    <row r="1180" spans="1:12" ht="15">
      <c r="A1180" s="3">
        <v>1879</v>
      </c>
      <c r="B1180" s="39">
        <v>13</v>
      </c>
      <c r="C1180" s="7" t="s">
        <v>13</v>
      </c>
      <c r="D1180" s="4" t="s">
        <v>14</v>
      </c>
      <c r="E1180" s="6" t="s">
        <v>139</v>
      </c>
      <c r="F1180" s="12">
        <f>INDEX('PEDIDO JULIO'!A11:Z33,1,26)</f>
        <v>0</v>
      </c>
      <c r="G1180" s="8">
        <f>IFERROR(VLOOKUP($B1180,'[1]INSUMO POR SEDES MARZO PRUEBA'!$B$6:$CD$109,62,0),"NO BD")</f>
        <v>6507.7919999999995</v>
      </c>
      <c r="H1180" s="8"/>
      <c r="I1180" s="8">
        <f t="shared" si="105"/>
        <v>0</v>
      </c>
      <c r="J1180" s="14">
        <f t="shared" si="106"/>
        <v>0</v>
      </c>
      <c r="K1180" s="14">
        <f t="shared" si="107"/>
        <v>0</v>
      </c>
      <c r="L1180" s="14">
        <f t="shared" si="108"/>
        <v>0</v>
      </c>
    </row>
    <row r="1181" spans="1:12" ht="27">
      <c r="A1181" s="3">
        <v>1880</v>
      </c>
      <c r="B1181" s="39">
        <v>17</v>
      </c>
      <c r="C1181" s="7" t="s">
        <v>13</v>
      </c>
      <c r="D1181" s="4" t="s">
        <v>15</v>
      </c>
      <c r="E1181" s="6" t="s">
        <v>139</v>
      </c>
      <c r="F1181" s="12">
        <f>INDEX('PEDIDO JULIO'!A12:Z33,1,26)</f>
        <v>0</v>
      </c>
      <c r="G1181" s="8">
        <f>IFERROR(VLOOKUP($B1181,'[1]INSUMO POR SEDES MARZO PRUEBA'!$B$6:$CD$109,62,0),"NO BD")</f>
        <v>5647.0229999999992</v>
      </c>
      <c r="H1181" s="8"/>
      <c r="I1181" s="8">
        <f t="shared" si="105"/>
        <v>0</v>
      </c>
      <c r="J1181" s="14">
        <f t="shared" si="106"/>
        <v>0</v>
      </c>
      <c r="K1181" s="14">
        <f t="shared" si="107"/>
        <v>0</v>
      </c>
      <c r="L1181" s="14">
        <f t="shared" si="108"/>
        <v>0</v>
      </c>
    </row>
    <row r="1182" spans="1:12" ht="15">
      <c r="A1182" s="3">
        <v>1881</v>
      </c>
      <c r="B1182" s="39">
        <v>20</v>
      </c>
      <c r="C1182" s="7" t="s">
        <v>16</v>
      </c>
      <c r="D1182" s="4" t="s">
        <v>17</v>
      </c>
      <c r="E1182" s="6" t="s">
        <v>139</v>
      </c>
      <c r="F1182" s="12">
        <f>INDEX('PEDIDO JULIO'!A12:Z33,1,26)</f>
        <v>0</v>
      </c>
      <c r="G1182" s="8">
        <f>IFERROR(VLOOKUP($B1182,'[1]INSUMO POR SEDES MARZO PRUEBA'!$B$6:$CD$109,62,0),"NO BD")</f>
        <v>0</v>
      </c>
      <c r="H1182" s="8"/>
      <c r="I1182" s="8">
        <f t="shared" si="105"/>
        <v>0</v>
      </c>
      <c r="J1182" s="14">
        <f t="shared" si="106"/>
        <v>0</v>
      </c>
      <c r="K1182" s="14">
        <f t="shared" si="107"/>
        <v>0</v>
      </c>
      <c r="L1182" s="14">
        <f t="shared" si="108"/>
        <v>0</v>
      </c>
    </row>
    <row r="1183" spans="1:12" ht="27">
      <c r="A1183" s="3">
        <v>1882</v>
      </c>
      <c r="B1183" s="39">
        <v>21</v>
      </c>
      <c r="C1183" s="7" t="s">
        <v>18</v>
      </c>
      <c r="D1183" s="4" t="s">
        <v>19</v>
      </c>
      <c r="E1183" s="6" t="s">
        <v>139</v>
      </c>
      <c r="F1183" s="12">
        <f>INDEX('PEDIDO JULIO'!A13:Z34,1,26)</f>
        <v>0</v>
      </c>
      <c r="G1183" s="8">
        <f>IFERROR(VLOOKUP($B1183,'[1]INSUMO POR SEDES MARZO PRUEBA'!$B$6:$CD$109,62,0),"NO BD")</f>
        <v>5932.8950000000013</v>
      </c>
      <c r="H1183" s="8"/>
      <c r="I1183" s="8">
        <f t="shared" si="105"/>
        <v>0</v>
      </c>
      <c r="J1183" s="14">
        <f t="shared" si="106"/>
        <v>0</v>
      </c>
      <c r="K1183" s="14">
        <f t="shared" si="107"/>
        <v>0</v>
      </c>
      <c r="L1183" s="14">
        <f t="shared" si="108"/>
        <v>0</v>
      </c>
    </row>
    <row r="1184" spans="1:12" ht="27">
      <c r="A1184" s="3">
        <v>1883</v>
      </c>
      <c r="B1184" s="39">
        <v>28</v>
      </c>
      <c r="C1184" s="7" t="s">
        <v>20</v>
      </c>
      <c r="D1184" s="4" t="s">
        <v>21</v>
      </c>
      <c r="E1184" s="6" t="s">
        <v>139</v>
      </c>
      <c r="F1184" s="12">
        <f>INDEX('PEDIDO JULIO'!A14:Z34,1,26)</f>
        <v>0</v>
      </c>
      <c r="G1184" s="8">
        <f>IFERROR(VLOOKUP($B1184,'[1]INSUMO POR SEDES MARZO PRUEBA'!$B$6:$CD$109,62,0),"NO BD")</f>
        <v>2764.13</v>
      </c>
      <c r="H1184" s="8"/>
      <c r="I1184" s="8">
        <f t="shared" si="105"/>
        <v>0</v>
      </c>
      <c r="J1184" s="14">
        <f t="shared" si="106"/>
        <v>0</v>
      </c>
      <c r="K1184" s="14">
        <f t="shared" si="107"/>
        <v>0</v>
      </c>
      <c r="L1184" s="14">
        <f t="shared" si="108"/>
        <v>0</v>
      </c>
    </row>
    <row r="1185" spans="1:12" ht="27">
      <c r="A1185" s="3">
        <v>1884</v>
      </c>
      <c r="B1185" s="39">
        <v>29</v>
      </c>
      <c r="C1185" s="7" t="s">
        <v>22</v>
      </c>
      <c r="D1185" s="4" t="s">
        <v>23</v>
      </c>
      <c r="E1185" s="6" t="s">
        <v>139</v>
      </c>
      <c r="F1185" s="12">
        <f>INDEX('PEDIDO JULIO'!A15:Z34,1,26)</f>
        <v>0</v>
      </c>
      <c r="G1185" s="8">
        <f>IFERROR(VLOOKUP($B1185,'[1]INSUMO POR SEDES MARZO PRUEBA'!$B$6:$CD$109,62,0),"NO BD")</f>
        <v>4829.3450000000012</v>
      </c>
      <c r="H1185" s="8"/>
      <c r="I1185" s="8">
        <f t="shared" si="105"/>
        <v>0</v>
      </c>
      <c r="J1185" s="14">
        <f t="shared" si="106"/>
        <v>0</v>
      </c>
      <c r="K1185" s="14">
        <f t="shared" si="107"/>
        <v>0</v>
      </c>
      <c r="L1185" s="14">
        <f t="shared" si="108"/>
        <v>0</v>
      </c>
    </row>
    <row r="1186" spans="1:12" ht="15">
      <c r="A1186" s="3">
        <v>1885</v>
      </c>
      <c r="B1186" s="39">
        <v>32</v>
      </c>
      <c r="C1186" s="7" t="s">
        <v>18</v>
      </c>
      <c r="D1186" s="4" t="s">
        <v>24</v>
      </c>
      <c r="E1186" s="6" t="s">
        <v>139</v>
      </c>
      <c r="F1186" s="12">
        <f>INDEX('PEDIDO JULIO'!A16:Z34,1,26)</f>
        <v>10</v>
      </c>
      <c r="G1186" s="8">
        <f>IFERROR(VLOOKUP($B1186,'[1]INSUMO POR SEDES MARZO PRUEBA'!$B$6:$CD$109,62,0),"NO BD")</f>
        <v>6716.8359</v>
      </c>
      <c r="H1186" s="8"/>
      <c r="I1186" s="8">
        <f t="shared" si="105"/>
        <v>67168.358999999997</v>
      </c>
      <c r="J1186" s="14">
        <f t="shared" si="106"/>
        <v>6716.8359</v>
      </c>
      <c r="K1186" s="14">
        <f t="shared" si="107"/>
        <v>1276.198821</v>
      </c>
      <c r="L1186" s="14">
        <f t="shared" si="108"/>
        <v>75161.393721</v>
      </c>
    </row>
    <row r="1187" spans="1:12" ht="27">
      <c r="A1187" s="3">
        <v>1886</v>
      </c>
      <c r="B1187" s="39">
        <v>38</v>
      </c>
      <c r="C1187" s="7" t="s">
        <v>155</v>
      </c>
      <c r="D1187" s="4" t="s">
        <v>25</v>
      </c>
      <c r="E1187" s="6" t="s">
        <v>139</v>
      </c>
      <c r="F1187" s="12">
        <f>INDEX('PEDIDO JULIO'!A17:Z34,1,26)</f>
        <v>0</v>
      </c>
      <c r="G1187" s="8">
        <f>IFERROR(VLOOKUP($B1187,'[1]INSUMO POR SEDES MARZO PRUEBA'!$B$6:$CD$109,62,0),"NO BD")</f>
        <v>15622.484399999999</v>
      </c>
      <c r="H1187" s="8"/>
      <c r="I1187" s="8">
        <f t="shared" si="105"/>
        <v>0</v>
      </c>
      <c r="J1187" s="14">
        <f t="shared" si="106"/>
        <v>0</v>
      </c>
      <c r="K1187" s="14">
        <f t="shared" si="107"/>
        <v>0</v>
      </c>
      <c r="L1187" s="14">
        <f t="shared" si="108"/>
        <v>0</v>
      </c>
    </row>
    <row r="1188" spans="1:12" ht="27">
      <c r="A1188" s="3">
        <v>1887</v>
      </c>
      <c r="B1188" s="39">
        <v>44</v>
      </c>
      <c r="C1188" s="7" t="s">
        <v>16</v>
      </c>
      <c r="D1188" s="4" t="s">
        <v>26</v>
      </c>
      <c r="E1188" s="6" t="s">
        <v>139</v>
      </c>
      <c r="F1188" s="12">
        <f>INDEX('PEDIDO JULIO'!A17:Z34,1,26)</f>
        <v>0</v>
      </c>
      <c r="G1188" s="8">
        <f>IFERROR(VLOOKUP($B1188,'[1]INSUMO POR SEDES MARZO PRUEBA'!$B$6:$CD$109,62,0),"NO BD")</f>
        <v>0</v>
      </c>
      <c r="H1188" s="8"/>
      <c r="I1188" s="8">
        <f t="shared" si="105"/>
        <v>0</v>
      </c>
      <c r="J1188" s="14">
        <f t="shared" si="106"/>
        <v>0</v>
      </c>
      <c r="K1188" s="14">
        <f t="shared" si="107"/>
        <v>0</v>
      </c>
      <c r="L1188" s="14">
        <f t="shared" si="108"/>
        <v>0</v>
      </c>
    </row>
    <row r="1189" spans="1:12" ht="15">
      <c r="A1189" s="3">
        <v>1888</v>
      </c>
      <c r="B1189" s="39">
        <v>50</v>
      </c>
      <c r="C1189" s="7" t="s">
        <v>27</v>
      </c>
      <c r="D1189" s="4" t="s">
        <v>28</v>
      </c>
      <c r="E1189" s="6" t="s">
        <v>139</v>
      </c>
      <c r="F1189" s="12">
        <f>INDEX('PEDIDO JULIO'!A18:Z35,1,26)</f>
        <v>0</v>
      </c>
      <c r="G1189" s="8">
        <f>IFERROR(VLOOKUP($B1189,'[1]INSUMO POR SEDES MARZO PRUEBA'!$B$6:$CD$109,62,0),"NO BD")</f>
        <v>0</v>
      </c>
      <c r="H1189" s="8"/>
      <c r="I1189" s="8">
        <f t="shared" si="105"/>
        <v>0</v>
      </c>
      <c r="J1189" s="14">
        <f t="shared" si="106"/>
        <v>0</v>
      </c>
      <c r="K1189" s="14">
        <f t="shared" si="107"/>
        <v>0</v>
      </c>
      <c r="L1189" s="14">
        <f t="shared" si="108"/>
        <v>0</v>
      </c>
    </row>
    <row r="1190" spans="1:12" ht="15">
      <c r="A1190" s="3">
        <v>1889</v>
      </c>
      <c r="B1190" s="39">
        <v>52</v>
      </c>
      <c r="C1190" s="7" t="s">
        <v>13</v>
      </c>
      <c r="D1190" s="4" t="s">
        <v>29</v>
      </c>
      <c r="E1190" s="6" t="s">
        <v>139</v>
      </c>
      <c r="F1190" s="12">
        <f>INDEX('PEDIDO JULIO'!A18:Z35,1,26)</f>
        <v>0</v>
      </c>
      <c r="G1190" s="8">
        <f>IFERROR(VLOOKUP($B1190,'[1]INSUMO POR SEDES MARZO PRUEBA'!$B$6:$CD$109,62,0),"NO BD")</f>
        <v>0</v>
      </c>
      <c r="H1190" s="8"/>
      <c r="I1190" s="8">
        <f t="shared" si="105"/>
        <v>0</v>
      </c>
      <c r="J1190" s="14">
        <f t="shared" si="106"/>
        <v>0</v>
      </c>
      <c r="K1190" s="14">
        <f t="shared" si="107"/>
        <v>0</v>
      </c>
      <c r="L1190" s="14">
        <f t="shared" si="108"/>
        <v>0</v>
      </c>
    </row>
    <row r="1191" spans="1:12" ht="15">
      <c r="A1191" s="3">
        <v>1890</v>
      </c>
      <c r="B1191" s="39">
        <v>57</v>
      </c>
      <c r="C1191" s="7" t="s">
        <v>13</v>
      </c>
      <c r="D1191" s="4" t="s">
        <v>30</v>
      </c>
      <c r="E1191" s="6" t="s">
        <v>139</v>
      </c>
      <c r="F1191" s="12">
        <f>INDEX('PEDIDO JULIO'!A18:Z35,1,26)</f>
        <v>0</v>
      </c>
      <c r="G1191" s="8">
        <f>IFERROR(VLOOKUP($B1191,'[1]INSUMO POR SEDES MARZO PRUEBA'!$B$6:$CD$109,62,0),"NO BD")</f>
        <v>27464.2065</v>
      </c>
      <c r="H1191" s="8"/>
      <c r="I1191" s="8">
        <f t="shared" si="105"/>
        <v>0</v>
      </c>
      <c r="J1191" s="14">
        <f t="shared" si="106"/>
        <v>0</v>
      </c>
      <c r="K1191" s="14">
        <f t="shared" si="107"/>
        <v>0</v>
      </c>
      <c r="L1191" s="14">
        <f t="shared" si="108"/>
        <v>0</v>
      </c>
    </row>
    <row r="1192" spans="1:12" ht="15">
      <c r="A1192" s="3">
        <v>1891</v>
      </c>
      <c r="B1192" s="39">
        <v>59</v>
      </c>
      <c r="C1192" s="7" t="s">
        <v>13</v>
      </c>
      <c r="D1192" s="4" t="s">
        <v>31</v>
      </c>
      <c r="E1192" s="6" t="s">
        <v>139</v>
      </c>
      <c r="F1192" s="12">
        <f>INDEX('PEDIDO JULIO'!A19:Z35,1,26)</f>
        <v>0</v>
      </c>
      <c r="G1192" s="8">
        <f>IFERROR(VLOOKUP($B1192,'[1]INSUMO POR SEDES MARZO PRUEBA'!$B$6:$CD$109,62,0),"NO BD")</f>
        <v>0</v>
      </c>
      <c r="H1192" s="8"/>
      <c r="I1192" s="8">
        <f t="shared" si="105"/>
        <v>0</v>
      </c>
      <c r="J1192" s="14">
        <f t="shared" si="106"/>
        <v>0</v>
      </c>
      <c r="K1192" s="14">
        <f t="shared" si="107"/>
        <v>0</v>
      </c>
      <c r="L1192" s="14">
        <f t="shared" si="108"/>
        <v>0</v>
      </c>
    </row>
    <row r="1193" spans="1:12" ht="15">
      <c r="A1193" s="3">
        <v>1892</v>
      </c>
      <c r="B1193" s="39">
        <v>62</v>
      </c>
      <c r="C1193" s="7" t="s">
        <v>13</v>
      </c>
      <c r="D1193" s="4" t="s">
        <v>32</v>
      </c>
      <c r="E1193" s="6" t="s">
        <v>139</v>
      </c>
      <c r="F1193" s="12">
        <f>INDEX('PEDIDO JULIO'!A19:Z35,1,26)</f>
        <v>0</v>
      </c>
      <c r="G1193" s="8">
        <f>IFERROR(VLOOKUP($B1193,'[1]INSUMO POR SEDES MARZO PRUEBA'!$B$6:$CD$109,62,0),"NO BD")</f>
        <v>10100.3202</v>
      </c>
      <c r="H1193" s="8"/>
      <c r="I1193" s="8">
        <f t="shared" si="105"/>
        <v>0</v>
      </c>
      <c r="J1193" s="14">
        <f t="shared" si="106"/>
        <v>0</v>
      </c>
      <c r="K1193" s="14">
        <f t="shared" si="107"/>
        <v>0</v>
      </c>
      <c r="L1193" s="14">
        <f t="shared" si="108"/>
        <v>0</v>
      </c>
    </row>
    <row r="1194" spans="1:12" ht="15">
      <c r="A1194" s="3">
        <v>1893</v>
      </c>
      <c r="B1194" s="39">
        <v>63</v>
      </c>
      <c r="C1194" s="7" t="s">
        <v>33</v>
      </c>
      <c r="D1194" s="4" t="s">
        <v>34</v>
      </c>
      <c r="E1194" s="6" t="s">
        <v>139</v>
      </c>
      <c r="F1194" s="12">
        <f>INDEX('PEDIDO JULIO'!A20:Z35,1,26)</f>
        <v>0</v>
      </c>
      <c r="G1194" s="8">
        <f>IFERROR(VLOOKUP($B1194,'[1]INSUMO POR SEDES MARZO PRUEBA'!$B$6:$CD$109,62,0),"NO BD")</f>
        <v>11443.4982</v>
      </c>
      <c r="H1194" s="8"/>
      <c r="I1194" s="8">
        <f t="shared" si="105"/>
        <v>0</v>
      </c>
      <c r="J1194" s="14">
        <f t="shared" si="106"/>
        <v>0</v>
      </c>
      <c r="K1194" s="14">
        <f t="shared" si="107"/>
        <v>0</v>
      </c>
      <c r="L1194" s="14">
        <f t="shared" si="108"/>
        <v>0</v>
      </c>
    </row>
    <row r="1195" spans="1:12" ht="15">
      <c r="A1195" s="3">
        <v>1894</v>
      </c>
      <c r="B1195" s="39">
        <v>64</v>
      </c>
      <c r="C1195" s="7" t="s">
        <v>16</v>
      </c>
      <c r="D1195" s="4" t="s">
        <v>35</v>
      </c>
      <c r="E1195" s="6" t="s">
        <v>139</v>
      </c>
      <c r="F1195" s="12">
        <f>INDEX('PEDIDO JULIO'!A20:Z35,1,26)</f>
        <v>0</v>
      </c>
      <c r="G1195" s="8">
        <f>IFERROR(VLOOKUP($B1195,'[1]INSUMO POR SEDES MARZO PRUEBA'!$B$6:$CD$109,62,0),"NO BD")</f>
        <v>0</v>
      </c>
      <c r="H1195" s="8"/>
      <c r="I1195" s="8">
        <f t="shared" si="105"/>
        <v>0</v>
      </c>
      <c r="J1195" s="14">
        <f t="shared" si="106"/>
        <v>0</v>
      </c>
      <c r="K1195" s="14">
        <f t="shared" si="107"/>
        <v>0</v>
      </c>
      <c r="L1195" s="14">
        <f t="shared" si="108"/>
        <v>0</v>
      </c>
    </row>
    <row r="1196" spans="1:12" ht="15">
      <c r="A1196" s="3">
        <v>1895</v>
      </c>
      <c r="B1196" s="39">
        <v>65</v>
      </c>
      <c r="C1196" s="7" t="s">
        <v>36</v>
      </c>
      <c r="D1196" s="4" t="s">
        <v>37</v>
      </c>
      <c r="E1196" s="6" t="s">
        <v>139</v>
      </c>
      <c r="F1196" s="12">
        <f>INDEX('PEDIDO JULIO'!A21:Z35,1,26)</f>
        <v>5</v>
      </c>
      <c r="G1196" s="8">
        <f>IFERROR(VLOOKUP($B1196,'[1]INSUMO POR SEDES MARZO PRUEBA'!$B$6:$CD$109,62,0),"NO BD")</f>
        <v>13820.650000000001</v>
      </c>
      <c r="H1196" s="8"/>
      <c r="I1196" s="8">
        <f t="shared" si="105"/>
        <v>69103.25</v>
      </c>
      <c r="J1196" s="14">
        <f t="shared" si="106"/>
        <v>6910.3250000000007</v>
      </c>
      <c r="K1196" s="14">
        <f t="shared" si="107"/>
        <v>1312.9617500000002</v>
      </c>
      <c r="L1196" s="14">
        <f t="shared" si="108"/>
        <v>77326.536749999999</v>
      </c>
    </row>
    <row r="1197" spans="1:12" ht="15">
      <c r="A1197" s="3">
        <v>1896</v>
      </c>
      <c r="B1197" s="39">
        <v>66</v>
      </c>
      <c r="C1197" s="7" t="s">
        <v>36</v>
      </c>
      <c r="D1197" s="4" t="s">
        <v>38</v>
      </c>
      <c r="E1197" s="6" t="s">
        <v>139</v>
      </c>
      <c r="F1197" s="12">
        <f>INDEX('PEDIDO JULIO'!A22:Z35,1,26)</f>
        <v>0</v>
      </c>
      <c r="G1197" s="8">
        <f>IFERROR(VLOOKUP($B1197,'[1]INSUMO POR SEDES MARZO PRUEBA'!$B$6:$CD$109,62,0),"NO BD")</f>
        <v>4178.9862000000003</v>
      </c>
      <c r="H1197" s="8"/>
      <c r="I1197" s="8">
        <f t="shared" si="105"/>
        <v>0</v>
      </c>
      <c r="J1197" s="14">
        <f t="shared" si="106"/>
        <v>0</v>
      </c>
      <c r="K1197" s="14">
        <f t="shared" si="107"/>
        <v>0</v>
      </c>
      <c r="L1197" s="14">
        <f t="shared" si="108"/>
        <v>0</v>
      </c>
    </row>
    <row r="1198" spans="1:12" ht="15">
      <c r="A1198" s="3">
        <v>1897</v>
      </c>
      <c r="B1198" s="39">
        <v>71</v>
      </c>
      <c r="C1198" s="7" t="s">
        <v>39</v>
      </c>
      <c r="D1198" s="4" t="s">
        <v>40</v>
      </c>
      <c r="E1198" s="6" t="s">
        <v>139</v>
      </c>
      <c r="F1198" s="12">
        <f>INDEX('PEDIDO JULIO'!A23:Z36,1,26)</f>
        <v>0</v>
      </c>
      <c r="G1198" s="8">
        <f>IFERROR(VLOOKUP($B1198,'[1]INSUMO POR SEDES MARZO PRUEBA'!$B$6:$CD$109,62,0),"NO BD")</f>
        <v>7960.6944000000003</v>
      </c>
      <c r="H1198" s="8"/>
      <c r="I1198" s="8">
        <f t="shared" si="105"/>
        <v>0</v>
      </c>
      <c r="J1198" s="14">
        <f t="shared" si="106"/>
        <v>0</v>
      </c>
      <c r="K1198" s="14">
        <f t="shared" si="107"/>
        <v>0</v>
      </c>
      <c r="L1198" s="14">
        <f t="shared" si="108"/>
        <v>0</v>
      </c>
    </row>
    <row r="1199" spans="1:12" ht="15">
      <c r="A1199" s="3">
        <v>1898</v>
      </c>
      <c r="B1199" s="39">
        <v>72</v>
      </c>
      <c r="C1199" s="7" t="s">
        <v>39</v>
      </c>
      <c r="D1199" s="4" t="s">
        <v>41</v>
      </c>
      <c r="E1199" s="6" t="s">
        <v>139</v>
      </c>
      <c r="F1199" s="12">
        <f>INDEX('PEDIDO JULIO'!A23:Z37,1,26)</f>
        <v>0</v>
      </c>
      <c r="G1199" s="8">
        <f>IFERROR(VLOOKUP($B1199,'[1]INSUMO POR SEDES MARZO PRUEBA'!$B$6:$CD$109,62,0),"NO BD")</f>
        <v>7861.3749000000007</v>
      </c>
      <c r="H1199" s="8"/>
      <c r="I1199" s="8">
        <f t="shared" si="105"/>
        <v>0</v>
      </c>
      <c r="J1199" s="14">
        <f t="shared" si="106"/>
        <v>0</v>
      </c>
      <c r="K1199" s="14">
        <f t="shared" si="107"/>
        <v>0</v>
      </c>
      <c r="L1199" s="14">
        <f t="shared" si="108"/>
        <v>0</v>
      </c>
    </row>
    <row r="1200" spans="1:12" ht="15">
      <c r="A1200" s="3">
        <v>1899</v>
      </c>
      <c r="B1200" s="39">
        <v>73</v>
      </c>
      <c r="C1200" s="7" t="s">
        <v>151</v>
      </c>
      <c r="D1200" s="4" t="s">
        <v>42</v>
      </c>
      <c r="E1200" s="6" t="s">
        <v>139</v>
      </c>
      <c r="F1200" s="12">
        <f>INDEX('PEDIDO JULIO'!A24:Z37,1,26)</f>
        <v>10</v>
      </c>
      <c r="G1200" s="8">
        <f>IFERROR(VLOOKUP($B1200,'[1]INSUMO POR SEDES MARZO PRUEBA'!$B$6:$CD$109,62,0),"NO BD")</f>
        <v>21493.685699999998</v>
      </c>
      <c r="H1200" s="8"/>
      <c r="I1200" s="8">
        <f t="shared" si="105"/>
        <v>214936.85699999999</v>
      </c>
      <c r="J1200" s="14">
        <f t="shared" si="106"/>
        <v>21493.685700000002</v>
      </c>
      <c r="K1200" s="14">
        <f t="shared" si="107"/>
        <v>4083.8002830000005</v>
      </c>
      <c r="L1200" s="14">
        <f t="shared" si="108"/>
        <v>240514.34298299998</v>
      </c>
    </row>
    <row r="1201" spans="1:12" ht="15">
      <c r="A1201" s="3">
        <v>1900</v>
      </c>
      <c r="B1201" s="39">
        <v>74</v>
      </c>
      <c r="C1201" s="7" t="s">
        <v>151</v>
      </c>
      <c r="D1201" s="4" t="s">
        <v>43</v>
      </c>
      <c r="E1201" s="6" t="s">
        <v>139</v>
      </c>
      <c r="F1201" s="12">
        <f>INDEX('PEDIDO JULIO'!A25:Z37,1,26)</f>
        <v>0</v>
      </c>
      <c r="G1201" s="8">
        <f>IFERROR(VLOOKUP($B1201,'[1]INSUMO POR SEDES MARZO PRUEBA'!$B$6:$CD$109,62,0),"NO BD")</f>
        <v>6915.4749000000002</v>
      </c>
      <c r="H1201" s="8"/>
      <c r="I1201" s="8">
        <f t="shared" si="105"/>
        <v>0</v>
      </c>
      <c r="J1201" s="14">
        <f t="shared" si="106"/>
        <v>0</v>
      </c>
      <c r="K1201" s="14">
        <f t="shared" si="107"/>
        <v>0</v>
      </c>
      <c r="L1201" s="14">
        <f t="shared" si="108"/>
        <v>0</v>
      </c>
    </row>
    <row r="1202" spans="1:12" ht="15">
      <c r="A1202" s="3">
        <v>1901</v>
      </c>
      <c r="B1202" s="39">
        <v>79</v>
      </c>
      <c r="C1202" s="7" t="s">
        <v>151</v>
      </c>
      <c r="D1202" s="4" t="s">
        <v>44</v>
      </c>
      <c r="E1202" s="6" t="s">
        <v>139</v>
      </c>
      <c r="F1202" s="12">
        <f>INDEX('PEDIDO JULIO'!A26:Z37,1,26)</f>
        <v>0</v>
      </c>
      <c r="G1202" s="8">
        <f>IFERROR(VLOOKUP($B1202,'[1]INSUMO POR SEDES MARZO PRUEBA'!$B$6:$CD$109,62,0),"NO BD")</f>
        <v>935.49510000000009</v>
      </c>
      <c r="H1202" s="8"/>
      <c r="I1202" s="8">
        <f t="shared" si="105"/>
        <v>0</v>
      </c>
      <c r="J1202" s="14">
        <f t="shared" si="106"/>
        <v>0</v>
      </c>
      <c r="K1202" s="14">
        <f t="shared" si="107"/>
        <v>0</v>
      </c>
      <c r="L1202" s="14">
        <f t="shared" si="108"/>
        <v>0</v>
      </c>
    </row>
    <row r="1203" spans="1:12" ht="40.5">
      <c r="A1203" s="3">
        <v>1902</v>
      </c>
      <c r="B1203" s="39">
        <v>80</v>
      </c>
      <c r="C1203" s="7" t="s">
        <v>151</v>
      </c>
      <c r="D1203" s="4" t="s">
        <v>45</v>
      </c>
      <c r="E1203" s="6" t="s">
        <v>139</v>
      </c>
      <c r="F1203" s="12">
        <f>INDEX('PEDIDO JULIO'!A27:Z37,1,26)</f>
        <v>0</v>
      </c>
      <c r="G1203" s="8">
        <f>IFERROR(VLOOKUP($B1203,'[1]INSUMO POR SEDES MARZO PRUEBA'!$B$6:$CD$109,62,0),"NO BD")</f>
        <v>607.26779999999997</v>
      </c>
      <c r="H1203" s="8"/>
      <c r="I1203" s="8">
        <f t="shared" si="105"/>
        <v>0</v>
      </c>
      <c r="J1203" s="14">
        <f t="shared" si="106"/>
        <v>0</v>
      </c>
      <c r="K1203" s="14">
        <f t="shared" si="107"/>
        <v>0</v>
      </c>
      <c r="L1203" s="14">
        <f t="shared" si="108"/>
        <v>0</v>
      </c>
    </row>
    <row r="1204" spans="1:12" ht="27">
      <c r="A1204" s="3">
        <v>1903</v>
      </c>
      <c r="B1204" s="39">
        <v>81</v>
      </c>
      <c r="C1204" s="7" t="s">
        <v>46</v>
      </c>
      <c r="D1204" s="4" t="s">
        <v>47</v>
      </c>
      <c r="E1204" s="6" t="s">
        <v>139</v>
      </c>
      <c r="F1204" s="12">
        <f>INDEX('PEDIDO JULIO'!A28:Z37,1,26)</f>
        <v>0</v>
      </c>
      <c r="G1204" s="8">
        <f>IFERROR(VLOOKUP($B1204,'[1]INSUMO POR SEDES MARZO PRUEBA'!$B$6:$CD$109,62,0),"NO BD")</f>
        <v>387.81900000000002</v>
      </c>
      <c r="H1204" s="8"/>
      <c r="I1204" s="8">
        <f t="shared" si="105"/>
        <v>0</v>
      </c>
      <c r="J1204" s="14">
        <f t="shared" si="106"/>
        <v>0</v>
      </c>
      <c r="K1204" s="14">
        <f t="shared" si="107"/>
        <v>0</v>
      </c>
      <c r="L1204" s="14">
        <f t="shared" si="108"/>
        <v>0</v>
      </c>
    </row>
    <row r="1205" spans="1:12" ht="15">
      <c r="A1205" s="3">
        <v>1904</v>
      </c>
      <c r="B1205" s="39">
        <v>82</v>
      </c>
      <c r="C1205" s="7" t="s">
        <v>159</v>
      </c>
      <c r="D1205" s="4" t="s">
        <v>48</v>
      </c>
      <c r="E1205" s="6" t="s">
        <v>139</v>
      </c>
      <c r="F1205" s="12">
        <f>INDEX('PEDIDO JULIO'!A28:Z37,1,26)</f>
        <v>0</v>
      </c>
      <c r="G1205" s="8">
        <f>IFERROR(VLOOKUP($B1205,'[1]INSUMO POR SEDES MARZO PRUEBA'!$B$6:$CD$109,62,0),"NO BD")</f>
        <v>1003.7049999999999</v>
      </c>
      <c r="H1205" s="8"/>
      <c r="I1205" s="8">
        <f t="shared" si="105"/>
        <v>0</v>
      </c>
      <c r="J1205" s="14">
        <f t="shared" si="106"/>
        <v>0</v>
      </c>
      <c r="K1205" s="14">
        <f t="shared" si="107"/>
        <v>0</v>
      </c>
      <c r="L1205" s="14">
        <f t="shared" si="108"/>
        <v>0</v>
      </c>
    </row>
    <row r="1206" spans="1:12" ht="15">
      <c r="A1206" s="3">
        <v>1905</v>
      </c>
      <c r="B1206" s="39">
        <v>83</v>
      </c>
      <c r="C1206" s="7" t="s">
        <v>159</v>
      </c>
      <c r="D1206" s="4" t="s">
        <v>49</v>
      </c>
      <c r="E1206" s="6" t="s">
        <v>139</v>
      </c>
      <c r="F1206" s="12">
        <f>INDEX('PEDIDO JULIO'!A29:Z37,1,26)</f>
        <v>0</v>
      </c>
      <c r="G1206" s="8">
        <f>IFERROR(VLOOKUP($B1206,'[1]INSUMO POR SEDES MARZO PRUEBA'!$B$6:$CD$109,62,0),"NO BD")</f>
        <v>336.32</v>
      </c>
      <c r="H1206" s="8"/>
      <c r="I1206" s="8">
        <f t="shared" si="105"/>
        <v>0</v>
      </c>
      <c r="J1206" s="14">
        <f t="shared" si="106"/>
        <v>0</v>
      </c>
      <c r="K1206" s="14">
        <f t="shared" si="107"/>
        <v>0</v>
      </c>
      <c r="L1206" s="14">
        <f t="shared" si="108"/>
        <v>0</v>
      </c>
    </row>
    <row r="1207" spans="1:12" ht="15">
      <c r="A1207" s="3">
        <v>1906</v>
      </c>
      <c r="B1207" s="39">
        <v>88</v>
      </c>
      <c r="C1207" s="7" t="s">
        <v>159</v>
      </c>
      <c r="D1207" s="4" t="s">
        <v>50</v>
      </c>
      <c r="E1207" s="6" t="s">
        <v>139</v>
      </c>
      <c r="F1207" s="12">
        <f>INDEX('PEDIDO JULIO'!A30:Z37,1,26)</f>
        <v>0</v>
      </c>
      <c r="G1207" s="8">
        <f>IFERROR(VLOOKUP($B1207,'[1]INSUMO POR SEDES MARZO PRUEBA'!$B$6:$CD$109,62,0),"NO BD")</f>
        <v>0</v>
      </c>
      <c r="H1207" s="8"/>
      <c r="I1207" s="8">
        <f t="shared" si="105"/>
        <v>0</v>
      </c>
      <c r="J1207" s="14">
        <f t="shared" si="106"/>
        <v>0</v>
      </c>
      <c r="K1207" s="14">
        <f t="shared" si="107"/>
        <v>0</v>
      </c>
      <c r="L1207" s="14">
        <f t="shared" si="108"/>
        <v>0</v>
      </c>
    </row>
    <row r="1208" spans="1:12" ht="15">
      <c r="A1208" s="3">
        <v>1907</v>
      </c>
      <c r="B1208" s="39">
        <v>92</v>
      </c>
      <c r="C1208" s="7" t="s">
        <v>159</v>
      </c>
      <c r="D1208" s="4" t="s">
        <v>51</v>
      </c>
      <c r="E1208" s="6" t="s">
        <v>139</v>
      </c>
      <c r="F1208" s="12">
        <f>INDEX('PEDIDO JULIO'!A31:Z37,1,26)</f>
        <v>0</v>
      </c>
      <c r="G1208" s="8">
        <f>IFERROR(VLOOKUP($B1208,'[1]INSUMO POR SEDES MARZO PRUEBA'!$B$6:$CD$109,62,0),"NO BD")</f>
        <v>2380.5149999999999</v>
      </c>
      <c r="H1208" s="8"/>
      <c r="I1208" s="8">
        <f t="shared" si="105"/>
        <v>0</v>
      </c>
      <c r="J1208" s="14">
        <f t="shared" si="106"/>
        <v>0</v>
      </c>
      <c r="K1208" s="14">
        <f t="shared" si="107"/>
        <v>0</v>
      </c>
      <c r="L1208" s="14">
        <f t="shared" si="108"/>
        <v>0</v>
      </c>
    </row>
    <row r="1209" spans="1:12" ht="15">
      <c r="A1209" s="3">
        <v>1908</v>
      </c>
      <c r="B1209" s="39">
        <v>94</v>
      </c>
      <c r="C1209" s="7" t="s">
        <v>159</v>
      </c>
      <c r="D1209" s="4" t="s">
        <v>52</v>
      </c>
      <c r="E1209" s="6" t="s">
        <v>139</v>
      </c>
      <c r="F1209" s="12">
        <f>INDEX('PEDIDO JULIO'!A32:Z37,1,26)</f>
        <v>0</v>
      </c>
      <c r="G1209" s="8">
        <f>IFERROR(VLOOKUP($B1209,'[1]INSUMO POR SEDES MARZO PRUEBA'!$B$6:$CD$109,62,0),"NO BD")</f>
        <v>3316.9560000000001</v>
      </c>
      <c r="H1209" s="8"/>
      <c r="I1209" s="8">
        <f t="shared" si="105"/>
        <v>0</v>
      </c>
      <c r="J1209" s="14">
        <f t="shared" si="106"/>
        <v>0</v>
      </c>
      <c r="K1209" s="14">
        <f t="shared" si="107"/>
        <v>0</v>
      </c>
      <c r="L1209" s="14">
        <f t="shared" si="108"/>
        <v>0</v>
      </c>
    </row>
    <row r="1210" spans="1:12" ht="15">
      <c r="A1210" s="3">
        <v>1909</v>
      </c>
      <c r="B1210" s="39">
        <v>98</v>
      </c>
      <c r="C1210" s="7" t="s">
        <v>53</v>
      </c>
      <c r="D1210" s="4" t="s">
        <v>54</v>
      </c>
      <c r="E1210" s="6" t="s">
        <v>139</v>
      </c>
      <c r="F1210" s="12">
        <f>INDEX('PEDIDO JULIO'!A33:Z37,1,26)</f>
        <v>0</v>
      </c>
      <c r="G1210" s="8">
        <f>IFERROR(VLOOKUP($B1210,'[1]INSUMO POR SEDES MARZO PRUEBA'!$B$6:$CD$109,62,0),"NO BD")</f>
        <v>9503.4573</v>
      </c>
      <c r="H1210" s="8"/>
      <c r="I1210" s="8">
        <f t="shared" si="105"/>
        <v>0</v>
      </c>
      <c r="J1210" s="14">
        <f t="shared" si="106"/>
        <v>0</v>
      </c>
      <c r="K1210" s="14">
        <f t="shared" si="107"/>
        <v>0</v>
      </c>
      <c r="L1210" s="14">
        <f t="shared" si="108"/>
        <v>0</v>
      </c>
    </row>
    <row r="1211" spans="1:12" ht="15">
      <c r="A1211" s="3">
        <v>1910</v>
      </c>
      <c r="B1211" s="39">
        <v>100</v>
      </c>
      <c r="C1211" s="7" t="s">
        <v>53</v>
      </c>
      <c r="D1211" s="4" t="s">
        <v>55</v>
      </c>
      <c r="E1211" s="6" t="s">
        <v>139</v>
      </c>
      <c r="F1211" s="12">
        <f>INDEX('PEDIDO JULIO'!A33:Z38,1,26)</f>
        <v>0</v>
      </c>
      <c r="G1211" s="8">
        <f>IFERROR(VLOOKUP($B1211,'[1]INSUMO POR SEDES MARZO PRUEBA'!$B$6:$CD$109,62,0),"NO BD")</f>
        <v>0</v>
      </c>
      <c r="H1211" s="8"/>
      <c r="I1211" s="8">
        <f t="shared" si="105"/>
        <v>0</v>
      </c>
      <c r="J1211" s="14">
        <f t="shared" si="106"/>
        <v>0</v>
      </c>
      <c r="K1211" s="14">
        <f t="shared" si="107"/>
        <v>0</v>
      </c>
      <c r="L1211" s="14">
        <f t="shared" si="108"/>
        <v>0</v>
      </c>
    </row>
    <row r="1212" spans="1:12" ht="15">
      <c r="A1212" s="3">
        <v>1911</v>
      </c>
      <c r="B1212" s="39">
        <v>102</v>
      </c>
      <c r="C1212" s="7" t="s">
        <v>53</v>
      </c>
      <c r="D1212" s="4" t="s">
        <v>56</v>
      </c>
      <c r="E1212" s="6" t="s">
        <v>139</v>
      </c>
      <c r="F1212" s="12">
        <f>INDEX('PEDIDO JULIO'!A33:Z38,1,26)</f>
        <v>0</v>
      </c>
      <c r="G1212" s="8">
        <f>IFERROR(VLOOKUP($B1212,'[1]INSUMO POR SEDES MARZO PRUEBA'!$B$6:$CD$109,62,0),"NO BD")</f>
        <v>5422.8446999999996</v>
      </c>
      <c r="H1212" s="8"/>
      <c r="I1212" s="8">
        <f t="shared" si="105"/>
        <v>0</v>
      </c>
      <c r="J1212" s="14">
        <f t="shared" si="106"/>
        <v>0</v>
      </c>
      <c r="K1212" s="14">
        <f t="shared" si="107"/>
        <v>0</v>
      </c>
      <c r="L1212" s="14">
        <f t="shared" si="108"/>
        <v>0</v>
      </c>
    </row>
    <row r="1213" spans="1:12" ht="15">
      <c r="A1213" s="3">
        <v>1912</v>
      </c>
      <c r="B1213" s="39">
        <v>110</v>
      </c>
      <c r="C1213" s="7" t="s">
        <v>53</v>
      </c>
      <c r="D1213" s="4" t="s">
        <v>57</v>
      </c>
      <c r="E1213" s="6" t="s">
        <v>139</v>
      </c>
      <c r="F1213" s="12">
        <f>INDEX('PEDIDO JULIO'!A33:Z39,1,26)</f>
        <v>0</v>
      </c>
      <c r="G1213" s="8">
        <f>IFERROR(VLOOKUP($B1213,'[1]INSUMO POR SEDES MARZO PRUEBA'!$B$6:$CD$109,62,0),"NO BD")</f>
        <v>1442.4974999999999</v>
      </c>
      <c r="H1213" s="8"/>
      <c r="I1213" s="8">
        <f t="shared" si="105"/>
        <v>0</v>
      </c>
      <c r="J1213" s="14">
        <f t="shared" si="106"/>
        <v>0</v>
      </c>
      <c r="K1213" s="14">
        <f t="shared" si="107"/>
        <v>0</v>
      </c>
      <c r="L1213" s="14">
        <f t="shared" si="108"/>
        <v>0</v>
      </c>
    </row>
    <row r="1214" spans="1:12" ht="27">
      <c r="A1214" s="3">
        <v>1913</v>
      </c>
      <c r="B1214" s="39">
        <v>118</v>
      </c>
      <c r="C1214" s="7" t="s">
        <v>160</v>
      </c>
      <c r="D1214" s="4" t="s">
        <v>58</v>
      </c>
      <c r="E1214" s="6" t="s">
        <v>139</v>
      </c>
      <c r="F1214" s="12">
        <f>INDEX('PEDIDO JULIO'!A33:Z40,1,26)</f>
        <v>0</v>
      </c>
      <c r="G1214" s="8">
        <f>IFERROR(VLOOKUP($B1214,'[1]INSUMO POR SEDES MARZO PRUEBA'!$B$6:$CD$109,62,0),"NO BD")</f>
        <v>4129.7993999999999</v>
      </c>
      <c r="H1214" s="8"/>
      <c r="I1214" s="8">
        <f t="shared" si="105"/>
        <v>0</v>
      </c>
      <c r="J1214" s="14">
        <f t="shared" si="106"/>
        <v>0</v>
      </c>
      <c r="K1214" s="14">
        <f t="shared" si="107"/>
        <v>0</v>
      </c>
      <c r="L1214" s="14">
        <f t="shared" si="108"/>
        <v>0</v>
      </c>
    </row>
    <row r="1215" spans="1:12" ht="15">
      <c r="A1215" s="3">
        <v>1914</v>
      </c>
      <c r="B1215" s="39">
        <v>119</v>
      </c>
      <c r="C1215" s="7" t="s">
        <v>160</v>
      </c>
      <c r="D1215" s="4" t="s">
        <v>59</v>
      </c>
      <c r="E1215" s="6" t="s">
        <v>139</v>
      </c>
      <c r="F1215" s="12">
        <f>INDEX('PEDIDO JULIO'!A33:Z40,1,26)</f>
        <v>0</v>
      </c>
      <c r="G1215" s="8">
        <f>IFERROR(VLOOKUP($B1215,'[1]INSUMO POR SEDES MARZO PRUEBA'!$B$6:$CD$109,62,0),"NO BD")</f>
        <v>2821.9350000000004</v>
      </c>
      <c r="H1215" s="8"/>
      <c r="I1215" s="8">
        <f t="shared" si="105"/>
        <v>0</v>
      </c>
      <c r="J1215" s="14">
        <f t="shared" si="106"/>
        <v>0</v>
      </c>
      <c r="K1215" s="14">
        <f t="shared" si="107"/>
        <v>0</v>
      </c>
      <c r="L1215" s="14">
        <f t="shared" si="108"/>
        <v>0</v>
      </c>
    </row>
    <row r="1216" spans="1:12" ht="15">
      <c r="A1216" s="3">
        <v>1915</v>
      </c>
      <c r="B1216" s="39">
        <v>120</v>
      </c>
      <c r="C1216" s="7" t="s">
        <v>60</v>
      </c>
      <c r="D1216" s="4" t="s">
        <v>61</v>
      </c>
      <c r="E1216" s="6" t="s">
        <v>139</v>
      </c>
      <c r="F1216" s="12">
        <f>INDEX('PEDIDO JULIO'!A33:Z40,1,26)</f>
        <v>0</v>
      </c>
      <c r="G1216" s="8">
        <f>IFERROR(VLOOKUP($B1216,'[1]INSUMO POR SEDES MARZO PRUEBA'!$B$6:$CD$109,62,0),"NO BD")</f>
        <v>4259.3877000000002</v>
      </c>
      <c r="H1216" s="8"/>
      <c r="I1216" s="8">
        <f t="shared" si="105"/>
        <v>0</v>
      </c>
      <c r="J1216" s="14">
        <f t="shared" si="106"/>
        <v>0</v>
      </c>
      <c r="K1216" s="14">
        <f t="shared" si="107"/>
        <v>0</v>
      </c>
      <c r="L1216" s="14">
        <f t="shared" si="108"/>
        <v>0</v>
      </c>
    </row>
    <row r="1217" spans="1:12" ht="15">
      <c r="A1217" s="3">
        <v>1916</v>
      </c>
      <c r="B1217" s="39">
        <v>122</v>
      </c>
      <c r="C1217" s="7" t="s">
        <v>60</v>
      </c>
      <c r="D1217" s="4" t="s">
        <v>62</v>
      </c>
      <c r="E1217" s="6" t="s">
        <v>139</v>
      </c>
      <c r="F1217" s="12">
        <f>INDEX('PEDIDO JULIO'!A33:Z41,1,26)</f>
        <v>0</v>
      </c>
      <c r="G1217" s="8">
        <f>IFERROR(VLOOKUP($B1217,'[1]INSUMO POR SEDES MARZO PRUEBA'!$B$6:$CD$109,62,0),"NO BD")</f>
        <v>5920.3881000000001</v>
      </c>
      <c r="H1217" s="8"/>
      <c r="I1217" s="8">
        <f t="shared" si="105"/>
        <v>0</v>
      </c>
      <c r="J1217" s="14">
        <f t="shared" si="106"/>
        <v>0</v>
      </c>
      <c r="K1217" s="14">
        <f t="shared" si="107"/>
        <v>0</v>
      </c>
      <c r="L1217" s="14">
        <f t="shared" si="108"/>
        <v>0</v>
      </c>
    </row>
    <row r="1218" spans="1:12" ht="15">
      <c r="A1218" s="3">
        <v>1917</v>
      </c>
      <c r="B1218" s="39">
        <v>123</v>
      </c>
      <c r="C1218" s="7" t="s">
        <v>151</v>
      </c>
      <c r="D1218" s="4" t="s">
        <v>63</v>
      </c>
      <c r="E1218" s="6" t="s">
        <v>139</v>
      </c>
      <c r="F1218" s="12">
        <f>INDEX('PEDIDO JULIO'!A33:Z41,1,26)</f>
        <v>0</v>
      </c>
      <c r="G1218" s="8">
        <f>IFERROR(VLOOKUP($B1218,'[1]INSUMO POR SEDES MARZO PRUEBA'!$B$6:$CD$109,62,0),"NO BD")</f>
        <v>6169.1598000000004</v>
      </c>
      <c r="H1218" s="8"/>
      <c r="I1218" s="8">
        <f t="shared" si="105"/>
        <v>0</v>
      </c>
      <c r="J1218" s="14">
        <f t="shared" si="106"/>
        <v>0</v>
      </c>
      <c r="K1218" s="14">
        <f t="shared" si="107"/>
        <v>0</v>
      </c>
      <c r="L1218" s="14">
        <f t="shared" si="108"/>
        <v>0</v>
      </c>
    </row>
    <row r="1219" spans="1:12" ht="15">
      <c r="A1219" s="3">
        <v>1918</v>
      </c>
      <c r="B1219" s="39">
        <v>124</v>
      </c>
      <c r="C1219" s="7" t="s">
        <v>160</v>
      </c>
      <c r="D1219" s="4" t="s">
        <v>64</v>
      </c>
      <c r="E1219" s="6" t="s">
        <v>139</v>
      </c>
      <c r="F1219" s="12">
        <f>INDEX('PEDIDO JULIO'!A33:Z42,1,26)</f>
        <v>0</v>
      </c>
      <c r="G1219" s="8">
        <f>IFERROR(VLOOKUP($B1219,'[1]INSUMO POR SEDES MARZO PRUEBA'!$B$6:$CD$109,62,0),"NO BD")</f>
        <v>6169.1598000000004</v>
      </c>
      <c r="H1219" s="8"/>
      <c r="I1219" s="8">
        <f t="shared" si="105"/>
        <v>0</v>
      </c>
      <c r="J1219" s="14">
        <f t="shared" si="106"/>
        <v>0</v>
      </c>
      <c r="K1219" s="14">
        <f t="shared" si="107"/>
        <v>0</v>
      </c>
      <c r="L1219" s="14">
        <f t="shared" si="108"/>
        <v>0</v>
      </c>
    </row>
    <row r="1220" spans="1:12" ht="27">
      <c r="A1220" s="3">
        <v>1919</v>
      </c>
      <c r="B1220" s="39">
        <v>137</v>
      </c>
      <c r="C1220" s="7" t="s">
        <v>60</v>
      </c>
      <c r="D1220" s="4" t="s">
        <v>65</v>
      </c>
      <c r="E1220" s="6" t="s">
        <v>139</v>
      </c>
      <c r="F1220" s="12">
        <f>INDEX('PEDIDO JULIO'!A33:Z42,1,26)</f>
        <v>0</v>
      </c>
      <c r="G1220" s="8">
        <f>IFERROR(VLOOKUP($B1220,'[1]INSUMO POR SEDES MARZO PRUEBA'!$B$6:$CD$109,62,0),"NO BD")</f>
        <v>0</v>
      </c>
      <c r="H1220" s="8"/>
      <c r="I1220" s="8">
        <f t="shared" si="105"/>
        <v>0</v>
      </c>
      <c r="J1220" s="14">
        <f t="shared" si="106"/>
        <v>0</v>
      </c>
      <c r="K1220" s="14">
        <f t="shared" si="107"/>
        <v>0</v>
      </c>
      <c r="L1220" s="14">
        <f t="shared" si="108"/>
        <v>0</v>
      </c>
    </row>
    <row r="1221" spans="1:12" ht="15">
      <c r="A1221" s="3">
        <v>1920</v>
      </c>
      <c r="B1221" s="39">
        <v>139</v>
      </c>
      <c r="C1221" s="7" t="s">
        <v>66</v>
      </c>
      <c r="D1221" s="4" t="s">
        <v>67</v>
      </c>
      <c r="E1221" s="6" t="s">
        <v>139</v>
      </c>
      <c r="F1221" s="12">
        <f>INDEX('PEDIDO JULIO'!A33:Z42,1,26)</f>
        <v>0</v>
      </c>
      <c r="G1221" s="8">
        <f>IFERROR(VLOOKUP($B1221,'[1]INSUMO POR SEDES MARZO PRUEBA'!$B$6:$CD$109,62,0),"NO BD")</f>
        <v>51246.970200000003</v>
      </c>
      <c r="H1221" s="8"/>
      <c r="I1221" s="8">
        <f t="shared" si="105"/>
        <v>0</v>
      </c>
      <c r="J1221" s="14">
        <f t="shared" si="106"/>
        <v>0</v>
      </c>
      <c r="K1221" s="14">
        <f t="shared" si="107"/>
        <v>0</v>
      </c>
      <c r="L1221" s="14">
        <f t="shared" si="108"/>
        <v>0</v>
      </c>
    </row>
    <row r="1222" spans="1:12" ht="15">
      <c r="A1222" s="3">
        <v>1921</v>
      </c>
      <c r="B1222" s="39">
        <v>151</v>
      </c>
      <c r="C1222" s="7" t="s">
        <v>66</v>
      </c>
      <c r="D1222" s="4" t="s">
        <v>68</v>
      </c>
      <c r="E1222" s="6" t="s">
        <v>139</v>
      </c>
      <c r="F1222" s="12">
        <f>INDEX('PEDIDO JULIO'!A33:Z42,1,26)</f>
        <v>0</v>
      </c>
      <c r="G1222" s="8">
        <f>IFERROR(VLOOKUP($B1222,'[1]INSUMO POR SEDES MARZO PRUEBA'!$B$6:$CD$109,62,0),"NO BD")</f>
        <v>4422.6080000000002</v>
      </c>
      <c r="H1222" s="8"/>
      <c r="I1222" s="8">
        <f t="shared" ref="I1222:I1285" si="109">+F1222*G1222</f>
        <v>0</v>
      </c>
      <c r="J1222" s="14">
        <f t="shared" si="106"/>
        <v>0</v>
      </c>
      <c r="K1222" s="14">
        <f t="shared" si="107"/>
        <v>0</v>
      </c>
      <c r="L1222" s="14">
        <f t="shared" si="108"/>
        <v>0</v>
      </c>
    </row>
    <row r="1223" spans="1:12" ht="15">
      <c r="A1223" s="3">
        <v>1922</v>
      </c>
      <c r="B1223" s="39">
        <v>155</v>
      </c>
      <c r="C1223" s="7" t="s">
        <v>66</v>
      </c>
      <c r="D1223" s="4" t="s">
        <v>69</v>
      </c>
      <c r="E1223" s="6" t="s">
        <v>139</v>
      </c>
      <c r="F1223" s="12">
        <f>INDEX('PEDIDO JULIO'!A33:Z43,1,26)</f>
        <v>0</v>
      </c>
      <c r="G1223" s="8">
        <f>IFERROR(VLOOKUP($B1223,'[1]INSUMO POR SEDES MARZO PRUEBA'!$B$6:$CD$109,62,0),"NO BD")</f>
        <v>5005.7028</v>
      </c>
      <c r="H1223" s="8"/>
      <c r="I1223" s="8">
        <f t="shared" si="109"/>
        <v>0</v>
      </c>
      <c r="J1223" s="14">
        <f t="shared" ref="J1223:J1240" si="110">+I1223*10%</f>
        <v>0</v>
      </c>
      <c r="K1223" s="14">
        <f t="shared" ref="K1223:K1240" si="111">+J1223*19%</f>
        <v>0</v>
      </c>
      <c r="L1223" s="14">
        <f t="shared" ref="L1223:L1240" si="112">SUM(I1223:K1223)</f>
        <v>0</v>
      </c>
    </row>
    <row r="1224" spans="1:12" ht="15">
      <c r="A1224" s="3">
        <v>1923</v>
      </c>
      <c r="B1224" s="39">
        <v>156</v>
      </c>
      <c r="C1224" s="7" t="s">
        <v>66</v>
      </c>
      <c r="D1224" s="4" t="s">
        <v>70</v>
      </c>
      <c r="E1224" s="6" t="s">
        <v>139</v>
      </c>
      <c r="F1224" s="12">
        <f>INDEX('PEDIDO JULIO'!A33:Z43,1,26)</f>
        <v>0</v>
      </c>
      <c r="G1224" s="8">
        <f>IFERROR(VLOOKUP($B1224,'[1]INSUMO POR SEDES MARZO PRUEBA'!$B$6:$CD$109,62,0),"NO BD")</f>
        <v>7711.9227000000001</v>
      </c>
      <c r="H1224" s="8"/>
      <c r="I1224" s="8">
        <f t="shared" si="109"/>
        <v>0</v>
      </c>
      <c r="J1224" s="14">
        <f t="shared" si="110"/>
        <v>0</v>
      </c>
      <c r="K1224" s="14">
        <f t="shared" si="111"/>
        <v>0</v>
      </c>
      <c r="L1224" s="14">
        <f t="shared" si="112"/>
        <v>0</v>
      </c>
    </row>
    <row r="1225" spans="1:12" ht="15">
      <c r="A1225" s="3">
        <v>1924</v>
      </c>
      <c r="B1225" s="39">
        <v>157</v>
      </c>
      <c r="C1225" s="7" t="s">
        <v>66</v>
      </c>
      <c r="D1225" s="4" t="s">
        <v>71</v>
      </c>
      <c r="E1225" s="6" t="s">
        <v>139</v>
      </c>
      <c r="F1225" s="12">
        <f>INDEX('PEDIDO JULIO'!A33:Z43,1,26)</f>
        <v>0</v>
      </c>
      <c r="G1225" s="8">
        <f>IFERROR(VLOOKUP($B1225,'[1]INSUMO POR SEDES MARZO PRUEBA'!$B$6:$CD$109,62,0),"NO BD")</f>
        <v>8955.7812000000013</v>
      </c>
      <c r="H1225" s="8"/>
      <c r="I1225" s="8">
        <f t="shared" si="109"/>
        <v>0</v>
      </c>
      <c r="J1225" s="14">
        <f t="shared" si="110"/>
        <v>0</v>
      </c>
      <c r="K1225" s="14">
        <f t="shared" si="111"/>
        <v>0</v>
      </c>
      <c r="L1225" s="14">
        <f t="shared" si="112"/>
        <v>0</v>
      </c>
    </row>
    <row r="1226" spans="1:12" ht="15">
      <c r="A1226" s="3">
        <v>1925</v>
      </c>
      <c r="B1226" s="39">
        <v>159</v>
      </c>
      <c r="C1226" s="7" t="s">
        <v>66</v>
      </c>
      <c r="D1226" s="4" t="s">
        <v>72</v>
      </c>
      <c r="E1226" s="6" t="s">
        <v>139</v>
      </c>
      <c r="F1226" s="12">
        <f>INDEX('PEDIDO JULIO'!A33:Z44,1,26)</f>
        <v>0</v>
      </c>
      <c r="G1226" s="8">
        <f>IFERROR(VLOOKUP($B1226,'[1]INSUMO POR SEDES MARZO PRUEBA'!$B$6:$CD$109,62,0),"NO BD")</f>
        <v>6716.8359</v>
      </c>
      <c r="H1226" s="8"/>
      <c r="I1226" s="8">
        <f t="shared" si="109"/>
        <v>0</v>
      </c>
      <c r="J1226" s="14">
        <f t="shared" si="110"/>
        <v>0</v>
      </c>
      <c r="K1226" s="14">
        <f t="shared" si="111"/>
        <v>0</v>
      </c>
      <c r="L1226" s="14">
        <f t="shared" si="112"/>
        <v>0</v>
      </c>
    </row>
    <row r="1227" spans="1:12" ht="15">
      <c r="A1227" s="3">
        <v>1926</v>
      </c>
      <c r="B1227" s="39">
        <v>160</v>
      </c>
      <c r="C1227" s="7" t="s">
        <v>158</v>
      </c>
      <c r="D1227" s="4" t="s">
        <v>73</v>
      </c>
      <c r="E1227" s="6" t="s">
        <v>139</v>
      </c>
      <c r="F1227" s="12">
        <f>INDEX('PEDIDO JULIO'!A33:Z44,1,26)</f>
        <v>0</v>
      </c>
      <c r="G1227" s="8">
        <f>IFERROR(VLOOKUP($B1227,'[1]INSUMO POR SEDES MARZO PRUEBA'!$B$6:$CD$109,62,0),"NO BD")</f>
        <v>3035.3931000000002</v>
      </c>
      <c r="H1227" s="8"/>
      <c r="I1227" s="8">
        <f t="shared" si="109"/>
        <v>0</v>
      </c>
      <c r="J1227" s="14">
        <f t="shared" si="110"/>
        <v>0</v>
      </c>
      <c r="K1227" s="14">
        <f t="shared" si="111"/>
        <v>0</v>
      </c>
      <c r="L1227" s="14">
        <f t="shared" si="112"/>
        <v>0</v>
      </c>
    </row>
    <row r="1228" spans="1:12" ht="15">
      <c r="A1228" s="3">
        <v>1927</v>
      </c>
      <c r="B1228" s="39">
        <v>162</v>
      </c>
      <c r="C1228" s="7" t="s">
        <v>158</v>
      </c>
      <c r="D1228" s="4" t="s">
        <v>74</v>
      </c>
      <c r="E1228" s="6" t="s">
        <v>139</v>
      </c>
      <c r="F1228" s="12">
        <f>INDEX('PEDIDO JULIO'!A33:Z44,1,26)</f>
        <v>0</v>
      </c>
      <c r="G1228" s="8">
        <f>IFERROR(VLOOKUP($B1228,'[1]INSUMO POR SEDES MARZO PRUEBA'!$B$6:$CD$109,62,0),"NO BD")</f>
        <v>4030.4798999999998</v>
      </c>
      <c r="H1228" s="8"/>
      <c r="I1228" s="8">
        <f t="shared" si="109"/>
        <v>0</v>
      </c>
      <c r="J1228" s="14">
        <f t="shared" si="110"/>
        <v>0</v>
      </c>
      <c r="K1228" s="14">
        <f t="shared" si="111"/>
        <v>0</v>
      </c>
      <c r="L1228" s="14">
        <f t="shared" si="112"/>
        <v>0</v>
      </c>
    </row>
    <row r="1229" spans="1:12" ht="15">
      <c r="A1229" s="3">
        <v>1928</v>
      </c>
      <c r="B1229" s="39">
        <v>164</v>
      </c>
      <c r="C1229" s="7" t="s">
        <v>158</v>
      </c>
      <c r="D1229" s="4" t="s">
        <v>75</v>
      </c>
      <c r="E1229" s="6" t="s">
        <v>139</v>
      </c>
      <c r="F1229" s="12">
        <f>INDEX('PEDIDO JULIO'!A33:Z44,1,26)</f>
        <v>0</v>
      </c>
      <c r="G1229" s="8">
        <f>IFERROR(VLOOKUP($B1229,'[1]INSUMO POR SEDES MARZO PRUEBA'!$B$6:$CD$109,62,0),"NO BD")</f>
        <v>0</v>
      </c>
      <c r="H1229" s="8"/>
      <c r="I1229" s="8">
        <f t="shared" si="109"/>
        <v>0</v>
      </c>
      <c r="J1229" s="14">
        <f t="shared" si="110"/>
        <v>0</v>
      </c>
      <c r="K1229" s="14">
        <f t="shared" si="111"/>
        <v>0</v>
      </c>
      <c r="L1229" s="14">
        <f t="shared" si="112"/>
        <v>0</v>
      </c>
    </row>
    <row r="1230" spans="1:12" ht="15">
      <c r="A1230" s="3">
        <v>1929</v>
      </c>
      <c r="B1230" s="39">
        <v>169</v>
      </c>
      <c r="C1230" s="7" t="s">
        <v>158</v>
      </c>
      <c r="D1230" s="4" t="s">
        <v>76</v>
      </c>
      <c r="E1230" s="6" t="s">
        <v>139</v>
      </c>
      <c r="F1230" s="12">
        <f>INDEX('PEDIDO JULIO'!A33:Z45,1,26)</f>
        <v>0</v>
      </c>
      <c r="G1230" s="8">
        <f>IFERROR(VLOOKUP($B1230,'[1]INSUMO POR SEDES MARZO PRUEBA'!$B$6:$CD$109,62,0),"NO BD")</f>
        <v>0</v>
      </c>
      <c r="H1230" s="8"/>
      <c r="I1230" s="8">
        <f t="shared" si="109"/>
        <v>0</v>
      </c>
      <c r="J1230" s="14">
        <f t="shared" si="110"/>
        <v>0</v>
      </c>
      <c r="K1230" s="14">
        <f t="shared" si="111"/>
        <v>0</v>
      </c>
      <c r="L1230" s="14">
        <f t="shared" si="112"/>
        <v>0</v>
      </c>
    </row>
    <row r="1231" spans="1:12" ht="15">
      <c r="A1231" s="3">
        <v>1930</v>
      </c>
      <c r="B1231" s="39">
        <v>170</v>
      </c>
      <c r="C1231" s="7" t="s">
        <v>158</v>
      </c>
      <c r="D1231" s="4" t="s">
        <v>77</v>
      </c>
      <c r="E1231" s="6" t="s">
        <v>139</v>
      </c>
      <c r="F1231" s="12">
        <f>INDEX('PEDIDO JULIO'!A33:Z46,1,26)</f>
        <v>0</v>
      </c>
      <c r="G1231" s="8">
        <f>IFERROR(VLOOKUP($B1231,'[1]INSUMO POR SEDES MARZO PRUEBA'!$B$6:$CD$109,62,0),"NO BD")</f>
        <v>45575.353799999997</v>
      </c>
      <c r="H1231" s="8"/>
      <c r="I1231" s="8">
        <f t="shared" si="109"/>
        <v>0</v>
      </c>
      <c r="J1231" s="14">
        <f t="shared" si="110"/>
        <v>0</v>
      </c>
      <c r="K1231" s="14">
        <f t="shared" si="111"/>
        <v>0</v>
      </c>
      <c r="L1231" s="14">
        <f t="shared" si="112"/>
        <v>0</v>
      </c>
    </row>
    <row r="1232" spans="1:12" ht="15">
      <c r="A1232" s="3">
        <v>1931</v>
      </c>
      <c r="B1232" s="39">
        <v>174</v>
      </c>
      <c r="C1232" s="7" t="s">
        <v>158</v>
      </c>
      <c r="D1232" s="4" t="s">
        <v>78</v>
      </c>
      <c r="E1232" s="6" t="s">
        <v>139</v>
      </c>
      <c r="F1232" s="12">
        <f>INDEX('PEDIDO JULIO'!A33:Z47,1,26)</f>
        <v>0</v>
      </c>
      <c r="G1232" s="8">
        <f>IFERROR(VLOOKUP($B1232,'[1]INSUMO POR SEDES MARZO PRUEBA'!$B$6:$CD$109,62,0),"NO BD")</f>
        <v>10050.1875</v>
      </c>
      <c r="H1232" s="8"/>
      <c r="I1232" s="8">
        <f t="shared" si="109"/>
        <v>0</v>
      </c>
      <c r="J1232" s="14">
        <f t="shared" si="110"/>
        <v>0</v>
      </c>
      <c r="K1232" s="14">
        <f t="shared" si="111"/>
        <v>0</v>
      </c>
      <c r="L1232" s="14">
        <f t="shared" si="112"/>
        <v>0</v>
      </c>
    </row>
    <row r="1233" spans="1:12" ht="15">
      <c r="A1233" s="3">
        <v>1932</v>
      </c>
      <c r="B1233" s="39">
        <v>192</v>
      </c>
      <c r="C1233" s="7" t="s">
        <v>158</v>
      </c>
      <c r="D1233" s="4" t="s">
        <v>79</v>
      </c>
      <c r="E1233" s="6" t="s">
        <v>139</v>
      </c>
      <c r="F1233" s="12">
        <f>INDEX('PEDIDO JULIO'!A33:Z47,1,26)</f>
        <v>0</v>
      </c>
      <c r="G1233" s="8">
        <f>IFERROR(VLOOKUP($B1233,'[1]INSUMO POR SEDES MARZO PRUEBA'!$B$6:$CD$109,62,0),"NO BD")</f>
        <v>3930.7400000000002</v>
      </c>
      <c r="H1233" s="8"/>
      <c r="I1233" s="8">
        <f t="shared" si="109"/>
        <v>0</v>
      </c>
      <c r="J1233" s="14">
        <f t="shared" si="110"/>
        <v>0</v>
      </c>
      <c r="K1233" s="14">
        <f t="shared" si="111"/>
        <v>0</v>
      </c>
      <c r="L1233" s="14">
        <f t="shared" si="112"/>
        <v>0</v>
      </c>
    </row>
    <row r="1234" spans="1:12" ht="15">
      <c r="A1234" s="3">
        <v>1933</v>
      </c>
      <c r="B1234" s="39">
        <v>195</v>
      </c>
      <c r="C1234" s="7" t="s">
        <v>158</v>
      </c>
      <c r="D1234" s="4" t="s">
        <v>80</v>
      </c>
      <c r="E1234" s="6" t="s">
        <v>139</v>
      </c>
      <c r="F1234" s="12">
        <f>INDEX('PEDIDO JULIO'!A33:Z47,1,26)</f>
        <v>0</v>
      </c>
      <c r="G1234" s="8">
        <f>IFERROR(VLOOKUP($B1234,'[1]INSUMO POR SEDES MARZO PRUEBA'!$B$6:$CD$109,62,0),"NO BD")</f>
        <v>6431.0690000000004</v>
      </c>
      <c r="H1234" s="8"/>
      <c r="I1234" s="8">
        <f t="shared" si="109"/>
        <v>0</v>
      </c>
      <c r="J1234" s="14">
        <f t="shared" si="110"/>
        <v>0</v>
      </c>
      <c r="K1234" s="14">
        <f t="shared" si="111"/>
        <v>0</v>
      </c>
      <c r="L1234" s="14">
        <f t="shared" si="112"/>
        <v>0</v>
      </c>
    </row>
    <row r="1235" spans="1:12" ht="15">
      <c r="A1235" s="3">
        <v>1934</v>
      </c>
      <c r="B1235" s="39">
        <v>204</v>
      </c>
      <c r="C1235" s="7" t="s">
        <v>158</v>
      </c>
      <c r="D1235" s="4" t="s">
        <v>81</v>
      </c>
      <c r="E1235" s="6" t="s">
        <v>139</v>
      </c>
      <c r="F1235" s="12">
        <f>INDEX('PEDIDO JULIO'!A33:Z47,1,26)</f>
        <v>0</v>
      </c>
      <c r="G1235" s="8">
        <f>IFERROR(VLOOKUP($B1235,'[1]INSUMO POR SEDES MARZO PRUEBA'!$B$6:$CD$109,62,0),"NO BD")</f>
        <v>14760.243999999999</v>
      </c>
      <c r="H1235" s="8"/>
      <c r="I1235" s="8">
        <f t="shared" si="109"/>
        <v>0</v>
      </c>
      <c r="J1235" s="14">
        <f t="shared" si="110"/>
        <v>0</v>
      </c>
      <c r="K1235" s="14">
        <f t="shared" si="111"/>
        <v>0</v>
      </c>
      <c r="L1235" s="14">
        <f t="shared" si="112"/>
        <v>0</v>
      </c>
    </row>
    <row r="1236" spans="1:12" ht="15">
      <c r="A1236" s="3">
        <v>1935</v>
      </c>
      <c r="B1236" s="39">
        <v>205</v>
      </c>
      <c r="C1236" s="7" t="s">
        <v>158</v>
      </c>
      <c r="D1236" s="4" t="s">
        <v>82</v>
      </c>
      <c r="E1236" s="6" t="s">
        <v>139</v>
      </c>
      <c r="F1236" s="12">
        <f>INDEX('PEDIDO JULIO'!A33:Z47,1,26)</f>
        <v>0</v>
      </c>
      <c r="G1236" s="8">
        <f>IFERROR(VLOOKUP($B1236,'[1]INSUMO POR SEDES MARZO PRUEBA'!$B$6:$CD$109,62,0),"NO BD")</f>
        <v>17690.432000000001</v>
      </c>
      <c r="H1236" s="8"/>
      <c r="I1236" s="8">
        <f t="shared" si="109"/>
        <v>0</v>
      </c>
      <c r="J1236" s="14">
        <f t="shared" si="110"/>
        <v>0</v>
      </c>
      <c r="K1236" s="14">
        <f t="shared" si="111"/>
        <v>0</v>
      </c>
      <c r="L1236" s="14">
        <f t="shared" si="112"/>
        <v>0</v>
      </c>
    </row>
    <row r="1237" spans="1:12" ht="15">
      <c r="A1237" s="3">
        <v>1936</v>
      </c>
      <c r="B1237" s="39">
        <v>207</v>
      </c>
      <c r="C1237" s="7" t="s">
        <v>158</v>
      </c>
      <c r="D1237" s="4" t="s">
        <v>83</v>
      </c>
      <c r="E1237" s="6" t="s">
        <v>139</v>
      </c>
      <c r="F1237" s="12">
        <f>INDEX('PEDIDO JULIO'!A33:Z47,1,26)</f>
        <v>0</v>
      </c>
      <c r="G1237" s="8">
        <f>IFERROR(VLOOKUP($B1237,'[1]INSUMO POR SEDES MARZO PRUEBA'!$B$6:$CD$109,62,0),"NO BD")</f>
        <v>0</v>
      </c>
      <c r="H1237" s="8"/>
      <c r="I1237" s="8">
        <f t="shared" si="109"/>
        <v>0</v>
      </c>
      <c r="J1237" s="14">
        <f t="shared" si="110"/>
        <v>0</v>
      </c>
      <c r="K1237" s="14">
        <f t="shared" si="111"/>
        <v>0</v>
      </c>
      <c r="L1237" s="14">
        <f t="shared" si="112"/>
        <v>0</v>
      </c>
    </row>
    <row r="1238" spans="1:12" ht="15">
      <c r="A1238" s="3">
        <v>1937</v>
      </c>
      <c r="B1238" s="39">
        <v>212</v>
      </c>
      <c r="C1238" s="7" t="s">
        <v>158</v>
      </c>
      <c r="D1238" s="4" t="s">
        <v>84</v>
      </c>
      <c r="E1238" s="6" t="s">
        <v>139</v>
      </c>
      <c r="F1238" s="12">
        <f>INDEX('PEDIDO JULIO'!A33:Z47,1,26)</f>
        <v>0</v>
      </c>
      <c r="G1238" s="8">
        <f>IFERROR(VLOOKUP($B1238,'[1]INSUMO POR SEDES MARZO PRUEBA'!$B$6:$CD$109,62,0),"NO BD")</f>
        <v>0</v>
      </c>
      <c r="H1238" s="8"/>
      <c r="I1238" s="8">
        <f t="shared" si="109"/>
        <v>0</v>
      </c>
      <c r="J1238" s="14">
        <f t="shared" si="110"/>
        <v>0</v>
      </c>
      <c r="K1238" s="14">
        <f t="shared" si="111"/>
        <v>0</v>
      </c>
      <c r="L1238" s="14">
        <f t="shared" si="112"/>
        <v>0</v>
      </c>
    </row>
    <row r="1239" spans="1:12" ht="15">
      <c r="A1239" s="3">
        <v>1938</v>
      </c>
      <c r="B1239" s="39">
        <v>218</v>
      </c>
      <c r="C1239" s="7" t="s">
        <v>158</v>
      </c>
      <c r="D1239" s="4" t="s">
        <v>85</v>
      </c>
      <c r="E1239" s="6" t="s">
        <v>139</v>
      </c>
      <c r="F1239" s="12">
        <f>INDEX('PEDIDO JULIO'!A33:Z47,1,26)</f>
        <v>0</v>
      </c>
      <c r="G1239" s="8">
        <f>IFERROR(VLOOKUP($B1239,'[1]INSUMO POR SEDES MARZO PRUEBA'!$B$6:$CD$109,62,0),"NO BD")</f>
        <v>2587.0365000000002</v>
      </c>
      <c r="H1239" s="8"/>
      <c r="I1239" s="8">
        <f t="shared" si="109"/>
        <v>0</v>
      </c>
      <c r="J1239" s="14">
        <f t="shared" si="110"/>
        <v>0</v>
      </c>
      <c r="K1239" s="14">
        <f t="shared" si="111"/>
        <v>0</v>
      </c>
      <c r="L1239" s="14">
        <f t="shared" si="112"/>
        <v>0</v>
      </c>
    </row>
    <row r="1240" spans="1:12" ht="15">
      <c r="A1240" s="3">
        <v>1939</v>
      </c>
      <c r="B1240" s="39">
        <v>251</v>
      </c>
      <c r="C1240" s="7" t="s">
        <v>152</v>
      </c>
      <c r="D1240" s="4" t="s">
        <v>86</v>
      </c>
      <c r="E1240" s="6" t="s">
        <v>139</v>
      </c>
      <c r="F1240" s="12">
        <f>INDEX('PEDIDO JULIO'!A33:Z47,1,26)</f>
        <v>0</v>
      </c>
      <c r="G1240" s="8">
        <f>IFERROR(VLOOKUP($B1240,'[1]INSUMO POR SEDES MARZO PRUEBA'!$B$6:$CD$109,62,0),"NO BD")</f>
        <v>16031.954000000002</v>
      </c>
      <c r="H1240" s="8"/>
      <c r="I1240" s="8">
        <f t="shared" si="109"/>
        <v>0</v>
      </c>
      <c r="J1240" s="14">
        <f t="shared" si="110"/>
        <v>0</v>
      </c>
      <c r="K1240" s="14">
        <f t="shared" si="111"/>
        <v>0</v>
      </c>
      <c r="L1240" s="14">
        <f t="shared" si="112"/>
        <v>0</v>
      </c>
    </row>
    <row r="1241" spans="1:12" ht="15">
      <c r="A1241" s="3">
        <v>2000</v>
      </c>
      <c r="B1241" s="26">
        <v>3</v>
      </c>
      <c r="C1241" s="7" t="s">
        <v>36</v>
      </c>
      <c r="D1241" s="4" t="s">
        <v>38</v>
      </c>
      <c r="E1241" s="6" t="s">
        <v>140</v>
      </c>
      <c r="F1241" s="12">
        <f>INDEX('PEDIDO JULIO'!A10:AA32,1,27)</f>
        <v>0</v>
      </c>
      <c r="G1241" s="8">
        <f>IFERROR(VLOOKUP($B1241,'[1]INSUMO POR SEDES MARZO PRUEBA'!$B$6:$CD$109,65,0),"NO BD")</f>
        <v>7268.7160000000003</v>
      </c>
      <c r="H1241" s="8"/>
      <c r="I1241" s="8">
        <f t="shared" si="109"/>
        <v>0</v>
      </c>
      <c r="J1241" s="14">
        <f t="shared" ref="J1241:J1290" si="113">+I1241*10%</f>
        <v>0</v>
      </c>
      <c r="K1241" s="14">
        <f t="shared" ref="K1241:K1290" si="114">+J1241*19%</f>
        <v>0</v>
      </c>
      <c r="L1241" s="14">
        <f t="shared" ref="L1241:L1290" si="115">SUM(I1241:K1241)</f>
        <v>0</v>
      </c>
    </row>
    <row r="1242" spans="1:12" ht="15">
      <c r="A1242" s="3">
        <v>2001</v>
      </c>
      <c r="B1242" s="26">
        <v>5</v>
      </c>
      <c r="C1242" s="7" t="s">
        <v>39</v>
      </c>
      <c r="D1242" s="4" t="s">
        <v>40</v>
      </c>
      <c r="E1242" s="6" t="s">
        <v>140</v>
      </c>
      <c r="F1242" s="12">
        <f>INDEX('PEDIDO JULIO'!A10:AA32,1,27)</f>
        <v>0</v>
      </c>
      <c r="G1242" s="8">
        <f>IFERROR(VLOOKUP($B1242,'[1]INSUMO POR SEDES MARZO PRUEBA'!$B$6:$CD$109,65,0),"NO BD")</f>
        <v>0</v>
      </c>
      <c r="H1242" s="8"/>
      <c r="I1242" s="8">
        <f t="shared" si="109"/>
        <v>0</v>
      </c>
      <c r="J1242" s="14">
        <f t="shared" si="113"/>
        <v>0</v>
      </c>
      <c r="K1242" s="14">
        <f t="shared" si="114"/>
        <v>0</v>
      </c>
      <c r="L1242" s="14">
        <f t="shared" si="115"/>
        <v>0</v>
      </c>
    </row>
    <row r="1243" spans="1:12" ht="15">
      <c r="A1243" s="3">
        <v>2002</v>
      </c>
      <c r="B1243" s="26">
        <v>8</v>
      </c>
      <c r="C1243" s="7" t="s">
        <v>39</v>
      </c>
      <c r="D1243" s="4" t="s">
        <v>41</v>
      </c>
      <c r="E1243" s="6" t="s">
        <v>140</v>
      </c>
      <c r="F1243" s="12">
        <f>INDEX('PEDIDO JULIO'!A10:AA33,1,27)</f>
        <v>0</v>
      </c>
      <c r="G1243" s="8">
        <f>IFERROR(VLOOKUP($B1243,'[1]INSUMO POR SEDES MARZO PRUEBA'!$B$6:$CD$109,65,0),"NO BD")</f>
        <v>0</v>
      </c>
      <c r="H1243" s="8"/>
      <c r="I1243" s="8">
        <f t="shared" si="109"/>
        <v>0</v>
      </c>
      <c r="J1243" s="14">
        <f t="shared" si="113"/>
        <v>0</v>
      </c>
      <c r="K1243" s="14">
        <f t="shared" si="114"/>
        <v>0</v>
      </c>
      <c r="L1243" s="14">
        <f t="shared" si="115"/>
        <v>0</v>
      </c>
    </row>
    <row r="1244" spans="1:12" ht="15">
      <c r="A1244" s="3">
        <v>2003</v>
      </c>
      <c r="B1244" s="26">
        <v>9</v>
      </c>
      <c r="C1244" s="7" t="s">
        <v>151</v>
      </c>
      <c r="D1244" s="4" t="s">
        <v>42</v>
      </c>
      <c r="E1244" s="6" t="s">
        <v>140</v>
      </c>
      <c r="F1244" s="12">
        <f>INDEX('PEDIDO JULIO'!A10:AA33,1,27)</f>
        <v>0</v>
      </c>
      <c r="G1244" s="8">
        <f>IFERROR(VLOOKUP($B1244,'[1]INSUMO POR SEDES MARZO PRUEBA'!$B$6:$CD$109,65,0),"NO BD")</f>
        <v>3298.0379999999996</v>
      </c>
      <c r="H1244" s="8"/>
      <c r="I1244" s="8">
        <f t="shared" si="109"/>
        <v>0</v>
      </c>
      <c r="J1244" s="14">
        <f t="shared" si="113"/>
        <v>0</v>
      </c>
      <c r="K1244" s="14">
        <f t="shared" si="114"/>
        <v>0</v>
      </c>
      <c r="L1244" s="14">
        <f t="shared" si="115"/>
        <v>0</v>
      </c>
    </row>
    <row r="1245" spans="1:12" ht="15">
      <c r="A1245" s="3">
        <v>2004</v>
      </c>
      <c r="B1245" s="26">
        <v>13</v>
      </c>
      <c r="C1245" s="7" t="s">
        <v>151</v>
      </c>
      <c r="D1245" s="4" t="s">
        <v>43</v>
      </c>
      <c r="E1245" s="6" t="s">
        <v>140</v>
      </c>
      <c r="F1245" s="12">
        <f>INDEX('PEDIDO JULIO'!A11:AA33,1,27)</f>
        <v>0</v>
      </c>
      <c r="G1245" s="8">
        <f>IFERROR(VLOOKUP($B1245,'[1]INSUMO POR SEDES MARZO PRUEBA'!$B$6:$CD$109,65,0),"NO BD")</f>
        <v>0</v>
      </c>
      <c r="H1245" s="8"/>
      <c r="I1245" s="8">
        <f t="shared" si="109"/>
        <v>0</v>
      </c>
      <c r="J1245" s="14">
        <f t="shared" si="113"/>
        <v>0</v>
      </c>
      <c r="K1245" s="14">
        <f t="shared" si="114"/>
        <v>0</v>
      </c>
      <c r="L1245" s="14">
        <f t="shared" si="115"/>
        <v>0</v>
      </c>
    </row>
    <row r="1246" spans="1:12" ht="15">
      <c r="A1246" s="3">
        <v>2005</v>
      </c>
      <c r="B1246" s="26">
        <v>17</v>
      </c>
      <c r="C1246" s="7" t="s">
        <v>151</v>
      </c>
      <c r="D1246" s="4" t="s">
        <v>44</v>
      </c>
      <c r="E1246" s="6" t="s">
        <v>140</v>
      </c>
      <c r="F1246" s="12">
        <f>INDEX('PEDIDO JULIO'!A12:AA33,1,27)</f>
        <v>0</v>
      </c>
      <c r="G1246" s="8">
        <f>IFERROR(VLOOKUP($B1246,'[1]INSUMO POR SEDES MARZO PRUEBA'!$B$6:$CD$109,65,0),"NO BD")</f>
        <v>5647.0229999999992</v>
      </c>
      <c r="H1246" s="8"/>
      <c r="I1246" s="8">
        <f t="shared" si="109"/>
        <v>0</v>
      </c>
      <c r="J1246" s="14">
        <f t="shared" si="113"/>
        <v>0</v>
      </c>
      <c r="K1246" s="14">
        <f t="shared" si="114"/>
        <v>0</v>
      </c>
      <c r="L1246" s="14">
        <f t="shared" si="115"/>
        <v>0</v>
      </c>
    </row>
    <row r="1247" spans="1:12" ht="40.5">
      <c r="A1247" s="3">
        <v>2006</v>
      </c>
      <c r="B1247" s="31">
        <v>20</v>
      </c>
      <c r="C1247" s="7" t="s">
        <v>151</v>
      </c>
      <c r="D1247" s="4" t="s">
        <v>45</v>
      </c>
      <c r="E1247" s="6" t="s">
        <v>140</v>
      </c>
      <c r="F1247" s="12">
        <f>INDEX('PEDIDO JULIO'!A12:AA33,1,27)</f>
        <v>0</v>
      </c>
      <c r="G1247" s="8">
        <f>IFERROR(VLOOKUP($B1247,'[1]INSUMO POR SEDES MARZO PRUEBA'!$B$6:$CD$109,65,0),"NO BD")</f>
        <v>0</v>
      </c>
      <c r="H1247" s="8"/>
      <c r="I1247" s="8">
        <f t="shared" si="109"/>
        <v>0</v>
      </c>
      <c r="J1247" s="14">
        <f t="shared" si="113"/>
        <v>0</v>
      </c>
      <c r="K1247" s="14">
        <f t="shared" si="114"/>
        <v>0</v>
      </c>
      <c r="L1247" s="14">
        <f t="shared" si="115"/>
        <v>0</v>
      </c>
    </row>
    <row r="1248" spans="1:12" ht="27">
      <c r="A1248" s="3">
        <v>2007</v>
      </c>
      <c r="B1248" s="26">
        <v>21</v>
      </c>
      <c r="C1248" s="7" t="s">
        <v>46</v>
      </c>
      <c r="D1248" s="4" t="s">
        <v>47</v>
      </c>
      <c r="E1248" s="6" t="s">
        <v>140</v>
      </c>
      <c r="F1248" s="12">
        <f>INDEX('PEDIDO JULIO'!A13:AA34,1,27)</f>
        <v>0</v>
      </c>
      <c r="G1248" s="8">
        <f>IFERROR(VLOOKUP($B1248,'[1]INSUMO POR SEDES MARZO PRUEBA'!$B$6:$CD$109,65,0),"NO BD")</f>
        <v>0</v>
      </c>
      <c r="H1248" s="8"/>
      <c r="I1248" s="8">
        <f t="shared" si="109"/>
        <v>0</v>
      </c>
      <c r="J1248" s="14">
        <f t="shared" si="113"/>
        <v>0</v>
      </c>
      <c r="K1248" s="14">
        <f t="shared" si="114"/>
        <v>0</v>
      </c>
      <c r="L1248" s="14">
        <f t="shared" si="115"/>
        <v>0</v>
      </c>
    </row>
    <row r="1249" spans="1:12" ht="15">
      <c r="A1249" s="3">
        <v>2008</v>
      </c>
      <c r="B1249" s="26">
        <v>28</v>
      </c>
      <c r="C1249" s="7" t="s">
        <v>159</v>
      </c>
      <c r="D1249" s="4" t="s">
        <v>48</v>
      </c>
      <c r="E1249" s="6" t="s">
        <v>140</v>
      </c>
      <c r="F1249" s="12">
        <f>INDEX('PEDIDO JULIO'!A14:AA34,1,27)</f>
        <v>0</v>
      </c>
      <c r="G1249" s="8">
        <f>IFERROR(VLOOKUP($B1249,'[1]INSUMO POR SEDES MARZO PRUEBA'!$B$6:$CD$109,65,0),"NO BD")</f>
        <v>0</v>
      </c>
      <c r="H1249" s="8"/>
      <c r="I1249" s="8">
        <f t="shared" si="109"/>
        <v>0</v>
      </c>
      <c r="J1249" s="14">
        <f t="shared" si="113"/>
        <v>0</v>
      </c>
      <c r="K1249" s="14">
        <f t="shared" si="114"/>
        <v>0</v>
      </c>
      <c r="L1249" s="14">
        <f t="shared" si="115"/>
        <v>0</v>
      </c>
    </row>
    <row r="1250" spans="1:12" ht="15">
      <c r="A1250" s="3">
        <v>2009</v>
      </c>
      <c r="B1250" s="26">
        <v>29</v>
      </c>
      <c r="C1250" s="7" t="s">
        <v>159</v>
      </c>
      <c r="D1250" s="4" t="s">
        <v>49</v>
      </c>
      <c r="E1250" s="6" t="s">
        <v>140</v>
      </c>
      <c r="F1250" s="12">
        <f>INDEX('PEDIDO JULIO'!A15:AA34,1,27)</f>
        <v>0</v>
      </c>
      <c r="G1250" s="8">
        <f>IFERROR(VLOOKUP($B1250,'[1]INSUMO POR SEDES MARZO PRUEBA'!$B$6:$CD$109,65,0),"NO BD")</f>
        <v>0</v>
      </c>
      <c r="H1250" s="8"/>
      <c r="I1250" s="8">
        <f t="shared" si="109"/>
        <v>0</v>
      </c>
      <c r="J1250" s="14">
        <f t="shared" si="113"/>
        <v>0</v>
      </c>
      <c r="K1250" s="14">
        <f t="shared" si="114"/>
        <v>0</v>
      </c>
      <c r="L1250" s="14">
        <f t="shared" si="115"/>
        <v>0</v>
      </c>
    </row>
    <row r="1251" spans="1:12" ht="15">
      <c r="A1251" s="3">
        <v>2010</v>
      </c>
      <c r="B1251" s="26">
        <v>32</v>
      </c>
      <c r="C1251" s="7" t="s">
        <v>159</v>
      </c>
      <c r="D1251" s="4" t="s">
        <v>50</v>
      </c>
      <c r="E1251" s="6" t="s">
        <v>140</v>
      </c>
      <c r="F1251" s="12">
        <f>INDEX('PEDIDO JULIO'!A16:AA34,1,27)</f>
        <v>0</v>
      </c>
      <c r="G1251" s="8">
        <f>IFERROR(VLOOKUP($B1251,'[1]INSUMO POR SEDES MARZO PRUEBA'!$B$6:$CD$109,65,0),"NO BD")</f>
        <v>0</v>
      </c>
      <c r="H1251" s="8"/>
      <c r="I1251" s="8">
        <f t="shared" si="109"/>
        <v>0</v>
      </c>
      <c r="J1251" s="14">
        <f t="shared" si="113"/>
        <v>0</v>
      </c>
      <c r="K1251" s="14">
        <f t="shared" si="114"/>
        <v>0</v>
      </c>
      <c r="L1251" s="14">
        <f t="shared" si="115"/>
        <v>0</v>
      </c>
    </row>
    <row r="1252" spans="1:12" ht="15">
      <c r="A1252" s="3">
        <v>2011</v>
      </c>
      <c r="B1252" s="26">
        <v>38</v>
      </c>
      <c r="C1252" s="7" t="s">
        <v>159</v>
      </c>
      <c r="D1252" s="4" t="s">
        <v>51</v>
      </c>
      <c r="E1252" s="6" t="s">
        <v>140</v>
      </c>
      <c r="F1252" s="12">
        <f>INDEX('PEDIDO JULIO'!A17:AA34,1,27)</f>
        <v>0</v>
      </c>
      <c r="G1252" s="8">
        <f>IFERROR(VLOOKUP($B1252,'[1]INSUMO POR SEDES MARZO PRUEBA'!$B$6:$CD$109,65,0),"NO BD")</f>
        <v>0</v>
      </c>
      <c r="H1252" s="8"/>
      <c r="I1252" s="8">
        <f t="shared" si="109"/>
        <v>0</v>
      </c>
      <c r="J1252" s="14">
        <f t="shared" si="113"/>
        <v>0</v>
      </c>
      <c r="K1252" s="14">
        <f t="shared" si="114"/>
        <v>0</v>
      </c>
      <c r="L1252" s="14">
        <f t="shared" si="115"/>
        <v>0</v>
      </c>
    </row>
    <row r="1253" spans="1:12" ht="15">
      <c r="A1253" s="3">
        <v>2012</v>
      </c>
      <c r="B1253" s="26">
        <v>44</v>
      </c>
      <c r="C1253" s="7" t="s">
        <v>159</v>
      </c>
      <c r="D1253" s="4" t="s">
        <v>52</v>
      </c>
      <c r="E1253" s="6" t="s">
        <v>140</v>
      </c>
      <c r="F1253" s="12">
        <f>INDEX('PEDIDO JULIO'!A17:AA34,1,27)</f>
        <v>0</v>
      </c>
      <c r="G1253" s="8">
        <f>IFERROR(VLOOKUP($B1253,'[1]INSUMO POR SEDES MARZO PRUEBA'!$B$6:$CD$109,65,0),"NO BD")</f>
        <v>0</v>
      </c>
      <c r="H1253" s="8"/>
      <c r="I1253" s="8">
        <f t="shared" si="109"/>
        <v>0</v>
      </c>
      <c r="J1253" s="14">
        <f t="shared" si="113"/>
        <v>0</v>
      </c>
      <c r="K1253" s="14">
        <f t="shared" si="114"/>
        <v>0</v>
      </c>
      <c r="L1253" s="14">
        <f t="shared" si="115"/>
        <v>0</v>
      </c>
    </row>
    <row r="1254" spans="1:12" ht="15">
      <c r="A1254" s="3">
        <v>2013</v>
      </c>
      <c r="B1254" s="26">
        <v>50</v>
      </c>
      <c r="C1254" s="7" t="s">
        <v>53</v>
      </c>
      <c r="D1254" s="4" t="s">
        <v>54</v>
      </c>
      <c r="E1254" s="6" t="s">
        <v>140</v>
      </c>
      <c r="F1254" s="12">
        <f>INDEX('PEDIDO JULIO'!A18:AA35,1,27)</f>
        <v>0</v>
      </c>
      <c r="G1254" s="8">
        <f>IFERROR(VLOOKUP($B1254,'[1]INSUMO POR SEDES MARZO PRUEBA'!$B$6:$CD$109,65,0),"NO BD")</f>
        <v>0</v>
      </c>
      <c r="H1254" s="8"/>
      <c r="I1254" s="8">
        <f t="shared" si="109"/>
        <v>0</v>
      </c>
      <c r="J1254" s="14">
        <f t="shared" si="113"/>
        <v>0</v>
      </c>
      <c r="K1254" s="14">
        <f t="shared" si="114"/>
        <v>0</v>
      </c>
      <c r="L1254" s="14">
        <f t="shared" si="115"/>
        <v>0</v>
      </c>
    </row>
    <row r="1255" spans="1:12" ht="15">
      <c r="A1255" s="3">
        <v>2014</v>
      </c>
      <c r="B1255" s="26">
        <v>52</v>
      </c>
      <c r="C1255" s="7" t="s">
        <v>53</v>
      </c>
      <c r="D1255" s="4" t="s">
        <v>55</v>
      </c>
      <c r="E1255" s="6" t="s">
        <v>140</v>
      </c>
      <c r="F1255" s="12">
        <f>INDEX('PEDIDO JULIO'!A18:AA35,1,27)</f>
        <v>0</v>
      </c>
      <c r="G1255" s="8">
        <f>IFERROR(VLOOKUP($B1255,'[1]INSUMO POR SEDES MARZO PRUEBA'!$B$6:$CD$109,65,0),"NO BD")</f>
        <v>0</v>
      </c>
      <c r="H1255" s="8"/>
      <c r="I1255" s="8">
        <f t="shared" si="109"/>
        <v>0</v>
      </c>
      <c r="J1255" s="14">
        <f t="shared" si="113"/>
        <v>0</v>
      </c>
      <c r="K1255" s="14">
        <f t="shared" si="114"/>
        <v>0</v>
      </c>
      <c r="L1255" s="14">
        <f t="shared" si="115"/>
        <v>0</v>
      </c>
    </row>
    <row r="1256" spans="1:12" ht="15">
      <c r="A1256" s="3">
        <v>2015</v>
      </c>
      <c r="B1256" s="26">
        <v>57</v>
      </c>
      <c r="C1256" s="7" t="s">
        <v>53</v>
      </c>
      <c r="D1256" s="4" t="s">
        <v>56</v>
      </c>
      <c r="E1256" s="6" t="s">
        <v>140</v>
      </c>
      <c r="F1256" s="12">
        <f>INDEX('PEDIDO JULIO'!A18:AA35,1,27)</f>
        <v>0</v>
      </c>
      <c r="G1256" s="8">
        <f>IFERROR(VLOOKUP($B1256,'[1]INSUMO POR SEDES MARZO PRUEBA'!$B$6:$CD$109,65,0),"NO BD")</f>
        <v>27464.2065</v>
      </c>
      <c r="H1256" s="8"/>
      <c r="I1256" s="8">
        <f t="shared" si="109"/>
        <v>0</v>
      </c>
      <c r="J1256" s="14">
        <f t="shared" si="113"/>
        <v>0</v>
      </c>
      <c r="K1256" s="14">
        <f t="shared" si="114"/>
        <v>0</v>
      </c>
      <c r="L1256" s="14">
        <f t="shared" si="115"/>
        <v>0</v>
      </c>
    </row>
    <row r="1257" spans="1:12" ht="15">
      <c r="A1257" s="3">
        <v>2016</v>
      </c>
      <c r="B1257" s="26">
        <v>59</v>
      </c>
      <c r="C1257" s="7" t="s">
        <v>53</v>
      </c>
      <c r="D1257" s="4" t="s">
        <v>57</v>
      </c>
      <c r="E1257" s="6" t="s">
        <v>140</v>
      </c>
      <c r="F1257" s="12">
        <f>INDEX('PEDIDO JULIO'!A19:AA35,1,27)</f>
        <v>0</v>
      </c>
      <c r="G1257" s="8">
        <f>IFERROR(VLOOKUP($B1257,'[1]INSUMO POR SEDES MARZO PRUEBA'!$B$6:$CD$109,65,0),"NO BD")</f>
        <v>0</v>
      </c>
      <c r="H1257" s="8"/>
      <c r="I1257" s="8">
        <f t="shared" si="109"/>
        <v>0</v>
      </c>
      <c r="J1257" s="14">
        <f t="shared" si="113"/>
        <v>0</v>
      </c>
      <c r="K1257" s="14">
        <f t="shared" si="114"/>
        <v>0</v>
      </c>
      <c r="L1257" s="14">
        <f t="shared" si="115"/>
        <v>0</v>
      </c>
    </row>
    <row r="1258" spans="1:12" ht="27">
      <c r="A1258" s="3">
        <v>2017</v>
      </c>
      <c r="B1258" s="26">
        <v>62</v>
      </c>
      <c r="C1258" s="7" t="s">
        <v>160</v>
      </c>
      <c r="D1258" s="4" t="s">
        <v>58</v>
      </c>
      <c r="E1258" s="6" t="s">
        <v>140</v>
      </c>
      <c r="F1258" s="12">
        <f>INDEX('PEDIDO JULIO'!A19:AA35,1,27)</f>
        <v>0</v>
      </c>
      <c r="G1258" s="8">
        <f>IFERROR(VLOOKUP($B1258,'[1]INSUMO POR SEDES MARZO PRUEBA'!$B$6:$CD$109,65,0),"NO BD")</f>
        <v>10100.3202</v>
      </c>
      <c r="H1258" s="8"/>
      <c r="I1258" s="8">
        <f t="shared" si="109"/>
        <v>0</v>
      </c>
      <c r="J1258" s="14">
        <f t="shared" si="113"/>
        <v>0</v>
      </c>
      <c r="K1258" s="14">
        <f t="shared" si="114"/>
        <v>0</v>
      </c>
      <c r="L1258" s="14">
        <f t="shared" si="115"/>
        <v>0</v>
      </c>
    </row>
    <row r="1259" spans="1:12" ht="15">
      <c r="A1259" s="3">
        <v>2018</v>
      </c>
      <c r="B1259" s="26">
        <v>63</v>
      </c>
      <c r="C1259" s="7" t="s">
        <v>160</v>
      </c>
      <c r="D1259" s="4" t="s">
        <v>59</v>
      </c>
      <c r="E1259" s="6" t="s">
        <v>140</v>
      </c>
      <c r="F1259" s="12">
        <f>INDEX('PEDIDO JULIO'!A20:AA35,1,27)</f>
        <v>0</v>
      </c>
      <c r="G1259" s="8">
        <f>IFERROR(VLOOKUP($B1259,'[1]INSUMO POR SEDES MARZO PRUEBA'!$B$6:$CD$109,65,0),"NO BD")</f>
        <v>11443.4982</v>
      </c>
      <c r="H1259" s="8"/>
      <c r="I1259" s="8">
        <f t="shared" si="109"/>
        <v>0</v>
      </c>
      <c r="J1259" s="14">
        <f t="shared" si="113"/>
        <v>0</v>
      </c>
      <c r="K1259" s="14">
        <f t="shared" si="114"/>
        <v>0</v>
      </c>
      <c r="L1259" s="14">
        <f t="shared" si="115"/>
        <v>0</v>
      </c>
    </row>
    <row r="1260" spans="1:12" ht="15">
      <c r="A1260" s="3">
        <v>2019</v>
      </c>
      <c r="B1260" s="26">
        <v>64</v>
      </c>
      <c r="C1260" s="7" t="s">
        <v>60</v>
      </c>
      <c r="D1260" s="4" t="s">
        <v>61</v>
      </c>
      <c r="E1260" s="6" t="s">
        <v>140</v>
      </c>
      <c r="F1260" s="12">
        <f>INDEX('PEDIDO JULIO'!A20:AA35,1,27)</f>
        <v>0</v>
      </c>
      <c r="G1260" s="8">
        <f>IFERROR(VLOOKUP($B1260,'[1]INSUMO POR SEDES MARZO PRUEBA'!$B$6:$CD$109,65,0),"NO BD")</f>
        <v>0</v>
      </c>
      <c r="H1260" s="8"/>
      <c r="I1260" s="8">
        <f t="shared" si="109"/>
        <v>0</v>
      </c>
      <c r="J1260" s="14">
        <f t="shared" si="113"/>
        <v>0</v>
      </c>
      <c r="K1260" s="14">
        <f t="shared" si="114"/>
        <v>0</v>
      </c>
      <c r="L1260" s="14">
        <f t="shared" si="115"/>
        <v>0</v>
      </c>
    </row>
    <row r="1261" spans="1:12" ht="15">
      <c r="A1261" s="3">
        <v>2020</v>
      </c>
      <c r="B1261" s="26">
        <v>65</v>
      </c>
      <c r="C1261" s="7" t="s">
        <v>60</v>
      </c>
      <c r="D1261" s="4" t="s">
        <v>62</v>
      </c>
      <c r="E1261" s="6" t="s">
        <v>140</v>
      </c>
      <c r="F1261" s="12">
        <f>INDEX('PEDIDO JULIO'!A21:AA35,1,27)</f>
        <v>0</v>
      </c>
      <c r="G1261" s="8">
        <f>IFERROR(VLOOKUP($B1261,'[1]INSUMO POR SEDES MARZO PRUEBA'!$B$6:$CD$109,65,0),"NO BD")</f>
        <v>13820.650000000001</v>
      </c>
      <c r="H1261" s="8"/>
      <c r="I1261" s="8">
        <f t="shared" si="109"/>
        <v>0</v>
      </c>
      <c r="J1261" s="14">
        <f t="shared" si="113"/>
        <v>0</v>
      </c>
      <c r="K1261" s="14">
        <f t="shared" si="114"/>
        <v>0</v>
      </c>
      <c r="L1261" s="14">
        <f t="shared" si="115"/>
        <v>0</v>
      </c>
    </row>
    <row r="1262" spans="1:12" ht="15">
      <c r="A1262" s="3">
        <v>2021</v>
      </c>
      <c r="B1262" s="26">
        <v>66</v>
      </c>
      <c r="C1262" s="7" t="s">
        <v>151</v>
      </c>
      <c r="D1262" s="4" t="s">
        <v>63</v>
      </c>
      <c r="E1262" s="6" t="s">
        <v>140</v>
      </c>
      <c r="F1262" s="12">
        <f>INDEX('PEDIDO JULIO'!A22:AA35,1,27)</f>
        <v>0</v>
      </c>
      <c r="G1262" s="8">
        <f>IFERROR(VLOOKUP($B1262,'[1]INSUMO POR SEDES MARZO PRUEBA'!$B$6:$CD$109,65,0),"NO BD")</f>
        <v>2887.0970000000002</v>
      </c>
      <c r="H1262" s="8"/>
      <c r="I1262" s="8">
        <f t="shared" si="109"/>
        <v>0</v>
      </c>
      <c r="J1262" s="14">
        <f t="shared" si="113"/>
        <v>0</v>
      </c>
      <c r="K1262" s="14">
        <f t="shared" si="114"/>
        <v>0</v>
      </c>
      <c r="L1262" s="14">
        <f t="shared" si="115"/>
        <v>0</v>
      </c>
    </row>
    <row r="1263" spans="1:12" ht="15">
      <c r="A1263" s="3">
        <v>2022</v>
      </c>
      <c r="B1263" s="26">
        <v>71</v>
      </c>
      <c r="C1263" s="7" t="s">
        <v>160</v>
      </c>
      <c r="D1263" s="4" t="s">
        <v>64</v>
      </c>
      <c r="E1263" s="6" t="s">
        <v>140</v>
      </c>
      <c r="F1263" s="12">
        <f>INDEX('PEDIDO JULIO'!A23:AA36,1,27)</f>
        <v>0</v>
      </c>
      <c r="G1263" s="8">
        <f>IFERROR(VLOOKUP($B1263,'[1]INSUMO POR SEDES MARZO PRUEBA'!$B$6:$CD$109,65,0),"NO BD")</f>
        <v>7960.6944000000003</v>
      </c>
      <c r="H1263" s="8"/>
      <c r="I1263" s="8">
        <f t="shared" si="109"/>
        <v>0</v>
      </c>
      <c r="J1263" s="14">
        <f t="shared" si="113"/>
        <v>0</v>
      </c>
      <c r="K1263" s="14">
        <f t="shared" si="114"/>
        <v>0</v>
      </c>
      <c r="L1263" s="14">
        <f t="shared" si="115"/>
        <v>0</v>
      </c>
    </row>
    <row r="1264" spans="1:12" ht="27">
      <c r="A1264" s="3">
        <v>2023</v>
      </c>
      <c r="B1264" s="26">
        <v>72</v>
      </c>
      <c r="C1264" s="7" t="s">
        <v>60</v>
      </c>
      <c r="D1264" s="4" t="s">
        <v>65</v>
      </c>
      <c r="E1264" s="6" t="s">
        <v>140</v>
      </c>
      <c r="F1264" s="12">
        <f>INDEX('PEDIDO JULIO'!A23:AA37,1,27)</f>
        <v>0</v>
      </c>
      <c r="G1264" s="8">
        <f>IFERROR(VLOOKUP($B1264,'[1]INSUMO POR SEDES MARZO PRUEBA'!$B$6:$CD$109,65,0),"NO BD")</f>
        <v>7861.3749000000007</v>
      </c>
      <c r="H1264" s="8"/>
      <c r="I1264" s="8">
        <f t="shared" si="109"/>
        <v>0</v>
      </c>
      <c r="J1264" s="14">
        <f t="shared" si="113"/>
        <v>0</v>
      </c>
      <c r="K1264" s="14">
        <f t="shared" si="114"/>
        <v>0</v>
      </c>
      <c r="L1264" s="14">
        <f t="shared" si="115"/>
        <v>0</v>
      </c>
    </row>
    <row r="1265" spans="1:12" ht="15">
      <c r="A1265" s="3">
        <v>2024</v>
      </c>
      <c r="B1265" s="26">
        <v>73</v>
      </c>
      <c r="C1265" s="7" t="s">
        <v>66</v>
      </c>
      <c r="D1265" s="4" t="s">
        <v>67</v>
      </c>
      <c r="E1265" s="6" t="s">
        <v>140</v>
      </c>
      <c r="F1265" s="12">
        <f>INDEX('PEDIDO JULIO'!A24:AA37,1,27)</f>
        <v>0</v>
      </c>
      <c r="G1265" s="8">
        <f>IFERROR(VLOOKUP($B1265,'[1]INSUMO POR SEDES MARZO PRUEBA'!$B$6:$CD$109,65,0),"NO BD")</f>
        <v>21493.685699999998</v>
      </c>
      <c r="H1265" s="8"/>
      <c r="I1265" s="8">
        <f t="shared" si="109"/>
        <v>0</v>
      </c>
      <c r="J1265" s="14">
        <f t="shared" si="113"/>
        <v>0</v>
      </c>
      <c r="K1265" s="14">
        <f t="shared" si="114"/>
        <v>0</v>
      </c>
      <c r="L1265" s="14">
        <f t="shared" si="115"/>
        <v>0</v>
      </c>
    </row>
    <row r="1266" spans="1:12" ht="15">
      <c r="A1266" s="3">
        <v>2025</v>
      </c>
      <c r="B1266" s="26">
        <v>74</v>
      </c>
      <c r="C1266" s="7" t="s">
        <v>66</v>
      </c>
      <c r="D1266" s="4" t="s">
        <v>68</v>
      </c>
      <c r="E1266" s="6" t="s">
        <v>140</v>
      </c>
      <c r="F1266" s="12">
        <f>INDEX('PEDIDO JULIO'!A25:AA37,1,27)</f>
        <v>0</v>
      </c>
      <c r="G1266" s="8">
        <f>IFERROR(VLOOKUP($B1266,'[1]INSUMO POR SEDES MARZO PRUEBA'!$B$6:$CD$109,65,0),"NO BD")</f>
        <v>6915.4749000000002</v>
      </c>
      <c r="H1266" s="8"/>
      <c r="I1266" s="8">
        <f t="shared" si="109"/>
        <v>0</v>
      </c>
      <c r="J1266" s="14">
        <f t="shared" si="113"/>
        <v>0</v>
      </c>
      <c r="K1266" s="14">
        <f t="shared" si="114"/>
        <v>0</v>
      </c>
      <c r="L1266" s="14">
        <f t="shared" si="115"/>
        <v>0</v>
      </c>
    </row>
    <row r="1267" spans="1:12" ht="15">
      <c r="A1267" s="3">
        <v>2026</v>
      </c>
      <c r="B1267" s="26">
        <v>79</v>
      </c>
      <c r="C1267" s="7" t="s">
        <v>66</v>
      </c>
      <c r="D1267" s="4" t="s">
        <v>69</v>
      </c>
      <c r="E1267" s="6" t="s">
        <v>140</v>
      </c>
      <c r="F1267" s="12">
        <f>INDEX('PEDIDO JULIO'!A26:AA37,1,27)</f>
        <v>0</v>
      </c>
      <c r="G1267" s="8">
        <f>IFERROR(VLOOKUP($B1267,'[1]INSUMO POR SEDES MARZO PRUEBA'!$B$6:$CD$109,65,0),"NO BD")</f>
        <v>935.49510000000009</v>
      </c>
      <c r="H1267" s="8"/>
      <c r="I1267" s="8">
        <f t="shared" si="109"/>
        <v>0</v>
      </c>
      <c r="J1267" s="14">
        <f t="shared" si="113"/>
        <v>0</v>
      </c>
      <c r="K1267" s="14">
        <f t="shared" si="114"/>
        <v>0</v>
      </c>
      <c r="L1267" s="14">
        <f t="shared" si="115"/>
        <v>0</v>
      </c>
    </row>
    <row r="1268" spans="1:12" ht="15">
      <c r="A1268" s="3">
        <v>2027</v>
      </c>
      <c r="B1268" s="26">
        <v>80</v>
      </c>
      <c r="C1268" s="7" t="s">
        <v>66</v>
      </c>
      <c r="D1268" s="4" t="s">
        <v>70</v>
      </c>
      <c r="E1268" s="6" t="s">
        <v>140</v>
      </c>
      <c r="F1268" s="12">
        <f>INDEX('PEDIDO JULIO'!A27:AA37,1,27)</f>
        <v>0</v>
      </c>
      <c r="G1268" s="8">
        <f>IFERROR(VLOOKUP($B1268,'[1]INSUMO POR SEDES MARZO PRUEBA'!$B$6:$CD$109,65,0),"NO BD")</f>
        <v>607.26779999999997</v>
      </c>
      <c r="H1268" s="8"/>
      <c r="I1268" s="8">
        <f t="shared" si="109"/>
        <v>0</v>
      </c>
      <c r="J1268" s="14">
        <f t="shared" si="113"/>
        <v>0</v>
      </c>
      <c r="K1268" s="14">
        <f t="shared" si="114"/>
        <v>0</v>
      </c>
      <c r="L1268" s="14">
        <f t="shared" si="115"/>
        <v>0</v>
      </c>
    </row>
    <row r="1269" spans="1:12" ht="15">
      <c r="A1269" s="3">
        <v>2028</v>
      </c>
      <c r="B1269" s="26">
        <v>81</v>
      </c>
      <c r="C1269" s="7" t="s">
        <v>66</v>
      </c>
      <c r="D1269" s="4" t="s">
        <v>71</v>
      </c>
      <c r="E1269" s="6" t="s">
        <v>140</v>
      </c>
      <c r="F1269" s="12">
        <f>INDEX('PEDIDO JULIO'!A28:AA37,1,27)</f>
        <v>0</v>
      </c>
      <c r="G1269" s="8">
        <f>IFERROR(VLOOKUP($B1269,'[1]INSUMO POR SEDES MARZO PRUEBA'!$B$6:$CD$109,65,0),"NO BD")</f>
        <v>387.81900000000002</v>
      </c>
      <c r="H1269" s="8"/>
      <c r="I1269" s="8">
        <f t="shared" si="109"/>
        <v>0</v>
      </c>
      <c r="J1269" s="14">
        <f t="shared" si="113"/>
        <v>0</v>
      </c>
      <c r="K1269" s="14">
        <f t="shared" si="114"/>
        <v>0</v>
      </c>
      <c r="L1269" s="14">
        <f t="shared" si="115"/>
        <v>0</v>
      </c>
    </row>
    <row r="1270" spans="1:12" ht="15">
      <c r="A1270" s="3">
        <v>2029</v>
      </c>
      <c r="B1270" s="26">
        <v>82</v>
      </c>
      <c r="C1270" s="7" t="s">
        <v>66</v>
      </c>
      <c r="D1270" s="4" t="s">
        <v>72</v>
      </c>
      <c r="E1270" s="6" t="s">
        <v>140</v>
      </c>
      <c r="F1270" s="12">
        <f>INDEX('PEDIDO JULIO'!A28:AA37,1,27)</f>
        <v>0</v>
      </c>
      <c r="G1270" s="8">
        <f>IFERROR(VLOOKUP($B1270,'[1]INSUMO POR SEDES MARZO PRUEBA'!$B$6:$CD$109,65,0),"NO BD")</f>
        <v>1003.7049999999999</v>
      </c>
      <c r="H1270" s="8"/>
      <c r="I1270" s="8">
        <f t="shared" si="109"/>
        <v>0</v>
      </c>
      <c r="J1270" s="14">
        <f t="shared" si="113"/>
        <v>0</v>
      </c>
      <c r="K1270" s="14">
        <f t="shared" si="114"/>
        <v>0</v>
      </c>
      <c r="L1270" s="14">
        <f t="shared" si="115"/>
        <v>0</v>
      </c>
    </row>
    <row r="1271" spans="1:12" ht="15">
      <c r="A1271" s="3">
        <v>2030</v>
      </c>
      <c r="B1271" s="26">
        <v>83</v>
      </c>
      <c r="C1271" s="7" t="s">
        <v>158</v>
      </c>
      <c r="D1271" s="4" t="s">
        <v>73</v>
      </c>
      <c r="E1271" s="6" t="s">
        <v>140</v>
      </c>
      <c r="F1271" s="12">
        <f>INDEX('PEDIDO JULIO'!A29:AA37,1,27)</f>
        <v>0</v>
      </c>
      <c r="G1271" s="8">
        <f>IFERROR(VLOOKUP($B1271,'[1]INSUMO POR SEDES MARZO PRUEBA'!$B$6:$CD$109,65,0),"NO BD")</f>
        <v>336.32</v>
      </c>
      <c r="H1271" s="8"/>
      <c r="I1271" s="8">
        <f t="shared" si="109"/>
        <v>0</v>
      </c>
      <c r="J1271" s="14">
        <f t="shared" si="113"/>
        <v>0</v>
      </c>
      <c r="K1271" s="14">
        <f t="shared" si="114"/>
        <v>0</v>
      </c>
      <c r="L1271" s="14">
        <f t="shared" si="115"/>
        <v>0</v>
      </c>
    </row>
    <row r="1272" spans="1:12" ht="15">
      <c r="A1272" s="3">
        <v>2031</v>
      </c>
      <c r="B1272" s="26">
        <v>88</v>
      </c>
      <c r="C1272" s="7" t="s">
        <v>158</v>
      </c>
      <c r="D1272" s="4" t="s">
        <v>74</v>
      </c>
      <c r="E1272" s="6" t="s">
        <v>140</v>
      </c>
      <c r="F1272" s="12">
        <f>INDEX('PEDIDO JULIO'!A30:AA37,1,27)</f>
        <v>0</v>
      </c>
      <c r="G1272" s="8">
        <f>IFERROR(VLOOKUP($B1272,'[1]INSUMO POR SEDES MARZO PRUEBA'!$B$6:$CD$109,65,0),"NO BD")</f>
        <v>0</v>
      </c>
      <c r="H1272" s="8"/>
      <c r="I1272" s="8">
        <f t="shared" si="109"/>
        <v>0</v>
      </c>
      <c r="J1272" s="14">
        <f t="shared" si="113"/>
        <v>0</v>
      </c>
      <c r="K1272" s="14">
        <f t="shared" si="114"/>
        <v>0</v>
      </c>
      <c r="L1272" s="14">
        <f t="shared" si="115"/>
        <v>0</v>
      </c>
    </row>
    <row r="1273" spans="1:12" ht="15">
      <c r="A1273" s="3">
        <v>2032</v>
      </c>
      <c r="B1273" s="26">
        <v>92</v>
      </c>
      <c r="C1273" s="7" t="s">
        <v>158</v>
      </c>
      <c r="D1273" s="4" t="s">
        <v>75</v>
      </c>
      <c r="E1273" s="6" t="s">
        <v>140</v>
      </c>
      <c r="F1273" s="12">
        <f>INDEX('PEDIDO JULIO'!A31:AA37,1,27)</f>
        <v>0</v>
      </c>
      <c r="G1273" s="8">
        <f>IFERROR(VLOOKUP($B1273,'[1]INSUMO POR SEDES MARZO PRUEBA'!$B$6:$CD$109,65,0),"NO BD")</f>
        <v>2380.5149999999999</v>
      </c>
      <c r="H1273" s="8"/>
      <c r="I1273" s="8">
        <f t="shared" si="109"/>
        <v>0</v>
      </c>
      <c r="J1273" s="14">
        <f t="shared" si="113"/>
        <v>0</v>
      </c>
      <c r="K1273" s="14">
        <f t="shared" si="114"/>
        <v>0</v>
      </c>
      <c r="L1273" s="14">
        <f t="shared" si="115"/>
        <v>0</v>
      </c>
    </row>
    <row r="1274" spans="1:12" ht="15">
      <c r="A1274" s="3">
        <v>2033</v>
      </c>
      <c r="B1274" s="26">
        <v>94</v>
      </c>
      <c r="C1274" s="7" t="s">
        <v>158</v>
      </c>
      <c r="D1274" s="4" t="s">
        <v>76</v>
      </c>
      <c r="E1274" s="6" t="s">
        <v>140</v>
      </c>
      <c r="F1274" s="12">
        <f>INDEX('PEDIDO JULIO'!A32:AA37,1,27)</f>
        <v>0</v>
      </c>
      <c r="G1274" s="8">
        <f>IFERROR(VLOOKUP($B1274,'[1]INSUMO POR SEDES MARZO PRUEBA'!$B$6:$CD$109,65,0),"NO BD")</f>
        <v>0</v>
      </c>
      <c r="H1274" s="8"/>
      <c r="I1274" s="8">
        <f t="shared" si="109"/>
        <v>0</v>
      </c>
      <c r="J1274" s="14">
        <f t="shared" si="113"/>
        <v>0</v>
      </c>
      <c r="K1274" s="14">
        <f t="shared" si="114"/>
        <v>0</v>
      </c>
      <c r="L1274" s="14">
        <f t="shared" si="115"/>
        <v>0</v>
      </c>
    </row>
    <row r="1275" spans="1:12" ht="15">
      <c r="A1275" s="3">
        <v>2034</v>
      </c>
      <c r="B1275" s="26">
        <v>98</v>
      </c>
      <c r="C1275" s="7" t="s">
        <v>158</v>
      </c>
      <c r="D1275" s="4" t="s">
        <v>77</v>
      </c>
      <c r="E1275" s="6" t="s">
        <v>140</v>
      </c>
      <c r="F1275" s="12">
        <f>INDEX('PEDIDO JULIO'!A33:AA37,1,27)</f>
        <v>0</v>
      </c>
      <c r="G1275" s="8">
        <f>IFERROR(VLOOKUP($B1275,'[1]INSUMO POR SEDES MARZO PRUEBA'!$B$6:$CD$109,65,0),"NO BD")</f>
        <v>9503.4573</v>
      </c>
      <c r="H1275" s="8"/>
      <c r="I1275" s="8">
        <f t="shared" si="109"/>
        <v>0</v>
      </c>
      <c r="J1275" s="14">
        <f t="shared" si="113"/>
        <v>0</v>
      </c>
      <c r="K1275" s="14">
        <f t="shared" si="114"/>
        <v>0</v>
      </c>
      <c r="L1275" s="14">
        <f t="shared" si="115"/>
        <v>0</v>
      </c>
    </row>
    <row r="1276" spans="1:12" ht="15">
      <c r="A1276" s="3">
        <v>2035</v>
      </c>
      <c r="B1276" s="26">
        <v>100</v>
      </c>
      <c r="C1276" s="7" t="s">
        <v>158</v>
      </c>
      <c r="D1276" s="4" t="s">
        <v>78</v>
      </c>
      <c r="E1276" s="6" t="s">
        <v>140</v>
      </c>
      <c r="F1276" s="12">
        <f>INDEX('PEDIDO JULIO'!A33:AA38,1,27)</f>
        <v>0</v>
      </c>
      <c r="G1276" s="8">
        <f>IFERROR(VLOOKUP($B1276,'[1]INSUMO POR SEDES MARZO PRUEBA'!$B$6:$CD$109,65,0),"NO BD")</f>
        <v>0</v>
      </c>
      <c r="H1276" s="8"/>
      <c r="I1276" s="8">
        <f t="shared" si="109"/>
        <v>0</v>
      </c>
      <c r="J1276" s="14">
        <f t="shared" si="113"/>
        <v>0</v>
      </c>
      <c r="K1276" s="14">
        <f t="shared" si="114"/>
        <v>0</v>
      </c>
      <c r="L1276" s="14">
        <f t="shared" si="115"/>
        <v>0</v>
      </c>
    </row>
    <row r="1277" spans="1:12" ht="15">
      <c r="A1277" s="3">
        <v>2036</v>
      </c>
      <c r="B1277" s="26">
        <v>102</v>
      </c>
      <c r="C1277" s="7" t="s">
        <v>158</v>
      </c>
      <c r="D1277" s="4" t="s">
        <v>79</v>
      </c>
      <c r="E1277" s="6" t="s">
        <v>140</v>
      </c>
      <c r="F1277" s="12">
        <f>INDEX('PEDIDO JULIO'!A33:AA38,1,27)</f>
        <v>0</v>
      </c>
      <c r="G1277" s="8">
        <f>IFERROR(VLOOKUP($B1277,'[1]INSUMO POR SEDES MARZO PRUEBA'!$B$6:$CD$109,65,0),"NO BD")</f>
        <v>5422.8446999999996</v>
      </c>
      <c r="H1277" s="8"/>
      <c r="I1277" s="8">
        <f t="shared" si="109"/>
        <v>0</v>
      </c>
      <c r="J1277" s="14">
        <f t="shared" si="113"/>
        <v>0</v>
      </c>
      <c r="K1277" s="14">
        <f t="shared" si="114"/>
        <v>0</v>
      </c>
      <c r="L1277" s="14">
        <f t="shared" si="115"/>
        <v>0</v>
      </c>
    </row>
    <row r="1278" spans="1:12" ht="15">
      <c r="A1278" s="3">
        <v>2037</v>
      </c>
      <c r="B1278" s="26">
        <v>110</v>
      </c>
      <c r="C1278" s="7" t="s">
        <v>158</v>
      </c>
      <c r="D1278" s="4" t="s">
        <v>80</v>
      </c>
      <c r="E1278" s="6" t="s">
        <v>140</v>
      </c>
      <c r="F1278" s="12">
        <f>INDEX('PEDIDO JULIO'!A33:AA39,1,27)</f>
        <v>0</v>
      </c>
      <c r="G1278" s="8">
        <f>IFERROR(VLOOKUP($B1278,'[1]INSUMO POR SEDES MARZO PRUEBA'!$B$6:$CD$109,65,0),"NO BD")</f>
        <v>1442.4974999999999</v>
      </c>
      <c r="H1278" s="8"/>
      <c r="I1278" s="8">
        <f t="shared" si="109"/>
        <v>0</v>
      </c>
      <c r="J1278" s="14">
        <f t="shared" si="113"/>
        <v>0</v>
      </c>
      <c r="K1278" s="14">
        <f t="shared" si="114"/>
        <v>0</v>
      </c>
      <c r="L1278" s="14">
        <f t="shared" si="115"/>
        <v>0</v>
      </c>
    </row>
    <row r="1279" spans="1:12" ht="15">
      <c r="A1279" s="3">
        <v>2038</v>
      </c>
      <c r="B1279" s="26">
        <v>118</v>
      </c>
      <c r="C1279" s="7" t="s">
        <v>158</v>
      </c>
      <c r="D1279" s="4" t="s">
        <v>81</v>
      </c>
      <c r="E1279" s="6" t="s">
        <v>140</v>
      </c>
      <c r="F1279" s="12">
        <f>INDEX('PEDIDO JULIO'!A33:AA40,1,27)</f>
        <v>0</v>
      </c>
      <c r="G1279" s="8">
        <f>IFERROR(VLOOKUP($B1279,'[1]INSUMO POR SEDES MARZO PRUEBA'!$B$6:$CD$109,65,0),"NO BD")</f>
        <v>4129.7993999999999</v>
      </c>
      <c r="H1279" s="8"/>
      <c r="I1279" s="8">
        <f t="shared" si="109"/>
        <v>0</v>
      </c>
      <c r="J1279" s="14">
        <f t="shared" si="113"/>
        <v>0</v>
      </c>
      <c r="K1279" s="14">
        <f t="shared" si="114"/>
        <v>0</v>
      </c>
      <c r="L1279" s="14">
        <f t="shared" si="115"/>
        <v>0</v>
      </c>
    </row>
    <row r="1280" spans="1:12" ht="15">
      <c r="A1280" s="3">
        <v>2039</v>
      </c>
      <c r="B1280" s="26">
        <v>119</v>
      </c>
      <c r="C1280" s="7" t="s">
        <v>158</v>
      </c>
      <c r="D1280" s="4" t="s">
        <v>82</v>
      </c>
      <c r="E1280" s="6" t="s">
        <v>140</v>
      </c>
      <c r="F1280" s="12">
        <f>INDEX('PEDIDO JULIO'!A33:AA40,1,27)</f>
        <v>0</v>
      </c>
      <c r="G1280" s="8">
        <f>IFERROR(VLOOKUP($B1280,'[1]INSUMO POR SEDES MARZO PRUEBA'!$B$6:$CD$109,65,0),"NO BD")</f>
        <v>4259.3877000000002</v>
      </c>
      <c r="H1280" s="8"/>
      <c r="I1280" s="8">
        <f t="shared" si="109"/>
        <v>0</v>
      </c>
      <c r="J1280" s="14">
        <f t="shared" si="113"/>
        <v>0</v>
      </c>
      <c r="K1280" s="14">
        <f t="shared" si="114"/>
        <v>0</v>
      </c>
      <c r="L1280" s="14">
        <f t="shared" si="115"/>
        <v>0</v>
      </c>
    </row>
    <row r="1281" spans="1:12" ht="15">
      <c r="A1281" s="3">
        <v>2040</v>
      </c>
      <c r="B1281" s="26">
        <v>120</v>
      </c>
      <c r="C1281" s="7" t="s">
        <v>158</v>
      </c>
      <c r="D1281" s="4" t="s">
        <v>83</v>
      </c>
      <c r="E1281" s="6" t="s">
        <v>140</v>
      </c>
      <c r="F1281" s="12">
        <f>INDEX('PEDIDO JULIO'!A33:AA40,1,27)</f>
        <v>0</v>
      </c>
      <c r="G1281" s="8">
        <f>IFERROR(VLOOKUP($B1281,'[1]INSUMO POR SEDES MARZO PRUEBA'!$B$6:$CD$109,65,0),"NO BD")</f>
        <v>4259.3877000000002</v>
      </c>
      <c r="H1281" s="8"/>
      <c r="I1281" s="8">
        <f t="shared" si="109"/>
        <v>0</v>
      </c>
      <c r="J1281" s="14">
        <f t="shared" si="113"/>
        <v>0</v>
      </c>
      <c r="K1281" s="14">
        <f t="shared" si="114"/>
        <v>0</v>
      </c>
      <c r="L1281" s="14">
        <f t="shared" si="115"/>
        <v>0</v>
      </c>
    </row>
    <row r="1282" spans="1:12" ht="15">
      <c r="A1282" s="3">
        <v>2041</v>
      </c>
      <c r="B1282" s="26">
        <v>122</v>
      </c>
      <c r="C1282" s="7" t="s">
        <v>158</v>
      </c>
      <c r="D1282" s="4" t="s">
        <v>84</v>
      </c>
      <c r="E1282" s="6" t="s">
        <v>140</v>
      </c>
      <c r="F1282" s="12">
        <f>INDEX('PEDIDO JULIO'!A33:AA41,1,27)</f>
        <v>0</v>
      </c>
      <c r="G1282" s="8">
        <f>IFERROR(VLOOKUP($B1282,'[1]INSUMO POR SEDES MARZO PRUEBA'!$B$6:$CD$109,65,0),"NO BD")</f>
        <v>5920.3881000000001</v>
      </c>
      <c r="H1282" s="8"/>
      <c r="I1282" s="8">
        <f t="shared" si="109"/>
        <v>0</v>
      </c>
      <c r="J1282" s="14">
        <f t="shared" si="113"/>
        <v>0</v>
      </c>
      <c r="K1282" s="14">
        <f t="shared" si="114"/>
        <v>0</v>
      </c>
      <c r="L1282" s="14">
        <f t="shared" si="115"/>
        <v>0</v>
      </c>
    </row>
    <row r="1283" spans="1:12" ht="15">
      <c r="A1283" s="3">
        <v>2042</v>
      </c>
      <c r="B1283" s="26">
        <v>123</v>
      </c>
      <c r="C1283" s="7" t="s">
        <v>158</v>
      </c>
      <c r="D1283" s="4" t="s">
        <v>85</v>
      </c>
      <c r="E1283" s="6" t="s">
        <v>140</v>
      </c>
      <c r="F1283" s="12">
        <f>INDEX('PEDIDO JULIO'!A33:AA41,1,27)</f>
        <v>0</v>
      </c>
      <c r="G1283" s="8">
        <f>IFERROR(VLOOKUP($B1283,'[1]INSUMO POR SEDES MARZO PRUEBA'!$B$6:$CD$109,65,0),"NO BD")</f>
        <v>5765.7860000000001</v>
      </c>
      <c r="H1283" s="8"/>
      <c r="I1283" s="8">
        <f t="shared" si="109"/>
        <v>0</v>
      </c>
      <c r="J1283" s="14">
        <f t="shared" si="113"/>
        <v>0</v>
      </c>
      <c r="K1283" s="14">
        <f t="shared" si="114"/>
        <v>0</v>
      </c>
      <c r="L1283" s="14">
        <f t="shared" si="115"/>
        <v>0</v>
      </c>
    </row>
    <row r="1284" spans="1:12" ht="15">
      <c r="A1284" s="3">
        <v>2043</v>
      </c>
      <c r="B1284" s="26">
        <v>124</v>
      </c>
      <c r="C1284" s="7" t="s">
        <v>152</v>
      </c>
      <c r="D1284" s="4" t="s">
        <v>86</v>
      </c>
      <c r="E1284" s="6" t="s">
        <v>140</v>
      </c>
      <c r="F1284" s="12">
        <f>INDEX('PEDIDO JULIO'!A33:AA42,1,27)</f>
        <v>0</v>
      </c>
      <c r="G1284" s="8">
        <f>IFERROR(VLOOKUP($B1284,'[1]INSUMO POR SEDES MARZO PRUEBA'!$B$6:$CD$109,65,0),"NO BD")</f>
        <v>6169.1598000000004</v>
      </c>
      <c r="H1284" s="8"/>
      <c r="I1284" s="8">
        <f t="shared" si="109"/>
        <v>0</v>
      </c>
      <c r="J1284" s="14">
        <f t="shared" si="113"/>
        <v>0</v>
      </c>
      <c r="K1284" s="14">
        <f t="shared" si="114"/>
        <v>0</v>
      </c>
      <c r="L1284" s="14">
        <f t="shared" si="115"/>
        <v>0</v>
      </c>
    </row>
    <row r="1285" spans="1:12" ht="15">
      <c r="A1285" s="3">
        <v>2044</v>
      </c>
      <c r="B1285" s="26">
        <v>137</v>
      </c>
      <c r="C1285" s="7" t="s">
        <v>87</v>
      </c>
      <c r="D1285" s="4" t="s">
        <v>88</v>
      </c>
      <c r="E1285" s="6" t="s">
        <v>140</v>
      </c>
      <c r="F1285" s="12">
        <f>INDEX('PEDIDO JULIO'!A33:AA42,1,27)</f>
        <v>0</v>
      </c>
      <c r="G1285" s="8">
        <f>IFERROR(VLOOKUP($B1285,'[1]INSUMO POR SEDES MARZO PRUEBA'!$B$6:$CD$109,65,0),"NO BD")</f>
        <v>0</v>
      </c>
      <c r="H1285" s="8"/>
      <c r="I1285" s="8">
        <f t="shared" si="109"/>
        <v>0</v>
      </c>
      <c r="J1285" s="14">
        <f t="shared" si="113"/>
        <v>0</v>
      </c>
      <c r="K1285" s="14">
        <f t="shared" si="114"/>
        <v>0</v>
      </c>
      <c r="L1285" s="14">
        <f t="shared" si="115"/>
        <v>0</v>
      </c>
    </row>
    <row r="1286" spans="1:12" ht="15">
      <c r="A1286" s="3">
        <v>2045</v>
      </c>
      <c r="B1286" s="26">
        <v>139</v>
      </c>
      <c r="C1286" s="7" t="s">
        <v>87</v>
      </c>
      <c r="D1286" s="4" t="s">
        <v>89</v>
      </c>
      <c r="E1286" s="6" t="s">
        <v>140</v>
      </c>
      <c r="F1286" s="12">
        <f>INDEX('PEDIDO JULIO'!A33:AA42,1,27)</f>
        <v>0</v>
      </c>
      <c r="G1286" s="8">
        <f>IFERROR(VLOOKUP($B1286,'[1]INSUMO POR SEDES MARZO PRUEBA'!$B$6:$CD$109,65,0),"NO BD")</f>
        <v>25429.996000000003</v>
      </c>
      <c r="H1286" s="8"/>
      <c r="I1286" s="8">
        <f t="shared" ref="I1286:I1349" si="116">+F1286*G1286</f>
        <v>0</v>
      </c>
      <c r="J1286" s="14">
        <f t="shared" si="113"/>
        <v>0</v>
      </c>
      <c r="K1286" s="14">
        <f t="shared" si="114"/>
        <v>0</v>
      </c>
      <c r="L1286" s="14">
        <f t="shared" si="115"/>
        <v>0</v>
      </c>
    </row>
    <row r="1287" spans="1:12" ht="15">
      <c r="A1287" s="3">
        <v>2046</v>
      </c>
      <c r="B1287" s="26">
        <v>151</v>
      </c>
      <c r="C1287" s="7" t="s">
        <v>90</v>
      </c>
      <c r="D1287" s="4" t="s">
        <v>91</v>
      </c>
      <c r="E1287" s="6" t="s">
        <v>140</v>
      </c>
      <c r="F1287" s="12">
        <f>INDEX('PEDIDO JULIO'!A33:AA42,1,27)</f>
        <v>0</v>
      </c>
      <c r="G1287" s="8">
        <f>IFERROR(VLOOKUP($B1287,'[1]INSUMO POR SEDES MARZO PRUEBA'!$B$6:$CD$109,65,0),"NO BD")</f>
        <v>4422.6080000000002</v>
      </c>
      <c r="H1287" s="8"/>
      <c r="I1287" s="8">
        <f t="shared" si="116"/>
        <v>0</v>
      </c>
      <c r="J1287" s="14">
        <f t="shared" si="113"/>
        <v>0</v>
      </c>
      <c r="K1287" s="14">
        <f t="shared" si="114"/>
        <v>0</v>
      </c>
      <c r="L1287" s="14">
        <f t="shared" si="115"/>
        <v>0</v>
      </c>
    </row>
    <row r="1288" spans="1:12" ht="15">
      <c r="A1288" s="3">
        <v>2047</v>
      </c>
      <c r="B1288" s="26">
        <v>155</v>
      </c>
      <c r="C1288" s="7" t="s">
        <v>90</v>
      </c>
      <c r="D1288" s="4" t="s">
        <v>92</v>
      </c>
      <c r="E1288" s="6" t="s">
        <v>140</v>
      </c>
      <c r="F1288" s="12">
        <f>INDEX('PEDIDO JULIO'!A33:AA43,1,27)</f>
        <v>0</v>
      </c>
      <c r="G1288" s="8">
        <f>IFERROR(VLOOKUP($B1288,'[1]INSUMO POR SEDES MARZO PRUEBA'!$B$6:$CD$109,65,0),"NO BD")</f>
        <v>5005.7028</v>
      </c>
      <c r="H1288" s="8"/>
      <c r="I1288" s="8">
        <f t="shared" si="116"/>
        <v>0</v>
      </c>
      <c r="J1288" s="14">
        <f t="shared" si="113"/>
        <v>0</v>
      </c>
      <c r="K1288" s="14">
        <f t="shared" si="114"/>
        <v>0</v>
      </c>
      <c r="L1288" s="14">
        <f t="shared" si="115"/>
        <v>0</v>
      </c>
    </row>
    <row r="1289" spans="1:12" ht="15">
      <c r="A1289" s="3">
        <v>2048</v>
      </c>
      <c r="B1289" s="26">
        <v>156</v>
      </c>
      <c r="C1289" s="7" t="s">
        <v>93</v>
      </c>
      <c r="D1289" s="4" t="s">
        <v>94</v>
      </c>
      <c r="E1289" s="6" t="s">
        <v>140</v>
      </c>
      <c r="F1289" s="12">
        <f>INDEX('PEDIDO JULIO'!A33:AA43,1,27)</f>
        <v>0</v>
      </c>
      <c r="G1289" s="8">
        <f>IFERROR(VLOOKUP($B1289,'[1]INSUMO POR SEDES MARZO PRUEBA'!$B$6:$CD$109,65,0),"NO BD")</f>
        <v>4422.6080000000002</v>
      </c>
      <c r="H1289" s="8"/>
      <c r="I1289" s="8">
        <f t="shared" si="116"/>
        <v>0</v>
      </c>
      <c r="J1289" s="14">
        <f t="shared" si="113"/>
        <v>0</v>
      </c>
      <c r="K1289" s="14">
        <f t="shared" si="114"/>
        <v>0</v>
      </c>
      <c r="L1289" s="14">
        <f t="shared" si="115"/>
        <v>0</v>
      </c>
    </row>
    <row r="1290" spans="1:12" ht="15">
      <c r="A1290" s="3">
        <v>2049</v>
      </c>
      <c r="B1290" s="26">
        <v>157</v>
      </c>
      <c r="C1290" s="7" t="s">
        <v>154</v>
      </c>
      <c r="D1290" s="4" t="s">
        <v>95</v>
      </c>
      <c r="E1290" s="6" t="s">
        <v>140</v>
      </c>
      <c r="F1290" s="12">
        <f>INDEX('PEDIDO JULIO'!A33:AA43,1,27)</f>
        <v>0</v>
      </c>
      <c r="G1290" s="8">
        <f>IFERROR(VLOOKUP($B1290,'[1]INSUMO POR SEDES MARZO PRUEBA'!$B$6:$CD$109,65,0),"NO BD")</f>
        <v>5970.7309999999998</v>
      </c>
      <c r="H1290" s="8"/>
      <c r="I1290" s="8">
        <f t="shared" si="116"/>
        <v>0</v>
      </c>
      <c r="J1290" s="14">
        <f t="shared" si="113"/>
        <v>0</v>
      </c>
      <c r="K1290" s="14">
        <f t="shared" si="114"/>
        <v>0</v>
      </c>
      <c r="L1290" s="14">
        <f t="shared" si="115"/>
        <v>0</v>
      </c>
    </row>
    <row r="1291" spans="1:12" ht="15">
      <c r="A1291" s="3">
        <v>2050</v>
      </c>
      <c r="B1291" s="31">
        <v>159</v>
      </c>
      <c r="C1291" s="7" t="s">
        <v>154</v>
      </c>
      <c r="D1291" s="4" t="s">
        <v>96</v>
      </c>
      <c r="E1291" s="6" t="s">
        <v>140</v>
      </c>
      <c r="F1291" s="12">
        <f>INDEX('PEDIDO JULIO'!A33:AA44,1,27)</f>
        <v>0</v>
      </c>
      <c r="G1291" s="8">
        <f>IFERROR(VLOOKUP($B1291,'[1]INSUMO POR SEDES MARZO PRUEBA'!$B$6:$CD$109,65,0),"NO BD")</f>
        <v>6716.8359</v>
      </c>
      <c r="H1291" s="8"/>
      <c r="I1291" s="8">
        <f t="shared" si="116"/>
        <v>0</v>
      </c>
      <c r="J1291" s="14">
        <f t="shared" ref="J1291:J1338" si="117">+I1291*10%</f>
        <v>0</v>
      </c>
      <c r="K1291" s="14">
        <f t="shared" ref="K1291:K1338" si="118">+J1291*19%</f>
        <v>0</v>
      </c>
      <c r="L1291" s="14">
        <f t="shared" ref="L1291:L1338" si="119">SUM(I1291:K1291)</f>
        <v>0</v>
      </c>
    </row>
    <row r="1292" spans="1:12" ht="15">
      <c r="A1292" s="3">
        <v>2051</v>
      </c>
      <c r="B1292" s="26">
        <v>160</v>
      </c>
      <c r="C1292" s="7" t="s">
        <v>154</v>
      </c>
      <c r="D1292" s="4" t="s">
        <v>97</v>
      </c>
      <c r="E1292" s="6" t="s">
        <v>140</v>
      </c>
      <c r="F1292" s="12">
        <f>INDEX('PEDIDO JULIO'!A33:AA44,1,27)</f>
        <v>0</v>
      </c>
      <c r="G1292" s="8">
        <f>IFERROR(VLOOKUP($B1292,'[1]INSUMO POR SEDES MARZO PRUEBA'!$B$6:$CD$109,65,0),"NO BD")</f>
        <v>3035.3931000000002</v>
      </c>
      <c r="H1292" s="8"/>
      <c r="I1292" s="8">
        <f t="shared" si="116"/>
        <v>0</v>
      </c>
      <c r="J1292" s="14">
        <f t="shared" si="117"/>
        <v>0</v>
      </c>
      <c r="K1292" s="14">
        <f t="shared" si="118"/>
        <v>0</v>
      </c>
      <c r="L1292" s="14">
        <f t="shared" si="119"/>
        <v>0</v>
      </c>
    </row>
    <row r="1293" spans="1:12" ht="15">
      <c r="A1293" s="3">
        <v>2052</v>
      </c>
      <c r="B1293" s="26">
        <v>162</v>
      </c>
      <c r="C1293" s="7" t="s">
        <v>152</v>
      </c>
      <c r="D1293" s="4" t="s">
        <v>98</v>
      </c>
      <c r="E1293" s="6" t="s">
        <v>140</v>
      </c>
      <c r="F1293" s="12">
        <f>INDEX('PEDIDO JULIO'!A33:AA44,1,27)</f>
        <v>0</v>
      </c>
      <c r="G1293" s="8">
        <f>IFERROR(VLOOKUP($B1293,'[1]INSUMO POR SEDES MARZO PRUEBA'!$B$6:$CD$109,65,0),"NO BD")</f>
        <v>2684.2539999999999</v>
      </c>
      <c r="H1293" s="8"/>
      <c r="I1293" s="8">
        <f t="shared" si="116"/>
        <v>0</v>
      </c>
      <c r="J1293" s="14">
        <f t="shared" si="117"/>
        <v>0</v>
      </c>
      <c r="K1293" s="14">
        <f t="shared" si="118"/>
        <v>0</v>
      </c>
      <c r="L1293" s="14">
        <f t="shared" si="119"/>
        <v>0</v>
      </c>
    </row>
    <row r="1294" spans="1:12" ht="15">
      <c r="A1294" s="3">
        <v>2053</v>
      </c>
      <c r="B1294" s="26">
        <v>164</v>
      </c>
      <c r="C1294" s="7" t="s">
        <v>153</v>
      </c>
      <c r="D1294" s="4" t="s">
        <v>99</v>
      </c>
      <c r="E1294" s="6" t="s">
        <v>140</v>
      </c>
      <c r="F1294" s="12">
        <f>INDEX('PEDIDO JULIO'!A33:AA44,1,27)</f>
        <v>0</v>
      </c>
      <c r="G1294" s="8">
        <f>IFERROR(VLOOKUP($B1294,'[1]INSUMO POR SEDES MARZO PRUEBA'!$B$6:$CD$109,65,0),"NO BD")</f>
        <v>0</v>
      </c>
      <c r="H1294" s="8"/>
      <c r="I1294" s="8">
        <f t="shared" si="116"/>
        <v>0</v>
      </c>
      <c r="J1294" s="14">
        <f t="shared" si="117"/>
        <v>0</v>
      </c>
      <c r="K1294" s="14">
        <f t="shared" si="118"/>
        <v>0</v>
      </c>
      <c r="L1294" s="14">
        <f t="shared" si="119"/>
        <v>0</v>
      </c>
    </row>
    <row r="1295" spans="1:12" ht="15">
      <c r="A1295" s="3">
        <v>2054</v>
      </c>
      <c r="B1295" s="26">
        <v>169</v>
      </c>
      <c r="C1295" s="7" t="s">
        <v>151</v>
      </c>
      <c r="D1295" s="4" t="s">
        <v>100</v>
      </c>
      <c r="E1295" s="6" t="s">
        <v>140</v>
      </c>
      <c r="F1295" s="12">
        <f>INDEX('PEDIDO JULIO'!A33:AA45,1,27)</f>
        <v>0</v>
      </c>
      <c r="G1295" s="8">
        <f>IFERROR(VLOOKUP($B1295,'[1]INSUMO POR SEDES MARZO PRUEBA'!$B$6:$CD$109,65,0),"NO BD")</f>
        <v>0</v>
      </c>
      <c r="H1295" s="8"/>
      <c r="I1295" s="8">
        <f t="shared" si="116"/>
        <v>0</v>
      </c>
      <c r="J1295" s="14">
        <f t="shared" si="117"/>
        <v>0</v>
      </c>
      <c r="K1295" s="14">
        <f t="shared" si="118"/>
        <v>0</v>
      </c>
      <c r="L1295" s="14">
        <f t="shared" si="119"/>
        <v>0</v>
      </c>
    </row>
    <row r="1296" spans="1:12" ht="15">
      <c r="A1296" s="3">
        <v>2055</v>
      </c>
      <c r="B1296" s="26">
        <v>170</v>
      </c>
      <c r="C1296" s="7" t="s">
        <v>66</v>
      </c>
      <c r="D1296" s="4" t="s">
        <v>101</v>
      </c>
      <c r="E1296" s="6" t="s">
        <v>140</v>
      </c>
      <c r="F1296" s="12">
        <f>INDEX('PEDIDO JULIO'!A33:AA46,1,27)</f>
        <v>0</v>
      </c>
      <c r="G1296" s="8">
        <f>IFERROR(VLOOKUP($B1296,'[1]INSUMO POR SEDES MARZO PRUEBA'!$B$6:$CD$109,65,0),"NO BD")</f>
        <v>45575.353799999997</v>
      </c>
      <c r="H1296" s="8"/>
      <c r="I1296" s="8">
        <f t="shared" si="116"/>
        <v>0</v>
      </c>
      <c r="J1296" s="14">
        <f t="shared" si="117"/>
        <v>0</v>
      </c>
      <c r="K1296" s="14">
        <f t="shared" si="118"/>
        <v>0</v>
      </c>
      <c r="L1296" s="14">
        <f t="shared" si="119"/>
        <v>0</v>
      </c>
    </row>
    <row r="1297" spans="1:12" ht="27">
      <c r="A1297" s="3">
        <v>2056</v>
      </c>
      <c r="B1297" s="26">
        <v>174</v>
      </c>
      <c r="C1297" s="7" t="s">
        <v>60</v>
      </c>
      <c r="D1297" s="4" t="s">
        <v>102</v>
      </c>
      <c r="E1297" s="6" t="s">
        <v>140</v>
      </c>
      <c r="F1297" s="12">
        <f>INDEX('PEDIDO JULIO'!A33:AA47,1,27)</f>
        <v>0</v>
      </c>
      <c r="G1297" s="8">
        <f>IFERROR(VLOOKUP($B1297,'[1]INSUMO POR SEDES MARZO PRUEBA'!$B$6:$CD$109,65,0),"NO BD")</f>
        <v>6081.0860000000002</v>
      </c>
      <c r="H1297" s="8"/>
      <c r="I1297" s="8">
        <f t="shared" si="116"/>
        <v>0</v>
      </c>
      <c r="J1297" s="14">
        <f t="shared" si="117"/>
        <v>0</v>
      </c>
      <c r="K1297" s="14">
        <f t="shared" si="118"/>
        <v>0</v>
      </c>
      <c r="L1297" s="14">
        <f t="shared" si="119"/>
        <v>0</v>
      </c>
    </row>
    <row r="1298" spans="1:12" ht="15">
      <c r="A1298" s="3">
        <v>2057</v>
      </c>
      <c r="B1298" s="26">
        <v>192</v>
      </c>
      <c r="C1298" s="7" t="s">
        <v>103</v>
      </c>
      <c r="D1298" s="4" t="s">
        <v>104</v>
      </c>
      <c r="E1298" s="6" t="s">
        <v>140</v>
      </c>
      <c r="F1298" s="12">
        <f>INDEX('PEDIDO JULIO'!A33:AA47,1,27)</f>
        <v>0</v>
      </c>
      <c r="G1298" s="8">
        <f>IFERROR(VLOOKUP($B1298,'[1]INSUMO POR SEDES MARZO PRUEBA'!$B$6:$CD$109,65,0),"NO BD")</f>
        <v>6866.2880999999998</v>
      </c>
      <c r="H1298" s="8"/>
      <c r="I1298" s="8">
        <f t="shared" si="116"/>
        <v>0</v>
      </c>
      <c r="J1298" s="14">
        <f t="shared" si="117"/>
        <v>0</v>
      </c>
      <c r="K1298" s="14">
        <f t="shared" si="118"/>
        <v>0</v>
      </c>
      <c r="L1298" s="14">
        <f t="shared" si="119"/>
        <v>0</v>
      </c>
    </row>
    <row r="1299" spans="1:12" ht="15">
      <c r="A1299" s="3">
        <v>2058</v>
      </c>
      <c r="B1299" s="26">
        <v>195</v>
      </c>
      <c r="C1299" s="7" t="s">
        <v>105</v>
      </c>
      <c r="D1299" s="4" t="s">
        <v>106</v>
      </c>
      <c r="E1299" s="6" t="s">
        <v>140</v>
      </c>
      <c r="F1299" s="12">
        <f>INDEX('PEDIDO JULIO'!A33:AA47,1,27)</f>
        <v>0</v>
      </c>
      <c r="G1299" s="8">
        <f>IFERROR(VLOOKUP($B1299,'[1]INSUMO POR SEDES MARZO PRUEBA'!$B$6:$CD$109,65,0),"NO BD")</f>
        <v>10697.1831</v>
      </c>
      <c r="H1299" s="8"/>
      <c r="I1299" s="8">
        <f t="shared" si="116"/>
        <v>0</v>
      </c>
      <c r="J1299" s="14">
        <f t="shared" si="117"/>
        <v>0</v>
      </c>
      <c r="K1299" s="14">
        <f t="shared" si="118"/>
        <v>0</v>
      </c>
      <c r="L1299" s="14">
        <f t="shared" si="119"/>
        <v>0</v>
      </c>
    </row>
    <row r="1300" spans="1:12" ht="15">
      <c r="A1300" s="3">
        <v>2059</v>
      </c>
      <c r="B1300" s="26">
        <v>204</v>
      </c>
      <c r="C1300" s="7" t="s">
        <v>105</v>
      </c>
      <c r="D1300" s="4" t="s">
        <v>107</v>
      </c>
      <c r="E1300" s="6" t="s">
        <v>140</v>
      </c>
      <c r="F1300" s="12">
        <f>INDEX('PEDIDO JULIO'!A33:AA47,1,27)</f>
        <v>0</v>
      </c>
      <c r="G1300" s="8">
        <f>IFERROR(VLOOKUP($B1300,'[1]INSUMO POR SEDES MARZO PRUEBA'!$B$6:$CD$109,65,0),"NO BD")</f>
        <v>14760.243999999999</v>
      </c>
      <c r="H1300" s="8"/>
      <c r="I1300" s="8">
        <f t="shared" si="116"/>
        <v>0</v>
      </c>
      <c r="J1300" s="14">
        <f t="shared" si="117"/>
        <v>0</v>
      </c>
      <c r="K1300" s="14">
        <f t="shared" si="118"/>
        <v>0</v>
      </c>
      <c r="L1300" s="14">
        <f t="shared" si="119"/>
        <v>0</v>
      </c>
    </row>
    <row r="1301" spans="1:12" ht="15">
      <c r="A1301" s="3">
        <v>2060</v>
      </c>
      <c r="B1301" s="26">
        <v>205</v>
      </c>
      <c r="C1301" s="7" t="s">
        <v>108</v>
      </c>
      <c r="D1301" s="4" t="s">
        <v>109</v>
      </c>
      <c r="E1301" s="6" t="s">
        <v>140</v>
      </c>
      <c r="F1301" s="12">
        <f>INDEX('PEDIDO JULIO'!A33:AA47,1,27)</f>
        <v>0</v>
      </c>
      <c r="G1301" s="8">
        <f>IFERROR(VLOOKUP($B1301,'[1]INSUMO POR SEDES MARZO PRUEBA'!$B$6:$CD$109,65,0),"NO BD")</f>
        <v>17690.432000000001</v>
      </c>
      <c r="H1301" s="8"/>
      <c r="I1301" s="8">
        <f t="shared" si="116"/>
        <v>0</v>
      </c>
      <c r="J1301" s="14">
        <f t="shared" si="117"/>
        <v>0</v>
      </c>
      <c r="K1301" s="14">
        <f t="shared" si="118"/>
        <v>0</v>
      </c>
      <c r="L1301" s="14">
        <f t="shared" si="119"/>
        <v>0</v>
      </c>
    </row>
    <row r="1302" spans="1:12" ht="15">
      <c r="A1302" s="3">
        <v>2061</v>
      </c>
      <c r="B1302" s="26">
        <v>207</v>
      </c>
      <c r="C1302" s="7" t="s">
        <v>108</v>
      </c>
      <c r="D1302" s="4" t="s">
        <v>110</v>
      </c>
      <c r="E1302" s="6" t="s">
        <v>140</v>
      </c>
      <c r="F1302" s="12">
        <f>INDEX('PEDIDO JULIO'!A33:AA47,1,27)</f>
        <v>0</v>
      </c>
      <c r="G1302" s="8">
        <f>IFERROR(VLOOKUP($B1302,'[1]INSUMO POR SEDES MARZO PRUEBA'!$B$6:$CD$109,65,0),"NO BD")</f>
        <v>0</v>
      </c>
      <c r="H1302" s="8"/>
      <c r="I1302" s="8">
        <f t="shared" si="116"/>
        <v>0</v>
      </c>
      <c r="J1302" s="14">
        <f t="shared" si="117"/>
        <v>0</v>
      </c>
      <c r="K1302" s="14">
        <f t="shared" si="118"/>
        <v>0</v>
      </c>
      <c r="L1302" s="14">
        <f t="shared" si="119"/>
        <v>0</v>
      </c>
    </row>
    <row r="1303" spans="1:12" ht="15">
      <c r="A1303" s="3">
        <v>2062</v>
      </c>
      <c r="B1303" s="26">
        <v>212</v>
      </c>
      <c r="C1303" s="7" t="s">
        <v>149</v>
      </c>
      <c r="D1303" s="4" t="s">
        <v>111</v>
      </c>
      <c r="E1303" s="6" t="s">
        <v>140</v>
      </c>
      <c r="F1303" s="12">
        <f>INDEX('PEDIDO JULIO'!A33:AA47,1,27)</f>
        <v>0</v>
      </c>
      <c r="G1303" s="8">
        <f>IFERROR(VLOOKUP($B1303,'[1]INSUMO POR SEDES MARZO PRUEBA'!$B$6:$CD$109,65,0),"NO BD")</f>
        <v>0</v>
      </c>
      <c r="H1303" s="8"/>
      <c r="I1303" s="8">
        <f t="shared" si="116"/>
        <v>0</v>
      </c>
      <c r="J1303" s="14">
        <f t="shared" si="117"/>
        <v>0</v>
      </c>
      <c r="K1303" s="14">
        <f t="shared" si="118"/>
        <v>0</v>
      </c>
      <c r="L1303" s="14">
        <f t="shared" si="119"/>
        <v>0</v>
      </c>
    </row>
    <row r="1304" spans="1:12" ht="15">
      <c r="A1304" s="3">
        <v>2063</v>
      </c>
      <c r="B1304" s="26">
        <v>218</v>
      </c>
      <c r="C1304" s="7" t="s">
        <v>149</v>
      </c>
      <c r="D1304" s="4" t="s">
        <v>112</v>
      </c>
      <c r="E1304" s="6" t="s">
        <v>140</v>
      </c>
      <c r="F1304" s="12">
        <f>INDEX('PEDIDO JULIO'!A33:AA47,1,27)</f>
        <v>0</v>
      </c>
      <c r="G1304" s="8">
        <f>IFERROR(VLOOKUP($B1304,'[1]INSUMO POR SEDES MARZO PRUEBA'!$B$6:$CD$109,65,0),"NO BD")</f>
        <v>2587.0365000000002</v>
      </c>
      <c r="H1304" s="8"/>
      <c r="I1304" s="8">
        <f t="shared" si="116"/>
        <v>0</v>
      </c>
      <c r="J1304" s="14">
        <f t="shared" si="117"/>
        <v>0</v>
      </c>
      <c r="K1304" s="14">
        <f t="shared" si="118"/>
        <v>0</v>
      </c>
      <c r="L1304" s="14">
        <f t="shared" si="119"/>
        <v>0</v>
      </c>
    </row>
    <row r="1305" spans="1:12" ht="15">
      <c r="A1305" s="3">
        <v>2064</v>
      </c>
      <c r="B1305" s="26">
        <v>251</v>
      </c>
      <c r="C1305" s="7" t="s">
        <v>150</v>
      </c>
      <c r="D1305" s="4" t="s">
        <v>113</v>
      </c>
      <c r="E1305" s="6" t="s">
        <v>140</v>
      </c>
      <c r="F1305" s="12">
        <f>INDEX('PEDIDO JULIO'!A33:AA47,1,27)</f>
        <v>0</v>
      </c>
      <c r="G1305" s="8">
        <f>IFERROR(VLOOKUP($B1305,'[1]INSUMO POR SEDES MARZO PRUEBA'!$B$6:$CD$109,65,0),"NO BD")</f>
        <v>0</v>
      </c>
      <c r="H1305" s="8"/>
      <c r="I1305" s="8">
        <f t="shared" si="116"/>
        <v>0</v>
      </c>
      <c r="J1305" s="14">
        <f t="shared" si="117"/>
        <v>0</v>
      </c>
      <c r="K1305" s="14">
        <f t="shared" si="118"/>
        <v>0</v>
      </c>
      <c r="L1305" s="14">
        <f t="shared" si="119"/>
        <v>0</v>
      </c>
    </row>
    <row r="1306" spans="1:12" ht="15">
      <c r="A1306" s="3">
        <v>2081</v>
      </c>
      <c r="B1306" s="39">
        <v>3</v>
      </c>
      <c r="C1306" s="7" t="s">
        <v>155</v>
      </c>
      <c r="D1306" s="4" t="s">
        <v>5</v>
      </c>
      <c r="E1306" s="6" t="s">
        <v>141</v>
      </c>
      <c r="F1306" s="12">
        <f>INDEX('PEDIDO JULIO'!A10:AB32,1,28)</f>
        <v>0</v>
      </c>
      <c r="G1306" s="8">
        <f>IFERROR(VLOOKUP($B1306,'[1]INSUMO POR SEDES MARZO PRUEBA'!$B$6:$CD$109,68,0),"NO BD")</f>
        <v>7268.7160000000003</v>
      </c>
      <c r="H1306" s="8"/>
      <c r="I1306" s="8">
        <f t="shared" si="116"/>
        <v>0</v>
      </c>
      <c r="J1306" s="14">
        <f t="shared" si="117"/>
        <v>0</v>
      </c>
      <c r="K1306" s="14">
        <f t="shared" si="118"/>
        <v>0</v>
      </c>
      <c r="L1306" s="14">
        <f t="shared" si="119"/>
        <v>0</v>
      </c>
    </row>
    <row r="1307" spans="1:12" ht="15">
      <c r="A1307" s="3">
        <v>2082</v>
      </c>
      <c r="B1307" s="39">
        <v>5</v>
      </c>
      <c r="C1307" s="7" t="s">
        <v>6</v>
      </c>
      <c r="D1307" s="4" t="s">
        <v>7</v>
      </c>
      <c r="E1307" s="6" t="s">
        <v>141</v>
      </c>
      <c r="F1307" s="12">
        <f>INDEX('PEDIDO JULIO'!A10:AB32,1,28)</f>
        <v>0</v>
      </c>
      <c r="G1307" s="8">
        <f>IFERROR(VLOOKUP($B1307,'[1]INSUMO POR SEDES MARZO PRUEBA'!$B$6:$CD$109,68,0),"NO BD")</f>
        <v>0</v>
      </c>
      <c r="H1307" s="8"/>
      <c r="I1307" s="8">
        <f t="shared" si="116"/>
        <v>0</v>
      </c>
      <c r="J1307" s="14">
        <f t="shared" si="117"/>
        <v>0</v>
      </c>
      <c r="K1307" s="14">
        <f t="shared" si="118"/>
        <v>0</v>
      </c>
      <c r="L1307" s="14">
        <f t="shared" si="119"/>
        <v>0</v>
      </c>
    </row>
    <row r="1308" spans="1:12" ht="15">
      <c r="A1308" s="3">
        <v>2083</v>
      </c>
      <c r="B1308" s="39">
        <v>8</v>
      </c>
      <c r="C1308" s="7" t="s">
        <v>6</v>
      </c>
      <c r="D1308" s="4" t="s">
        <v>8</v>
      </c>
      <c r="E1308" s="6" t="s">
        <v>141</v>
      </c>
      <c r="F1308" s="12">
        <f>INDEX('PEDIDO JULIO'!A10:AB33,1,28)</f>
        <v>0</v>
      </c>
      <c r="G1308" s="8">
        <f>IFERROR(VLOOKUP($B1308,'[1]INSUMO POR SEDES MARZO PRUEBA'!$B$6:$CD$109,68,0),"NO BD")</f>
        <v>2211.3040000000001</v>
      </c>
      <c r="H1308" s="8"/>
      <c r="I1308" s="8">
        <f t="shared" si="116"/>
        <v>0</v>
      </c>
      <c r="J1308" s="14">
        <f t="shared" si="117"/>
        <v>0</v>
      </c>
      <c r="K1308" s="14">
        <f t="shared" si="118"/>
        <v>0</v>
      </c>
      <c r="L1308" s="14">
        <f t="shared" si="119"/>
        <v>0</v>
      </c>
    </row>
    <row r="1309" spans="1:12" ht="15">
      <c r="A1309" s="3">
        <v>2084</v>
      </c>
      <c r="B1309" s="39">
        <v>9</v>
      </c>
      <c r="C1309" s="7" t="s">
        <v>9</v>
      </c>
      <c r="D1309" s="4" t="s">
        <v>10</v>
      </c>
      <c r="E1309" s="6" t="s">
        <v>141</v>
      </c>
      <c r="F1309" s="12">
        <f>INDEX('PEDIDO JULIO'!A10:AB33,1,28)</f>
        <v>0</v>
      </c>
      <c r="G1309" s="8">
        <f>IFERROR(VLOOKUP($B1309,'[1]INSUMO POR SEDES MARZO PRUEBA'!$B$6:$CD$109,68,0),"NO BD")</f>
        <v>3298.0379999999996</v>
      </c>
      <c r="H1309" s="8"/>
      <c r="I1309" s="8">
        <f t="shared" si="116"/>
        <v>0</v>
      </c>
      <c r="J1309" s="14">
        <f t="shared" si="117"/>
        <v>0</v>
      </c>
      <c r="K1309" s="14">
        <f t="shared" si="118"/>
        <v>0</v>
      </c>
      <c r="L1309" s="14">
        <f t="shared" si="119"/>
        <v>0</v>
      </c>
    </row>
    <row r="1310" spans="1:12" ht="15">
      <c r="A1310" s="3">
        <v>2085</v>
      </c>
      <c r="B1310" s="39">
        <v>13</v>
      </c>
      <c r="C1310" s="7" t="s">
        <v>156</v>
      </c>
      <c r="D1310" s="5" t="s">
        <v>11</v>
      </c>
      <c r="E1310" s="6" t="s">
        <v>141</v>
      </c>
      <c r="F1310" s="12">
        <f>INDEX('PEDIDO JULIO'!A11:AB33,1,28)</f>
        <v>0</v>
      </c>
      <c r="G1310" s="8">
        <f>IFERROR(VLOOKUP($B1310,'[1]INSUMO POR SEDES MARZO PRUEBA'!$B$6:$CD$109,68,0),"NO BD")</f>
        <v>6507.7919999999995</v>
      </c>
      <c r="H1310" s="8"/>
      <c r="I1310" s="8">
        <f t="shared" si="116"/>
        <v>0</v>
      </c>
      <c r="J1310" s="14">
        <f t="shared" si="117"/>
        <v>0</v>
      </c>
      <c r="K1310" s="14">
        <f t="shared" si="118"/>
        <v>0</v>
      </c>
      <c r="L1310" s="14">
        <f t="shared" si="119"/>
        <v>0</v>
      </c>
    </row>
    <row r="1311" spans="1:12" ht="27">
      <c r="A1311" s="3">
        <v>2086</v>
      </c>
      <c r="B1311" s="39">
        <v>17</v>
      </c>
      <c r="C1311" s="7" t="s">
        <v>157</v>
      </c>
      <c r="D1311" s="4" t="s">
        <v>12</v>
      </c>
      <c r="E1311" s="6" t="s">
        <v>141</v>
      </c>
      <c r="F1311" s="12">
        <f>INDEX('PEDIDO JULIO'!A12:AB33,1,28)</f>
        <v>0</v>
      </c>
      <c r="G1311" s="8">
        <f>IFERROR(VLOOKUP($B1311,'[1]INSUMO POR SEDES MARZO PRUEBA'!$B$6:$CD$109,68,0),"NO BD")</f>
        <v>5647.0229999999992</v>
      </c>
      <c r="H1311" s="8"/>
      <c r="I1311" s="8">
        <f t="shared" si="116"/>
        <v>0</v>
      </c>
      <c r="J1311" s="14">
        <f t="shared" si="117"/>
        <v>0</v>
      </c>
      <c r="K1311" s="14">
        <f t="shared" si="118"/>
        <v>0</v>
      </c>
      <c r="L1311" s="14">
        <f t="shared" si="119"/>
        <v>0</v>
      </c>
    </row>
    <row r="1312" spans="1:12" ht="15">
      <c r="A1312" s="3">
        <v>2087</v>
      </c>
      <c r="B1312" s="39">
        <v>20</v>
      </c>
      <c r="C1312" s="7" t="s">
        <v>13</v>
      </c>
      <c r="D1312" s="4" t="s">
        <v>14</v>
      </c>
      <c r="E1312" s="6" t="s">
        <v>141</v>
      </c>
      <c r="F1312" s="12">
        <f>INDEX('PEDIDO JULIO'!A12:AB33,1,28)</f>
        <v>0</v>
      </c>
      <c r="G1312" s="8">
        <f>IFERROR(VLOOKUP($B1312,'[1]INSUMO POR SEDES MARZO PRUEBA'!$B$6:$CD$109,68,0),"NO BD")</f>
        <v>0</v>
      </c>
      <c r="H1312" s="8"/>
      <c r="I1312" s="8">
        <f t="shared" si="116"/>
        <v>0</v>
      </c>
      <c r="J1312" s="14">
        <f t="shared" si="117"/>
        <v>0</v>
      </c>
      <c r="K1312" s="14">
        <f t="shared" si="118"/>
        <v>0</v>
      </c>
      <c r="L1312" s="14">
        <f t="shared" si="119"/>
        <v>0</v>
      </c>
    </row>
    <row r="1313" spans="1:12" ht="27">
      <c r="A1313" s="3">
        <v>2088</v>
      </c>
      <c r="B1313" s="39">
        <v>21</v>
      </c>
      <c r="C1313" s="7" t="s">
        <v>13</v>
      </c>
      <c r="D1313" s="4" t="s">
        <v>15</v>
      </c>
      <c r="E1313" s="6" t="s">
        <v>141</v>
      </c>
      <c r="F1313" s="12">
        <f>INDEX('PEDIDO JULIO'!A13:AB34,1,28)</f>
        <v>0</v>
      </c>
      <c r="G1313" s="8">
        <f>IFERROR(VLOOKUP($B1313,'[1]INSUMO POR SEDES MARZO PRUEBA'!$B$6:$CD$109,68,0),"NO BD")</f>
        <v>5932.8950000000013</v>
      </c>
      <c r="H1313" s="8"/>
      <c r="I1313" s="8">
        <f t="shared" si="116"/>
        <v>0</v>
      </c>
      <c r="J1313" s="14">
        <f t="shared" si="117"/>
        <v>0</v>
      </c>
      <c r="K1313" s="14">
        <f t="shared" si="118"/>
        <v>0</v>
      </c>
      <c r="L1313" s="14">
        <f t="shared" si="119"/>
        <v>0</v>
      </c>
    </row>
    <row r="1314" spans="1:12" ht="15">
      <c r="A1314" s="3">
        <v>2089</v>
      </c>
      <c r="B1314" s="39">
        <v>28</v>
      </c>
      <c r="C1314" s="7" t="s">
        <v>16</v>
      </c>
      <c r="D1314" s="4" t="s">
        <v>17</v>
      </c>
      <c r="E1314" s="6" t="s">
        <v>141</v>
      </c>
      <c r="F1314" s="12">
        <f>INDEX('PEDIDO JULIO'!A14:AB34,1,28)</f>
        <v>0</v>
      </c>
      <c r="G1314" s="8">
        <f>IFERROR(VLOOKUP($B1314,'[1]INSUMO POR SEDES MARZO PRUEBA'!$B$6:$CD$109,68,0),"NO BD")</f>
        <v>2764.13</v>
      </c>
      <c r="H1314" s="8"/>
      <c r="I1314" s="8">
        <f t="shared" si="116"/>
        <v>0</v>
      </c>
      <c r="J1314" s="14">
        <f t="shared" si="117"/>
        <v>0</v>
      </c>
      <c r="K1314" s="14">
        <f t="shared" si="118"/>
        <v>0</v>
      </c>
      <c r="L1314" s="14">
        <f t="shared" si="119"/>
        <v>0</v>
      </c>
    </row>
    <row r="1315" spans="1:12" ht="27">
      <c r="A1315" s="3">
        <v>2090</v>
      </c>
      <c r="B1315" s="39">
        <v>29</v>
      </c>
      <c r="C1315" s="7" t="s">
        <v>18</v>
      </c>
      <c r="D1315" s="4" t="s">
        <v>19</v>
      </c>
      <c r="E1315" s="6" t="s">
        <v>141</v>
      </c>
      <c r="F1315" s="12">
        <f>INDEX('PEDIDO JULIO'!A15:AB34,1,28)</f>
        <v>0</v>
      </c>
      <c r="G1315" s="8">
        <f>IFERROR(VLOOKUP($B1315,'[1]INSUMO POR SEDES MARZO PRUEBA'!$B$6:$CD$109,68,0),"NO BD")</f>
        <v>4829.3450000000012</v>
      </c>
      <c r="H1315" s="8"/>
      <c r="I1315" s="8">
        <f t="shared" si="116"/>
        <v>0</v>
      </c>
      <c r="J1315" s="14">
        <f t="shared" si="117"/>
        <v>0</v>
      </c>
      <c r="K1315" s="14">
        <f t="shared" si="118"/>
        <v>0</v>
      </c>
      <c r="L1315" s="14">
        <f t="shared" si="119"/>
        <v>0</v>
      </c>
    </row>
    <row r="1316" spans="1:12" ht="27">
      <c r="A1316" s="3">
        <v>2091</v>
      </c>
      <c r="B1316" s="39">
        <v>32</v>
      </c>
      <c r="C1316" s="7" t="s">
        <v>20</v>
      </c>
      <c r="D1316" s="4" t="s">
        <v>21</v>
      </c>
      <c r="E1316" s="6" t="s">
        <v>141</v>
      </c>
      <c r="F1316" s="12">
        <f>INDEX('PEDIDO JULIO'!A16:AB34,1,28)</f>
        <v>0</v>
      </c>
      <c r="G1316" s="8">
        <f>IFERROR(VLOOKUP($B1316,'[1]INSUMO POR SEDES MARZO PRUEBA'!$B$6:$CD$109,68,0),"NO BD")</f>
        <v>4115.7160000000003</v>
      </c>
      <c r="H1316" s="8"/>
      <c r="I1316" s="8">
        <f t="shared" si="116"/>
        <v>0</v>
      </c>
      <c r="J1316" s="14">
        <f t="shared" si="117"/>
        <v>0</v>
      </c>
      <c r="K1316" s="14">
        <f t="shared" si="118"/>
        <v>0</v>
      </c>
      <c r="L1316" s="14">
        <f t="shared" si="119"/>
        <v>0</v>
      </c>
    </row>
    <row r="1317" spans="1:12" ht="27">
      <c r="A1317" s="3">
        <v>2092</v>
      </c>
      <c r="B1317" s="39">
        <v>38</v>
      </c>
      <c r="C1317" s="7" t="s">
        <v>22</v>
      </c>
      <c r="D1317" s="4" t="s">
        <v>23</v>
      </c>
      <c r="E1317" s="6" t="s">
        <v>141</v>
      </c>
      <c r="F1317" s="12">
        <f>INDEX('PEDIDO JULIO'!A17:AB34,1,28)</f>
        <v>0</v>
      </c>
      <c r="G1317" s="8">
        <f>IFERROR(VLOOKUP($B1317,'[1]INSUMO POR SEDES MARZO PRUEBA'!$B$6:$CD$109,68,0),"NO BD")</f>
        <v>15622.484399999999</v>
      </c>
      <c r="H1317" s="8"/>
      <c r="I1317" s="8">
        <f t="shared" si="116"/>
        <v>0</v>
      </c>
      <c r="J1317" s="14">
        <f t="shared" si="117"/>
        <v>0</v>
      </c>
      <c r="K1317" s="14">
        <f t="shared" si="118"/>
        <v>0</v>
      </c>
      <c r="L1317" s="14">
        <f t="shared" si="119"/>
        <v>0</v>
      </c>
    </row>
    <row r="1318" spans="1:12" ht="15">
      <c r="A1318" s="3">
        <v>2093</v>
      </c>
      <c r="B1318" s="39">
        <v>44</v>
      </c>
      <c r="C1318" s="7" t="s">
        <v>18</v>
      </c>
      <c r="D1318" s="4" t="s">
        <v>24</v>
      </c>
      <c r="E1318" s="6" t="s">
        <v>141</v>
      </c>
      <c r="F1318" s="12">
        <f>INDEX('PEDIDO JULIO'!A17:AB34,1,28)</f>
        <v>0</v>
      </c>
      <c r="G1318" s="8">
        <f>IFERROR(VLOOKUP($B1318,'[1]INSUMO POR SEDES MARZO PRUEBA'!$B$6:$CD$109,68,0),"NO BD")</f>
        <v>0</v>
      </c>
      <c r="H1318" s="8"/>
      <c r="I1318" s="8">
        <f t="shared" si="116"/>
        <v>0</v>
      </c>
      <c r="J1318" s="14">
        <f t="shared" si="117"/>
        <v>0</v>
      </c>
      <c r="K1318" s="14">
        <f t="shared" si="118"/>
        <v>0</v>
      </c>
      <c r="L1318" s="14">
        <f t="shared" si="119"/>
        <v>0</v>
      </c>
    </row>
    <row r="1319" spans="1:12" ht="27">
      <c r="A1319" s="3">
        <v>2094</v>
      </c>
      <c r="B1319" s="39">
        <v>50</v>
      </c>
      <c r="C1319" s="7" t="s">
        <v>155</v>
      </c>
      <c r="D1319" s="4" t="s">
        <v>25</v>
      </c>
      <c r="E1319" s="6" t="s">
        <v>141</v>
      </c>
      <c r="F1319" s="12">
        <f>INDEX('PEDIDO JULIO'!A18:AB35,1,28)</f>
        <v>0</v>
      </c>
      <c r="G1319" s="8">
        <f>IFERROR(VLOOKUP($B1319,'[1]INSUMO POR SEDES MARZO PRUEBA'!$B$6:$CD$109,68,0),"NO BD")</f>
        <v>0</v>
      </c>
      <c r="H1319" s="8"/>
      <c r="I1319" s="8">
        <f t="shared" si="116"/>
        <v>0</v>
      </c>
      <c r="J1319" s="14">
        <f t="shared" si="117"/>
        <v>0</v>
      </c>
      <c r="K1319" s="14">
        <f t="shared" si="118"/>
        <v>0</v>
      </c>
      <c r="L1319" s="14">
        <f t="shared" si="119"/>
        <v>0</v>
      </c>
    </row>
    <row r="1320" spans="1:12" ht="27">
      <c r="A1320" s="3">
        <v>2095</v>
      </c>
      <c r="B1320" s="39">
        <v>52</v>
      </c>
      <c r="C1320" s="7" t="s">
        <v>16</v>
      </c>
      <c r="D1320" s="4" t="s">
        <v>26</v>
      </c>
      <c r="E1320" s="6" t="s">
        <v>141</v>
      </c>
      <c r="F1320" s="12">
        <f>INDEX('PEDIDO JULIO'!A18:AB35,1,28)</f>
        <v>0</v>
      </c>
      <c r="G1320" s="8">
        <f>IFERROR(VLOOKUP($B1320,'[1]INSUMO POR SEDES MARZO PRUEBA'!$B$6:$CD$109,68,0),"NO BD")</f>
        <v>0</v>
      </c>
      <c r="H1320" s="8"/>
      <c r="I1320" s="8">
        <f t="shared" si="116"/>
        <v>0</v>
      </c>
      <c r="J1320" s="14">
        <f t="shared" si="117"/>
        <v>0</v>
      </c>
      <c r="K1320" s="14">
        <f t="shared" si="118"/>
        <v>0</v>
      </c>
      <c r="L1320" s="14">
        <f t="shared" si="119"/>
        <v>0</v>
      </c>
    </row>
    <row r="1321" spans="1:12" ht="15">
      <c r="A1321" s="3">
        <v>2096</v>
      </c>
      <c r="B1321" s="39">
        <v>57</v>
      </c>
      <c r="C1321" s="7" t="s">
        <v>27</v>
      </c>
      <c r="D1321" s="4" t="s">
        <v>28</v>
      </c>
      <c r="E1321" s="6" t="s">
        <v>141</v>
      </c>
      <c r="F1321" s="12">
        <f>INDEX('PEDIDO JULIO'!A18:AB35,1,28)</f>
        <v>0</v>
      </c>
      <c r="G1321" s="8">
        <f>IFERROR(VLOOKUP($B1321,'[1]INSUMO POR SEDES MARZO PRUEBA'!$B$6:$CD$109,68,0),"NO BD")</f>
        <v>27464.2065</v>
      </c>
      <c r="H1321" s="8"/>
      <c r="I1321" s="8">
        <f t="shared" si="116"/>
        <v>0</v>
      </c>
      <c r="J1321" s="14">
        <f t="shared" si="117"/>
        <v>0</v>
      </c>
      <c r="K1321" s="14">
        <f t="shared" si="118"/>
        <v>0</v>
      </c>
      <c r="L1321" s="14">
        <f t="shared" si="119"/>
        <v>0</v>
      </c>
    </row>
    <row r="1322" spans="1:12" ht="15">
      <c r="A1322" s="3">
        <v>2097</v>
      </c>
      <c r="B1322" s="39">
        <v>59</v>
      </c>
      <c r="C1322" s="7" t="s">
        <v>13</v>
      </c>
      <c r="D1322" s="4" t="s">
        <v>29</v>
      </c>
      <c r="E1322" s="6" t="s">
        <v>141</v>
      </c>
      <c r="F1322" s="12">
        <f>INDEX('PEDIDO JULIO'!A19:AB35,1,28)</f>
        <v>0</v>
      </c>
      <c r="G1322" s="8">
        <f>IFERROR(VLOOKUP($B1322,'[1]INSUMO POR SEDES MARZO PRUEBA'!$B$6:$CD$109,68,0),"NO BD")</f>
        <v>0</v>
      </c>
      <c r="H1322" s="8"/>
      <c r="I1322" s="8">
        <f t="shared" si="116"/>
        <v>0</v>
      </c>
      <c r="J1322" s="14">
        <f t="shared" si="117"/>
        <v>0</v>
      </c>
      <c r="K1322" s="14">
        <f t="shared" si="118"/>
        <v>0</v>
      </c>
      <c r="L1322" s="14">
        <f t="shared" si="119"/>
        <v>0</v>
      </c>
    </row>
    <row r="1323" spans="1:12" ht="15">
      <c r="A1323" s="3">
        <v>2098</v>
      </c>
      <c r="B1323" s="39">
        <v>62</v>
      </c>
      <c r="C1323" s="7" t="s">
        <v>13</v>
      </c>
      <c r="D1323" s="4" t="s">
        <v>30</v>
      </c>
      <c r="E1323" s="6" t="s">
        <v>141</v>
      </c>
      <c r="F1323" s="12">
        <f>INDEX('PEDIDO JULIO'!A19:AB35,1,28)</f>
        <v>0</v>
      </c>
      <c r="G1323" s="8">
        <f>IFERROR(VLOOKUP($B1323,'[1]INSUMO POR SEDES MARZO PRUEBA'!$B$6:$CD$109,68,0),"NO BD")</f>
        <v>10100.3202</v>
      </c>
      <c r="H1323" s="8"/>
      <c r="I1323" s="8">
        <f t="shared" si="116"/>
        <v>0</v>
      </c>
      <c r="J1323" s="14">
        <f t="shared" si="117"/>
        <v>0</v>
      </c>
      <c r="K1323" s="14">
        <f t="shared" si="118"/>
        <v>0</v>
      </c>
      <c r="L1323" s="14">
        <f t="shared" si="119"/>
        <v>0</v>
      </c>
    </row>
    <row r="1324" spans="1:12" ht="15">
      <c r="A1324" s="3">
        <v>2099</v>
      </c>
      <c r="B1324" s="39">
        <v>63</v>
      </c>
      <c r="C1324" s="7" t="s">
        <v>13</v>
      </c>
      <c r="D1324" s="4" t="s">
        <v>31</v>
      </c>
      <c r="E1324" s="6" t="s">
        <v>141</v>
      </c>
      <c r="F1324" s="12">
        <f>INDEX('PEDIDO JULIO'!A20:AB35,1,28)</f>
        <v>0</v>
      </c>
      <c r="G1324" s="8">
        <f>IFERROR(VLOOKUP($B1324,'[1]INSUMO POR SEDES MARZO PRUEBA'!$B$6:$CD$109,68,0),"NO BD")</f>
        <v>11443.4982</v>
      </c>
      <c r="H1324" s="8"/>
      <c r="I1324" s="8">
        <f t="shared" si="116"/>
        <v>0</v>
      </c>
      <c r="J1324" s="14">
        <f t="shared" si="117"/>
        <v>0</v>
      </c>
      <c r="K1324" s="14">
        <f t="shared" si="118"/>
        <v>0</v>
      </c>
      <c r="L1324" s="14">
        <f t="shared" si="119"/>
        <v>0</v>
      </c>
    </row>
    <row r="1325" spans="1:12" ht="15">
      <c r="A1325" s="3">
        <v>2100</v>
      </c>
      <c r="B1325" s="39">
        <v>64</v>
      </c>
      <c r="C1325" s="7" t="s">
        <v>13</v>
      </c>
      <c r="D1325" s="4" t="s">
        <v>32</v>
      </c>
      <c r="E1325" s="6" t="s">
        <v>141</v>
      </c>
      <c r="F1325" s="12">
        <f>INDEX('PEDIDO JULIO'!A20:AB35,1,28)</f>
        <v>0</v>
      </c>
      <c r="G1325" s="8">
        <f>IFERROR(VLOOKUP($B1325,'[1]INSUMO POR SEDES MARZO PRUEBA'!$B$6:$CD$109,68,0),"NO BD")</f>
        <v>0</v>
      </c>
      <c r="H1325" s="8"/>
      <c r="I1325" s="8">
        <f t="shared" si="116"/>
        <v>0</v>
      </c>
      <c r="J1325" s="14">
        <f t="shared" si="117"/>
        <v>0</v>
      </c>
      <c r="K1325" s="14">
        <f t="shared" si="118"/>
        <v>0</v>
      </c>
      <c r="L1325" s="14">
        <f t="shared" si="119"/>
        <v>0</v>
      </c>
    </row>
    <row r="1326" spans="1:12" ht="15">
      <c r="A1326" s="3">
        <v>2101</v>
      </c>
      <c r="B1326" s="39">
        <v>65</v>
      </c>
      <c r="C1326" s="7" t="s">
        <v>33</v>
      </c>
      <c r="D1326" s="4" t="s">
        <v>34</v>
      </c>
      <c r="E1326" s="6" t="s">
        <v>141</v>
      </c>
      <c r="F1326" s="12">
        <f>INDEX('PEDIDO JULIO'!A21:AB35,1,28)</f>
        <v>0</v>
      </c>
      <c r="G1326" s="8">
        <f>IFERROR(VLOOKUP($B1326,'[1]INSUMO POR SEDES MARZO PRUEBA'!$B$6:$CD$109,68,0),"NO BD")</f>
        <v>13820.650000000001</v>
      </c>
      <c r="H1326" s="8"/>
      <c r="I1326" s="8">
        <f t="shared" si="116"/>
        <v>0</v>
      </c>
      <c r="J1326" s="14">
        <f t="shared" si="117"/>
        <v>0</v>
      </c>
      <c r="K1326" s="14">
        <f t="shared" si="118"/>
        <v>0</v>
      </c>
      <c r="L1326" s="14">
        <f t="shared" si="119"/>
        <v>0</v>
      </c>
    </row>
    <row r="1327" spans="1:12" ht="15">
      <c r="A1327" s="3">
        <v>2102</v>
      </c>
      <c r="B1327" s="39">
        <v>66</v>
      </c>
      <c r="C1327" s="7" t="s">
        <v>16</v>
      </c>
      <c r="D1327" s="4" t="s">
        <v>35</v>
      </c>
      <c r="E1327" s="6" t="s">
        <v>141</v>
      </c>
      <c r="F1327" s="12">
        <f>INDEX('PEDIDO JULIO'!A22:AB35,1,28)</f>
        <v>0</v>
      </c>
      <c r="G1327" s="8">
        <f>IFERROR(VLOOKUP($B1327,'[1]INSUMO POR SEDES MARZO PRUEBA'!$B$6:$CD$109,68,0),"NO BD")</f>
        <v>4178.9862000000003</v>
      </c>
      <c r="H1327" s="8"/>
      <c r="I1327" s="8">
        <f t="shared" si="116"/>
        <v>0</v>
      </c>
      <c r="J1327" s="14">
        <f t="shared" si="117"/>
        <v>0</v>
      </c>
      <c r="K1327" s="14">
        <f t="shared" si="118"/>
        <v>0</v>
      </c>
      <c r="L1327" s="14">
        <f t="shared" si="119"/>
        <v>0</v>
      </c>
    </row>
    <row r="1328" spans="1:12" ht="15">
      <c r="A1328" s="3">
        <v>2103</v>
      </c>
      <c r="B1328" s="39">
        <v>71</v>
      </c>
      <c r="C1328" s="7" t="s">
        <v>36</v>
      </c>
      <c r="D1328" s="4" t="s">
        <v>37</v>
      </c>
      <c r="E1328" s="6" t="s">
        <v>141</v>
      </c>
      <c r="F1328" s="12">
        <f>INDEX('PEDIDO JULIO'!A23:AB36,1,28)</f>
        <v>0</v>
      </c>
      <c r="G1328" s="8">
        <f>IFERROR(VLOOKUP($B1328,'[1]INSUMO POR SEDES MARZO PRUEBA'!$B$6:$CD$109,68,0),"NO BD")</f>
        <v>7960.6944000000003</v>
      </c>
      <c r="H1328" s="8"/>
      <c r="I1328" s="8">
        <f t="shared" si="116"/>
        <v>0</v>
      </c>
      <c r="J1328" s="14">
        <f t="shared" si="117"/>
        <v>0</v>
      </c>
      <c r="K1328" s="14">
        <f t="shared" si="118"/>
        <v>0</v>
      </c>
      <c r="L1328" s="14">
        <f t="shared" si="119"/>
        <v>0</v>
      </c>
    </row>
    <row r="1329" spans="1:12" ht="15">
      <c r="A1329" s="3">
        <v>2104</v>
      </c>
      <c r="B1329" s="39">
        <v>72</v>
      </c>
      <c r="C1329" s="7" t="s">
        <v>36</v>
      </c>
      <c r="D1329" s="4" t="s">
        <v>38</v>
      </c>
      <c r="E1329" s="6" t="s">
        <v>141</v>
      </c>
      <c r="F1329" s="12">
        <f>INDEX('PEDIDO JULIO'!A23:AB37,1,28)</f>
        <v>0</v>
      </c>
      <c r="G1329" s="8">
        <f>IFERROR(VLOOKUP($B1329,'[1]INSUMO POR SEDES MARZO PRUEBA'!$B$6:$CD$109,68,0),"NO BD")</f>
        <v>7861.3749000000007</v>
      </c>
      <c r="H1329" s="8"/>
      <c r="I1329" s="8">
        <f t="shared" si="116"/>
        <v>0</v>
      </c>
      <c r="J1329" s="14">
        <f t="shared" si="117"/>
        <v>0</v>
      </c>
      <c r="K1329" s="14">
        <f t="shared" si="118"/>
        <v>0</v>
      </c>
      <c r="L1329" s="14">
        <f t="shared" si="119"/>
        <v>0</v>
      </c>
    </row>
    <row r="1330" spans="1:12" ht="15">
      <c r="A1330" s="3">
        <v>2105</v>
      </c>
      <c r="B1330" s="39">
        <v>73</v>
      </c>
      <c r="C1330" s="7" t="s">
        <v>39</v>
      </c>
      <c r="D1330" s="4" t="s">
        <v>40</v>
      </c>
      <c r="E1330" s="6" t="s">
        <v>141</v>
      </c>
      <c r="F1330" s="12">
        <f>INDEX('PEDIDO JULIO'!A24:AB37,1,28)</f>
        <v>10</v>
      </c>
      <c r="G1330" s="8">
        <f>IFERROR(VLOOKUP($B1330,'[1]INSUMO POR SEDES MARZO PRUEBA'!$B$6:$CD$109,68,0),"NO BD")</f>
        <v>21493.685699999998</v>
      </c>
      <c r="H1330" s="8"/>
      <c r="I1330" s="8">
        <f t="shared" si="116"/>
        <v>214936.85699999999</v>
      </c>
      <c r="J1330" s="14">
        <f t="shared" si="117"/>
        <v>21493.685700000002</v>
      </c>
      <c r="K1330" s="14">
        <f t="shared" si="118"/>
        <v>4083.8002830000005</v>
      </c>
      <c r="L1330" s="14">
        <f t="shared" si="119"/>
        <v>240514.34298299998</v>
      </c>
    </row>
    <row r="1331" spans="1:12" ht="15">
      <c r="A1331" s="3">
        <v>2106</v>
      </c>
      <c r="B1331" s="39">
        <v>74</v>
      </c>
      <c r="C1331" s="7" t="s">
        <v>39</v>
      </c>
      <c r="D1331" s="4" t="s">
        <v>41</v>
      </c>
      <c r="E1331" s="6" t="s">
        <v>141</v>
      </c>
      <c r="F1331" s="12">
        <f>INDEX('PEDIDO JULIO'!A25:AB37,1,28)</f>
        <v>0</v>
      </c>
      <c r="G1331" s="8">
        <f>IFERROR(VLOOKUP($B1331,'[1]INSUMO POR SEDES MARZO PRUEBA'!$B$6:$CD$109,68,0),"NO BD")</f>
        <v>6915.4749000000002</v>
      </c>
      <c r="H1331" s="8"/>
      <c r="I1331" s="8">
        <f t="shared" si="116"/>
        <v>0</v>
      </c>
      <c r="J1331" s="14">
        <f t="shared" si="117"/>
        <v>0</v>
      </c>
      <c r="K1331" s="14">
        <f t="shared" si="118"/>
        <v>0</v>
      </c>
      <c r="L1331" s="14">
        <f t="shared" si="119"/>
        <v>0</v>
      </c>
    </row>
    <row r="1332" spans="1:12" ht="15">
      <c r="A1332" s="3">
        <v>2107</v>
      </c>
      <c r="B1332" s="39">
        <v>79</v>
      </c>
      <c r="C1332" s="7" t="s">
        <v>151</v>
      </c>
      <c r="D1332" s="4" t="s">
        <v>42</v>
      </c>
      <c r="E1332" s="6" t="s">
        <v>141</v>
      </c>
      <c r="F1332" s="12">
        <f>INDEX('PEDIDO JULIO'!A26:AB37,1,28)</f>
        <v>0</v>
      </c>
      <c r="G1332" s="8">
        <f>IFERROR(VLOOKUP($B1332,'[1]INSUMO POR SEDES MARZO PRUEBA'!$B$6:$CD$109,68,0),"NO BD")</f>
        <v>935.49510000000009</v>
      </c>
      <c r="H1332" s="8"/>
      <c r="I1332" s="8">
        <f t="shared" si="116"/>
        <v>0</v>
      </c>
      <c r="J1332" s="14">
        <f t="shared" si="117"/>
        <v>0</v>
      </c>
      <c r="K1332" s="14">
        <f t="shared" si="118"/>
        <v>0</v>
      </c>
      <c r="L1332" s="14">
        <f t="shared" si="119"/>
        <v>0</v>
      </c>
    </row>
    <row r="1333" spans="1:12" ht="15">
      <c r="A1333" s="3">
        <v>2108</v>
      </c>
      <c r="B1333" s="39">
        <v>80</v>
      </c>
      <c r="C1333" s="7" t="s">
        <v>151</v>
      </c>
      <c r="D1333" s="4" t="s">
        <v>43</v>
      </c>
      <c r="E1333" s="6" t="s">
        <v>141</v>
      </c>
      <c r="F1333" s="12">
        <f>INDEX('PEDIDO JULIO'!A27:AB37,1,28)</f>
        <v>0</v>
      </c>
      <c r="G1333" s="8">
        <f>IFERROR(VLOOKUP($B1333,'[1]INSUMO POR SEDES MARZO PRUEBA'!$B$6:$CD$109,68,0),"NO BD")</f>
        <v>433.01199999999994</v>
      </c>
      <c r="H1333" s="8"/>
      <c r="I1333" s="8">
        <f t="shared" si="116"/>
        <v>0</v>
      </c>
      <c r="J1333" s="14">
        <f t="shared" si="117"/>
        <v>0</v>
      </c>
      <c r="K1333" s="14">
        <f t="shared" si="118"/>
        <v>0</v>
      </c>
      <c r="L1333" s="14">
        <f t="shared" si="119"/>
        <v>0</v>
      </c>
    </row>
    <row r="1334" spans="1:12" ht="15">
      <c r="A1334" s="3">
        <v>2109</v>
      </c>
      <c r="B1334" s="39">
        <v>81</v>
      </c>
      <c r="C1334" s="7" t="s">
        <v>151</v>
      </c>
      <c r="D1334" s="4" t="s">
        <v>44</v>
      </c>
      <c r="E1334" s="6" t="s">
        <v>141</v>
      </c>
      <c r="F1334" s="12">
        <f>INDEX('PEDIDO JULIO'!A28:AB37,1,28)</f>
        <v>0</v>
      </c>
      <c r="G1334" s="8">
        <f>IFERROR(VLOOKUP($B1334,'[1]INSUMO POR SEDES MARZO PRUEBA'!$B$6:$CD$109,68,0),"NO BD")</f>
        <v>387.81900000000002</v>
      </c>
      <c r="H1334" s="8"/>
      <c r="I1334" s="8">
        <f t="shared" si="116"/>
        <v>0</v>
      </c>
      <c r="J1334" s="14">
        <f t="shared" si="117"/>
        <v>0</v>
      </c>
      <c r="K1334" s="14">
        <f t="shared" si="118"/>
        <v>0</v>
      </c>
      <c r="L1334" s="14">
        <f t="shared" si="119"/>
        <v>0</v>
      </c>
    </row>
    <row r="1335" spans="1:12" ht="40.5">
      <c r="A1335" s="3">
        <v>2110</v>
      </c>
      <c r="B1335" s="39">
        <v>82</v>
      </c>
      <c r="C1335" s="7" t="s">
        <v>151</v>
      </c>
      <c r="D1335" s="4" t="s">
        <v>45</v>
      </c>
      <c r="E1335" s="6" t="s">
        <v>141</v>
      </c>
      <c r="F1335" s="12">
        <f>INDEX('PEDIDO JULIO'!A28:AB37,1,28)</f>
        <v>0</v>
      </c>
      <c r="G1335" s="8">
        <f>IFERROR(VLOOKUP($B1335,'[1]INSUMO POR SEDES MARZO PRUEBA'!$B$6:$CD$109,68,0),"NO BD")</f>
        <v>1003.7049999999999</v>
      </c>
      <c r="H1335" s="8"/>
      <c r="I1335" s="8">
        <f t="shared" si="116"/>
        <v>0</v>
      </c>
      <c r="J1335" s="14">
        <f t="shared" si="117"/>
        <v>0</v>
      </c>
      <c r="K1335" s="14">
        <f t="shared" si="118"/>
        <v>0</v>
      </c>
      <c r="L1335" s="14">
        <f t="shared" si="119"/>
        <v>0</v>
      </c>
    </row>
    <row r="1336" spans="1:12" ht="27">
      <c r="A1336" s="3">
        <v>2111</v>
      </c>
      <c r="B1336" s="39">
        <v>83</v>
      </c>
      <c r="C1336" s="7" t="s">
        <v>46</v>
      </c>
      <c r="D1336" s="4" t="s">
        <v>47</v>
      </c>
      <c r="E1336" s="6" t="s">
        <v>141</v>
      </c>
      <c r="F1336" s="12">
        <f>INDEX('PEDIDO JULIO'!A29:AB37,1,28)</f>
        <v>0</v>
      </c>
      <c r="G1336" s="8">
        <f>IFERROR(VLOOKUP($B1336,'[1]INSUMO POR SEDES MARZO PRUEBA'!$B$6:$CD$109,68,0),"NO BD")</f>
        <v>367.95510000000002</v>
      </c>
      <c r="H1336" s="8"/>
      <c r="I1336" s="8">
        <f t="shared" si="116"/>
        <v>0</v>
      </c>
      <c r="J1336" s="14">
        <f t="shared" si="117"/>
        <v>0</v>
      </c>
      <c r="K1336" s="14">
        <f t="shared" si="118"/>
        <v>0</v>
      </c>
      <c r="L1336" s="14">
        <f t="shared" si="119"/>
        <v>0</v>
      </c>
    </row>
    <row r="1337" spans="1:12" ht="15">
      <c r="A1337" s="3">
        <v>2112</v>
      </c>
      <c r="B1337" s="39">
        <v>88</v>
      </c>
      <c r="C1337" s="7" t="s">
        <v>159</v>
      </c>
      <c r="D1337" s="4" t="s">
        <v>48</v>
      </c>
      <c r="E1337" s="6" t="s">
        <v>141</v>
      </c>
      <c r="F1337" s="12">
        <f>INDEX('PEDIDO JULIO'!A30:AB37,1,28)</f>
        <v>0</v>
      </c>
      <c r="G1337" s="8">
        <f>IFERROR(VLOOKUP($B1337,'[1]INSUMO POR SEDES MARZO PRUEBA'!$B$6:$CD$109,68,0),"NO BD")</f>
        <v>0</v>
      </c>
      <c r="H1337" s="8"/>
      <c r="I1337" s="8">
        <f t="shared" si="116"/>
        <v>0</v>
      </c>
      <c r="J1337" s="14">
        <f t="shared" si="117"/>
        <v>0</v>
      </c>
      <c r="K1337" s="14">
        <f t="shared" si="118"/>
        <v>0</v>
      </c>
      <c r="L1337" s="14">
        <f t="shared" si="119"/>
        <v>0</v>
      </c>
    </row>
    <row r="1338" spans="1:12" ht="15">
      <c r="A1338" s="3">
        <v>2113</v>
      </c>
      <c r="B1338" s="39">
        <v>92</v>
      </c>
      <c r="C1338" s="7" t="s">
        <v>159</v>
      </c>
      <c r="D1338" s="4" t="s">
        <v>49</v>
      </c>
      <c r="E1338" s="6" t="s">
        <v>141</v>
      </c>
      <c r="F1338" s="12">
        <f>INDEX('PEDIDO JULIO'!A31:AB37,1,28)</f>
        <v>0</v>
      </c>
      <c r="G1338" s="8">
        <f>IFERROR(VLOOKUP($B1338,'[1]INSUMO POR SEDES MARZO PRUEBA'!$B$6:$CD$109,68,0),"NO BD")</f>
        <v>2380.5149999999999</v>
      </c>
      <c r="H1338" s="8"/>
      <c r="I1338" s="8">
        <f t="shared" si="116"/>
        <v>0</v>
      </c>
      <c r="J1338" s="14">
        <f t="shared" si="117"/>
        <v>0</v>
      </c>
      <c r="K1338" s="14">
        <f t="shared" si="118"/>
        <v>0</v>
      </c>
      <c r="L1338" s="14">
        <f t="shared" si="119"/>
        <v>0</v>
      </c>
    </row>
    <row r="1339" spans="1:12" ht="15">
      <c r="A1339" s="3">
        <v>2114</v>
      </c>
      <c r="B1339" s="39">
        <v>94</v>
      </c>
      <c r="C1339" s="7" t="s">
        <v>159</v>
      </c>
      <c r="D1339" s="4" t="s">
        <v>50</v>
      </c>
      <c r="E1339" s="6" t="s">
        <v>141</v>
      </c>
      <c r="F1339" s="12">
        <f>INDEX('PEDIDO JULIO'!A32:AB37,1,28)</f>
        <v>0</v>
      </c>
      <c r="G1339" s="8">
        <f>IFERROR(VLOOKUP($B1339,'[1]INSUMO POR SEDES MARZO PRUEBA'!$B$6:$CD$109,68,0),"NO BD")</f>
        <v>3316.9560000000001</v>
      </c>
      <c r="H1339" s="8"/>
      <c r="I1339" s="8">
        <f t="shared" si="116"/>
        <v>0</v>
      </c>
      <c r="J1339" s="14">
        <f t="shared" ref="J1339:J1370" si="120">+I1339*10%</f>
        <v>0</v>
      </c>
      <c r="K1339" s="14">
        <f t="shared" ref="K1339:K1370" si="121">+J1339*19%</f>
        <v>0</v>
      </c>
      <c r="L1339" s="14">
        <f t="shared" ref="L1339:L1370" si="122">SUM(I1339:K1339)</f>
        <v>0</v>
      </c>
    </row>
    <row r="1340" spans="1:12" ht="15">
      <c r="A1340" s="3">
        <v>2115</v>
      </c>
      <c r="B1340" s="39">
        <v>98</v>
      </c>
      <c r="C1340" s="7" t="s">
        <v>159</v>
      </c>
      <c r="D1340" s="4" t="s">
        <v>51</v>
      </c>
      <c r="E1340" s="6" t="s">
        <v>141</v>
      </c>
      <c r="F1340" s="12">
        <f>INDEX('PEDIDO JULIO'!A33:AB37,1,28)</f>
        <v>0</v>
      </c>
      <c r="G1340" s="8">
        <f>IFERROR(VLOOKUP($B1340,'[1]INSUMO POR SEDES MARZO PRUEBA'!$B$6:$CD$109,68,0),"NO BD")</f>
        <v>9503.4573</v>
      </c>
      <c r="H1340" s="8"/>
      <c r="I1340" s="8">
        <f t="shared" si="116"/>
        <v>0</v>
      </c>
      <c r="J1340" s="14">
        <f t="shared" si="120"/>
        <v>0</v>
      </c>
      <c r="K1340" s="14">
        <f t="shared" si="121"/>
        <v>0</v>
      </c>
      <c r="L1340" s="14">
        <f t="shared" si="122"/>
        <v>0</v>
      </c>
    </row>
    <row r="1341" spans="1:12" ht="15">
      <c r="A1341" s="3">
        <v>2116</v>
      </c>
      <c r="B1341" s="39">
        <v>100</v>
      </c>
      <c r="C1341" s="7" t="s">
        <v>159</v>
      </c>
      <c r="D1341" s="4" t="s">
        <v>52</v>
      </c>
      <c r="E1341" s="6" t="s">
        <v>141</v>
      </c>
      <c r="F1341" s="12">
        <f>INDEX('PEDIDO JULIO'!A33:AB38,1,28)</f>
        <v>0</v>
      </c>
      <c r="G1341" s="8">
        <f>IFERROR(VLOOKUP($B1341,'[1]INSUMO POR SEDES MARZO PRUEBA'!$B$6:$CD$109,68,0),"NO BD")</f>
        <v>0</v>
      </c>
      <c r="H1341" s="8"/>
      <c r="I1341" s="8">
        <f t="shared" si="116"/>
        <v>0</v>
      </c>
      <c r="J1341" s="14">
        <f t="shared" si="120"/>
        <v>0</v>
      </c>
      <c r="K1341" s="14">
        <f t="shared" si="121"/>
        <v>0</v>
      </c>
      <c r="L1341" s="14">
        <f t="shared" si="122"/>
        <v>0</v>
      </c>
    </row>
    <row r="1342" spans="1:12" ht="15">
      <c r="A1342" s="3">
        <v>2117</v>
      </c>
      <c r="B1342" s="39">
        <v>102</v>
      </c>
      <c r="C1342" s="7" t="s">
        <v>53</v>
      </c>
      <c r="D1342" s="4" t="s">
        <v>54</v>
      </c>
      <c r="E1342" s="6" t="s">
        <v>141</v>
      </c>
      <c r="F1342" s="12">
        <f>INDEX('PEDIDO JULIO'!A33:AB38,1,28)</f>
        <v>0</v>
      </c>
      <c r="G1342" s="8">
        <f>IFERROR(VLOOKUP($B1342,'[1]INSUMO POR SEDES MARZO PRUEBA'!$B$6:$CD$109,68,0),"NO BD")</f>
        <v>5422.8446999999996</v>
      </c>
      <c r="H1342" s="8"/>
      <c r="I1342" s="8">
        <f t="shared" si="116"/>
        <v>0</v>
      </c>
      <c r="J1342" s="14">
        <f t="shared" si="120"/>
        <v>0</v>
      </c>
      <c r="K1342" s="14">
        <f t="shared" si="121"/>
        <v>0</v>
      </c>
      <c r="L1342" s="14">
        <f t="shared" si="122"/>
        <v>0</v>
      </c>
    </row>
    <row r="1343" spans="1:12" ht="15">
      <c r="A1343" s="3">
        <v>2118</v>
      </c>
      <c r="B1343" s="39">
        <v>110</v>
      </c>
      <c r="C1343" s="7" t="s">
        <v>53</v>
      </c>
      <c r="D1343" s="4" t="s">
        <v>55</v>
      </c>
      <c r="E1343" s="6" t="s">
        <v>141</v>
      </c>
      <c r="F1343" s="12">
        <f>INDEX('PEDIDO JULIO'!A33:AB39,1,28)</f>
        <v>0</v>
      </c>
      <c r="G1343" s="8">
        <f>IFERROR(VLOOKUP($B1343,'[1]INSUMO POR SEDES MARZO PRUEBA'!$B$6:$CD$109,68,0),"NO BD")</f>
        <v>1442.4974999999999</v>
      </c>
      <c r="H1343" s="8"/>
      <c r="I1343" s="8">
        <f t="shared" si="116"/>
        <v>0</v>
      </c>
      <c r="J1343" s="14">
        <f t="shared" si="120"/>
        <v>0</v>
      </c>
      <c r="K1343" s="14">
        <f t="shared" si="121"/>
        <v>0</v>
      </c>
      <c r="L1343" s="14">
        <f t="shared" si="122"/>
        <v>0</v>
      </c>
    </row>
    <row r="1344" spans="1:12" ht="15">
      <c r="A1344" s="3">
        <v>2119</v>
      </c>
      <c r="B1344" s="39">
        <v>118</v>
      </c>
      <c r="C1344" s="7" t="s">
        <v>53</v>
      </c>
      <c r="D1344" s="4" t="s">
        <v>56</v>
      </c>
      <c r="E1344" s="6" t="s">
        <v>141</v>
      </c>
      <c r="F1344" s="12">
        <f>INDEX('PEDIDO JULIO'!A33:AB40,1,28)</f>
        <v>0</v>
      </c>
      <c r="G1344" s="8">
        <f>IFERROR(VLOOKUP($B1344,'[1]INSUMO POR SEDES MARZO PRUEBA'!$B$6:$CD$109,68,0),"NO BD")</f>
        <v>4129.7993999999999</v>
      </c>
      <c r="H1344" s="8"/>
      <c r="I1344" s="8">
        <f t="shared" si="116"/>
        <v>0</v>
      </c>
      <c r="J1344" s="14">
        <f t="shared" si="120"/>
        <v>0</v>
      </c>
      <c r="K1344" s="14">
        <f t="shared" si="121"/>
        <v>0</v>
      </c>
      <c r="L1344" s="14">
        <f t="shared" si="122"/>
        <v>0</v>
      </c>
    </row>
    <row r="1345" spans="1:12" ht="15">
      <c r="A1345" s="3">
        <v>2120</v>
      </c>
      <c r="B1345" s="39">
        <v>119</v>
      </c>
      <c r="C1345" s="7" t="s">
        <v>53</v>
      </c>
      <c r="D1345" s="4" t="s">
        <v>57</v>
      </c>
      <c r="E1345" s="6" t="s">
        <v>141</v>
      </c>
      <c r="F1345" s="12">
        <f>INDEX('PEDIDO JULIO'!A33:AB40,1,28)</f>
        <v>0</v>
      </c>
      <c r="G1345" s="8">
        <f>IFERROR(VLOOKUP($B1345,'[1]INSUMO POR SEDES MARZO PRUEBA'!$B$6:$CD$109,68,0),"NO BD")</f>
        <v>2821.9350000000004</v>
      </c>
      <c r="H1345" s="8"/>
      <c r="I1345" s="8">
        <f t="shared" si="116"/>
        <v>0</v>
      </c>
      <c r="J1345" s="14">
        <f t="shared" si="120"/>
        <v>0</v>
      </c>
      <c r="K1345" s="14">
        <f t="shared" si="121"/>
        <v>0</v>
      </c>
      <c r="L1345" s="14">
        <f t="shared" si="122"/>
        <v>0</v>
      </c>
    </row>
    <row r="1346" spans="1:12" ht="27">
      <c r="A1346" s="3">
        <v>2121</v>
      </c>
      <c r="B1346" s="39">
        <v>120</v>
      </c>
      <c r="C1346" s="7" t="s">
        <v>160</v>
      </c>
      <c r="D1346" s="4" t="s">
        <v>58</v>
      </c>
      <c r="E1346" s="6" t="s">
        <v>141</v>
      </c>
      <c r="F1346" s="12">
        <f>INDEX('PEDIDO JULIO'!A33:AB40,1,28)</f>
        <v>0</v>
      </c>
      <c r="G1346" s="8">
        <f>IFERROR(VLOOKUP($B1346,'[1]INSUMO POR SEDES MARZO PRUEBA'!$B$6:$CD$109,68,0),"NO BD")</f>
        <v>4259.3877000000002</v>
      </c>
      <c r="H1346" s="8"/>
      <c r="I1346" s="8">
        <f t="shared" si="116"/>
        <v>0</v>
      </c>
      <c r="J1346" s="14">
        <f t="shared" si="120"/>
        <v>0</v>
      </c>
      <c r="K1346" s="14">
        <f t="shared" si="121"/>
        <v>0</v>
      </c>
      <c r="L1346" s="14">
        <f t="shared" si="122"/>
        <v>0</v>
      </c>
    </row>
    <row r="1347" spans="1:12" ht="15">
      <c r="A1347" s="3">
        <v>2122</v>
      </c>
      <c r="B1347" s="39">
        <v>122</v>
      </c>
      <c r="C1347" s="7" t="s">
        <v>160</v>
      </c>
      <c r="D1347" s="4" t="s">
        <v>59</v>
      </c>
      <c r="E1347" s="6" t="s">
        <v>141</v>
      </c>
      <c r="F1347" s="12">
        <f>INDEX('PEDIDO JULIO'!A33:AB41,1,28)</f>
        <v>0</v>
      </c>
      <c r="G1347" s="8">
        <f>IFERROR(VLOOKUP($B1347,'[1]INSUMO POR SEDES MARZO PRUEBA'!$B$6:$CD$109,68,0),"NO BD")</f>
        <v>5920.3881000000001</v>
      </c>
      <c r="H1347" s="8"/>
      <c r="I1347" s="8">
        <f t="shared" si="116"/>
        <v>0</v>
      </c>
      <c r="J1347" s="14">
        <f t="shared" si="120"/>
        <v>0</v>
      </c>
      <c r="K1347" s="14">
        <f t="shared" si="121"/>
        <v>0</v>
      </c>
      <c r="L1347" s="14">
        <f t="shared" si="122"/>
        <v>0</v>
      </c>
    </row>
    <row r="1348" spans="1:12" ht="15">
      <c r="A1348" s="3">
        <v>2123</v>
      </c>
      <c r="B1348" s="39">
        <v>123</v>
      </c>
      <c r="C1348" s="7" t="s">
        <v>60</v>
      </c>
      <c r="D1348" s="4" t="s">
        <v>61</v>
      </c>
      <c r="E1348" s="6" t="s">
        <v>141</v>
      </c>
      <c r="F1348" s="12">
        <f>INDEX('PEDIDO JULIO'!A33:AB41,1,28)</f>
        <v>0</v>
      </c>
      <c r="G1348" s="8">
        <f>IFERROR(VLOOKUP($B1348,'[1]INSUMO POR SEDES MARZO PRUEBA'!$B$6:$CD$109,68,0),"NO BD")</f>
        <v>6169.1598000000004</v>
      </c>
      <c r="H1348" s="8"/>
      <c r="I1348" s="8">
        <f t="shared" si="116"/>
        <v>0</v>
      </c>
      <c r="J1348" s="14">
        <f t="shared" si="120"/>
        <v>0</v>
      </c>
      <c r="K1348" s="14">
        <f t="shared" si="121"/>
        <v>0</v>
      </c>
      <c r="L1348" s="14">
        <f t="shared" si="122"/>
        <v>0</v>
      </c>
    </row>
    <row r="1349" spans="1:12" ht="15">
      <c r="A1349" s="3">
        <v>2124</v>
      </c>
      <c r="B1349" s="39">
        <v>124</v>
      </c>
      <c r="C1349" s="7" t="s">
        <v>60</v>
      </c>
      <c r="D1349" s="4" t="s">
        <v>62</v>
      </c>
      <c r="E1349" s="6" t="s">
        <v>141</v>
      </c>
      <c r="F1349" s="12">
        <f>INDEX('PEDIDO JULIO'!A33:AB42,1,28)</f>
        <v>0</v>
      </c>
      <c r="G1349" s="8">
        <f>IFERROR(VLOOKUP($B1349,'[1]INSUMO POR SEDES MARZO PRUEBA'!$B$6:$CD$109,68,0),"NO BD")</f>
        <v>6169.1598000000004</v>
      </c>
      <c r="H1349" s="8"/>
      <c r="I1349" s="8">
        <f t="shared" si="116"/>
        <v>0</v>
      </c>
      <c r="J1349" s="14">
        <f t="shared" si="120"/>
        <v>0</v>
      </c>
      <c r="K1349" s="14">
        <f t="shared" si="121"/>
        <v>0</v>
      </c>
      <c r="L1349" s="14">
        <f t="shared" si="122"/>
        <v>0</v>
      </c>
    </row>
    <row r="1350" spans="1:12" ht="15">
      <c r="A1350" s="3">
        <v>2125</v>
      </c>
      <c r="B1350" s="39">
        <v>137</v>
      </c>
      <c r="C1350" s="7" t="s">
        <v>151</v>
      </c>
      <c r="D1350" s="4" t="s">
        <v>63</v>
      </c>
      <c r="E1350" s="6" t="s">
        <v>141</v>
      </c>
      <c r="F1350" s="12">
        <f>INDEX('PEDIDO JULIO'!A33:AB42,1,28)</f>
        <v>0</v>
      </c>
      <c r="G1350" s="8">
        <f>IFERROR(VLOOKUP($B1350,'[1]INSUMO POR SEDES MARZO PRUEBA'!$B$6:$CD$109,68,0),"NO BD")</f>
        <v>0</v>
      </c>
      <c r="H1350" s="8"/>
      <c r="I1350" s="8">
        <f t="shared" ref="I1350:I1413" si="123">+F1350*G1350</f>
        <v>0</v>
      </c>
      <c r="J1350" s="14">
        <f t="shared" si="120"/>
        <v>0</v>
      </c>
      <c r="K1350" s="14">
        <f t="shared" si="121"/>
        <v>0</v>
      </c>
      <c r="L1350" s="14">
        <f t="shared" si="122"/>
        <v>0</v>
      </c>
    </row>
    <row r="1351" spans="1:12" ht="15">
      <c r="A1351" s="3">
        <v>2126</v>
      </c>
      <c r="B1351" s="39">
        <v>139</v>
      </c>
      <c r="C1351" s="7" t="s">
        <v>160</v>
      </c>
      <c r="D1351" s="4" t="s">
        <v>64</v>
      </c>
      <c r="E1351" s="6" t="s">
        <v>141</v>
      </c>
      <c r="F1351" s="12">
        <f>INDEX('PEDIDO JULIO'!A33:AB42,1,28)</f>
        <v>0</v>
      </c>
      <c r="G1351" s="8">
        <f>IFERROR(VLOOKUP($B1351,'[1]INSUMO POR SEDES MARZO PRUEBA'!$B$6:$CD$109,68,0),"NO BD")</f>
        <v>25429.996000000003</v>
      </c>
      <c r="H1351" s="8"/>
      <c r="I1351" s="8">
        <f t="shared" si="123"/>
        <v>0</v>
      </c>
      <c r="J1351" s="14">
        <f t="shared" si="120"/>
        <v>0</v>
      </c>
      <c r="K1351" s="14">
        <f t="shared" si="121"/>
        <v>0</v>
      </c>
      <c r="L1351" s="14">
        <f t="shared" si="122"/>
        <v>0</v>
      </c>
    </row>
    <row r="1352" spans="1:12" ht="27">
      <c r="A1352" s="3">
        <v>2127</v>
      </c>
      <c r="B1352" s="39">
        <v>151</v>
      </c>
      <c r="C1352" s="7" t="s">
        <v>60</v>
      </c>
      <c r="D1352" s="4" t="s">
        <v>65</v>
      </c>
      <c r="E1352" s="6" t="s">
        <v>141</v>
      </c>
      <c r="F1352" s="12">
        <f>INDEX('PEDIDO JULIO'!A33:AB42,1,28)</f>
        <v>0</v>
      </c>
      <c r="G1352" s="8">
        <f>IFERROR(VLOOKUP($B1352,'[1]INSUMO POR SEDES MARZO PRUEBA'!$B$6:$CD$109,68,0),"NO BD")</f>
        <v>4422.6080000000002</v>
      </c>
      <c r="H1352" s="8"/>
      <c r="I1352" s="8">
        <f t="shared" si="123"/>
        <v>0</v>
      </c>
      <c r="J1352" s="14">
        <f t="shared" si="120"/>
        <v>0</v>
      </c>
      <c r="K1352" s="14">
        <f t="shared" si="121"/>
        <v>0</v>
      </c>
      <c r="L1352" s="14">
        <f t="shared" si="122"/>
        <v>0</v>
      </c>
    </row>
    <row r="1353" spans="1:12" ht="15">
      <c r="A1353" s="3">
        <v>2128</v>
      </c>
      <c r="B1353" s="39">
        <v>155</v>
      </c>
      <c r="C1353" s="7" t="s">
        <v>66</v>
      </c>
      <c r="D1353" s="4" t="s">
        <v>67</v>
      </c>
      <c r="E1353" s="6" t="s">
        <v>141</v>
      </c>
      <c r="F1353" s="12">
        <f>INDEX('PEDIDO JULIO'!A33:AB43,1,28)</f>
        <v>0</v>
      </c>
      <c r="G1353" s="8">
        <f>IFERROR(VLOOKUP($B1353,'[1]INSUMO POR SEDES MARZO PRUEBA'!$B$6:$CD$109,68,0),"NO BD")</f>
        <v>3703.7239999999997</v>
      </c>
      <c r="H1353" s="8"/>
      <c r="I1353" s="8">
        <f t="shared" si="123"/>
        <v>0</v>
      </c>
      <c r="J1353" s="14">
        <f t="shared" si="120"/>
        <v>0</v>
      </c>
      <c r="K1353" s="14">
        <f t="shared" si="121"/>
        <v>0</v>
      </c>
      <c r="L1353" s="14">
        <f t="shared" si="122"/>
        <v>0</v>
      </c>
    </row>
    <row r="1354" spans="1:12" ht="15">
      <c r="A1354" s="3">
        <v>2129</v>
      </c>
      <c r="B1354" s="39">
        <v>156</v>
      </c>
      <c r="C1354" s="7" t="s">
        <v>66</v>
      </c>
      <c r="D1354" s="4" t="s">
        <v>68</v>
      </c>
      <c r="E1354" s="6" t="s">
        <v>141</v>
      </c>
      <c r="F1354" s="12">
        <f>INDEX('PEDIDO JULIO'!A33:AB43,1,28)</f>
        <v>0</v>
      </c>
      <c r="G1354" s="8">
        <f>IFERROR(VLOOKUP($B1354,'[1]INSUMO POR SEDES MARZO PRUEBA'!$B$6:$CD$109,68,0),"NO BD")</f>
        <v>7711.9227000000001</v>
      </c>
      <c r="H1354" s="8"/>
      <c r="I1354" s="8">
        <f t="shared" si="123"/>
        <v>0</v>
      </c>
      <c r="J1354" s="14">
        <f t="shared" si="120"/>
        <v>0</v>
      </c>
      <c r="K1354" s="14">
        <f t="shared" si="121"/>
        <v>0</v>
      </c>
      <c r="L1354" s="14">
        <f t="shared" si="122"/>
        <v>0</v>
      </c>
    </row>
    <row r="1355" spans="1:12" ht="15">
      <c r="A1355" s="3">
        <v>2130</v>
      </c>
      <c r="B1355" s="39">
        <v>157</v>
      </c>
      <c r="C1355" s="7" t="s">
        <v>66</v>
      </c>
      <c r="D1355" s="4" t="s">
        <v>69</v>
      </c>
      <c r="E1355" s="6" t="s">
        <v>141</v>
      </c>
      <c r="F1355" s="12">
        <f>INDEX('PEDIDO JULIO'!A33:AB43,1,28)</f>
        <v>0</v>
      </c>
      <c r="G1355" s="8">
        <f>IFERROR(VLOOKUP($B1355,'[1]INSUMO POR SEDES MARZO PRUEBA'!$B$6:$CD$109,68,0),"NO BD")</f>
        <v>8955.7812000000013</v>
      </c>
      <c r="H1355" s="8"/>
      <c r="I1355" s="8">
        <f t="shared" si="123"/>
        <v>0</v>
      </c>
      <c r="J1355" s="14">
        <f t="shared" si="120"/>
        <v>0</v>
      </c>
      <c r="K1355" s="14">
        <f t="shared" si="121"/>
        <v>0</v>
      </c>
      <c r="L1355" s="14">
        <f t="shared" si="122"/>
        <v>0</v>
      </c>
    </row>
    <row r="1356" spans="1:12" ht="15">
      <c r="A1356" s="3">
        <v>2131</v>
      </c>
      <c r="B1356" s="39">
        <v>159</v>
      </c>
      <c r="C1356" s="7" t="s">
        <v>66</v>
      </c>
      <c r="D1356" s="4" t="s">
        <v>70</v>
      </c>
      <c r="E1356" s="6" t="s">
        <v>141</v>
      </c>
      <c r="F1356" s="12">
        <f>INDEX('PEDIDO JULIO'!A33:AB44,1,28)</f>
        <v>0</v>
      </c>
      <c r="G1356" s="8">
        <f>IFERROR(VLOOKUP($B1356,'[1]INSUMO POR SEDES MARZO PRUEBA'!$B$6:$CD$109,68,0),"NO BD")</f>
        <v>6716.8359</v>
      </c>
      <c r="H1356" s="8"/>
      <c r="I1356" s="8">
        <f t="shared" si="123"/>
        <v>0</v>
      </c>
      <c r="J1356" s="14">
        <f t="shared" si="120"/>
        <v>0</v>
      </c>
      <c r="K1356" s="14">
        <f t="shared" si="121"/>
        <v>0</v>
      </c>
      <c r="L1356" s="14">
        <f t="shared" si="122"/>
        <v>0</v>
      </c>
    </row>
    <row r="1357" spans="1:12" ht="15">
      <c r="A1357" s="3">
        <v>2132</v>
      </c>
      <c r="B1357" s="39">
        <v>160</v>
      </c>
      <c r="C1357" s="7" t="s">
        <v>66</v>
      </c>
      <c r="D1357" s="4" t="s">
        <v>71</v>
      </c>
      <c r="E1357" s="6" t="s">
        <v>141</v>
      </c>
      <c r="F1357" s="12">
        <f>INDEX('PEDIDO JULIO'!A33:AB44,1,28)</f>
        <v>0</v>
      </c>
      <c r="G1357" s="8">
        <f>IFERROR(VLOOKUP($B1357,'[1]INSUMO POR SEDES MARZO PRUEBA'!$B$6:$CD$109,68,0),"NO BD")</f>
        <v>3035.3931000000002</v>
      </c>
      <c r="H1357" s="8"/>
      <c r="I1357" s="8">
        <f t="shared" si="123"/>
        <v>0</v>
      </c>
      <c r="J1357" s="14">
        <f t="shared" si="120"/>
        <v>0</v>
      </c>
      <c r="K1357" s="14">
        <f t="shared" si="121"/>
        <v>0</v>
      </c>
      <c r="L1357" s="14">
        <f t="shared" si="122"/>
        <v>0</v>
      </c>
    </row>
    <row r="1358" spans="1:12" ht="15">
      <c r="A1358" s="3">
        <v>2133</v>
      </c>
      <c r="B1358" s="39">
        <v>162</v>
      </c>
      <c r="C1358" s="7" t="s">
        <v>66</v>
      </c>
      <c r="D1358" s="4" t="s">
        <v>72</v>
      </c>
      <c r="E1358" s="6" t="s">
        <v>141</v>
      </c>
      <c r="F1358" s="12">
        <f>INDEX('PEDIDO JULIO'!A33:AB44,1,28)</f>
        <v>0</v>
      </c>
      <c r="G1358" s="8">
        <f>IFERROR(VLOOKUP($B1358,'[1]INSUMO POR SEDES MARZO PRUEBA'!$B$6:$CD$109,68,0),"NO BD")</f>
        <v>4030.4798999999998</v>
      </c>
      <c r="H1358" s="8"/>
      <c r="I1358" s="8">
        <f t="shared" si="123"/>
        <v>0</v>
      </c>
      <c r="J1358" s="14">
        <f t="shared" si="120"/>
        <v>0</v>
      </c>
      <c r="K1358" s="14">
        <f t="shared" si="121"/>
        <v>0</v>
      </c>
      <c r="L1358" s="14">
        <f t="shared" si="122"/>
        <v>0</v>
      </c>
    </row>
    <row r="1359" spans="1:12" ht="15">
      <c r="A1359" s="3">
        <v>2134</v>
      </c>
      <c r="B1359" s="39">
        <v>164</v>
      </c>
      <c r="C1359" s="7" t="s">
        <v>158</v>
      </c>
      <c r="D1359" s="4" t="s">
        <v>73</v>
      </c>
      <c r="E1359" s="6" t="s">
        <v>141</v>
      </c>
      <c r="F1359" s="12">
        <f>INDEX('PEDIDO JULIO'!A33:AB44,1,28)</f>
        <v>0</v>
      </c>
      <c r="G1359" s="8">
        <f>IFERROR(VLOOKUP($B1359,'[1]INSUMO POR SEDES MARZO PRUEBA'!$B$6:$CD$109,68,0),"NO BD")</f>
        <v>0</v>
      </c>
      <c r="H1359" s="8"/>
      <c r="I1359" s="8">
        <f t="shared" si="123"/>
        <v>0</v>
      </c>
      <c r="J1359" s="14">
        <f t="shared" si="120"/>
        <v>0</v>
      </c>
      <c r="K1359" s="14">
        <f t="shared" si="121"/>
        <v>0</v>
      </c>
      <c r="L1359" s="14">
        <f t="shared" si="122"/>
        <v>0</v>
      </c>
    </row>
    <row r="1360" spans="1:12" ht="15">
      <c r="A1360" s="3">
        <v>2135</v>
      </c>
      <c r="B1360" s="39">
        <v>169</v>
      </c>
      <c r="C1360" s="7" t="s">
        <v>158</v>
      </c>
      <c r="D1360" s="4" t="s">
        <v>74</v>
      </c>
      <c r="E1360" s="6" t="s">
        <v>141</v>
      </c>
      <c r="F1360" s="12">
        <f>INDEX('PEDIDO JULIO'!A33:AB45,1,28)</f>
        <v>0</v>
      </c>
      <c r="G1360" s="8">
        <f>IFERROR(VLOOKUP($B1360,'[1]INSUMO POR SEDES MARZO PRUEBA'!$B$6:$CD$109,68,0),"NO BD")</f>
        <v>0</v>
      </c>
      <c r="H1360" s="8"/>
      <c r="I1360" s="8">
        <f t="shared" si="123"/>
        <v>0</v>
      </c>
      <c r="J1360" s="14">
        <f t="shared" si="120"/>
        <v>0</v>
      </c>
      <c r="K1360" s="14">
        <f t="shared" si="121"/>
        <v>0</v>
      </c>
      <c r="L1360" s="14">
        <f t="shared" si="122"/>
        <v>0</v>
      </c>
    </row>
    <row r="1361" spans="1:12" ht="15">
      <c r="A1361" s="3">
        <v>2136</v>
      </c>
      <c r="B1361" s="39">
        <v>170</v>
      </c>
      <c r="C1361" s="7" t="s">
        <v>158</v>
      </c>
      <c r="D1361" s="4" t="s">
        <v>75</v>
      </c>
      <c r="E1361" s="6" t="s">
        <v>141</v>
      </c>
      <c r="F1361" s="12">
        <f>INDEX('PEDIDO JULIO'!A33:AB46,1,28)</f>
        <v>0</v>
      </c>
      <c r="G1361" s="8">
        <f>IFERROR(VLOOKUP($B1361,'[1]INSUMO POR SEDES MARZO PRUEBA'!$B$6:$CD$109,68,0),"NO BD")</f>
        <v>45575.353799999997</v>
      </c>
      <c r="H1361" s="8"/>
      <c r="I1361" s="8">
        <f t="shared" si="123"/>
        <v>0</v>
      </c>
      <c r="J1361" s="14">
        <f t="shared" si="120"/>
        <v>0</v>
      </c>
      <c r="K1361" s="14">
        <f t="shared" si="121"/>
        <v>0</v>
      </c>
      <c r="L1361" s="14">
        <f t="shared" si="122"/>
        <v>0</v>
      </c>
    </row>
    <row r="1362" spans="1:12" ht="15">
      <c r="A1362" s="3">
        <v>2137</v>
      </c>
      <c r="B1362" s="39">
        <v>174</v>
      </c>
      <c r="C1362" s="7" t="s">
        <v>158</v>
      </c>
      <c r="D1362" s="4" t="s">
        <v>76</v>
      </c>
      <c r="E1362" s="6" t="s">
        <v>141</v>
      </c>
      <c r="F1362" s="12">
        <f>INDEX('PEDIDO JULIO'!A33:AB47,1,28)</f>
        <v>0</v>
      </c>
      <c r="G1362" s="8">
        <f>IFERROR(VLOOKUP($B1362,'[1]INSUMO POR SEDES MARZO PRUEBA'!$B$6:$CD$109,68,0),"NO BD")</f>
        <v>10050.1875</v>
      </c>
      <c r="H1362" s="8"/>
      <c r="I1362" s="8">
        <f t="shared" si="123"/>
        <v>0</v>
      </c>
      <c r="J1362" s="14">
        <f t="shared" si="120"/>
        <v>0</v>
      </c>
      <c r="K1362" s="14">
        <f t="shared" si="121"/>
        <v>0</v>
      </c>
      <c r="L1362" s="14">
        <f t="shared" si="122"/>
        <v>0</v>
      </c>
    </row>
    <row r="1363" spans="1:12" ht="15">
      <c r="A1363" s="3">
        <v>2138</v>
      </c>
      <c r="B1363" s="39">
        <v>192</v>
      </c>
      <c r="C1363" s="7" t="s">
        <v>158</v>
      </c>
      <c r="D1363" s="4" t="s">
        <v>77</v>
      </c>
      <c r="E1363" s="6" t="s">
        <v>141</v>
      </c>
      <c r="F1363" s="12">
        <f>INDEX('PEDIDO JULIO'!A33:AB47,1,28)</f>
        <v>0</v>
      </c>
      <c r="G1363" s="8">
        <f>IFERROR(VLOOKUP($B1363,'[1]INSUMO POR SEDES MARZO PRUEBA'!$B$6:$CD$109,68,0),"NO BD")</f>
        <v>6866.2880999999998</v>
      </c>
      <c r="H1363" s="8"/>
      <c r="I1363" s="8">
        <f t="shared" si="123"/>
        <v>0</v>
      </c>
      <c r="J1363" s="14">
        <f t="shared" si="120"/>
        <v>0</v>
      </c>
      <c r="K1363" s="14">
        <f t="shared" si="121"/>
        <v>0</v>
      </c>
      <c r="L1363" s="14">
        <f t="shared" si="122"/>
        <v>0</v>
      </c>
    </row>
    <row r="1364" spans="1:12" ht="15">
      <c r="A1364" s="3">
        <v>2139</v>
      </c>
      <c r="B1364" s="39">
        <v>195</v>
      </c>
      <c r="C1364" s="7" t="s">
        <v>158</v>
      </c>
      <c r="D1364" s="4" t="s">
        <v>78</v>
      </c>
      <c r="E1364" s="6" t="s">
        <v>141</v>
      </c>
      <c r="F1364" s="12">
        <f>INDEX('PEDIDO JULIO'!A33:AB47,1,28)</f>
        <v>0</v>
      </c>
      <c r="G1364" s="8">
        <f>IFERROR(VLOOKUP($B1364,'[1]INSUMO POR SEDES MARZO PRUEBA'!$B$6:$CD$109,68,0),"NO BD")</f>
        <v>6431.0690000000004</v>
      </c>
      <c r="H1364" s="8"/>
      <c r="I1364" s="8">
        <f t="shared" si="123"/>
        <v>0</v>
      </c>
      <c r="J1364" s="14">
        <f t="shared" si="120"/>
        <v>0</v>
      </c>
      <c r="K1364" s="14">
        <f t="shared" si="121"/>
        <v>0</v>
      </c>
      <c r="L1364" s="14">
        <f t="shared" si="122"/>
        <v>0</v>
      </c>
    </row>
    <row r="1365" spans="1:12" ht="15">
      <c r="A1365" s="3">
        <v>2140</v>
      </c>
      <c r="B1365" s="39">
        <v>204</v>
      </c>
      <c r="C1365" s="7" t="s">
        <v>158</v>
      </c>
      <c r="D1365" s="4" t="s">
        <v>79</v>
      </c>
      <c r="E1365" s="6" t="s">
        <v>141</v>
      </c>
      <c r="F1365" s="12">
        <f>INDEX('PEDIDO JULIO'!A33:AB47,1,28)</f>
        <v>0</v>
      </c>
      <c r="G1365" s="8">
        <f>IFERROR(VLOOKUP($B1365,'[1]INSUMO POR SEDES MARZO PRUEBA'!$B$6:$CD$109,68,0),"NO BD")</f>
        <v>14760.243999999999</v>
      </c>
      <c r="H1365" s="8"/>
      <c r="I1365" s="8">
        <f t="shared" si="123"/>
        <v>0</v>
      </c>
      <c r="J1365" s="14">
        <f t="shared" si="120"/>
        <v>0</v>
      </c>
      <c r="K1365" s="14">
        <f t="shared" si="121"/>
        <v>0</v>
      </c>
      <c r="L1365" s="14">
        <f t="shared" si="122"/>
        <v>0</v>
      </c>
    </row>
    <row r="1366" spans="1:12" ht="15">
      <c r="A1366" s="3">
        <v>2141</v>
      </c>
      <c r="B1366" s="39">
        <v>205</v>
      </c>
      <c r="C1366" s="7" t="s">
        <v>158</v>
      </c>
      <c r="D1366" s="4" t="s">
        <v>80</v>
      </c>
      <c r="E1366" s="6" t="s">
        <v>141</v>
      </c>
      <c r="F1366" s="12">
        <f>INDEX('PEDIDO JULIO'!A33:AB47,1,28)</f>
        <v>0</v>
      </c>
      <c r="G1366" s="8">
        <f>IFERROR(VLOOKUP($B1366,'[1]INSUMO POR SEDES MARZO PRUEBA'!$B$6:$CD$109,68,0),"NO BD")</f>
        <v>32639.225399999996</v>
      </c>
      <c r="H1366" s="8"/>
      <c r="I1366" s="8">
        <f t="shared" si="123"/>
        <v>0</v>
      </c>
      <c r="J1366" s="14">
        <f t="shared" si="120"/>
        <v>0</v>
      </c>
      <c r="K1366" s="14">
        <f t="shared" si="121"/>
        <v>0</v>
      </c>
      <c r="L1366" s="14">
        <f t="shared" si="122"/>
        <v>0</v>
      </c>
    </row>
    <row r="1367" spans="1:12" ht="15">
      <c r="A1367" s="3">
        <v>2142</v>
      </c>
      <c r="B1367" s="39">
        <v>207</v>
      </c>
      <c r="C1367" s="7" t="s">
        <v>158</v>
      </c>
      <c r="D1367" s="4" t="s">
        <v>81</v>
      </c>
      <c r="E1367" s="6" t="s">
        <v>141</v>
      </c>
      <c r="F1367" s="12">
        <f>INDEX('PEDIDO JULIO'!A33:AB47,1,28)</f>
        <v>0</v>
      </c>
      <c r="G1367" s="8">
        <f>IFERROR(VLOOKUP($B1367,'[1]INSUMO POR SEDES MARZO PRUEBA'!$B$6:$CD$109,68,0),"NO BD")</f>
        <v>0</v>
      </c>
      <c r="H1367" s="8"/>
      <c r="I1367" s="8">
        <f t="shared" si="123"/>
        <v>0</v>
      </c>
      <c r="J1367" s="14">
        <f t="shared" si="120"/>
        <v>0</v>
      </c>
      <c r="K1367" s="14">
        <f t="shared" si="121"/>
        <v>0</v>
      </c>
      <c r="L1367" s="14">
        <f t="shared" si="122"/>
        <v>0</v>
      </c>
    </row>
    <row r="1368" spans="1:12" ht="15">
      <c r="A1368" s="3">
        <v>2143</v>
      </c>
      <c r="B1368" s="39">
        <v>212</v>
      </c>
      <c r="C1368" s="7" t="s">
        <v>158</v>
      </c>
      <c r="D1368" s="4" t="s">
        <v>82</v>
      </c>
      <c r="E1368" s="6" t="s">
        <v>141</v>
      </c>
      <c r="F1368" s="12">
        <f>INDEX('PEDIDO JULIO'!A33:AB47,1,28)</f>
        <v>0</v>
      </c>
      <c r="G1368" s="8">
        <f>IFERROR(VLOOKUP($B1368,'[1]INSUMO POR SEDES MARZO PRUEBA'!$B$6:$CD$109,68,0),"NO BD")</f>
        <v>0</v>
      </c>
      <c r="H1368" s="8"/>
      <c r="I1368" s="8">
        <f t="shared" si="123"/>
        <v>0</v>
      </c>
      <c r="J1368" s="14">
        <f t="shared" si="120"/>
        <v>0</v>
      </c>
      <c r="K1368" s="14">
        <f t="shared" si="121"/>
        <v>0</v>
      </c>
      <c r="L1368" s="14">
        <f t="shared" si="122"/>
        <v>0</v>
      </c>
    </row>
    <row r="1369" spans="1:12" ht="15">
      <c r="A1369" s="3">
        <v>2144</v>
      </c>
      <c r="B1369" s="39">
        <v>218</v>
      </c>
      <c r="C1369" s="7" t="s">
        <v>158</v>
      </c>
      <c r="D1369" s="4" t="s">
        <v>83</v>
      </c>
      <c r="E1369" s="6" t="s">
        <v>141</v>
      </c>
      <c r="F1369" s="12">
        <f>INDEX('PEDIDO JULIO'!A33:AB47,1,28)</f>
        <v>0</v>
      </c>
      <c r="G1369" s="8">
        <f>IFERROR(VLOOKUP($B1369,'[1]INSUMO POR SEDES MARZO PRUEBA'!$B$6:$CD$109,68,0),"NO BD")</f>
        <v>2587.0365000000002</v>
      </c>
      <c r="H1369" s="8"/>
      <c r="I1369" s="8">
        <f t="shared" si="123"/>
        <v>0</v>
      </c>
      <c r="J1369" s="14">
        <f t="shared" si="120"/>
        <v>0</v>
      </c>
      <c r="K1369" s="14">
        <f t="shared" si="121"/>
        <v>0</v>
      </c>
      <c r="L1369" s="14">
        <f t="shared" si="122"/>
        <v>0</v>
      </c>
    </row>
    <row r="1370" spans="1:12" ht="15">
      <c r="A1370" s="3">
        <v>2145</v>
      </c>
      <c r="B1370" s="39">
        <v>251</v>
      </c>
      <c r="C1370" s="7" t="s">
        <v>158</v>
      </c>
      <c r="D1370" s="4" t="s">
        <v>84</v>
      </c>
      <c r="E1370" s="6" t="s">
        <v>141</v>
      </c>
      <c r="F1370" s="12">
        <f>INDEX('PEDIDO JULIO'!A33:AB47,1,28)</f>
        <v>0</v>
      </c>
      <c r="G1370" s="8">
        <f>IFERROR(VLOOKUP($B1370,'[1]INSUMO POR SEDES MARZO PRUEBA'!$B$6:$CD$109,68,0),"NO BD")</f>
        <v>0</v>
      </c>
      <c r="H1370" s="8"/>
      <c r="I1370" s="8">
        <f t="shared" si="123"/>
        <v>0</v>
      </c>
      <c r="J1370" s="14">
        <f t="shared" si="120"/>
        <v>0</v>
      </c>
      <c r="K1370" s="14">
        <f t="shared" si="121"/>
        <v>0</v>
      </c>
      <c r="L1370" s="14">
        <f t="shared" si="122"/>
        <v>0</v>
      </c>
    </row>
    <row r="1371" spans="1:12" ht="27">
      <c r="A1371" s="3">
        <v>2198</v>
      </c>
      <c r="B1371" s="26">
        <v>3</v>
      </c>
      <c r="C1371" s="7" t="s">
        <v>155</v>
      </c>
      <c r="D1371" s="4" t="s">
        <v>25</v>
      </c>
      <c r="E1371" s="6" t="s">
        <v>142</v>
      </c>
      <c r="F1371" s="12">
        <f>INDEX('PEDIDO JULIO'!A10:AC32,1,29)</f>
        <v>0</v>
      </c>
      <c r="G1371" s="8">
        <f>IFERROR(VLOOKUP($B1371,'[1]INSUMO POR SEDES MARZO PRUEBA'!$B$6:$CD$109,71,0),"NO BD")</f>
        <v>7268.7160000000003</v>
      </c>
      <c r="H1371" s="8"/>
      <c r="I1371" s="8">
        <f t="shared" si="123"/>
        <v>0</v>
      </c>
      <c r="J1371" s="14">
        <f t="shared" ref="J1371:J1414" si="124">+I1371*10%</f>
        <v>0</v>
      </c>
      <c r="K1371" s="14">
        <f t="shared" ref="K1371:K1414" si="125">+J1371*19%</f>
        <v>0</v>
      </c>
      <c r="L1371" s="14">
        <f t="shared" ref="L1371:L1414" si="126">SUM(I1371:K1371)</f>
        <v>0</v>
      </c>
    </row>
    <row r="1372" spans="1:12" ht="27">
      <c r="A1372" s="3">
        <v>2199</v>
      </c>
      <c r="B1372" s="26">
        <v>5</v>
      </c>
      <c r="C1372" s="7" t="s">
        <v>16</v>
      </c>
      <c r="D1372" s="4" t="s">
        <v>26</v>
      </c>
      <c r="E1372" s="6" t="s">
        <v>142</v>
      </c>
      <c r="F1372" s="12">
        <f>INDEX('PEDIDO JULIO'!A10:AC32,1,29)</f>
        <v>0</v>
      </c>
      <c r="G1372" s="8">
        <f>IFERROR(VLOOKUP($B1372,'[1]INSUMO POR SEDES MARZO PRUEBA'!$B$6:$CD$109,71,0),"NO BD")</f>
        <v>0</v>
      </c>
      <c r="H1372" s="8"/>
      <c r="I1372" s="8">
        <f t="shared" si="123"/>
        <v>0</v>
      </c>
      <c r="J1372" s="14">
        <f t="shared" si="124"/>
        <v>0</v>
      </c>
      <c r="K1372" s="14">
        <f t="shared" si="125"/>
        <v>0</v>
      </c>
      <c r="L1372" s="14">
        <f t="shared" si="126"/>
        <v>0</v>
      </c>
    </row>
    <row r="1373" spans="1:12" ht="15">
      <c r="A1373" s="3">
        <v>2200</v>
      </c>
      <c r="B1373" s="26">
        <v>8</v>
      </c>
      <c r="C1373" s="7" t="s">
        <v>27</v>
      </c>
      <c r="D1373" s="4" t="s">
        <v>28</v>
      </c>
      <c r="E1373" s="6" t="s">
        <v>142</v>
      </c>
      <c r="F1373" s="12">
        <f>INDEX('PEDIDO JULIO'!A10:AC33,1,29)</f>
        <v>0</v>
      </c>
      <c r="G1373" s="8">
        <f>IFERROR(VLOOKUP($B1373,'[1]INSUMO POR SEDES MARZO PRUEBA'!$B$6:$CD$109,71,0),"NO BD")</f>
        <v>2211.3040000000001</v>
      </c>
      <c r="H1373" s="8"/>
      <c r="I1373" s="8">
        <f t="shared" si="123"/>
        <v>0</v>
      </c>
      <c r="J1373" s="14">
        <f t="shared" si="124"/>
        <v>0</v>
      </c>
      <c r="K1373" s="14">
        <f t="shared" si="125"/>
        <v>0</v>
      </c>
      <c r="L1373" s="14">
        <f t="shared" si="126"/>
        <v>0</v>
      </c>
    </row>
    <row r="1374" spans="1:12" ht="15">
      <c r="A1374" s="3">
        <v>2201</v>
      </c>
      <c r="B1374" s="26">
        <v>9</v>
      </c>
      <c r="C1374" s="7" t="s">
        <v>13</v>
      </c>
      <c r="D1374" s="4" t="s">
        <v>29</v>
      </c>
      <c r="E1374" s="6" t="s">
        <v>142</v>
      </c>
      <c r="F1374" s="12">
        <f>INDEX('PEDIDO JULIO'!A10:AC33,1,29)</f>
        <v>0</v>
      </c>
      <c r="G1374" s="8">
        <f>IFERROR(VLOOKUP($B1374,'[1]INSUMO POR SEDES MARZO PRUEBA'!$B$6:$CD$109,71,0),"NO BD")</f>
        <v>3298.0379999999996</v>
      </c>
      <c r="H1374" s="8"/>
      <c r="I1374" s="8">
        <f t="shared" si="123"/>
        <v>0</v>
      </c>
      <c r="J1374" s="14">
        <f t="shared" si="124"/>
        <v>0</v>
      </c>
      <c r="K1374" s="14">
        <f t="shared" si="125"/>
        <v>0</v>
      </c>
      <c r="L1374" s="14">
        <f t="shared" si="126"/>
        <v>0</v>
      </c>
    </row>
    <row r="1375" spans="1:12" ht="15">
      <c r="A1375" s="3">
        <v>2202</v>
      </c>
      <c r="B1375" s="26">
        <v>13</v>
      </c>
      <c r="C1375" s="7" t="s">
        <v>13</v>
      </c>
      <c r="D1375" s="4" t="s">
        <v>30</v>
      </c>
      <c r="E1375" s="6" t="s">
        <v>142</v>
      </c>
      <c r="F1375" s="12">
        <f>INDEX('PEDIDO JULIO'!A11:AC33,1,29)</f>
        <v>0</v>
      </c>
      <c r="G1375" s="8">
        <f>IFERROR(VLOOKUP($B1375,'[1]INSUMO POR SEDES MARZO PRUEBA'!$B$6:$CD$109,71,0),"NO BD")</f>
        <v>6507.7919999999995</v>
      </c>
      <c r="H1375" s="8"/>
      <c r="I1375" s="8">
        <f t="shared" si="123"/>
        <v>0</v>
      </c>
      <c r="J1375" s="14">
        <f t="shared" si="124"/>
        <v>0</v>
      </c>
      <c r="K1375" s="14">
        <f t="shared" si="125"/>
        <v>0</v>
      </c>
      <c r="L1375" s="14">
        <f t="shared" si="126"/>
        <v>0</v>
      </c>
    </row>
    <row r="1376" spans="1:12" ht="15">
      <c r="A1376" s="3">
        <v>2203</v>
      </c>
      <c r="B1376" s="26">
        <v>17</v>
      </c>
      <c r="C1376" s="7" t="s">
        <v>13</v>
      </c>
      <c r="D1376" s="4" t="s">
        <v>31</v>
      </c>
      <c r="E1376" s="6" t="s">
        <v>142</v>
      </c>
      <c r="F1376" s="12">
        <f>INDEX('PEDIDO JULIO'!A12:AC33,1,29)</f>
        <v>0</v>
      </c>
      <c r="G1376" s="8">
        <f>IFERROR(VLOOKUP($B1376,'[1]INSUMO POR SEDES MARZO PRUEBA'!$B$6:$CD$109,71,0),"NO BD")</f>
        <v>0</v>
      </c>
      <c r="H1376" s="8"/>
      <c r="I1376" s="8">
        <f t="shared" si="123"/>
        <v>0</v>
      </c>
      <c r="J1376" s="14">
        <f t="shared" si="124"/>
        <v>0</v>
      </c>
      <c r="K1376" s="14">
        <f t="shared" si="125"/>
        <v>0</v>
      </c>
      <c r="L1376" s="14">
        <f t="shared" si="126"/>
        <v>0</v>
      </c>
    </row>
    <row r="1377" spans="1:12" ht="15">
      <c r="A1377" s="3">
        <v>2204</v>
      </c>
      <c r="B1377" s="31">
        <v>20</v>
      </c>
      <c r="C1377" s="7" t="s">
        <v>13</v>
      </c>
      <c r="D1377" s="4" t="s">
        <v>32</v>
      </c>
      <c r="E1377" s="6" t="s">
        <v>142</v>
      </c>
      <c r="F1377" s="12">
        <f>INDEX('PEDIDO JULIO'!A12:AC33,1,29)</f>
        <v>0</v>
      </c>
      <c r="G1377" s="8">
        <f>IFERROR(VLOOKUP($B1377,'[1]INSUMO POR SEDES MARZO PRUEBA'!$B$6:$CD$109,71,0),"NO BD")</f>
        <v>0</v>
      </c>
      <c r="H1377" s="8"/>
      <c r="I1377" s="8">
        <f t="shared" si="123"/>
        <v>0</v>
      </c>
      <c r="J1377" s="14">
        <f t="shared" si="124"/>
        <v>0</v>
      </c>
      <c r="K1377" s="14">
        <f t="shared" si="125"/>
        <v>0</v>
      </c>
      <c r="L1377" s="14">
        <f t="shared" si="126"/>
        <v>0</v>
      </c>
    </row>
    <row r="1378" spans="1:12" ht="15">
      <c r="A1378" s="3">
        <v>2205</v>
      </c>
      <c r="B1378" s="26">
        <v>21</v>
      </c>
      <c r="C1378" s="7" t="s">
        <v>33</v>
      </c>
      <c r="D1378" s="4" t="s">
        <v>34</v>
      </c>
      <c r="E1378" s="6" t="s">
        <v>142</v>
      </c>
      <c r="F1378" s="12">
        <f>INDEX('PEDIDO JULIO'!A13:AC34,1,29)</f>
        <v>0</v>
      </c>
      <c r="G1378" s="8">
        <f>IFERROR(VLOOKUP($B1378,'[1]INSUMO POR SEDES MARZO PRUEBA'!$B$6:$CD$109,71,0),"NO BD")</f>
        <v>5932.8950000000013</v>
      </c>
      <c r="H1378" s="8"/>
      <c r="I1378" s="8">
        <f t="shared" si="123"/>
        <v>0</v>
      </c>
      <c r="J1378" s="14">
        <f t="shared" si="124"/>
        <v>0</v>
      </c>
      <c r="K1378" s="14">
        <f t="shared" si="125"/>
        <v>0</v>
      </c>
      <c r="L1378" s="14">
        <f t="shared" si="126"/>
        <v>0</v>
      </c>
    </row>
    <row r="1379" spans="1:12" ht="15">
      <c r="A1379" s="3">
        <v>2206</v>
      </c>
      <c r="B1379" s="26">
        <v>28</v>
      </c>
      <c r="C1379" s="7" t="s">
        <v>16</v>
      </c>
      <c r="D1379" s="4" t="s">
        <v>35</v>
      </c>
      <c r="E1379" s="6" t="s">
        <v>142</v>
      </c>
      <c r="F1379" s="12">
        <f>INDEX('PEDIDO JULIO'!A14:AC34,1,29)</f>
        <v>0</v>
      </c>
      <c r="G1379" s="8">
        <f>IFERROR(VLOOKUP($B1379,'[1]INSUMO POR SEDES MARZO PRUEBA'!$B$6:$CD$109,71,0),"NO BD")</f>
        <v>2764.13</v>
      </c>
      <c r="H1379" s="8"/>
      <c r="I1379" s="8">
        <f t="shared" si="123"/>
        <v>0</v>
      </c>
      <c r="J1379" s="14">
        <f t="shared" si="124"/>
        <v>0</v>
      </c>
      <c r="K1379" s="14">
        <f t="shared" si="125"/>
        <v>0</v>
      </c>
      <c r="L1379" s="14">
        <f t="shared" si="126"/>
        <v>0</v>
      </c>
    </row>
    <row r="1380" spans="1:12" ht="15">
      <c r="A1380" s="3">
        <v>2207</v>
      </c>
      <c r="B1380" s="26">
        <v>29</v>
      </c>
      <c r="C1380" s="7" t="s">
        <v>36</v>
      </c>
      <c r="D1380" s="4" t="s">
        <v>37</v>
      </c>
      <c r="E1380" s="6" t="s">
        <v>142</v>
      </c>
      <c r="F1380" s="12">
        <f>INDEX('PEDIDO JULIO'!A15:AC34,1,29)</f>
        <v>0</v>
      </c>
      <c r="G1380" s="8">
        <f>IFERROR(VLOOKUP($B1380,'[1]INSUMO POR SEDES MARZO PRUEBA'!$B$6:$CD$109,71,0),"NO BD")</f>
        <v>4829.3450000000012</v>
      </c>
      <c r="H1380" s="8"/>
      <c r="I1380" s="8">
        <f t="shared" si="123"/>
        <v>0</v>
      </c>
      <c r="J1380" s="14">
        <f t="shared" si="124"/>
        <v>0</v>
      </c>
      <c r="K1380" s="14">
        <f t="shared" si="125"/>
        <v>0</v>
      </c>
      <c r="L1380" s="14">
        <f t="shared" si="126"/>
        <v>0</v>
      </c>
    </row>
    <row r="1381" spans="1:12" ht="15">
      <c r="A1381" s="3">
        <v>2208</v>
      </c>
      <c r="B1381" s="26">
        <v>32</v>
      </c>
      <c r="C1381" s="7" t="s">
        <v>36</v>
      </c>
      <c r="D1381" s="4" t="s">
        <v>38</v>
      </c>
      <c r="E1381" s="6" t="s">
        <v>142</v>
      </c>
      <c r="F1381" s="12">
        <f>INDEX('PEDIDO JULIO'!A16:AC34,1,29)</f>
        <v>25</v>
      </c>
      <c r="G1381" s="8">
        <f>IFERROR(VLOOKUP($B1381,'[1]INSUMO POR SEDES MARZO PRUEBA'!$B$6:$CD$109,71,0),"NO BD")</f>
        <v>4115.7160000000003</v>
      </c>
      <c r="H1381" s="8"/>
      <c r="I1381" s="8">
        <f t="shared" si="123"/>
        <v>102892.90000000001</v>
      </c>
      <c r="J1381" s="14">
        <f t="shared" si="124"/>
        <v>10289.290000000001</v>
      </c>
      <c r="K1381" s="14">
        <f t="shared" si="125"/>
        <v>1954.9651000000001</v>
      </c>
      <c r="L1381" s="14">
        <f t="shared" si="126"/>
        <v>115137.1551</v>
      </c>
    </row>
    <row r="1382" spans="1:12" ht="15">
      <c r="A1382" s="3">
        <v>2209</v>
      </c>
      <c r="B1382" s="26">
        <v>38</v>
      </c>
      <c r="C1382" s="7" t="s">
        <v>39</v>
      </c>
      <c r="D1382" s="4" t="s">
        <v>40</v>
      </c>
      <c r="E1382" s="6" t="s">
        <v>142</v>
      </c>
      <c r="F1382" s="12">
        <f>INDEX('PEDIDO JULIO'!A17:AC34,1,29)</f>
        <v>0</v>
      </c>
      <c r="G1382" s="8">
        <f>IFERROR(VLOOKUP($B1382,'[1]INSUMO POR SEDES MARZO PRUEBA'!$B$6:$CD$109,71,0),"NO BD")</f>
        <v>15622.484399999999</v>
      </c>
      <c r="H1382" s="8"/>
      <c r="I1382" s="8">
        <f t="shared" si="123"/>
        <v>0</v>
      </c>
      <c r="J1382" s="14">
        <f t="shared" si="124"/>
        <v>0</v>
      </c>
      <c r="K1382" s="14">
        <f t="shared" si="125"/>
        <v>0</v>
      </c>
      <c r="L1382" s="14">
        <f t="shared" si="126"/>
        <v>0</v>
      </c>
    </row>
    <row r="1383" spans="1:12" ht="15">
      <c r="A1383" s="3">
        <v>2210</v>
      </c>
      <c r="B1383" s="26">
        <v>44</v>
      </c>
      <c r="C1383" s="7" t="s">
        <v>39</v>
      </c>
      <c r="D1383" s="4" t="s">
        <v>41</v>
      </c>
      <c r="E1383" s="6" t="s">
        <v>142</v>
      </c>
      <c r="F1383" s="12">
        <f>INDEX('PEDIDO JULIO'!A17:AC34,1,29)</f>
        <v>0</v>
      </c>
      <c r="G1383" s="8">
        <f>IFERROR(VLOOKUP($B1383,'[1]INSUMO POR SEDES MARZO PRUEBA'!$B$6:$CD$109,71,0),"NO BD")</f>
        <v>0</v>
      </c>
      <c r="H1383" s="8"/>
      <c r="I1383" s="8">
        <f t="shared" si="123"/>
        <v>0</v>
      </c>
      <c r="J1383" s="14">
        <f t="shared" si="124"/>
        <v>0</v>
      </c>
      <c r="K1383" s="14">
        <f t="shared" si="125"/>
        <v>0</v>
      </c>
      <c r="L1383" s="14">
        <f t="shared" si="126"/>
        <v>0</v>
      </c>
    </row>
    <row r="1384" spans="1:12" ht="15">
      <c r="A1384" s="3">
        <v>2211</v>
      </c>
      <c r="B1384" s="26">
        <v>50</v>
      </c>
      <c r="C1384" s="7" t="s">
        <v>151</v>
      </c>
      <c r="D1384" s="4" t="s">
        <v>42</v>
      </c>
      <c r="E1384" s="6" t="s">
        <v>142</v>
      </c>
      <c r="F1384" s="12">
        <f>INDEX('PEDIDO JULIO'!A18:AC35,1,29)</f>
        <v>0</v>
      </c>
      <c r="G1384" s="8">
        <f>IFERROR(VLOOKUP($B1384,'[1]INSUMO POR SEDES MARZO PRUEBA'!$B$6:$CD$109,71,0),"NO BD")</f>
        <v>0</v>
      </c>
      <c r="H1384" s="8"/>
      <c r="I1384" s="8">
        <f t="shared" si="123"/>
        <v>0</v>
      </c>
      <c r="J1384" s="14">
        <f t="shared" si="124"/>
        <v>0</v>
      </c>
      <c r="K1384" s="14">
        <f t="shared" si="125"/>
        <v>0</v>
      </c>
      <c r="L1384" s="14">
        <f t="shared" si="126"/>
        <v>0</v>
      </c>
    </row>
    <row r="1385" spans="1:12" ht="15">
      <c r="A1385" s="3">
        <v>2212</v>
      </c>
      <c r="B1385" s="26">
        <v>52</v>
      </c>
      <c r="C1385" s="7" t="s">
        <v>151</v>
      </c>
      <c r="D1385" s="4" t="s">
        <v>43</v>
      </c>
      <c r="E1385" s="6" t="s">
        <v>142</v>
      </c>
      <c r="F1385" s="12">
        <f>INDEX('PEDIDO JULIO'!A18:AC35,1,29)</f>
        <v>0</v>
      </c>
      <c r="G1385" s="8">
        <f>IFERROR(VLOOKUP($B1385,'[1]INSUMO POR SEDES MARZO PRUEBA'!$B$6:$CD$109,71,0),"NO BD")</f>
        <v>0</v>
      </c>
      <c r="H1385" s="8"/>
      <c r="I1385" s="8">
        <f t="shared" si="123"/>
        <v>0</v>
      </c>
      <c r="J1385" s="14">
        <f t="shared" si="124"/>
        <v>0</v>
      </c>
      <c r="K1385" s="14">
        <f t="shared" si="125"/>
        <v>0</v>
      </c>
      <c r="L1385" s="14">
        <f t="shared" si="126"/>
        <v>0</v>
      </c>
    </row>
    <row r="1386" spans="1:12" ht="15">
      <c r="A1386" s="3">
        <v>2213</v>
      </c>
      <c r="B1386" s="26">
        <v>57</v>
      </c>
      <c r="C1386" s="7" t="s">
        <v>151</v>
      </c>
      <c r="D1386" s="4" t="s">
        <v>44</v>
      </c>
      <c r="E1386" s="6" t="s">
        <v>142</v>
      </c>
      <c r="F1386" s="12">
        <f>INDEX('PEDIDO JULIO'!A18:AC35,1,29)</f>
        <v>0</v>
      </c>
      <c r="G1386" s="8">
        <f>IFERROR(VLOOKUP($B1386,'[1]INSUMO POR SEDES MARZO PRUEBA'!$B$6:$CD$109,71,0),"NO BD")</f>
        <v>27464.2065</v>
      </c>
      <c r="H1386" s="8"/>
      <c r="I1386" s="8">
        <f t="shared" si="123"/>
        <v>0</v>
      </c>
      <c r="J1386" s="14">
        <f t="shared" si="124"/>
        <v>0</v>
      </c>
      <c r="K1386" s="14">
        <f t="shared" si="125"/>
        <v>0</v>
      </c>
      <c r="L1386" s="14">
        <f t="shared" si="126"/>
        <v>0</v>
      </c>
    </row>
    <row r="1387" spans="1:12" ht="40.5">
      <c r="A1387" s="3">
        <v>2214</v>
      </c>
      <c r="B1387" s="26">
        <v>59</v>
      </c>
      <c r="C1387" s="7" t="s">
        <v>151</v>
      </c>
      <c r="D1387" s="4" t="s">
        <v>45</v>
      </c>
      <c r="E1387" s="6" t="s">
        <v>142</v>
      </c>
      <c r="F1387" s="12">
        <f>INDEX('PEDIDO JULIO'!A19:AC35,1,29)</f>
        <v>0</v>
      </c>
      <c r="G1387" s="8">
        <f>IFERROR(VLOOKUP($B1387,'[1]INSUMO POR SEDES MARZO PRUEBA'!$B$6:$CD$109,71,0),"NO BD")</f>
        <v>0</v>
      </c>
      <c r="H1387" s="8"/>
      <c r="I1387" s="8">
        <f t="shared" si="123"/>
        <v>0</v>
      </c>
      <c r="J1387" s="14">
        <f t="shared" si="124"/>
        <v>0</v>
      </c>
      <c r="K1387" s="14">
        <f t="shared" si="125"/>
        <v>0</v>
      </c>
      <c r="L1387" s="14">
        <f t="shared" si="126"/>
        <v>0</v>
      </c>
    </row>
    <row r="1388" spans="1:12" ht="27">
      <c r="A1388" s="3">
        <v>2215</v>
      </c>
      <c r="B1388" s="26">
        <v>62</v>
      </c>
      <c r="C1388" s="7" t="s">
        <v>46</v>
      </c>
      <c r="D1388" s="4" t="s">
        <v>47</v>
      </c>
      <c r="E1388" s="6" t="s">
        <v>142</v>
      </c>
      <c r="F1388" s="12">
        <f>INDEX('PEDIDO JULIO'!A19:AC35,1,29)</f>
        <v>0</v>
      </c>
      <c r="G1388" s="8">
        <f>IFERROR(VLOOKUP($B1388,'[1]INSUMO POR SEDES MARZO PRUEBA'!$B$6:$CD$109,71,0),"NO BD")</f>
        <v>10100.3202</v>
      </c>
      <c r="H1388" s="8"/>
      <c r="I1388" s="8">
        <f t="shared" si="123"/>
        <v>0</v>
      </c>
      <c r="J1388" s="14">
        <f t="shared" si="124"/>
        <v>0</v>
      </c>
      <c r="K1388" s="14">
        <f t="shared" si="125"/>
        <v>0</v>
      </c>
      <c r="L1388" s="14">
        <f t="shared" si="126"/>
        <v>0</v>
      </c>
    </row>
    <row r="1389" spans="1:12" ht="15">
      <c r="A1389" s="3">
        <v>2216</v>
      </c>
      <c r="B1389" s="26">
        <v>63</v>
      </c>
      <c r="C1389" s="7" t="s">
        <v>159</v>
      </c>
      <c r="D1389" s="4" t="s">
        <v>48</v>
      </c>
      <c r="E1389" s="6" t="s">
        <v>142</v>
      </c>
      <c r="F1389" s="12">
        <f>INDEX('PEDIDO JULIO'!A20:AC35,1,29)</f>
        <v>0</v>
      </c>
      <c r="G1389" s="8">
        <f>IFERROR(VLOOKUP($B1389,'[1]INSUMO POR SEDES MARZO PRUEBA'!$B$6:$CD$109,71,0),"NO BD")</f>
        <v>11443.4982</v>
      </c>
      <c r="H1389" s="8"/>
      <c r="I1389" s="8">
        <f t="shared" si="123"/>
        <v>0</v>
      </c>
      <c r="J1389" s="14">
        <f t="shared" si="124"/>
        <v>0</v>
      </c>
      <c r="K1389" s="14">
        <f t="shared" si="125"/>
        <v>0</v>
      </c>
      <c r="L1389" s="14">
        <f t="shared" si="126"/>
        <v>0</v>
      </c>
    </row>
    <row r="1390" spans="1:12" ht="15">
      <c r="A1390" s="3">
        <v>2217</v>
      </c>
      <c r="B1390" s="26">
        <v>64</v>
      </c>
      <c r="C1390" s="7" t="s">
        <v>159</v>
      </c>
      <c r="D1390" s="4" t="s">
        <v>49</v>
      </c>
      <c r="E1390" s="6" t="s">
        <v>142</v>
      </c>
      <c r="F1390" s="12">
        <f>INDEX('PEDIDO JULIO'!A20:AC35,1,29)</f>
        <v>0</v>
      </c>
      <c r="G1390" s="8">
        <f>IFERROR(VLOOKUP($B1390,'[1]INSUMO POR SEDES MARZO PRUEBA'!$B$6:$CD$109,71,0),"NO BD")</f>
        <v>0</v>
      </c>
      <c r="H1390" s="8"/>
      <c r="I1390" s="8">
        <f t="shared" si="123"/>
        <v>0</v>
      </c>
      <c r="J1390" s="14">
        <f t="shared" si="124"/>
        <v>0</v>
      </c>
      <c r="K1390" s="14">
        <f t="shared" si="125"/>
        <v>0</v>
      </c>
      <c r="L1390" s="14">
        <f t="shared" si="126"/>
        <v>0</v>
      </c>
    </row>
    <row r="1391" spans="1:12" ht="15">
      <c r="A1391" s="3">
        <v>2218</v>
      </c>
      <c r="B1391" s="26">
        <v>65</v>
      </c>
      <c r="C1391" s="7" t="s">
        <v>159</v>
      </c>
      <c r="D1391" s="4" t="s">
        <v>50</v>
      </c>
      <c r="E1391" s="6" t="s">
        <v>142</v>
      </c>
      <c r="F1391" s="12">
        <f>INDEX('PEDIDO JULIO'!A21:AC35,1,29)</f>
        <v>0</v>
      </c>
      <c r="G1391" s="8">
        <f>IFERROR(VLOOKUP($B1391,'[1]INSUMO POR SEDES MARZO PRUEBA'!$B$6:$CD$109,71,0),"NO BD")</f>
        <v>13820.650000000001</v>
      </c>
      <c r="H1391" s="8"/>
      <c r="I1391" s="8">
        <f t="shared" si="123"/>
        <v>0</v>
      </c>
      <c r="J1391" s="14">
        <f t="shared" si="124"/>
        <v>0</v>
      </c>
      <c r="K1391" s="14">
        <f t="shared" si="125"/>
        <v>0</v>
      </c>
      <c r="L1391" s="14">
        <f t="shared" si="126"/>
        <v>0</v>
      </c>
    </row>
    <row r="1392" spans="1:12" ht="15">
      <c r="A1392" s="3">
        <v>2219</v>
      </c>
      <c r="B1392" s="26">
        <v>66</v>
      </c>
      <c r="C1392" s="7" t="s">
        <v>159</v>
      </c>
      <c r="D1392" s="4" t="s">
        <v>51</v>
      </c>
      <c r="E1392" s="6" t="s">
        <v>142</v>
      </c>
      <c r="F1392" s="12">
        <f>INDEX('PEDIDO JULIO'!A22:AC35,1,29)</f>
        <v>0</v>
      </c>
      <c r="G1392" s="8">
        <f>IFERROR(VLOOKUP($B1392,'[1]INSUMO POR SEDES MARZO PRUEBA'!$B$6:$CD$109,71,0),"NO BD")</f>
        <v>4178.9862000000003</v>
      </c>
      <c r="H1392" s="8"/>
      <c r="I1392" s="8">
        <f t="shared" si="123"/>
        <v>0</v>
      </c>
      <c r="J1392" s="14">
        <f t="shared" si="124"/>
        <v>0</v>
      </c>
      <c r="K1392" s="14">
        <f t="shared" si="125"/>
        <v>0</v>
      </c>
      <c r="L1392" s="14">
        <f t="shared" si="126"/>
        <v>0</v>
      </c>
    </row>
    <row r="1393" spans="1:12" ht="15">
      <c r="A1393" s="3">
        <v>2220</v>
      </c>
      <c r="B1393" s="26">
        <v>71</v>
      </c>
      <c r="C1393" s="7" t="s">
        <v>159</v>
      </c>
      <c r="D1393" s="4" t="s">
        <v>52</v>
      </c>
      <c r="E1393" s="6" t="s">
        <v>142</v>
      </c>
      <c r="F1393" s="12">
        <f>INDEX('PEDIDO JULIO'!A23:AC36,1,29)</f>
        <v>4</v>
      </c>
      <c r="G1393" s="8">
        <f>IFERROR(VLOOKUP($B1393,'[1]INSUMO POR SEDES MARZO PRUEBA'!$B$6:$CD$109,71,0),"NO BD")</f>
        <v>7960.6944000000003</v>
      </c>
      <c r="H1393" s="8"/>
      <c r="I1393" s="8">
        <f t="shared" si="123"/>
        <v>31842.777600000001</v>
      </c>
      <c r="J1393" s="14">
        <f t="shared" si="124"/>
        <v>3184.2777600000004</v>
      </c>
      <c r="K1393" s="14">
        <f t="shared" si="125"/>
        <v>605.01277440000013</v>
      </c>
      <c r="L1393" s="14">
        <f t="shared" si="126"/>
        <v>35632.068134399997</v>
      </c>
    </row>
    <row r="1394" spans="1:12" ht="15">
      <c r="A1394" s="3">
        <v>2221</v>
      </c>
      <c r="B1394" s="26">
        <v>72</v>
      </c>
      <c r="C1394" s="7" t="s">
        <v>53</v>
      </c>
      <c r="D1394" s="4" t="s">
        <v>54</v>
      </c>
      <c r="E1394" s="6" t="s">
        <v>142</v>
      </c>
      <c r="F1394" s="12">
        <f>INDEX('PEDIDO JULIO'!A23:AC37,1,29)</f>
        <v>4</v>
      </c>
      <c r="G1394" s="8">
        <f>IFERROR(VLOOKUP($B1394,'[1]INSUMO POR SEDES MARZO PRUEBA'!$B$6:$CD$109,71,0),"NO BD")</f>
        <v>7861.3749000000007</v>
      </c>
      <c r="H1394" s="8"/>
      <c r="I1394" s="8">
        <f t="shared" si="123"/>
        <v>31445.499600000003</v>
      </c>
      <c r="J1394" s="14">
        <f t="shared" si="124"/>
        <v>3144.5499600000003</v>
      </c>
      <c r="K1394" s="14">
        <f t="shared" si="125"/>
        <v>597.46449240000004</v>
      </c>
      <c r="L1394" s="14">
        <f t="shared" si="126"/>
        <v>35187.514052400002</v>
      </c>
    </row>
    <row r="1395" spans="1:12" ht="15">
      <c r="A1395" s="3">
        <v>2222</v>
      </c>
      <c r="B1395" s="26">
        <v>73</v>
      </c>
      <c r="C1395" s="7" t="s">
        <v>53</v>
      </c>
      <c r="D1395" s="4" t="s">
        <v>55</v>
      </c>
      <c r="E1395" s="6" t="s">
        <v>142</v>
      </c>
      <c r="F1395" s="12">
        <f>INDEX('PEDIDO JULIO'!A24:AC37,1,29)</f>
        <v>10</v>
      </c>
      <c r="G1395" s="8">
        <f>IFERROR(VLOOKUP($B1395,'[1]INSUMO POR SEDES MARZO PRUEBA'!$B$6:$CD$109,71,0),"NO BD")</f>
        <v>21493.685699999998</v>
      </c>
      <c r="H1395" s="8"/>
      <c r="I1395" s="8">
        <f t="shared" si="123"/>
        <v>214936.85699999999</v>
      </c>
      <c r="J1395" s="14">
        <f t="shared" si="124"/>
        <v>21493.685700000002</v>
      </c>
      <c r="K1395" s="14">
        <f t="shared" si="125"/>
        <v>4083.8002830000005</v>
      </c>
      <c r="L1395" s="14">
        <f t="shared" si="126"/>
        <v>240514.34298299998</v>
      </c>
    </row>
    <row r="1396" spans="1:12" ht="15">
      <c r="A1396" s="3">
        <v>2223</v>
      </c>
      <c r="B1396" s="26">
        <v>74</v>
      </c>
      <c r="C1396" s="7" t="s">
        <v>53</v>
      </c>
      <c r="D1396" s="4" t="s">
        <v>56</v>
      </c>
      <c r="E1396" s="6" t="s">
        <v>142</v>
      </c>
      <c r="F1396" s="12">
        <f>INDEX('PEDIDO JULIO'!A25:AC37,1,29)</f>
        <v>10</v>
      </c>
      <c r="G1396" s="8">
        <f>IFERROR(VLOOKUP($B1396,'[1]INSUMO POR SEDES MARZO PRUEBA'!$B$6:$CD$109,71,0),"NO BD")</f>
        <v>6915.4749000000002</v>
      </c>
      <c r="H1396" s="8"/>
      <c r="I1396" s="8">
        <f t="shared" si="123"/>
        <v>69154.748999999996</v>
      </c>
      <c r="J1396" s="14">
        <f t="shared" si="124"/>
        <v>6915.4749000000002</v>
      </c>
      <c r="K1396" s="14">
        <f t="shared" si="125"/>
        <v>1313.940231</v>
      </c>
      <c r="L1396" s="14">
        <f t="shared" si="126"/>
        <v>77384.164130999998</v>
      </c>
    </row>
    <row r="1397" spans="1:12" ht="15">
      <c r="A1397" s="3">
        <v>2224</v>
      </c>
      <c r="B1397" s="26">
        <v>79</v>
      </c>
      <c r="C1397" s="7" t="s">
        <v>53</v>
      </c>
      <c r="D1397" s="4" t="s">
        <v>57</v>
      </c>
      <c r="E1397" s="6" t="s">
        <v>142</v>
      </c>
      <c r="F1397" s="12">
        <f>INDEX('PEDIDO JULIO'!A26:AC37,1,29)</f>
        <v>10</v>
      </c>
      <c r="G1397" s="8">
        <f>IFERROR(VLOOKUP($B1397,'[1]INSUMO POR SEDES MARZO PRUEBA'!$B$6:$CD$109,71,0),"NO BD")</f>
        <v>935.49510000000009</v>
      </c>
      <c r="H1397" s="8"/>
      <c r="I1397" s="8">
        <f t="shared" si="123"/>
        <v>9354.9510000000009</v>
      </c>
      <c r="J1397" s="14">
        <f t="shared" si="124"/>
        <v>935.49510000000009</v>
      </c>
      <c r="K1397" s="14">
        <f t="shared" si="125"/>
        <v>177.74406900000002</v>
      </c>
      <c r="L1397" s="14">
        <f t="shared" si="126"/>
        <v>10468.190169000001</v>
      </c>
    </row>
    <row r="1398" spans="1:12" ht="27">
      <c r="A1398" s="3">
        <v>2225</v>
      </c>
      <c r="B1398" s="26">
        <v>80</v>
      </c>
      <c r="C1398" s="7" t="s">
        <v>160</v>
      </c>
      <c r="D1398" s="4" t="s">
        <v>58</v>
      </c>
      <c r="E1398" s="6" t="s">
        <v>142</v>
      </c>
      <c r="F1398" s="12">
        <f>INDEX('PEDIDO JULIO'!A27:AC37,1,29)</f>
        <v>0</v>
      </c>
      <c r="G1398" s="8">
        <f>IFERROR(VLOOKUP($B1398,'[1]INSUMO POR SEDES MARZO PRUEBA'!$B$6:$CD$109,71,0),"NO BD")</f>
        <v>433.01199999999994</v>
      </c>
      <c r="H1398" s="8"/>
      <c r="I1398" s="8">
        <f t="shared" si="123"/>
        <v>0</v>
      </c>
      <c r="J1398" s="14">
        <f t="shared" si="124"/>
        <v>0</v>
      </c>
      <c r="K1398" s="14">
        <f t="shared" si="125"/>
        <v>0</v>
      </c>
      <c r="L1398" s="14">
        <f t="shared" si="126"/>
        <v>0</v>
      </c>
    </row>
    <row r="1399" spans="1:12" ht="15">
      <c r="A1399" s="3">
        <v>2226</v>
      </c>
      <c r="B1399" s="26">
        <v>81</v>
      </c>
      <c r="C1399" s="7" t="s">
        <v>160</v>
      </c>
      <c r="D1399" s="4" t="s">
        <v>59</v>
      </c>
      <c r="E1399" s="6" t="s">
        <v>142</v>
      </c>
      <c r="F1399" s="12">
        <f>INDEX('PEDIDO JULIO'!A28:AC37,1,29)</f>
        <v>0</v>
      </c>
      <c r="G1399" s="8">
        <f>IFERROR(VLOOKUP($B1399,'[1]INSUMO POR SEDES MARZO PRUEBA'!$B$6:$CD$109,71,0),"NO BD")</f>
        <v>387.81900000000002</v>
      </c>
      <c r="H1399" s="8"/>
      <c r="I1399" s="8">
        <f t="shared" si="123"/>
        <v>0</v>
      </c>
      <c r="J1399" s="14">
        <f t="shared" si="124"/>
        <v>0</v>
      </c>
      <c r="K1399" s="14">
        <f t="shared" si="125"/>
        <v>0</v>
      </c>
      <c r="L1399" s="14">
        <f t="shared" si="126"/>
        <v>0</v>
      </c>
    </row>
    <row r="1400" spans="1:12" ht="15">
      <c r="A1400" s="3">
        <v>2227</v>
      </c>
      <c r="B1400" s="26">
        <v>82</v>
      </c>
      <c r="C1400" s="7" t="s">
        <v>60</v>
      </c>
      <c r="D1400" s="4" t="s">
        <v>61</v>
      </c>
      <c r="E1400" s="6" t="s">
        <v>142</v>
      </c>
      <c r="F1400" s="12">
        <f>INDEX('PEDIDO JULIO'!A28:AC37,1,29)</f>
        <v>0</v>
      </c>
      <c r="G1400" s="8">
        <f>IFERROR(VLOOKUP($B1400,'[1]INSUMO POR SEDES MARZO PRUEBA'!$B$6:$CD$109,71,0),"NO BD")</f>
        <v>1003.7049999999999</v>
      </c>
      <c r="H1400" s="8"/>
      <c r="I1400" s="8">
        <f t="shared" si="123"/>
        <v>0</v>
      </c>
      <c r="J1400" s="14">
        <f t="shared" si="124"/>
        <v>0</v>
      </c>
      <c r="K1400" s="14">
        <f t="shared" si="125"/>
        <v>0</v>
      </c>
      <c r="L1400" s="14">
        <f t="shared" si="126"/>
        <v>0</v>
      </c>
    </row>
    <row r="1401" spans="1:12" ht="15">
      <c r="A1401" s="3">
        <v>2228</v>
      </c>
      <c r="B1401" s="26">
        <v>83</v>
      </c>
      <c r="C1401" s="7" t="s">
        <v>60</v>
      </c>
      <c r="D1401" s="4" t="s">
        <v>62</v>
      </c>
      <c r="E1401" s="6" t="s">
        <v>142</v>
      </c>
      <c r="F1401" s="12">
        <f>INDEX('PEDIDO JULIO'!A29:AC37,1,29)</f>
        <v>0</v>
      </c>
      <c r="G1401" s="8">
        <f>IFERROR(VLOOKUP($B1401,'[1]INSUMO POR SEDES MARZO PRUEBA'!$B$6:$CD$109,71,0),"NO BD")</f>
        <v>367.95510000000002</v>
      </c>
      <c r="H1401" s="8"/>
      <c r="I1401" s="8">
        <f t="shared" si="123"/>
        <v>0</v>
      </c>
      <c r="J1401" s="14">
        <f t="shared" si="124"/>
        <v>0</v>
      </c>
      <c r="K1401" s="14">
        <f t="shared" si="125"/>
        <v>0</v>
      </c>
      <c r="L1401" s="14">
        <f t="shared" si="126"/>
        <v>0</v>
      </c>
    </row>
    <row r="1402" spans="1:12" ht="15">
      <c r="A1402" s="3">
        <v>2229</v>
      </c>
      <c r="B1402" s="26">
        <v>88</v>
      </c>
      <c r="C1402" s="7" t="s">
        <v>151</v>
      </c>
      <c r="D1402" s="4" t="s">
        <v>63</v>
      </c>
      <c r="E1402" s="6" t="s">
        <v>142</v>
      </c>
      <c r="F1402" s="12">
        <f>INDEX('PEDIDO JULIO'!A30:AC37,1,29)</f>
        <v>0</v>
      </c>
      <c r="G1402" s="8">
        <f>IFERROR(VLOOKUP($B1402,'[1]INSUMO POR SEDES MARZO PRUEBA'!$B$6:$CD$109,71,0),"NO BD")</f>
        <v>0</v>
      </c>
      <c r="H1402" s="8"/>
      <c r="I1402" s="8">
        <f t="shared" si="123"/>
        <v>0</v>
      </c>
      <c r="J1402" s="14">
        <f t="shared" si="124"/>
        <v>0</v>
      </c>
      <c r="K1402" s="14">
        <f t="shared" si="125"/>
        <v>0</v>
      </c>
      <c r="L1402" s="14">
        <f t="shared" si="126"/>
        <v>0</v>
      </c>
    </row>
    <row r="1403" spans="1:12" ht="15">
      <c r="A1403" s="3">
        <v>2230</v>
      </c>
      <c r="B1403" s="26">
        <v>92</v>
      </c>
      <c r="C1403" s="7" t="s">
        <v>160</v>
      </c>
      <c r="D1403" s="4" t="s">
        <v>64</v>
      </c>
      <c r="E1403" s="6" t="s">
        <v>142</v>
      </c>
      <c r="F1403" s="12">
        <f>INDEX('PEDIDO JULIO'!A31:AC37,1,29)</f>
        <v>0</v>
      </c>
      <c r="G1403" s="8">
        <f>IFERROR(VLOOKUP($B1403,'[1]INSUMO POR SEDES MARZO PRUEBA'!$B$6:$CD$109,71,0),"NO BD")</f>
        <v>2380.5149999999999</v>
      </c>
      <c r="H1403" s="8"/>
      <c r="I1403" s="8">
        <f t="shared" si="123"/>
        <v>0</v>
      </c>
      <c r="J1403" s="14">
        <f t="shared" si="124"/>
        <v>0</v>
      </c>
      <c r="K1403" s="14">
        <f t="shared" si="125"/>
        <v>0</v>
      </c>
      <c r="L1403" s="14">
        <f t="shared" si="126"/>
        <v>0</v>
      </c>
    </row>
    <row r="1404" spans="1:12" ht="27">
      <c r="A1404" s="3">
        <v>2231</v>
      </c>
      <c r="B1404" s="26">
        <v>94</v>
      </c>
      <c r="C1404" s="7" t="s">
        <v>60</v>
      </c>
      <c r="D1404" s="4" t="s">
        <v>65</v>
      </c>
      <c r="E1404" s="6" t="s">
        <v>142</v>
      </c>
      <c r="F1404" s="12">
        <f>INDEX('PEDIDO JULIO'!A32:AC37,1,29)</f>
        <v>0</v>
      </c>
      <c r="G1404" s="8">
        <f>IFERROR(VLOOKUP($B1404,'[1]INSUMO POR SEDES MARZO PRUEBA'!$B$6:$CD$109,71,0),"NO BD")</f>
        <v>3316.9560000000001</v>
      </c>
      <c r="H1404" s="8"/>
      <c r="I1404" s="8">
        <f t="shared" si="123"/>
        <v>0</v>
      </c>
      <c r="J1404" s="14">
        <f t="shared" si="124"/>
        <v>0</v>
      </c>
      <c r="K1404" s="14">
        <f t="shared" si="125"/>
        <v>0</v>
      </c>
      <c r="L1404" s="14">
        <f t="shared" si="126"/>
        <v>0</v>
      </c>
    </row>
    <row r="1405" spans="1:12" ht="15">
      <c r="A1405" s="3">
        <v>2232</v>
      </c>
      <c r="B1405" s="26">
        <v>98</v>
      </c>
      <c r="C1405" s="7" t="s">
        <v>66</v>
      </c>
      <c r="D1405" s="4" t="s">
        <v>67</v>
      </c>
      <c r="E1405" s="6" t="s">
        <v>142</v>
      </c>
      <c r="F1405" s="12">
        <f>INDEX('PEDIDO JULIO'!A33:AC37,1,29)</f>
        <v>0</v>
      </c>
      <c r="G1405" s="8">
        <f>IFERROR(VLOOKUP($B1405,'[1]INSUMO POR SEDES MARZO PRUEBA'!$B$6:$CD$109,71,0),"NO BD")</f>
        <v>9503.4573</v>
      </c>
      <c r="H1405" s="8"/>
      <c r="I1405" s="8">
        <f t="shared" si="123"/>
        <v>0</v>
      </c>
      <c r="J1405" s="14">
        <f t="shared" si="124"/>
        <v>0</v>
      </c>
      <c r="K1405" s="14">
        <f t="shared" si="125"/>
        <v>0</v>
      </c>
      <c r="L1405" s="14">
        <f t="shared" si="126"/>
        <v>0</v>
      </c>
    </row>
    <row r="1406" spans="1:12" ht="15">
      <c r="A1406" s="3">
        <v>2233</v>
      </c>
      <c r="B1406" s="26">
        <v>100</v>
      </c>
      <c r="C1406" s="7" t="s">
        <v>66</v>
      </c>
      <c r="D1406" s="4" t="s">
        <v>68</v>
      </c>
      <c r="E1406" s="6" t="s">
        <v>142</v>
      </c>
      <c r="F1406" s="12">
        <f>INDEX('PEDIDO JULIO'!A33:AC38,1,29)</f>
        <v>0</v>
      </c>
      <c r="G1406" s="8">
        <f>IFERROR(VLOOKUP($B1406,'[1]INSUMO POR SEDES MARZO PRUEBA'!$B$6:$CD$109,71,0),"NO BD")</f>
        <v>0</v>
      </c>
      <c r="H1406" s="8"/>
      <c r="I1406" s="8">
        <f t="shared" si="123"/>
        <v>0</v>
      </c>
      <c r="J1406" s="14">
        <f t="shared" si="124"/>
        <v>0</v>
      </c>
      <c r="K1406" s="14">
        <f t="shared" si="125"/>
        <v>0</v>
      </c>
      <c r="L1406" s="14">
        <f t="shared" si="126"/>
        <v>0</v>
      </c>
    </row>
    <row r="1407" spans="1:12" ht="15">
      <c r="A1407" s="3">
        <v>2234</v>
      </c>
      <c r="B1407" s="26">
        <v>102</v>
      </c>
      <c r="C1407" s="7" t="s">
        <v>66</v>
      </c>
      <c r="D1407" s="4" t="s">
        <v>69</v>
      </c>
      <c r="E1407" s="6" t="s">
        <v>142</v>
      </c>
      <c r="F1407" s="12">
        <f>INDEX('PEDIDO JULIO'!A33:AC38,1,29)</f>
        <v>0</v>
      </c>
      <c r="G1407" s="8">
        <f>IFERROR(VLOOKUP($B1407,'[1]INSUMO POR SEDES MARZO PRUEBA'!$B$6:$CD$109,71,0),"NO BD")</f>
        <v>5422.8446999999996</v>
      </c>
      <c r="H1407" s="8"/>
      <c r="I1407" s="8">
        <f t="shared" si="123"/>
        <v>0</v>
      </c>
      <c r="J1407" s="14">
        <f t="shared" si="124"/>
        <v>0</v>
      </c>
      <c r="K1407" s="14">
        <f t="shared" si="125"/>
        <v>0</v>
      </c>
      <c r="L1407" s="14">
        <f t="shared" si="126"/>
        <v>0</v>
      </c>
    </row>
    <row r="1408" spans="1:12" ht="15">
      <c r="A1408" s="3">
        <v>2235</v>
      </c>
      <c r="B1408" s="26">
        <v>110</v>
      </c>
      <c r="C1408" s="7" t="s">
        <v>66</v>
      </c>
      <c r="D1408" s="4" t="s">
        <v>70</v>
      </c>
      <c r="E1408" s="6" t="s">
        <v>142</v>
      </c>
      <c r="F1408" s="12">
        <f>INDEX('PEDIDO JULIO'!A33:AC39,1,29)</f>
        <v>0</v>
      </c>
      <c r="G1408" s="8">
        <f>IFERROR(VLOOKUP($B1408,'[1]INSUMO POR SEDES MARZO PRUEBA'!$B$6:$CD$109,71,0),"NO BD")</f>
        <v>1442.4974999999999</v>
      </c>
      <c r="H1408" s="8"/>
      <c r="I1408" s="8">
        <f t="shared" si="123"/>
        <v>0</v>
      </c>
      <c r="J1408" s="14">
        <f t="shared" si="124"/>
        <v>0</v>
      </c>
      <c r="K1408" s="14">
        <f t="shared" si="125"/>
        <v>0</v>
      </c>
      <c r="L1408" s="14">
        <f t="shared" si="126"/>
        <v>0</v>
      </c>
    </row>
    <row r="1409" spans="1:12" ht="15">
      <c r="A1409" s="3">
        <v>2236</v>
      </c>
      <c r="B1409" s="26">
        <v>118</v>
      </c>
      <c r="C1409" s="7" t="s">
        <v>66</v>
      </c>
      <c r="D1409" s="4" t="s">
        <v>71</v>
      </c>
      <c r="E1409" s="6" t="s">
        <v>142</v>
      </c>
      <c r="F1409" s="12">
        <f>INDEX('PEDIDO JULIO'!A33:AC40,1,29)</f>
        <v>0</v>
      </c>
      <c r="G1409" s="8">
        <f>IFERROR(VLOOKUP($B1409,'[1]INSUMO POR SEDES MARZO PRUEBA'!$B$6:$CD$109,71,0),"NO BD")</f>
        <v>4129.7993999999999</v>
      </c>
      <c r="H1409" s="8"/>
      <c r="I1409" s="8">
        <f t="shared" si="123"/>
        <v>0</v>
      </c>
      <c r="J1409" s="14">
        <f t="shared" si="124"/>
        <v>0</v>
      </c>
      <c r="K1409" s="14">
        <f t="shared" si="125"/>
        <v>0</v>
      </c>
      <c r="L1409" s="14">
        <f t="shared" si="126"/>
        <v>0</v>
      </c>
    </row>
    <row r="1410" spans="1:12" ht="15">
      <c r="A1410" s="3">
        <v>2237</v>
      </c>
      <c r="B1410" s="26">
        <v>119</v>
      </c>
      <c r="C1410" s="7" t="s">
        <v>66</v>
      </c>
      <c r="D1410" s="4" t="s">
        <v>72</v>
      </c>
      <c r="E1410" s="6" t="s">
        <v>142</v>
      </c>
      <c r="F1410" s="12">
        <f>INDEX('PEDIDO JULIO'!A33:AC40,1,29)</f>
        <v>0</v>
      </c>
      <c r="G1410" s="8">
        <f>IFERROR(VLOOKUP($B1410,'[1]INSUMO POR SEDES MARZO PRUEBA'!$B$6:$CD$109,71,0),"NO BD")</f>
        <v>2821.9350000000004</v>
      </c>
      <c r="H1410" s="8"/>
      <c r="I1410" s="8">
        <f t="shared" si="123"/>
        <v>0</v>
      </c>
      <c r="J1410" s="14">
        <f t="shared" si="124"/>
        <v>0</v>
      </c>
      <c r="K1410" s="14">
        <f t="shared" si="125"/>
        <v>0</v>
      </c>
      <c r="L1410" s="14">
        <f t="shared" si="126"/>
        <v>0</v>
      </c>
    </row>
    <row r="1411" spans="1:12" ht="15">
      <c r="A1411" s="3">
        <v>2238</v>
      </c>
      <c r="B1411" s="26">
        <v>120</v>
      </c>
      <c r="C1411" s="7" t="s">
        <v>158</v>
      </c>
      <c r="D1411" s="4" t="s">
        <v>73</v>
      </c>
      <c r="E1411" s="6" t="s">
        <v>142</v>
      </c>
      <c r="F1411" s="12">
        <f>INDEX('PEDIDO JULIO'!A33:AC40,1,29)</f>
        <v>0</v>
      </c>
      <c r="G1411" s="8">
        <f>IFERROR(VLOOKUP($B1411,'[1]INSUMO POR SEDES MARZO PRUEBA'!$B$6:$CD$109,71,0),"NO BD")</f>
        <v>4259.3877000000002</v>
      </c>
      <c r="H1411" s="8"/>
      <c r="I1411" s="8">
        <f t="shared" si="123"/>
        <v>0</v>
      </c>
      <c r="J1411" s="14">
        <f t="shared" si="124"/>
        <v>0</v>
      </c>
      <c r="K1411" s="14">
        <f t="shared" si="125"/>
        <v>0</v>
      </c>
      <c r="L1411" s="14">
        <f t="shared" si="126"/>
        <v>0</v>
      </c>
    </row>
    <row r="1412" spans="1:12" ht="15">
      <c r="A1412" s="3">
        <v>2239</v>
      </c>
      <c r="B1412" s="26">
        <v>122</v>
      </c>
      <c r="C1412" s="7" t="s">
        <v>158</v>
      </c>
      <c r="D1412" s="4" t="s">
        <v>74</v>
      </c>
      <c r="E1412" s="6" t="s">
        <v>142</v>
      </c>
      <c r="F1412" s="12">
        <f>INDEX('PEDIDO JULIO'!A33:AC41,1,29)</f>
        <v>0</v>
      </c>
      <c r="G1412" s="8">
        <f>IFERROR(VLOOKUP($B1412,'[1]INSUMO POR SEDES MARZO PRUEBA'!$B$6:$CD$109,71,0),"NO BD")</f>
        <v>5920.3881000000001</v>
      </c>
      <c r="H1412" s="8"/>
      <c r="I1412" s="8">
        <f t="shared" si="123"/>
        <v>0</v>
      </c>
      <c r="J1412" s="14">
        <f t="shared" si="124"/>
        <v>0</v>
      </c>
      <c r="K1412" s="14">
        <f t="shared" si="125"/>
        <v>0</v>
      </c>
      <c r="L1412" s="14">
        <f t="shared" si="126"/>
        <v>0</v>
      </c>
    </row>
    <row r="1413" spans="1:12" ht="15">
      <c r="A1413" s="3">
        <v>2240</v>
      </c>
      <c r="B1413" s="26">
        <v>123</v>
      </c>
      <c r="C1413" s="7" t="s">
        <v>158</v>
      </c>
      <c r="D1413" s="4" t="s">
        <v>75</v>
      </c>
      <c r="E1413" s="6" t="s">
        <v>142</v>
      </c>
      <c r="F1413" s="12">
        <f>INDEX('PEDIDO JULIO'!A33:AC41,1,29)</f>
        <v>0</v>
      </c>
      <c r="G1413" s="8">
        <f>IFERROR(VLOOKUP($B1413,'[1]INSUMO POR SEDES MARZO PRUEBA'!$B$6:$CD$109,71,0),"NO BD")</f>
        <v>6169.1598000000004</v>
      </c>
      <c r="H1413" s="8"/>
      <c r="I1413" s="8">
        <f t="shared" si="123"/>
        <v>0</v>
      </c>
      <c r="J1413" s="14">
        <f t="shared" si="124"/>
        <v>0</v>
      </c>
      <c r="K1413" s="14">
        <f t="shared" si="125"/>
        <v>0</v>
      </c>
      <c r="L1413" s="14">
        <f t="shared" si="126"/>
        <v>0</v>
      </c>
    </row>
    <row r="1414" spans="1:12" ht="15">
      <c r="A1414" s="3">
        <v>2241</v>
      </c>
      <c r="B1414" s="26">
        <v>124</v>
      </c>
      <c r="C1414" s="7" t="s">
        <v>158</v>
      </c>
      <c r="D1414" s="4" t="s">
        <v>76</v>
      </c>
      <c r="E1414" s="6" t="s">
        <v>142</v>
      </c>
      <c r="F1414" s="12">
        <f>INDEX('PEDIDO JULIO'!A33:AC42,1,29)</f>
        <v>0</v>
      </c>
      <c r="G1414" s="8">
        <f>IFERROR(VLOOKUP($B1414,'[1]INSUMO POR SEDES MARZO PRUEBA'!$B$6:$CD$109,71,0),"NO BD")</f>
        <v>6169.1598000000004</v>
      </c>
      <c r="H1414" s="8"/>
      <c r="I1414" s="8">
        <f t="shared" ref="I1414:I1477" si="127">+F1414*G1414</f>
        <v>0</v>
      </c>
      <c r="J1414" s="14">
        <f t="shared" si="124"/>
        <v>0</v>
      </c>
      <c r="K1414" s="14">
        <f t="shared" si="125"/>
        <v>0</v>
      </c>
      <c r="L1414" s="14">
        <f t="shared" si="126"/>
        <v>0</v>
      </c>
    </row>
    <row r="1415" spans="1:12" ht="15">
      <c r="A1415" s="3">
        <v>2242</v>
      </c>
      <c r="B1415" s="26">
        <v>137</v>
      </c>
      <c r="C1415" s="7" t="s">
        <v>158</v>
      </c>
      <c r="D1415" s="4" t="s">
        <v>77</v>
      </c>
      <c r="E1415" s="6" t="s">
        <v>142</v>
      </c>
      <c r="F1415" s="12">
        <f>INDEX('PEDIDO JULIO'!A33:AC42,1,29)</f>
        <v>0</v>
      </c>
      <c r="G1415" s="8">
        <f>IFERROR(VLOOKUP($B1415,'[1]INSUMO POR SEDES MARZO PRUEBA'!$B$6:$CD$109,71,0),"NO BD")</f>
        <v>0</v>
      </c>
      <c r="H1415" s="8"/>
      <c r="I1415" s="8">
        <f t="shared" si="127"/>
        <v>0</v>
      </c>
      <c r="J1415" s="14">
        <f t="shared" ref="J1415:J1446" si="128">+I1415*10%</f>
        <v>0</v>
      </c>
      <c r="K1415" s="14">
        <f t="shared" ref="K1415:K1446" si="129">+J1415*19%</f>
        <v>0</v>
      </c>
      <c r="L1415" s="14">
        <f t="shared" ref="L1415:L1446" si="130">SUM(I1415:K1415)</f>
        <v>0</v>
      </c>
    </row>
    <row r="1416" spans="1:12" ht="15">
      <c r="A1416" s="3">
        <v>2243</v>
      </c>
      <c r="B1416" s="26">
        <v>139</v>
      </c>
      <c r="C1416" s="7" t="s">
        <v>158</v>
      </c>
      <c r="D1416" s="4" t="s">
        <v>78</v>
      </c>
      <c r="E1416" s="6" t="s">
        <v>142</v>
      </c>
      <c r="F1416" s="12">
        <f>INDEX('PEDIDO JULIO'!A33:AC42,1,29)</f>
        <v>0</v>
      </c>
      <c r="G1416" s="8">
        <f>IFERROR(VLOOKUP($B1416,'[1]INSUMO POR SEDES MARZO PRUEBA'!$B$6:$CD$109,71,0),"NO BD")</f>
        <v>25429.996000000003</v>
      </c>
      <c r="H1416" s="8"/>
      <c r="I1416" s="8">
        <f t="shared" si="127"/>
        <v>0</v>
      </c>
      <c r="J1416" s="14">
        <f t="shared" si="128"/>
        <v>0</v>
      </c>
      <c r="K1416" s="14">
        <f t="shared" si="129"/>
        <v>0</v>
      </c>
      <c r="L1416" s="14">
        <f t="shared" si="130"/>
        <v>0</v>
      </c>
    </row>
    <row r="1417" spans="1:12" ht="15">
      <c r="A1417" s="3">
        <v>2244</v>
      </c>
      <c r="B1417" s="26">
        <v>151</v>
      </c>
      <c r="C1417" s="7" t="s">
        <v>158</v>
      </c>
      <c r="D1417" s="4" t="s">
        <v>79</v>
      </c>
      <c r="E1417" s="6" t="s">
        <v>142</v>
      </c>
      <c r="F1417" s="12">
        <f>INDEX('PEDIDO JULIO'!A33:AC42,1,29)</f>
        <v>0</v>
      </c>
      <c r="G1417" s="8">
        <f>IFERROR(VLOOKUP($B1417,'[1]INSUMO POR SEDES MARZO PRUEBA'!$B$6:$CD$109,71,0),"NO BD")</f>
        <v>4422.6080000000002</v>
      </c>
      <c r="H1417" s="8"/>
      <c r="I1417" s="8">
        <f t="shared" si="127"/>
        <v>0</v>
      </c>
      <c r="J1417" s="14">
        <f t="shared" si="128"/>
        <v>0</v>
      </c>
      <c r="K1417" s="14">
        <f t="shared" si="129"/>
        <v>0</v>
      </c>
      <c r="L1417" s="14">
        <f t="shared" si="130"/>
        <v>0</v>
      </c>
    </row>
    <row r="1418" spans="1:12" ht="15">
      <c r="A1418" s="3">
        <v>2245</v>
      </c>
      <c r="B1418" s="26">
        <v>155</v>
      </c>
      <c r="C1418" s="7" t="s">
        <v>158</v>
      </c>
      <c r="D1418" s="4" t="s">
        <v>80</v>
      </c>
      <c r="E1418" s="6" t="s">
        <v>142</v>
      </c>
      <c r="F1418" s="12">
        <f>INDEX('PEDIDO JULIO'!A33:AC43,1,29)</f>
        <v>0</v>
      </c>
      <c r="G1418" s="8">
        <f>IFERROR(VLOOKUP($B1418,'[1]INSUMO POR SEDES MARZO PRUEBA'!$B$6:$CD$109,71,0),"NO BD")</f>
        <v>5005.7028</v>
      </c>
      <c r="H1418" s="8"/>
      <c r="I1418" s="8">
        <f t="shared" si="127"/>
        <v>0</v>
      </c>
      <c r="J1418" s="14">
        <f t="shared" si="128"/>
        <v>0</v>
      </c>
      <c r="K1418" s="14">
        <f t="shared" si="129"/>
        <v>0</v>
      </c>
      <c r="L1418" s="14">
        <f t="shared" si="130"/>
        <v>0</v>
      </c>
    </row>
    <row r="1419" spans="1:12" ht="15">
      <c r="A1419" s="3">
        <v>2246</v>
      </c>
      <c r="B1419" s="26">
        <v>156</v>
      </c>
      <c r="C1419" s="7" t="s">
        <v>158</v>
      </c>
      <c r="D1419" s="4" t="s">
        <v>81</v>
      </c>
      <c r="E1419" s="6" t="s">
        <v>142</v>
      </c>
      <c r="F1419" s="12">
        <f>INDEX('PEDIDO JULIO'!A33:AC43,1,29)</f>
        <v>0</v>
      </c>
      <c r="G1419" s="8">
        <f>IFERROR(VLOOKUP($B1419,'[1]INSUMO POR SEDES MARZO PRUEBA'!$B$6:$CD$109,71,0),"NO BD")</f>
        <v>7711.9227000000001</v>
      </c>
      <c r="H1419" s="8"/>
      <c r="I1419" s="8">
        <f t="shared" si="127"/>
        <v>0</v>
      </c>
      <c r="J1419" s="14">
        <f t="shared" si="128"/>
        <v>0</v>
      </c>
      <c r="K1419" s="14">
        <f t="shared" si="129"/>
        <v>0</v>
      </c>
      <c r="L1419" s="14">
        <f t="shared" si="130"/>
        <v>0</v>
      </c>
    </row>
    <row r="1420" spans="1:12" ht="15">
      <c r="A1420" s="3">
        <v>2247</v>
      </c>
      <c r="B1420" s="26">
        <v>157</v>
      </c>
      <c r="C1420" s="7" t="s">
        <v>158</v>
      </c>
      <c r="D1420" s="4" t="s">
        <v>82</v>
      </c>
      <c r="E1420" s="6" t="s">
        <v>142</v>
      </c>
      <c r="F1420" s="12">
        <f>INDEX('PEDIDO JULIO'!A33:AC43,1,29)</f>
        <v>0</v>
      </c>
      <c r="G1420" s="8">
        <f>IFERROR(VLOOKUP($B1420,'[1]INSUMO POR SEDES MARZO PRUEBA'!$B$6:$CD$109,71,0),"NO BD")</f>
        <v>8955.7812000000013</v>
      </c>
      <c r="H1420" s="8"/>
      <c r="I1420" s="8">
        <f t="shared" si="127"/>
        <v>0</v>
      </c>
      <c r="J1420" s="14">
        <f t="shared" si="128"/>
        <v>0</v>
      </c>
      <c r="K1420" s="14">
        <f t="shared" si="129"/>
        <v>0</v>
      </c>
      <c r="L1420" s="14">
        <f t="shared" si="130"/>
        <v>0</v>
      </c>
    </row>
    <row r="1421" spans="1:12" ht="15">
      <c r="A1421" s="3">
        <v>2248</v>
      </c>
      <c r="B1421" s="31">
        <v>159</v>
      </c>
      <c r="C1421" s="7" t="s">
        <v>158</v>
      </c>
      <c r="D1421" s="4" t="s">
        <v>83</v>
      </c>
      <c r="E1421" s="6" t="s">
        <v>142</v>
      </c>
      <c r="F1421" s="12">
        <f>INDEX('PEDIDO JULIO'!A33:AC44,1,29)</f>
        <v>0</v>
      </c>
      <c r="G1421" s="8">
        <f>IFERROR(VLOOKUP($B1421,'[1]INSUMO POR SEDES MARZO PRUEBA'!$B$6:$CD$109,71,0),"NO BD")</f>
        <v>6716.8359</v>
      </c>
      <c r="H1421" s="8"/>
      <c r="I1421" s="8">
        <f t="shared" si="127"/>
        <v>0</v>
      </c>
      <c r="J1421" s="14">
        <f t="shared" si="128"/>
        <v>0</v>
      </c>
      <c r="K1421" s="14">
        <f t="shared" si="129"/>
        <v>0</v>
      </c>
      <c r="L1421" s="14">
        <f t="shared" si="130"/>
        <v>0</v>
      </c>
    </row>
    <row r="1422" spans="1:12" ht="15">
      <c r="A1422" s="3">
        <v>2249</v>
      </c>
      <c r="B1422" s="26">
        <v>160</v>
      </c>
      <c r="C1422" s="7" t="s">
        <v>158</v>
      </c>
      <c r="D1422" s="4" t="s">
        <v>84</v>
      </c>
      <c r="E1422" s="6" t="s">
        <v>142</v>
      </c>
      <c r="F1422" s="12">
        <f>INDEX('PEDIDO JULIO'!A33:AC44,1,29)</f>
        <v>0</v>
      </c>
      <c r="G1422" s="8">
        <f>IFERROR(VLOOKUP($B1422,'[1]INSUMO POR SEDES MARZO PRUEBA'!$B$6:$CD$109,71,0),"NO BD")</f>
        <v>2276.4660000000003</v>
      </c>
      <c r="H1422" s="8"/>
      <c r="I1422" s="8">
        <f t="shared" si="127"/>
        <v>0</v>
      </c>
      <c r="J1422" s="14">
        <f t="shared" si="128"/>
        <v>0</v>
      </c>
      <c r="K1422" s="14">
        <f t="shared" si="129"/>
        <v>0</v>
      </c>
      <c r="L1422" s="14">
        <f t="shared" si="130"/>
        <v>0</v>
      </c>
    </row>
    <row r="1423" spans="1:12" ht="15">
      <c r="A1423" s="3">
        <v>2250</v>
      </c>
      <c r="B1423" s="26">
        <v>162</v>
      </c>
      <c r="C1423" s="7" t="s">
        <v>158</v>
      </c>
      <c r="D1423" s="4" t="s">
        <v>85</v>
      </c>
      <c r="E1423" s="6" t="s">
        <v>142</v>
      </c>
      <c r="F1423" s="12">
        <f>INDEX('PEDIDO JULIO'!A33:AC44,1,29)</f>
        <v>0</v>
      </c>
      <c r="G1423" s="8">
        <f>IFERROR(VLOOKUP($B1423,'[1]INSUMO POR SEDES MARZO PRUEBA'!$B$6:$CD$109,71,0),"NO BD")</f>
        <v>4030.4798999999998</v>
      </c>
      <c r="H1423" s="8"/>
      <c r="I1423" s="8">
        <f t="shared" si="127"/>
        <v>0</v>
      </c>
      <c r="J1423" s="14">
        <f t="shared" si="128"/>
        <v>0</v>
      </c>
      <c r="K1423" s="14">
        <f t="shared" si="129"/>
        <v>0</v>
      </c>
      <c r="L1423" s="14">
        <f t="shared" si="130"/>
        <v>0</v>
      </c>
    </row>
    <row r="1424" spans="1:12" ht="15">
      <c r="A1424" s="3">
        <v>2251</v>
      </c>
      <c r="B1424" s="26">
        <v>164</v>
      </c>
      <c r="C1424" s="7" t="s">
        <v>152</v>
      </c>
      <c r="D1424" s="4" t="s">
        <v>86</v>
      </c>
      <c r="E1424" s="6" t="s">
        <v>142</v>
      </c>
      <c r="F1424" s="12">
        <f>INDEX('PEDIDO JULIO'!A33:AC44,1,29)</f>
        <v>0</v>
      </c>
      <c r="G1424" s="8">
        <f>IFERROR(VLOOKUP($B1424,'[1]INSUMO POR SEDES MARZO PRUEBA'!$B$6:$CD$109,71,0),"NO BD")</f>
        <v>0</v>
      </c>
      <c r="H1424" s="8"/>
      <c r="I1424" s="8">
        <f t="shared" si="127"/>
        <v>0</v>
      </c>
      <c r="J1424" s="14">
        <f t="shared" si="128"/>
        <v>0</v>
      </c>
      <c r="K1424" s="14">
        <f t="shared" si="129"/>
        <v>0</v>
      </c>
      <c r="L1424" s="14">
        <f t="shared" si="130"/>
        <v>0</v>
      </c>
    </row>
    <row r="1425" spans="1:12" ht="15">
      <c r="A1425" s="3">
        <v>2252</v>
      </c>
      <c r="B1425" s="26">
        <v>169</v>
      </c>
      <c r="C1425" s="7" t="s">
        <v>87</v>
      </c>
      <c r="D1425" s="4" t="s">
        <v>88</v>
      </c>
      <c r="E1425" s="6" t="s">
        <v>142</v>
      </c>
      <c r="F1425" s="12">
        <f>INDEX('PEDIDO JULIO'!A33:AC45,1,29)</f>
        <v>0</v>
      </c>
      <c r="G1425" s="8">
        <f>IFERROR(VLOOKUP($B1425,'[1]INSUMO POR SEDES MARZO PRUEBA'!$B$6:$CD$109,71,0),"NO BD")</f>
        <v>0</v>
      </c>
      <c r="H1425" s="8"/>
      <c r="I1425" s="8">
        <f t="shared" si="127"/>
        <v>0</v>
      </c>
      <c r="J1425" s="14">
        <f t="shared" si="128"/>
        <v>0</v>
      </c>
      <c r="K1425" s="14">
        <f t="shared" si="129"/>
        <v>0</v>
      </c>
      <c r="L1425" s="14">
        <f t="shared" si="130"/>
        <v>0</v>
      </c>
    </row>
    <row r="1426" spans="1:12" ht="15">
      <c r="A1426" s="3">
        <v>2253</v>
      </c>
      <c r="B1426" s="26">
        <v>170</v>
      </c>
      <c r="C1426" s="7" t="s">
        <v>87</v>
      </c>
      <c r="D1426" s="4" t="s">
        <v>89</v>
      </c>
      <c r="E1426" s="6" t="s">
        <v>142</v>
      </c>
      <c r="F1426" s="12">
        <f>INDEX('PEDIDO JULIO'!A33:AC46,1,29)</f>
        <v>0</v>
      </c>
      <c r="G1426" s="8">
        <f>IFERROR(VLOOKUP($B1426,'[1]INSUMO POR SEDES MARZO PRUEBA'!$B$6:$CD$109,71,0),"NO BD")</f>
        <v>45575.353799999997</v>
      </c>
      <c r="H1426" s="8"/>
      <c r="I1426" s="8">
        <f t="shared" si="127"/>
        <v>0</v>
      </c>
      <c r="J1426" s="14">
        <f t="shared" si="128"/>
        <v>0</v>
      </c>
      <c r="K1426" s="14">
        <f t="shared" si="129"/>
        <v>0</v>
      </c>
      <c r="L1426" s="14">
        <f t="shared" si="130"/>
        <v>0</v>
      </c>
    </row>
    <row r="1427" spans="1:12" ht="15">
      <c r="A1427" s="3">
        <v>2254</v>
      </c>
      <c r="B1427" s="26">
        <v>174</v>
      </c>
      <c r="C1427" s="7" t="s">
        <v>90</v>
      </c>
      <c r="D1427" s="4" t="s">
        <v>91</v>
      </c>
      <c r="E1427" s="6" t="s">
        <v>142</v>
      </c>
      <c r="F1427" s="12">
        <f>INDEX('PEDIDO JULIO'!A33:AC47,1,29)</f>
        <v>0</v>
      </c>
      <c r="G1427" s="8">
        <f>IFERROR(VLOOKUP($B1427,'[1]INSUMO POR SEDES MARZO PRUEBA'!$B$6:$CD$109,71,0),"NO BD")</f>
        <v>10050.1875</v>
      </c>
      <c r="H1427" s="8"/>
      <c r="I1427" s="8">
        <f t="shared" si="127"/>
        <v>0</v>
      </c>
      <c r="J1427" s="14">
        <f t="shared" si="128"/>
        <v>0</v>
      </c>
      <c r="K1427" s="14">
        <f t="shared" si="129"/>
        <v>0</v>
      </c>
      <c r="L1427" s="14">
        <f t="shared" si="130"/>
        <v>0</v>
      </c>
    </row>
    <row r="1428" spans="1:12" ht="15">
      <c r="A1428" s="3">
        <v>2255</v>
      </c>
      <c r="B1428" s="26">
        <v>192</v>
      </c>
      <c r="C1428" s="7" t="s">
        <v>90</v>
      </c>
      <c r="D1428" s="4" t="s">
        <v>92</v>
      </c>
      <c r="E1428" s="6" t="s">
        <v>142</v>
      </c>
      <c r="F1428" s="12">
        <f>INDEX('PEDIDO JULIO'!A33:AC47,1,29)</f>
        <v>0</v>
      </c>
      <c r="G1428" s="8">
        <f>IFERROR(VLOOKUP($B1428,'[1]INSUMO POR SEDES MARZO PRUEBA'!$B$6:$CD$109,71,0),"NO BD")</f>
        <v>3930.7400000000002</v>
      </c>
      <c r="H1428" s="8"/>
      <c r="I1428" s="8">
        <f t="shared" si="127"/>
        <v>0</v>
      </c>
      <c r="J1428" s="14">
        <f t="shared" si="128"/>
        <v>0</v>
      </c>
      <c r="K1428" s="14">
        <f t="shared" si="129"/>
        <v>0</v>
      </c>
      <c r="L1428" s="14">
        <f t="shared" si="130"/>
        <v>0</v>
      </c>
    </row>
    <row r="1429" spans="1:12" ht="15">
      <c r="A1429" s="3">
        <v>2256</v>
      </c>
      <c r="B1429" s="26">
        <v>195</v>
      </c>
      <c r="C1429" s="7" t="s">
        <v>93</v>
      </c>
      <c r="D1429" s="4" t="s">
        <v>94</v>
      </c>
      <c r="E1429" s="6" t="s">
        <v>142</v>
      </c>
      <c r="F1429" s="12">
        <f>INDEX('PEDIDO JULIO'!A33:AC47,1,29)</f>
        <v>0</v>
      </c>
      <c r="G1429" s="8">
        <f>IFERROR(VLOOKUP($B1429,'[1]INSUMO POR SEDES MARZO PRUEBA'!$B$6:$CD$109,71,0),"NO BD")</f>
        <v>6431.0690000000004</v>
      </c>
      <c r="H1429" s="8"/>
      <c r="I1429" s="8">
        <f t="shared" si="127"/>
        <v>0</v>
      </c>
      <c r="J1429" s="14">
        <f t="shared" si="128"/>
        <v>0</v>
      </c>
      <c r="K1429" s="14">
        <f t="shared" si="129"/>
        <v>0</v>
      </c>
      <c r="L1429" s="14">
        <f t="shared" si="130"/>
        <v>0</v>
      </c>
    </row>
    <row r="1430" spans="1:12" ht="15">
      <c r="A1430" s="3">
        <v>2257</v>
      </c>
      <c r="B1430" s="26">
        <v>204</v>
      </c>
      <c r="C1430" s="7" t="s">
        <v>154</v>
      </c>
      <c r="D1430" s="4" t="s">
        <v>95</v>
      </c>
      <c r="E1430" s="6" t="s">
        <v>142</v>
      </c>
      <c r="F1430" s="12">
        <f>INDEX('PEDIDO JULIO'!A33:AC47,1,29)</f>
        <v>0</v>
      </c>
      <c r="G1430" s="8">
        <f>IFERROR(VLOOKUP($B1430,'[1]INSUMO POR SEDES MARZO PRUEBA'!$B$6:$CD$109,71,0),"NO BD")</f>
        <v>14760.243999999999</v>
      </c>
      <c r="H1430" s="8"/>
      <c r="I1430" s="8">
        <f t="shared" si="127"/>
        <v>0</v>
      </c>
      <c r="J1430" s="14">
        <f t="shared" si="128"/>
        <v>0</v>
      </c>
      <c r="K1430" s="14">
        <f t="shared" si="129"/>
        <v>0</v>
      </c>
      <c r="L1430" s="14">
        <f t="shared" si="130"/>
        <v>0</v>
      </c>
    </row>
    <row r="1431" spans="1:12" ht="15">
      <c r="A1431" s="3">
        <v>2258</v>
      </c>
      <c r="B1431" s="26">
        <v>205</v>
      </c>
      <c r="C1431" s="7" t="s">
        <v>154</v>
      </c>
      <c r="D1431" s="4" t="s">
        <v>96</v>
      </c>
      <c r="E1431" s="6" t="s">
        <v>142</v>
      </c>
      <c r="F1431" s="12">
        <f>INDEX('PEDIDO JULIO'!A33:AC47,1,29)</f>
        <v>0</v>
      </c>
      <c r="G1431" s="8">
        <f>IFERROR(VLOOKUP($B1431,'[1]INSUMO POR SEDES MARZO PRUEBA'!$B$6:$CD$109,71,0),"NO BD")</f>
        <v>17690.432000000001</v>
      </c>
      <c r="H1431" s="8"/>
      <c r="I1431" s="8">
        <f t="shared" si="127"/>
        <v>0</v>
      </c>
      <c r="J1431" s="14">
        <f t="shared" si="128"/>
        <v>0</v>
      </c>
      <c r="K1431" s="14">
        <f t="shared" si="129"/>
        <v>0</v>
      </c>
      <c r="L1431" s="14">
        <f t="shared" si="130"/>
        <v>0</v>
      </c>
    </row>
    <row r="1432" spans="1:12" ht="15">
      <c r="A1432" s="3">
        <v>2259</v>
      </c>
      <c r="B1432" s="26">
        <v>207</v>
      </c>
      <c r="C1432" s="7" t="s">
        <v>154</v>
      </c>
      <c r="D1432" s="4" t="s">
        <v>97</v>
      </c>
      <c r="E1432" s="6" t="s">
        <v>142</v>
      </c>
      <c r="F1432" s="12">
        <f>INDEX('PEDIDO JULIO'!A33:AC47,1,29)</f>
        <v>0</v>
      </c>
      <c r="G1432" s="8">
        <f>IFERROR(VLOOKUP($B1432,'[1]INSUMO POR SEDES MARZO PRUEBA'!$B$6:$CD$109,71,0),"NO BD")</f>
        <v>0</v>
      </c>
      <c r="H1432" s="8"/>
      <c r="I1432" s="8">
        <f t="shared" si="127"/>
        <v>0</v>
      </c>
      <c r="J1432" s="14">
        <f t="shared" si="128"/>
        <v>0</v>
      </c>
      <c r="K1432" s="14">
        <f t="shared" si="129"/>
        <v>0</v>
      </c>
      <c r="L1432" s="14">
        <f t="shared" si="130"/>
        <v>0</v>
      </c>
    </row>
    <row r="1433" spans="1:12" ht="15">
      <c r="A1433" s="3">
        <v>2260</v>
      </c>
      <c r="B1433" s="26">
        <v>212</v>
      </c>
      <c r="C1433" s="7" t="s">
        <v>152</v>
      </c>
      <c r="D1433" s="4" t="s">
        <v>98</v>
      </c>
      <c r="E1433" s="6" t="s">
        <v>142</v>
      </c>
      <c r="F1433" s="12">
        <f>INDEX('PEDIDO JULIO'!A33:AC47,1,29)</f>
        <v>0</v>
      </c>
      <c r="G1433" s="8">
        <f>IFERROR(VLOOKUP($B1433,'[1]INSUMO POR SEDES MARZO PRUEBA'!$B$6:$CD$109,71,0),"NO BD")</f>
        <v>0</v>
      </c>
      <c r="H1433" s="8"/>
      <c r="I1433" s="8">
        <f t="shared" si="127"/>
        <v>0</v>
      </c>
      <c r="J1433" s="14">
        <f t="shared" si="128"/>
        <v>0</v>
      </c>
      <c r="K1433" s="14">
        <f t="shared" si="129"/>
        <v>0</v>
      </c>
      <c r="L1433" s="14">
        <f t="shared" si="130"/>
        <v>0</v>
      </c>
    </row>
    <row r="1434" spans="1:12" ht="15">
      <c r="A1434" s="3">
        <v>2261</v>
      </c>
      <c r="B1434" s="26">
        <v>218</v>
      </c>
      <c r="C1434" s="7" t="s">
        <v>153</v>
      </c>
      <c r="D1434" s="4" t="s">
        <v>99</v>
      </c>
      <c r="E1434" s="6" t="s">
        <v>142</v>
      </c>
      <c r="F1434" s="12">
        <f>INDEX('PEDIDO JULIO'!A33:AC47,1,29)</f>
        <v>0</v>
      </c>
      <c r="G1434" s="8">
        <f>IFERROR(VLOOKUP($B1434,'[1]INSUMO POR SEDES MARZO PRUEBA'!$B$6:$CD$109,71,0),"NO BD")</f>
        <v>2587.0365000000002</v>
      </c>
      <c r="H1434" s="8"/>
      <c r="I1434" s="8">
        <f t="shared" si="127"/>
        <v>0</v>
      </c>
      <c r="J1434" s="14">
        <f t="shared" si="128"/>
        <v>0</v>
      </c>
      <c r="K1434" s="14">
        <f t="shared" si="129"/>
        <v>0</v>
      </c>
      <c r="L1434" s="14">
        <f t="shared" si="130"/>
        <v>0</v>
      </c>
    </row>
    <row r="1435" spans="1:12" ht="15">
      <c r="A1435" s="3">
        <v>2262</v>
      </c>
      <c r="B1435" s="26">
        <v>251</v>
      </c>
      <c r="C1435" s="7" t="s">
        <v>151</v>
      </c>
      <c r="D1435" s="4" t="s">
        <v>100</v>
      </c>
      <c r="E1435" s="6" t="s">
        <v>142</v>
      </c>
      <c r="F1435" s="12">
        <f>INDEX('PEDIDO JULIO'!A33:AC47,1,29)</f>
        <v>0</v>
      </c>
      <c r="G1435" s="8">
        <f>IFERROR(VLOOKUP($B1435,'[1]INSUMO POR SEDES MARZO PRUEBA'!$B$6:$CD$109,71,0),"NO BD")</f>
        <v>0</v>
      </c>
      <c r="H1435" s="8"/>
      <c r="I1435" s="8">
        <f t="shared" si="127"/>
        <v>0</v>
      </c>
      <c r="J1435" s="14">
        <f t="shared" si="128"/>
        <v>0</v>
      </c>
      <c r="K1435" s="14">
        <f t="shared" si="129"/>
        <v>0</v>
      </c>
      <c r="L1435" s="14">
        <f t="shared" si="130"/>
        <v>0</v>
      </c>
    </row>
    <row r="1436" spans="1:12" ht="15">
      <c r="A1436" s="3">
        <v>2295</v>
      </c>
      <c r="B1436" s="39">
        <v>3</v>
      </c>
      <c r="C1436" s="7" t="s">
        <v>13</v>
      </c>
      <c r="D1436" s="4" t="s">
        <v>14</v>
      </c>
      <c r="E1436" s="6" t="s">
        <v>143</v>
      </c>
      <c r="F1436" s="12">
        <f>INDEX('PEDIDO JULIO'!A10:AD32,1,30)</f>
        <v>0</v>
      </c>
      <c r="G1436" s="8">
        <f>IFERROR(VLOOKUP($B1436,'[1]INSUMO POR SEDES MARZO PRUEBA'!$B$6:$CD$109,74,0),"NO BD")</f>
        <v>7268.7160000000003</v>
      </c>
      <c r="H1436" s="8"/>
      <c r="I1436" s="8">
        <f t="shared" si="127"/>
        <v>0</v>
      </c>
      <c r="J1436" s="14">
        <f t="shared" si="128"/>
        <v>0</v>
      </c>
      <c r="K1436" s="14">
        <f t="shared" si="129"/>
        <v>0</v>
      </c>
      <c r="L1436" s="14">
        <f t="shared" si="130"/>
        <v>0</v>
      </c>
    </row>
    <row r="1437" spans="1:12" ht="27">
      <c r="A1437" s="3">
        <v>2296</v>
      </c>
      <c r="B1437" s="39">
        <v>5</v>
      </c>
      <c r="C1437" s="7" t="s">
        <v>13</v>
      </c>
      <c r="D1437" s="4" t="s">
        <v>15</v>
      </c>
      <c r="E1437" s="6" t="s">
        <v>143</v>
      </c>
      <c r="F1437" s="12">
        <f>INDEX('PEDIDO JULIO'!A10:AD32,1,30)</f>
        <v>0</v>
      </c>
      <c r="G1437" s="8">
        <f>IFERROR(VLOOKUP($B1437,'[1]INSUMO POR SEDES MARZO PRUEBA'!$B$6:$CD$109,74,0),"NO BD")</f>
        <v>6494.1289999999999</v>
      </c>
      <c r="H1437" s="8"/>
      <c r="I1437" s="8">
        <f t="shared" si="127"/>
        <v>0</v>
      </c>
      <c r="J1437" s="14">
        <f t="shared" si="128"/>
        <v>0</v>
      </c>
      <c r="K1437" s="14">
        <f t="shared" si="129"/>
        <v>0</v>
      </c>
      <c r="L1437" s="14">
        <f t="shared" si="130"/>
        <v>0</v>
      </c>
    </row>
    <row r="1438" spans="1:12" ht="15">
      <c r="A1438" s="3">
        <v>2297</v>
      </c>
      <c r="B1438" s="39">
        <v>8</v>
      </c>
      <c r="C1438" s="7" t="s">
        <v>16</v>
      </c>
      <c r="D1438" s="4" t="s">
        <v>17</v>
      </c>
      <c r="E1438" s="6" t="s">
        <v>143</v>
      </c>
      <c r="F1438" s="12">
        <f>INDEX('PEDIDO JULIO'!A10:AD33,1,30)</f>
        <v>0</v>
      </c>
      <c r="G1438" s="8">
        <f>IFERROR(VLOOKUP($B1438,'[1]INSUMO POR SEDES MARZO PRUEBA'!$B$6:$CD$109,74,0),"NO BD")</f>
        <v>0</v>
      </c>
      <c r="H1438" s="8"/>
      <c r="I1438" s="8">
        <f t="shared" si="127"/>
        <v>0</v>
      </c>
      <c r="J1438" s="14">
        <f t="shared" si="128"/>
        <v>0</v>
      </c>
      <c r="K1438" s="14">
        <f t="shared" si="129"/>
        <v>0</v>
      </c>
      <c r="L1438" s="14">
        <f t="shared" si="130"/>
        <v>0</v>
      </c>
    </row>
    <row r="1439" spans="1:12" ht="27">
      <c r="A1439" s="3">
        <v>2298</v>
      </c>
      <c r="B1439" s="39">
        <v>9</v>
      </c>
      <c r="C1439" s="7" t="s">
        <v>18</v>
      </c>
      <c r="D1439" s="4" t="s">
        <v>19</v>
      </c>
      <c r="E1439" s="6" t="s">
        <v>143</v>
      </c>
      <c r="F1439" s="12">
        <f>INDEX('PEDIDO JULIO'!A10:AD33,1,30)</f>
        <v>0</v>
      </c>
      <c r="G1439" s="8">
        <f>IFERROR(VLOOKUP($B1439,'[1]INSUMO POR SEDES MARZO PRUEBA'!$B$6:$CD$109,74,0),"NO BD")</f>
        <v>0</v>
      </c>
      <c r="H1439" s="8"/>
      <c r="I1439" s="8">
        <f t="shared" si="127"/>
        <v>0</v>
      </c>
      <c r="J1439" s="14">
        <f t="shared" si="128"/>
        <v>0</v>
      </c>
      <c r="K1439" s="14">
        <f t="shared" si="129"/>
        <v>0</v>
      </c>
      <c r="L1439" s="14">
        <f t="shared" si="130"/>
        <v>0</v>
      </c>
    </row>
    <row r="1440" spans="1:12" ht="27">
      <c r="A1440" s="3">
        <v>2299</v>
      </c>
      <c r="B1440" s="39">
        <v>13</v>
      </c>
      <c r="C1440" s="7" t="s">
        <v>20</v>
      </c>
      <c r="D1440" s="4" t="s">
        <v>21</v>
      </c>
      <c r="E1440" s="6" t="s">
        <v>143</v>
      </c>
      <c r="F1440" s="12">
        <f>INDEX('PEDIDO JULIO'!A11:AD33,1,30)</f>
        <v>0</v>
      </c>
      <c r="G1440" s="8">
        <f>IFERROR(VLOOKUP($B1440,'[1]INSUMO POR SEDES MARZO PRUEBA'!$B$6:$CD$109,74,0),"NO BD")</f>
        <v>0</v>
      </c>
      <c r="H1440" s="8"/>
      <c r="I1440" s="8">
        <f t="shared" si="127"/>
        <v>0</v>
      </c>
      <c r="J1440" s="14">
        <f t="shared" si="128"/>
        <v>0</v>
      </c>
      <c r="K1440" s="14">
        <f t="shared" si="129"/>
        <v>0</v>
      </c>
      <c r="L1440" s="14">
        <f t="shared" si="130"/>
        <v>0</v>
      </c>
    </row>
    <row r="1441" spans="1:12" ht="27">
      <c r="A1441" s="3">
        <v>2300</v>
      </c>
      <c r="B1441" s="39">
        <v>17</v>
      </c>
      <c r="C1441" s="7" t="s">
        <v>22</v>
      </c>
      <c r="D1441" s="4" t="s">
        <v>23</v>
      </c>
      <c r="E1441" s="6" t="s">
        <v>143</v>
      </c>
      <c r="F1441" s="12">
        <f>INDEX('PEDIDO JULIO'!A12:AD33,1,30)</f>
        <v>0</v>
      </c>
      <c r="G1441" s="8">
        <f>IFERROR(VLOOKUP($B1441,'[1]INSUMO POR SEDES MARZO PRUEBA'!$B$6:$CD$109,74,0),"NO BD")</f>
        <v>0</v>
      </c>
      <c r="H1441" s="8"/>
      <c r="I1441" s="8">
        <f t="shared" si="127"/>
        <v>0</v>
      </c>
      <c r="J1441" s="14">
        <f t="shared" si="128"/>
        <v>0</v>
      </c>
      <c r="K1441" s="14">
        <f t="shared" si="129"/>
        <v>0</v>
      </c>
      <c r="L1441" s="14">
        <f t="shared" si="130"/>
        <v>0</v>
      </c>
    </row>
    <row r="1442" spans="1:12" ht="15">
      <c r="A1442" s="3">
        <v>2301</v>
      </c>
      <c r="B1442" s="39">
        <v>20</v>
      </c>
      <c r="C1442" s="7" t="s">
        <v>18</v>
      </c>
      <c r="D1442" s="4" t="s">
        <v>24</v>
      </c>
      <c r="E1442" s="6" t="s">
        <v>143</v>
      </c>
      <c r="F1442" s="12">
        <f>INDEX('PEDIDO JULIO'!A12:AD33,1,30)</f>
        <v>0</v>
      </c>
      <c r="G1442" s="8">
        <f>IFERROR(VLOOKUP($B1442,'[1]INSUMO POR SEDES MARZO PRUEBA'!$B$6:$CD$109,74,0),"NO BD")</f>
        <v>0</v>
      </c>
      <c r="H1442" s="8"/>
      <c r="I1442" s="8">
        <f t="shared" si="127"/>
        <v>0</v>
      </c>
      <c r="J1442" s="14">
        <f t="shared" si="128"/>
        <v>0</v>
      </c>
      <c r="K1442" s="14">
        <f t="shared" si="129"/>
        <v>0</v>
      </c>
      <c r="L1442" s="14">
        <f t="shared" si="130"/>
        <v>0</v>
      </c>
    </row>
    <row r="1443" spans="1:12" ht="27">
      <c r="A1443" s="3">
        <v>2302</v>
      </c>
      <c r="B1443" s="39">
        <v>21</v>
      </c>
      <c r="C1443" s="7" t="s">
        <v>155</v>
      </c>
      <c r="D1443" s="4" t="s">
        <v>25</v>
      </c>
      <c r="E1443" s="6" t="s">
        <v>143</v>
      </c>
      <c r="F1443" s="12">
        <f>INDEX('PEDIDO JULIO'!A13:AD34,1,30)</f>
        <v>0</v>
      </c>
      <c r="G1443" s="8">
        <f>IFERROR(VLOOKUP($B1443,'[1]INSUMO POR SEDES MARZO PRUEBA'!$B$6:$CD$109,74,0),"NO BD")</f>
        <v>0</v>
      </c>
      <c r="H1443" s="8"/>
      <c r="I1443" s="8">
        <f t="shared" si="127"/>
        <v>0</v>
      </c>
      <c r="J1443" s="14">
        <f t="shared" si="128"/>
        <v>0</v>
      </c>
      <c r="K1443" s="14">
        <f t="shared" si="129"/>
        <v>0</v>
      </c>
      <c r="L1443" s="14">
        <f t="shared" si="130"/>
        <v>0</v>
      </c>
    </row>
    <row r="1444" spans="1:12" ht="27">
      <c r="A1444" s="3">
        <v>2303</v>
      </c>
      <c r="B1444" s="39">
        <v>28</v>
      </c>
      <c r="C1444" s="7" t="s">
        <v>16</v>
      </c>
      <c r="D1444" s="4" t="s">
        <v>26</v>
      </c>
      <c r="E1444" s="6" t="s">
        <v>143</v>
      </c>
      <c r="F1444" s="12">
        <f>INDEX('PEDIDO JULIO'!A14:AD34,1,30)</f>
        <v>0</v>
      </c>
      <c r="G1444" s="8">
        <f>IFERROR(VLOOKUP($B1444,'[1]INSUMO POR SEDES MARZO PRUEBA'!$B$6:$CD$109,74,0),"NO BD")</f>
        <v>2764.13</v>
      </c>
      <c r="H1444" s="8"/>
      <c r="I1444" s="8">
        <f t="shared" si="127"/>
        <v>0</v>
      </c>
      <c r="J1444" s="14">
        <f t="shared" si="128"/>
        <v>0</v>
      </c>
      <c r="K1444" s="14">
        <f t="shared" si="129"/>
        <v>0</v>
      </c>
      <c r="L1444" s="14">
        <f t="shared" si="130"/>
        <v>0</v>
      </c>
    </row>
    <row r="1445" spans="1:12" ht="15">
      <c r="A1445" s="3">
        <v>2304</v>
      </c>
      <c r="B1445" s="39">
        <v>29</v>
      </c>
      <c r="C1445" s="7" t="s">
        <v>27</v>
      </c>
      <c r="D1445" s="4" t="s">
        <v>28</v>
      </c>
      <c r="E1445" s="6" t="s">
        <v>143</v>
      </c>
      <c r="F1445" s="12">
        <f>INDEX('PEDIDO JULIO'!A15:AD34,1,30)</f>
        <v>0</v>
      </c>
      <c r="G1445" s="8">
        <f>IFERROR(VLOOKUP($B1445,'[1]INSUMO POR SEDES MARZO PRUEBA'!$B$6:$CD$109,74,0),"NO BD")</f>
        <v>0</v>
      </c>
      <c r="H1445" s="8"/>
      <c r="I1445" s="8">
        <f t="shared" si="127"/>
        <v>0</v>
      </c>
      <c r="J1445" s="14">
        <f t="shared" si="128"/>
        <v>0</v>
      </c>
      <c r="K1445" s="14">
        <f t="shared" si="129"/>
        <v>0</v>
      </c>
      <c r="L1445" s="14">
        <f t="shared" si="130"/>
        <v>0</v>
      </c>
    </row>
    <row r="1446" spans="1:12" ht="15">
      <c r="A1446" s="3">
        <v>2305</v>
      </c>
      <c r="B1446" s="39">
        <v>32</v>
      </c>
      <c r="C1446" s="7" t="s">
        <v>13</v>
      </c>
      <c r="D1446" s="4" t="s">
        <v>29</v>
      </c>
      <c r="E1446" s="6" t="s">
        <v>143</v>
      </c>
      <c r="F1446" s="12">
        <f>INDEX('PEDIDO JULIO'!A16:AD34,1,30)</f>
        <v>0</v>
      </c>
      <c r="G1446" s="8">
        <f>IFERROR(VLOOKUP($B1446,'[1]INSUMO POR SEDES MARZO PRUEBA'!$B$6:$CD$109,74,0),"NO BD")</f>
        <v>0</v>
      </c>
      <c r="H1446" s="8"/>
      <c r="I1446" s="8">
        <f t="shared" si="127"/>
        <v>0</v>
      </c>
      <c r="J1446" s="14">
        <f t="shared" si="128"/>
        <v>0</v>
      </c>
      <c r="K1446" s="14">
        <f t="shared" si="129"/>
        <v>0</v>
      </c>
      <c r="L1446" s="14">
        <f t="shared" si="130"/>
        <v>0</v>
      </c>
    </row>
    <row r="1447" spans="1:12" ht="15">
      <c r="A1447" s="3">
        <v>2306</v>
      </c>
      <c r="B1447" s="39">
        <v>38</v>
      </c>
      <c r="C1447" s="7" t="s">
        <v>13</v>
      </c>
      <c r="D1447" s="4" t="s">
        <v>30</v>
      </c>
      <c r="E1447" s="6" t="s">
        <v>143</v>
      </c>
      <c r="F1447" s="12">
        <f>INDEX('PEDIDO JULIO'!A17:AD34,1,30)</f>
        <v>0</v>
      </c>
      <c r="G1447" s="8">
        <f>IFERROR(VLOOKUP($B1447,'[1]INSUMO POR SEDES MARZO PRUEBA'!$B$6:$CD$109,74,0),"NO BD")</f>
        <v>15622.484399999999</v>
      </c>
      <c r="H1447" s="8"/>
      <c r="I1447" s="8">
        <f t="shared" si="127"/>
        <v>0</v>
      </c>
      <c r="J1447" s="14">
        <f t="shared" ref="J1447:J1500" si="131">+I1447*10%</f>
        <v>0</v>
      </c>
      <c r="K1447" s="14">
        <f t="shared" ref="K1447:K1500" si="132">+J1447*19%</f>
        <v>0</v>
      </c>
      <c r="L1447" s="14">
        <f t="shared" ref="L1447:L1500" si="133">SUM(I1447:K1447)</f>
        <v>0</v>
      </c>
    </row>
    <row r="1448" spans="1:12" ht="15">
      <c r="A1448" s="3">
        <v>2307</v>
      </c>
      <c r="B1448" s="39">
        <v>44</v>
      </c>
      <c r="C1448" s="7" t="s">
        <v>13</v>
      </c>
      <c r="D1448" s="4" t="s">
        <v>31</v>
      </c>
      <c r="E1448" s="6" t="s">
        <v>143</v>
      </c>
      <c r="F1448" s="12">
        <f>INDEX('PEDIDO JULIO'!A17:AD34,1,30)</f>
        <v>0</v>
      </c>
      <c r="G1448" s="8">
        <f>IFERROR(VLOOKUP($B1448,'[1]INSUMO POR SEDES MARZO PRUEBA'!$B$6:$CD$109,74,0),"NO BD")</f>
        <v>0</v>
      </c>
      <c r="H1448" s="8"/>
      <c r="I1448" s="8">
        <f t="shared" si="127"/>
        <v>0</v>
      </c>
      <c r="J1448" s="14">
        <f t="shared" si="131"/>
        <v>0</v>
      </c>
      <c r="K1448" s="14">
        <f t="shared" si="132"/>
        <v>0</v>
      </c>
      <c r="L1448" s="14">
        <f t="shared" si="133"/>
        <v>0</v>
      </c>
    </row>
    <row r="1449" spans="1:12" ht="15">
      <c r="A1449" s="3">
        <v>2308</v>
      </c>
      <c r="B1449" s="39">
        <v>50</v>
      </c>
      <c r="C1449" s="7" t="s">
        <v>13</v>
      </c>
      <c r="D1449" s="4" t="s">
        <v>32</v>
      </c>
      <c r="E1449" s="6" t="s">
        <v>143</v>
      </c>
      <c r="F1449" s="12">
        <f>INDEX('PEDIDO JULIO'!A18:AD35,1,30)</f>
        <v>0</v>
      </c>
      <c r="G1449" s="8">
        <f>IFERROR(VLOOKUP($B1449,'[1]INSUMO POR SEDES MARZO PRUEBA'!$B$6:$CD$109,74,0),"NO BD")</f>
        <v>0</v>
      </c>
      <c r="H1449" s="8"/>
      <c r="I1449" s="8">
        <f t="shared" si="127"/>
        <v>0</v>
      </c>
      <c r="J1449" s="14">
        <f t="shared" si="131"/>
        <v>0</v>
      </c>
      <c r="K1449" s="14">
        <f t="shared" si="132"/>
        <v>0</v>
      </c>
      <c r="L1449" s="14">
        <f t="shared" si="133"/>
        <v>0</v>
      </c>
    </row>
    <row r="1450" spans="1:12" ht="15">
      <c r="A1450" s="3">
        <v>2309</v>
      </c>
      <c r="B1450" s="39">
        <v>52</v>
      </c>
      <c r="C1450" s="7" t="s">
        <v>33</v>
      </c>
      <c r="D1450" s="4" t="s">
        <v>34</v>
      </c>
      <c r="E1450" s="6" t="s">
        <v>143</v>
      </c>
      <c r="F1450" s="12">
        <f>INDEX('PEDIDO JULIO'!A18:AD35,1,30)</f>
        <v>0</v>
      </c>
      <c r="G1450" s="8">
        <f>IFERROR(VLOOKUP($B1450,'[1]INSUMO POR SEDES MARZO PRUEBA'!$B$6:$CD$109,74,0),"NO BD")</f>
        <v>0</v>
      </c>
      <c r="H1450" s="8"/>
      <c r="I1450" s="8">
        <f t="shared" si="127"/>
        <v>0</v>
      </c>
      <c r="J1450" s="14">
        <f t="shared" si="131"/>
        <v>0</v>
      </c>
      <c r="K1450" s="14">
        <f t="shared" si="132"/>
        <v>0</v>
      </c>
      <c r="L1450" s="14">
        <f t="shared" si="133"/>
        <v>0</v>
      </c>
    </row>
    <row r="1451" spans="1:12" ht="15">
      <c r="A1451" s="3">
        <v>2310</v>
      </c>
      <c r="B1451" s="39">
        <v>57</v>
      </c>
      <c r="C1451" s="7" t="s">
        <v>16</v>
      </c>
      <c r="D1451" s="4" t="s">
        <v>35</v>
      </c>
      <c r="E1451" s="6" t="s">
        <v>143</v>
      </c>
      <c r="F1451" s="12">
        <f>INDEX('PEDIDO JULIO'!A18:AD35,1,30)</f>
        <v>0</v>
      </c>
      <c r="G1451" s="8">
        <f>IFERROR(VLOOKUP($B1451,'[1]INSUMO POR SEDES MARZO PRUEBA'!$B$6:$CD$109,74,0),"NO BD")</f>
        <v>27464.2065</v>
      </c>
      <c r="H1451" s="8"/>
      <c r="I1451" s="8">
        <f t="shared" si="127"/>
        <v>0</v>
      </c>
      <c r="J1451" s="14">
        <f t="shared" si="131"/>
        <v>0</v>
      </c>
      <c r="K1451" s="14">
        <f t="shared" si="132"/>
        <v>0</v>
      </c>
      <c r="L1451" s="14">
        <f t="shared" si="133"/>
        <v>0</v>
      </c>
    </row>
    <row r="1452" spans="1:12" ht="15">
      <c r="A1452" s="3">
        <v>2311</v>
      </c>
      <c r="B1452" s="39">
        <v>59</v>
      </c>
      <c r="C1452" s="7" t="s">
        <v>36</v>
      </c>
      <c r="D1452" s="4" t="s">
        <v>37</v>
      </c>
      <c r="E1452" s="6" t="s">
        <v>143</v>
      </c>
      <c r="F1452" s="12">
        <f>INDEX('PEDIDO JULIO'!A19:AD35,1,30)</f>
        <v>0</v>
      </c>
      <c r="G1452" s="8">
        <f>IFERROR(VLOOKUP($B1452,'[1]INSUMO POR SEDES MARZO PRUEBA'!$B$6:$CD$109,74,0),"NO BD")</f>
        <v>0</v>
      </c>
      <c r="H1452" s="8"/>
      <c r="I1452" s="8">
        <f t="shared" si="127"/>
        <v>0</v>
      </c>
      <c r="J1452" s="14">
        <f t="shared" si="131"/>
        <v>0</v>
      </c>
      <c r="K1452" s="14">
        <f t="shared" si="132"/>
        <v>0</v>
      </c>
      <c r="L1452" s="14">
        <f t="shared" si="133"/>
        <v>0</v>
      </c>
    </row>
    <row r="1453" spans="1:12" ht="15">
      <c r="A1453" s="3">
        <v>2312</v>
      </c>
      <c r="B1453" s="39">
        <v>62</v>
      </c>
      <c r="C1453" s="7" t="s">
        <v>36</v>
      </c>
      <c r="D1453" s="4" t="s">
        <v>38</v>
      </c>
      <c r="E1453" s="6" t="s">
        <v>143</v>
      </c>
      <c r="F1453" s="12">
        <f>INDEX('PEDIDO JULIO'!A19:AD35,1,30)</f>
        <v>0</v>
      </c>
      <c r="G1453" s="8">
        <f>IFERROR(VLOOKUP($B1453,'[1]INSUMO POR SEDES MARZO PRUEBA'!$B$6:$CD$109,74,0),"NO BD")</f>
        <v>10100.3202</v>
      </c>
      <c r="H1453" s="8"/>
      <c r="I1453" s="8">
        <f t="shared" si="127"/>
        <v>0</v>
      </c>
      <c r="J1453" s="14">
        <f t="shared" si="131"/>
        <v>0</v>
      </c>
      <c r="K1453" s="14">
        <f t="shared" si="132"/>
        <v>0</v>
      </c>
      <c r="L1453" s="14">
        <f t="shared" si="133"/>
        <v>0</v>
      </c>
    </row>
    <row r="1454" spans="1:12" ht="15">
      <c r="A1454" s="3">
        <v>2313</v>
      </c>
      <c r="B1454" s="39">
        <v>63</v>
      </c>
      <c r="C1454" s="7" t="s">
        <v>39</v>
      </c>
      <c r="D1454" s="4" t="s">
        <v>40</v>
      </c>
      <c r="E1454" s="6" t="s">
        <v>143</v>
      </c>
      <c r="F1454" s="12">
        <f>INDEX('PEDIDO JULIO'!A20:AD35,1,30)</f>
        <v>0</v>
      </c>
      <c r="G1454" s="8">
        <f>IFERROR(VLOOKUP($B1454,'[1]INSUMO POR SEDES MARZO PRUEBA'!$B$6:$CD$109,74,0),"NO BD")</f>
        <v>11443.4982</v>
      </c>
      <c r="H1454" s="8"/>
      <c r="I1454" s="8">
        <f t="shared" si="127"/>
        <v>0</v>
      </c>
      <c r="J1454" s="14">
        <f t="shared" si="131"/>
        <v>0</v>
      </c>
      <c r="K1454" s="14">
        <f t="shared" si="132"/>
        <v>0</v>
      </c>
      <c r="L1454" s="14">
        <f t="shared" si="133"/>
        <v>0</v>
      </c>
    </row>
    <row r="1455" spans="1:12" ht="15">
      <c r="A1455" s="3">
        <v>2314</v>
      </c>
      <c r="B1455" s="39">
        <v>64</v>
      </c>
      <c r="C1455" s="7" t="s">
        <v>39</v>
      </c>
      <c r="D1455" s="4" t="s">
        <v>41</v>
      </c>
      <c r="E1455" s="6" t="s">
        <v>143</v>
      </c>
      <c r="F1455" s="12">
        <f>INDEX('PEDIDO JULIO'!A20:AD35,1,30)</f>
        <v>0</v>
      </c>
      <c r="G1455" s="8">
        <f>IFERROR(VLOOKUP($B1455,'[1]INSUMO POR SEDES MARZO PRUEBA'!$B$6:$CD$109,74,0),"NO BD")</f>
        <v>0</v>
      </c>
      <c r="H1455" s="8"/>
      <c r="I1455" s="8">
        <f t="shared" si="127"/>
        <v>0</v>
      </c>
      <c r="J1455" s="14">
        <f t="shared" si="131"/>
        <v>0</v>
      </c>
      <c r="K1455" s="14">
        <f t="shared" si="132"/>
        <v>0</v>
      </c>
      <c r="L1455" s="14">
        <f t="shared" si="133"/>
        <v>0</v>
      </c>
    </row>
    <row r="1456" spans="1:12" ht="15">
      <c r="A1456" s="3">
        <v>2315</v>
      </c>
      <c r="B1456" s="39">
        <v>65</v>
      </c>
      <c r="C1456" s="7" t="s">
        <v>151</v>
      </c>
      <c r="D1456" s="4" t="s">
        <v>42</v>
      </c>
      <c r="E1456" s="6" t="s">
        <v>143</v>
      </c>
      <c r="F1456" s="12">
        <f>INDEX('PEDIDO JULIO'!A21:AD35,1,30)</f>
        <v>0</v>
      </c>
      <c r="G1456" s="8">
        <f>IFERROR(VLOOKUP($B1456,'[1]INSUMO POR SEDES MARZO PRUEBA'!$B$6:$CD$109,74,0),"NO BD")</f>
        <v>21295.046699999999</v>
      </c>
      <c r="H1456" s="8"/>
      <c r="I1456" s="8">
        <f t="shared" si="127"/>
        <v>0</v>
      </c>
      <c r="J1456" s="14">
        <f t="shared" si="131"/>
        <v>0</v>
      </c>
      <c r="K1456" s="14">
        <f t="shared" si="132"/>
        <v>0</v>
      </c>
      <c r="L1456" s="14">
        <f t="shared" si="133"/>
        <v>0</v>
      </c>
    </row>
    <row r="1457" spans="1:12" ht="15">
      <c r="A1457" s="3">
        <v>2316</v>
      </c>
      <c r="B1457" s="39">
        <v>66</v>
      </c>
      <c r="C1457" s="7" t="s">
        <v>151</v>
      </c>
      <c r="D1457" s="4" t="s">
        <v>43</v>
      </c>
      <c r="E1457" s="6" t="s">
        <v>143</v>
      </c>
      <c r="F1457" s="12">
        <f>INDEX('PEDIDO JULIO'!A22:AD35,1,30)</f>
        <v>0</v>
      </c>
      <c r="G1457" s="8">
        <f>IFERROR(VLOOKUP($B1457,'[1]INSUMO POR SEDES MARZO PRUEBA'!$B$6:$CD$109,74,0),"NO BD")</f>
        <v>4178.9862000000003</v>
      </c>
      <c r="H1457" s="8"/>
      <c r="I1457" s="8">
        <f t="shared" si="127"/>
        <v>0</v>
      </c>
      <c r="J1457" s="14">
        <f t="shared" si="131"/>
        <v>0</v>
      </c>
      <c r="K1457" s="14">
        <f t="shared" si="132"/>
        <v>0</v>
      </c>
      <c r="L1457" s="14">
        <f t="shared" si="133"/>
        <v>0</v>
      </c>
    </row>
    <row r="1458" spans="1:12" ht="15">
      <c r="A1458" s="3">
        <v>2317</v>
      </c>
      <c r="B1458" s="39">
        <v>71</v>
      </c>
      <c r="C1458" s="7" t="s">
        <v>151</v>
      </c>
      <c r="D1458" s="4" t="s">
        <v>44</v>
      </c>
      <c r="E1458" s="6" t="s">
        <v>143</v>
      </c>
      <c r="F1458" s="12">
        <f>INDEX('PEDIDO JULIO'!A23:AD36,1,30)</f>
        <v>4</v>
      </c>
      <c r="G1458" s="8">
        <f>IFERROR(VLOOKUP($B1458,'[1]INSUMO POR SEDES MARZO PRUEBA'!$B$6:$CD$109,74,0),"NO BD")</f>
        <v>7960.6944000000003</v>
      </c>
      <c r="H1458" s="8"/>
      <c r="I1458" s="8">
        <f t="shared" si="127"/>
        <v>31842.777600000001</v>
      </c>
      <c r="J1458" s="14">
        <f t="shared" si="131"/>
        <v>3184.2777600000004</v>
      </c>
      <c r="K1458" s="14">
        <f t="shared" si="132"/>
        <v>605.01277440000013</v>
      </c>
      <c r="L1458" s="14">
        <f t="shared" si="133"/>
        <v>35632.068134399997</v>
      </c>
    </row>
    <row r="1459" spans="1:12" ht="40.5">
      <c r="A1459" s="3">
        <v>2318</v>
      </c>
      <c r="B1459" s="39">
        <v>72</v>
      </c>
      <c r="C1459" s="7" t="s">
        <v>151</v>
      </c>
      <c r="D1459" s="4" t="s">
        <v>45</v>
      </c>
      <c r="E1459" s="6" t="s">
        <v>143</v>
      </c>
      <c r="F1459" s="12">
        <f>INDEX('PEDIDO JULIO'!A23:AD37,1,30)</f>
        <v>4</v>
      </c>
      <c r="G1459" s="8">
        <f>IFERROR(VLOOKUP($B1459,'[1]INSUMO POR SEDES MARZO PRUEBA'!$B$6:$CD$109,74,0),"NO BD")</f>
        <v>7861.3749000000007</v>
      </c>
      <c r="H1459" s="8"/>
      <c r="I1459" s="8">
        <f t="shared" si="127"/>
        <v>31445.499600000003</v>
      </c>
      <c r="J1459" s="14">
        <f t="shared" si="131"/>
        <v>3144.5499600000003</v>
      </c>
      <c r="K1459" s="14">
        <f t="shared" si="132"/>
        <v>597.46449240000004</v>
      </c>
      <c r="L1459" s="14">
        <f t="shared" si="133"/>
        <v>35187.514052400002</v>
      </c>
    </row>
    <row r="1460" spans="1:12" ht="27">
      <c r="A1460" s="3">
        <v>2319</v>
      </c>
      <c r="B1460" s="39">
        <v>73</v>
      </c>
      <c r="C1460" s="7" t="s">
        <v>46</v>
      </c>
      <c r="D1460" s="4" t="s">
        <v>47</v>
      </c>
      <c r="E1460" s="6" t="s">
        <v>143</v>
      </c>
      <c r="F1460" s="12">
        <f>INDEX('PEDIDO JULIO'!A24:AD37,1,30)</f>
        <v>5</v>
      </c>
      <c r="G1460" s="8">
        <f>IFERROR(VLOOKUP($B1460,'[1]INSUMO POR SEDES MARZO PRUEBA'!$B$6:$CD$109,74,0),"NO BD")</f>
        <v>21493.685699999998</v>
      </c>
      <c r="H1460" s="8"/>
      <c r="I1460" s="8">
        <f t="shared" si="127"/>
        <v>107468.42849999999</v>
      </c>
      <c r="J1460" s="14">
        <f t="shared" si="131"/>
        <v>10746.842850000001</v>
      </c>
      <c r="K1460" s="14">
        <f t="shared" si="132"/>
        <v>2041.9001415000002</v>
      </c>
      <c r="L1460" s="14">
        <f t="shared" si="133"/>
        <v>120257.17149149999</v>
      </c>
    </row>
    <row r="1461" spans="1:12" ht="15">
      <c r="A1461" s="3">
        <v>2320</v>
      </c>
      <c r="B1461" s="39">
        <v>74</v>
      </c>
      <c r="C1461" s="7" t="s">
        <v>159</v>
      </c>
      <c r="D1461" s="4" t="s">
        <v>48</v>
      </c>
      <c r="E1461" s="6" t="s">
        <v>143</v>
      </c>
      <c r="F1461" s="12">
        <f>INDEX('PEDIDO JULIO'!A25:AD37,1,30)</f>
        <v>0</v>
      </c>
      <c r="G1461" s="8">
        <f>IFERROR(VLOOKUP($B1461,'[1]INSUMO POR SEDES MARZO PRUEBA'!$B$6:$CD$109,74,0),"NO BD")</f>
        <v>6915.4749000000002</v>
      </c>
      <c r="H1461" s="8"/>
      <c r="I1461" s="8">
        <f t="shared" si="127"/>
        <v>0</v>
      </c>
      <c r="J1461" s="14">
        <f t="shared" si="131"/>
        <v>0</v>
      </c>
      <c r="K1461" s="14">
        <f t="shared" si="132"/>
        <v>0</v>
      </c>
      <c r="L1461" s="14">
        <f t="shared" si="133"/>
        <v>0</v>
      </c>
    </row>
    <row r="1462" spans="1:12" ht="15">
      <c r="A1462" s="3">
        <v>2321</v>
      </c>
      <c r="B1462" s="39">
        <v>79</v>
      </c>
      <c r="C1462" s="7" t="s">
        <v>159</v>
      </c>
      <c r="D1462" s="4" t="s">
        <v>49</v>
      </c>
      <c r="E1462" s="6" t="s">
        <v>143</v>
      </c>
      <c r="F1462" s="12">
        <f>INDEX('PEDIDO JULIO'!A26:AD37,1,30)</f>
        <v>0</v>
      </c>
      <c r="G1462" s="8">
        <f>IFERROR(VLOOKUP($B1462,'[1]INSUMO POR SEDES MARZO PRUEBA'!$B$6:$CD$109,74,0),"NO BD")</f>
        <v>935.49510000000009</v>
      </c>
      <c r="H1462" s="8"/>
      <c r="I1462" s="8">
        <f t="shared" si="127"/>
        <v>0</v>
      </c>
      <c r="J1462" s="14">
        <f t="shared" si="131"/>
        <v>0</v>
      </c>
      <c r="K1462" s="14">
        <f t="shared" si="132"/>
        <v>0</v>
      </c>
      <c r="L1462" s="14">
        <f t="shared" si="133"/>
        <v>0</v>
      </c>
    </row>
    <row r="1463" spans="1:12" ht="15">
      <c r="A1463" s="3">
        <v>2322</v>
      </c>
      <c r="B1463" s="39">
        <v>80</v>
      </c>
      <c r="C1463" s="7" t="s">
        <v>159</v>
      </c>
      <c r="D1463" s="4" t="s">
        <v>50</v>
      </c>
      <c r="E1463" s="6" t="s">
        <v>143</v>
      </c>
      <c r="F1463" s="12">
        <f>INDEX('PEDIDO JULIO'!A27:AD37,1,30)</f>
        <v>0</v>
      </c>
      <c r="G1463" s="8">
        <f>IFERROR(VLOOKUP($B1463,'[1]INSUMO POR SEDES MARZO PRUEBA'!$B$6:$CD$109,74,0),"NO BD")</f>
        <v>607.26779999999997</v>
      </c>
      <c r="H1463" s="8"/>
      <c r="I1463" s="8">
        <f t="shared" si="127"/>
        <v>0</v>
      </c>
      <c r="J1463" s="14">
        <f t="shared" si="131"/>
        <v>0</v>
      </c>
      <c r="K1463" s="14">
        <f t="shared" si="132"/>
        <v>0</v>
      </c>
      <c r="L1463" s="14">
        <f t="shared" si="133"/>
        <v>0</v>
      </c>
    </row>
    <row r="1464" spans="1:12" ht="15">
      <c r="A1464" s="3">
        <v>2323</v>
      </c>
      <c r="B1464" s="39">
        <v>81</v>
      </c>
      <c r="C1464" s="7" t="s">
        <v>159</v>
      </c>
      <c r="D1464" s="4" t="s">
        <v>51</v>
      </c>
      <c r="E1464" s="6" t="s">
        <v>143</v>
      </c>
      <c r="F1464" s="12">
        <f>INDEX('PEDIDO JULIO'!A28:AD37,1,30)</f>
        <v>0</v>
      </c>
      <c r="G1464" s="8">
        <f>IFERROR(VLOOKUP($B1464,'[1]INSUMO POR SEDES MARZO PRUEBA'!$B$6:$CD$109,74,0),"NO BD")</f>
        <v>387.81900000000002</v>
      </c>
      <c r="H1464" s="8"/>
      <c r="I1464" s="8">
        <f t="shared" si="127"/>
        <v>0</v>
      </c>
      <c r="J1464" s="14">
        <f t="shared" si="131"/>
        <v>0</v>
      </c>
      <c r="K1464" s="14">
        <f t="shared" si="132"/>
        <v>0</v>
      </c>
      <c r="L1464" s="14">
        <f t="shared" si="133"/>
        <v>0</v>
      </c>
    </row>
    <row r="1465" spans="1:12" ht="15">
      <c r="A1465" s="3">
        <v>2324</v>
      </c>
      <c r="B1465" s="39">
        <v>82</v>
      </c>
      <c r="C1465" s="7" t="s">
        <v>159</v>
      </c>
      <c r="D1465" s="4" t="s">
        <v>52</v>
      </c>
      <c r="E1465" s="6" t="s">
        <v>143</v>
      </c>
      <c r="F1465" s="12">
        <f>INDEX('PEDIDO JULIO'!A28:AD37,1,30)</f>
        <v>0</v>
      </c>
      <c r="G1465" s="8">
        <f>IFERROR(VLOOKUP($B1465,'[1]INSUMO POR SEDES MARZO PRUEBA'!$B$6:$CD$109,74,0),"NO BD")</f>
        <v>1003.7049999999999</v>
      </c>
      <c r="H1465" s="8"/>
      <c r="I1465" s="8">
        <f t="shared" si="127"/>
        <v>0</v>
      </c>
      <c r="J1465" s="14">
        <f t="shared" si="131"/>
        <v>0</v>
      </c>
      <c r="K1465" s="14">
        <f t="shared" si="132"/>
        <v>0</v>
      </c>
      <c r="L1465" s="14">
        <f t="shared" si="133"/>
        <v>0</v>
      </c>
    </row>
    <row r="1466" spans="1:12" ht="15">
      <c r="A1466" s="3">
        <v>2325</v>
      </c>
      <c r="B1466" s="39">
        <v>83</v>
      </c>
      <c r="C1466" s="7" t="s">
        <v>53</v>
      </c>
      <c r="D1466" s="4" t="s">
        <v>54</v>
      </c>
      <c r="E1466" s="6" t="s">
        <v>143</v>
      </c>
      <c r="F1466" s="12">
        <f>INDEX('PEDIDO JULIO'!A29:AD37,1,30)</f>
        <v>0</v>
      </c>
      <c r="G1466" s="8">
        <f>IFERROR(VLOOKUP($B1466,'[1]INSUMO POR SEDES MARZO PRUEBA'!$B$6:$CD$109,74,0),"NO BD")</f>
        <v>0</v>
      </c>
      <c r="H1466" s="8"/>
      <c r="I1466" s="8">
        <f t="shared" si="127"/>
        <v>0</v>
      </c>
      <c r="J1466" s="14">
        <f t="shared" si="131"/>
        <v>0</v>
      </c>
      <c r="K1466" s="14">
        <f t="shared" si="132"/>
        <v>0</v>
      </c>
      <c r="L1466" s="14">
        <f t="shared" si="133"/>
        <v>0</v>
      </c>
    </row>
    <row r="1467" spans="1:12" ht="15">
      <c r="A1467" s="3">
        <v>2326</v>
      </c>
      <c r="B1467" s="39">
        <v>88</v>
      </c>
      <c r="C1467" s="7" t="s">
        <v>53</v>
      </c>
      <c r="D1467" s="4" t="s">
        <v>55</v>
      </c>
      <c r="E1467" s="6" t="s">
        <v>143</v>
      </c>
      <c r="F1467" s="12">
        <f>INDEX('PEDIDO JULIO'!A30:AD37,1,30)</f>
        <v>0</v>
      </c>
      <c r="G1467" s="8">
        <f>IFERROR(VLOOKUP($B1467,'[1]INSUMO POR SEDES MARZO PRUEBA'!$B$6:$CD$109,74,0),"NO BD")</f>
        <v>0</v>
      </c>
      <c r="H1467" s="8"/>
      <c r="I1467" s="8">
        <f t="shared" si="127"/>
        <v>0</v>
      </c>
      <c r="J1467" s="14">
        <f t="shared" si="131"/>
        <v>0</v>
      </c>
      <c r="K1467" s="14">
        <f t="shared" si="132"/>
        <v>0</v>
      </c>
      <c r="L1467" s="14">
        <f t="shared" si="133"/>
        <v>0</v>
      </c>
    </row>
    <row r="1468" spans="1:12" ht="15">
      <c r="A1468" s="3">
        <v>2327</v>
      </c>
      <c r="B1468" s="39">
        <v>92</v>
      </c>
      <c r="C1468" s="7" t="s">
        <v>53</v>
      </c>
      <c r="D1468" s="4" t="s">
        <v>56</v>
      </c>
      <c r="E1468" s="6" t="s">
        <v>143</v>
      </c>
      <c r="F1468" s="12">
        <f>INDEX('PEDIDO JULIO'!A31:AD37,1,30)</f>
        <v>0</v>
      </c>
      <c r="G1468" s="8">
        <f>IFERROR(VLOOKUP($B1468,'[1]INSUMO POR SEDES MARZO PRUEBA'!$B$6:$CD$109,74,0),"NO BD")</f>
        <v>2380.5149999999999</v>
      </c>
      <c r="H1468" s="8"/>
      <c r="I1468" s="8">
        <f t="shared" si="127"/>
        <v>0</v>
      </c>
      <c r="J1468" s="14">
        <f t="shared" si="131"/>
        <v>0</v>
      </c>
      <c r="K1468" s="14">
        <f t="shared" si="132"/>
        <v>0</v>
      </c>
      <c r="L1468" s="14">
        <f t="shared" si="133"/>
        <v>0</v>
      </c>
    </row>
    <row r="1469" spans="1:12" ht="15">
      <c r="A1469" s="3">
        <v>2328</v>
      </c>
      <c r="B1469" s="39">
        <v>94</v>
      </c>
      <c r="C1469" s="7" t="s">
        <v>53</v>
      </c>
      <c r="D1469" s="4" t="s">
        <v>57</v>
      </c>
      <c r="E1469" s="6" t="s">
        <v>143</v>
      </c>
      <c r="F1469" s="12">
        <f>INDEX('PEDIDO JULIO'!A32:AD37,1,30)</f>
        <v>5</v>
      </c>
      <c r="G1469" s="8">
        <f>IFERROR(VLOOKUP($B1469,'[1]INSUMO POR SEDES MARZO PRUEBA'!$B$6:$CD$109,74,0),"NO BD")</f>
        <v>0</v>
      </c>
      <c r="H1469" s="8"/>
      <c r="I1469" s="8">
        <f t="shared" si="127"/>
        <v>0</v>
      </c>
      <c r="J1469" s="14">
        <f t="shared" si="131"/>
        <v>0</v>
      </c>
      <c r="K1469" s="14">
        <f t="shared" si="132"/>
        <v>0</v>
      </c>
      <c r="L1469" s="14">
        <f t="shared" si="133"/>
        <v>0</v>
      </c>
    </row>
    <row r="1470" spans="1:12" ht="27">
      <c r="A1470" s="3">
        <v>2329</v>
      </c>
      <c r="B1470" s="39">
        <v>98</v>
      </c>
      <c r="C1470" s="7" t="s">
        <v>160</v>
      </c>
      <c r="D1470" s="4" t="s">
        <v>58</v>
      </c>
      <c r="E1470" s="6" t="s">
        <v>143</v>
      </c>
      <c r="F1470" s="12">
        <f>INDEX('PEDIDO JULIO'!A33:AD37,1,30)</f>
        <v>0</v>
      </c>
      <c r="G1470" s="8">
        <f>IFERROR(VLOOKUP($B1470,'[1]INSUMO POR SEDES MARZO PRUEBA'!$B$6:$CD$109,74,0),"NO BD")</f>
        <v>9503.4573</v>
      </c>
      <c r="H1470" s="8"/>
      <c r="I1470" s="8">
        <f t="shared" si="127"/>
        <v>0</v>
      </c>
      <c r="J1470" s="14">
        <f t="shared" si="131"/>
        <v>0</v>
      </c>
      <c r="K1470" s="14">
        <f t="shared" si="132"/>
        <v>0</v>
      </c>
      <c r="L1470" s="14">
        <f t="shared" si="133"/>
        <v>0</v>
      </c>
    </row>
    <row r="1471" spans="1:12" ht="15">
      <c r="A1471" s="3">
        <v>2330</v>
      </c>
      <c r="B1471" s="39">
        <v>100</v>
      </c>
      <c r="C1471" s="7" t="s">
        <v>160</v>
      </c>
      <c r="D1471" s="4" t="s">
        <v>59</v>
      </c>
      <c r="E1471" s="6" t="s">
        <v>143</v>
      </c>
      <c r="F1471" s="12">
        <f>INDEX('PEDIDO JULIO'!A33:AD38,1,30)</f>
        <v>0</v>
      </c>
      <c r="G1471" s="8">
        <f>IFERROR(VLOOKUP($B1471,'[1]INSUMO POR SEDES MARZO PRUEBA'!$B$6:$CD$109,74,0),"NO BD")</f>
        <v>0</v>
      </c>
      <c r="H1471" s="8"/>
      <c r="I1471" s="8">
        <f t="shared" si="127"/>
        <v>0</v>
      </c>
      <c r="J1471" s="14">
        <f t="shared" si="131"/>
        <v>0</v>
      </c>
      <c r="K1471" s="14">
        <f t="shared" si="132"/>
        <v>0</v>
      </c>
      <c r="L1471" s="14">
        <f t="shared" si="133"/>
        <v>0</v>
      </c>
    </row>
    <row r="1472" spans="1:12" ht="15">
      <c r="A1472" s="3">
        <v>2331</v>
      </c>
      <c r="B1472" s="39">
        <v>102</v>
      </c>
      <c r="C1472" s="7" t="s">
        <v>60</v>
      </c>
      <c r="D1472" s="4" t="s">
        <v>61</v>
      </c>
      <c r="E1472" s="6" t="s">
        <v>143</v>
      </c>
      <c r="F1472" s="12">
        <f>INDEX('PEDIDO JULIO'!A33:AD38,1,30)</f>
        <v>0</v>
      </c>
      <c r="G1472" s="8">
        <f>IFERROR(VLOOKUP($B1472,'[1]INSUMO POR SEDES MARZO PRUEBA'!$B$6:$CD$109,74,0),"NO BD")</f>
        <v>5422.8446999999996</v>
      </c>
      <c r="H1472" s="8"/>
      <c r="I1472" s="8">
        <f t="shared" si="127"/>
        <v>0</v>
      </c>
      <c r="J1472" s="14">
        <f t="shared" si="131"/>
        <v>0</v>
      </c>
      <c r="K1472" s="14">
        <f t="shared" si="132"/>
        <v>0</v>
      </c>
      <c r="L1472" s="14">
        <f t="shared" si="133"/>
        <v>0</v>
      </c>
    </row>
    <row r="1473" spans="1:12" ht="15">
      <c r="A1473" s="3">
        <v>2332</v>
      </c>
      <c r="B1473" s="39">
        <v>110</v>
      </c>
      <c r="C1473" s="7" t="s">
        <v>60</v>
      </c>
      <c r="D1473" s="4" t="s">
        <v>62</v>
      </c>
      <c r="E1473" s="6" t="s">
        <v>143</v>
      </c>
      <c r="F1473" s="12">
        <f>INDEX('PEDIDO JULIO'!A33:AD39,1,30)</f>
        <v>0</v>
      </c>
      <c r="G1473" s="8">
        <f>IFERROR(VLOOKUP($B1473,'[1]INSUMO POR SEDES MARZO PRUEBA'!$B$6:$CD$109,74,0),"NO BD")</f>
        <v>1442.4974999999999</v>
      </c>
      <c r="H1473" s="8"/>
      <c r="I1473" s="8">
        <f t="shared" si="127"/>
        <v>0</v>
      </c>
      <c r="J1473" s="14">
        <f t="shared" si="131"/>
        <v>0</v>
      </c>
      <c r="K1473" s="14">
        <f t="shared" si="132"/>
        <v>0</v>
      </c>
      <c r="L1473" s="14">
        <f t="shared" si="133"/>
        <v>0</v>
      </c>
    </row>
    <row r="1474" spans="1:12" ht="15">
      <c r="A1474" s="3">
        <v>2333</v>
      </c>
      <c r="B1474" s="39">
        <v>118</v>
      </c>
      <c r="C1474" s="7" t="s">
        <v>151</v>
      </c>
      <c r="D1474" s="4" t="s">
        <v>63</v>
      </c>
      <c r="E1474" s="6" t="s">
        <v>143</v>
      </c>
      <c r="F1474" s="12">
        <f>INDEX('PEDIDO JULIO'!A33:AD40,1,30)</f>
        <v>0</v>
      </c>
      <c r="G1474" s="8">
        <f>IFERROR(VLOOKUP($B1474,'[1]INSUMO POR SEDES MARZO PRUEBA'!$B$6:$CD$109,74,0),"NO BD")</f>
        <v>4129.7993999999999</v>
      </c>
      <c r="H1474" s="8"/>
      <c r="I1474" s="8">
        <f t="shared" si="127"/>
        <v>0</v>
      </c>
      <c r="J1474" s="14">
        <f t="shared" si="131"/>
        <v>0</v>
      </c>
      <c r="K1474" s="14">
        <f t="shared" si="132"/>
        <v>0</v>
      </c>
      <c r="L1474" s="14">
        <f t="shared" si="133"/>
        <v>0</v>
      </c>
    </row>
    <row r="1475" spans="1:12" ht="15">
      <c r="A1475" s="3">
        <v>2334</v>
      </c>
      <c r="B1475" s="39">
        <v>119</v>
      </c>
      <c r="C1475" s="7" t="s">
        <v>160</v>
      </c>
      <c r="D1475" s="4" t="s">
        <v>64</v>
      </c>
      <c r="E1475" s="6" t="s">
        <v>143</v>
      </c>
      <c r="F1475" s="12">
        <f>INDEX('PEDIDO JULIO'!A33:AD40,1,30)</f>
        <v>0</v>
      </c>
      <c r="G1475" s="8">
        <f>IFERROR(VLOOKUP($B1475,'[1]INSUMO POR SEDES MARZO PRUEBA'!$B$6:$CD$109,74,0),"NO BD")</f>
        <v>2821.9350000000004</v>
      </c>
      <c r="H1475" s="8"/>
      <c r="I1475" s="8">
        <f t="shared" si="127"/>
        <v>0</v>
      </c>
      <c r="J1475" s="14">
        <f t="shared" si="131"/>
        <v>0</v>
      </c>
      <c r="K1475" s="14">
        <f t="shared" si="132"/>
        <v>0</v>
      </c>
      <c r="L1475" s="14">
        <f t="shared" si="133"/>
        <v>0</v>
      </c>
    </row>
    <row r="1476" spans="1:12" ht="27">
      <c r="A1476" s="3">
        <v>2335</v>
      </c>
      <c r="B1476" s="39">
        <v>120</v>
      </c>
      <c r="C1476" s="7" t="s">
        <v>60</v>
      </c>
      <c r="D1476" s="4" t="s">
        <v>65</v>
      </c>
      <c r="E1476" s="6" t="s">
        <v>143</v>
      </c>
      <c r="F1476" s="12">
        <f>INDEX('PEDIDO JULIO'!A33:AD40,1,30)</f>
        <v>0</v>
      </c>
      <c r="G1476" s="8">
        <f>IFERROR(VLOOKUP($B1476,'[1]INSUMO POR SEDES MARZO PRUEBA'!$B$6:$CD$109,74,0),"NO BD")</f>
        <v>4259.3877000000002</v>
      </c>
      <c r="H1476" s="8"/>
      <c r="I1476" s="8">
        <f t="shared" si="127"/>
        <v>0</v>
      </c>
      <c r="J1476" s="14">
        <f t="shared" si="131"/>
        <v>0</v>
      </c>
      <c r="K1476" s="14">
        <f t="shared" si="132"/>
        <v>0</v>
      </c>
      <c r="L1476" s="14">
        <f t="shared" si="133"/>
        <v>0</v>
      </c>
    </row>
    <row r="1477" spans="1:12" ht="15">
      <c r="A1477" s="3">
        <v>2336</v>
      </c>
      <c r="B1477" s="39">
        <v>122</v>
      </c>
      <c r="C1477" s="7" t="s">
        <v>66</v>
      </c>
      <c r="D1477" s="4" t="s">
        <v>67</v>
      </c>
      <c r="E1477" s="6" t="s">
        <v>143</v>
      </c>
      <c r="F1477" s="12">
        <f>INDEX('PEDIDO JULIO'!A33:AD41,1,30)</f>
        <v>0</v>
      </c>
      <c r="G1477" s="8">
        <f>IFERROR(VLOOKUP($B1477,'[1]INSUMO POR SEDES MARZO PRUEBA'!$B$6:$CD$109,74,0),"NO BD")</f>
        <v>5920.3881000000001</v>
      </c>
      <c r="H1477" s="8"/>
      <c r="I1477" s="8">
        <f t="shared" si="127"/>
        <v>0</v>
      </c>
      <c r="J1477" s="14">
        <f t="shared" si="131"/>
        <v>0</v>
      </c>
      <c r="K1477" s="14">
        <f t="shared" si="132"/>
        <v>0</v>
      </c>
      <c r="L1477" s="14">
        <f t="shared" si="133"/>
        <v>0</v>
      </c>
    </row>
    <row r="1478" spans="1:12" ht="15">
      <c r="A1478" s="3">
        <v>2337</v>
      </c>
      <c r="B1478" s="39">
        <v>123</v>
      </c>
      <c r="C1478" s="7" t="s">
        <v>66</v>
      </c>
      <c r="D1478" s="4" t="s">
        <v>68</v>
      </c>
      <c r="E1478" s="6" t="s">
        <v>143</v>
      </c>
      <c r="F1478" s="12">
        <f>INDEX('PEDIDO JULIO'!A33:AD41,1,30)</f>
        <v>0</v>
      </c>
      <c r="G1478" s="8">
        <f>IFERROR(VLOOKUP($B1478,'[1]INSUMO POR SEDES MARZO PRUEBA'!$B$6:$CD$109,74,0),"NO BD")</f>
        <v>6169.1598000000004</v>
      </c>
      <c r="H1478" s="8"/>
      <c r="I1478" s="8">
        <f t="shared" ref="I1478:I1541" si="134">+F1478*G1478</f>
        <v>0</v>
      </c>
      <c r="J1478" s="14">
        <f t="shared" si="131"/>
        <v>0</v>
      </c>
      <c r="K1478" s="14">
        <f t="shared" si="132"/>
        <v>0</v>
      </c>
      <c r="L1478" s="14">
        <f t="shared" si="133"/>
        <v>0</v>
      </c>
    </row>
    <row r="1479" spans="1:12" ht="15">
      <c r="A1479" s="3">
        <v>2338</v>
      </c>
      <c r="B1479" s="39">
        <v>124</v>
      </c>
      <c r="C1479" s="7" t="s">
        <v>66</v>
      </c>
      <c r="D1479" s="4" t="s">
        <v>69</v>
      </c>
      <c r="E1479" s="6" t="s">
        <v>143</v>
      </c>
      <c r="F1479" s="12">
        <f>INDEX('PEDIDO JULIO'!A33:AD42,1,30)</f>
        <v>0</v>
      </c>
      <c r="G1479" s="8">
        <f>IFERROR(VLOOKUP($B1479,'[1]INSUMO POR SEDES MARZO PRUEBA'!$B$6:$CD$109,74,0),"NO BD")</f>
        <v>6169.1598000000004</v>
      </c>
      <c r="H1479" s="8"/>
      <c r="I1479" s="8">
        <f t="shared" si="134"/>
        <v>0</v>
      </c>
      <c r="J1479" s="14">
        <f t="shared" si="131"/>
        <v>0</v>
      </c>
      <c r="K1479" s="14">
        <f t="shared" si="132"/>
        <v>0</v>
      </c>
      <c r="L1479" s="14">
        <f t="shared" si="133"/>
        <v>0</v>
      </c>
    </row>
    <row r="1480" spans="1:12" ht="15">
      <c r="A1480" s="3">
        <v>2339</v>
      </c>
      <c r="B1480" s="39">
        <v>137</v>
      </c>
      <c r="C1480" s="7" t="s">
        <v>66</v>
      </c>
      <c r="D1480" s="4" t="s">
        <v>70</v>
      </c>
      <c r="E1480" s="6" t="s">
        <v>143</v>
      </c>
      <c r="F1480" s="12">
        <f>INDEX('PEDIDO JULIO'!A33:AD42,1,30)</f>
        <v>0</v>
      </c>
      <c r="G1480" s="8">
        <f>IFERROR(VLOOKUP($B1480,'[1]INSUMO POR SEDES MARZO PRUEBA'!$B$6:$CD$109,74,0),"NO BD")</f>
        <v>0</v>
      </c>
      <c r="H1480" s="8"/>
      <c r="I1480" s="8">
        <f t="shared" si="134"/>
        <v>0</v>
      </c>
      <c r="J1480" s="14">
        <f t="shared" si="131"/>
        <v>0</v>
      </c>
      <c r="K1480" s="14">
        <f t="shared" si="132"/>
        <v>0</v>
      </c>
      <c r="L1480" s="14">
        <f t="shared" si="133"/>
        <v>0</v>
      </c>
    </row>
    <row r="1481" spans="1:12" ht="15">
      <c r="A1481" s="3">
        <v>2340</v>
      </c>
      <c r="B1481" s="39">
        <v>139</v>
      </c>
      <c r="C1481" s="7" t="s">
        <v>66</v>
      </c>
      <c r="D1481" s="4" t="s">
        <v>71</v>
      </c>
      <c r="E1481" s="6" t="s">
        <v>143</v>
      </c>
      <c r="F1481" s="12">
        <f>INDEX('PEDIDO JULIO'!A33:AD42,1,30)</f>
        <v>0</v>
      </c>
      <c r="G1481" s="8">
        <f>IFERROR(VLOOKUP($B1481,'[1]INSUMO POR SEDES MARZO PRUEBA'!$B$6:$CD$109,74,0),"NO BD")</f>
        <v>25429.996000000003</v>
      </c>
      <c r="H1481" s="8"/>
      <c r="I1481" s="8">
        <f t="shared" si="134"/>
        <v>0</v>
      </c>
      <c r="J1481" s="14">
        <f t="shared" si="131"/>
        <v>0</v>
      </c>
      <c r="K1481" s="14">
        <f t="shared" si="132"/>
        <v>0</v>
      </c>
      <c r="L1481" s="14">
        <f t="shared" si="133"/>
        <v>0</v>
      </c>
    </row>
    <row r="1482" spans="1:12" ht="15">
      <c r="A1482" s="3">
        <v>2341</v>
      </c>
      <c r="B1482" s="39">
        <v>151</v>
      </c>
      <c r="C1482" s="7" t="s">
        <v>66</v>
      </c>
      <c r="D1482" s="4" t="s">
        <v>72</v>
      </c>
      <c r="E1482" s="6" t="s">
        <v>143</v>
      </c>
      <c r="F1482" s="12">
        <f>INDEX('PEDIDO JULIO'!A33:AD42,1,30)</f>
        <v>0</v>
      </c>
      <c r="G1482" s="8">
        <f>IFERROR(VLOOKUP($B1482,'[1]INSUMO POR SEDES MARZO PRUEBA'!$B$6:$CD$109,74,0),"NO BD")</f>
        <v>4422.6080000000002</v>
      </c>
      <c r="H1482" s="8"/>
      <c r="I1482" s="8">
        <f t="shared" si="134"/>
        <v>0</v>
      </c>
      <c r="J1482" s="14">
        <f t="shared" si="131"/>
        <v>0</v>
      </c>
      <c r="K1482" s="14">
        <f t="shared" si="132"/>
        <v>0</v>
      </c>
      <c r="L1482" s="14">
        <f t="shared" si="133"/>
        <v>0</v>
      </c>
    </row>
    <row r="1483" spans="1:12" ht="15">
      <c r="A1483" s="3">
        <v>2342</v>
      </c>
      <c r="B1483" s="39">
        <v>155</v>
      </c>
      <c r="C1483" s="7" t="s">
        <v>158</v>
      </c>
      <c r="D1483" s="4" t="s">
        <v>73</v>
      </c>
      <c r="E1483" s="6" t="s">
        <v>143</v>
      </c>
      <c r="F1483" s="12">
        <f>INDEX('PEDIDO JULIO'!A33:AD43,1,30)</f>
        <v>0</v>
      </c>
      <c r="G1483" s="8">
        <f>IFERROR(VLOOKUP($B1483,'[1]INSUMO POR SEDES MARZO PRUEBA'!$B$6:$CD$109,74,0),"NO BD")</f>
        <v>5005.7028</v>
      </c>
      <c r="H1483" s="8"/>
      <c r="I1483" s="8">
        <f t="shared" si="134"/>
        <v>0</v>
      </c>
      <c r="J1483" s="14">
        <f t="shared" si="131"/>
        <v>0</v>
      </c>
      <c r="K1483" s="14">
        <f t="shared" si="132"/>
        <v>0</v>
      </c>
      <c r="L1483" s="14">
        <f t="shared" si="133"/>
        <v>0</v>
      </c>
    </row>
    <row r="1484" spans="1:12" ht="15">
      <c r="A1484" s="3">
        <v>2343</v>
      </c>
      <c r="B1484" s="39">
        <v>156</v>
      </c>
      <c r="C1484" s="7" t="s">
        <v>158</v>
      </c>
      <c r="D1484" s="4" t="s">
        <v>74</v>
      </c>
      <c r="E1484" s="6" t="s">
        <v>143</v>
      </c>
      <c r="F1484" s="12">
        <f>INDEX('PEDIDO JULIO'!A33:AD43,1,30)</f>
        <v>0</v>
      </c>
      <c r="G1484" s="8">
        <f>IFERROR(VLOOKUP($B1484,'[1]INSUMO POR SEDES MARZO PRUEBA'!$B$6:$CD$109,74,0),"NO BD")</f>
        <v>4422.6080000000002</v>
      </c>
      <c r="H1484" s="8"/>
      <c r="I1484" s="8">
        <f t="shared" si="134"/>
        <v>0</v>
      </c>
      <c r="J1484" s="14">
        <f t="shared" si="131"/>
        <v>0</v>
      </c>
      <c r="K1484" s="14">
        <f t="shared" si="132"/>
        <v>0</v>
      </c>
      <c r="L1484" s="14">
        <f t="shared" si="133"/>
        <v>0</v>
      </c>
    </row>
    <row r="1485" spans="1:12" ht="15">
      <c r="A1485" s="3">
        <v>2344</v>
      </c>
      <c r="B1485" s="39">
        <v>157</v>
      </c>
      <c r="C1485" s="7" t="s">
        <v>158</v>
      </c>
      <c r="D1485" s="4" t="s">
        <v>75</v>
      </c>
      <c r="E1485" s="6" t="s">
        <v>143</v>
      </c>
      <c r="F1485" s="12">
        <f>INDEX('PEDIDO JULIO'!A33:AD43,1,30)</f>
        <v>0</v>
      </c>
      <c r="G1485" s="8">
        <f>IFERROR(VLOOKUP($B1485,'[1]INSUMO POR SEDES MARZO PRUEBA'!$B$6:$CD$109,74,0),"NO BD")</f>
        <v>5970.7309999999998</v>
      </c>
      <c r="H1485" s="8"/>
      <c r="I1485" s="8">
        <f t="shared" si="134"/>
        <v>0</v>
      </c>
      <c r="J1485" s="14">
        <f t="shared" si="131"/>
        <v>0</v>
      </c>
      <c r="K1485" s="14">
        <f t="shared" si="132"/>
        <v>0</v>
      </c>
      <c r="L1485" s="14">
        <f t="shared" si="133"/>
        <v>0</v>
      </c>
    </row>
    <row r="1486" spans="1:12" ht="15">
      <c r="A1486" s="3">
        <v>2345</v>
      </c>
      <c r="B1486" s="39">
        <v>159</v>
      </c>
      <c r="C1486" s="7" t="s">
        <v>158</v>
      </c>
      <c r="D1486" s="4" t="s">
        <v>76</v>
      </c>
      <c r="E1486" s="6" t="s">
        <v>143</v>
      </c>
      <c r="F1486" s="12">
        <f>INDEX('PEDIDO JULIO'!A33:AD44,1,30)</f>
        <v>0</v>
      </c>
      <c r="G1486" s="8">
        <f>IFERROR(VLOOKUP($B1486,'[1]INSUMO POR SEDES MARZO PRUEBA'!$B$6:$CD$109,74,0),"NO BD")</f>
        <v>6716.8359</v>
      </c>
      <c r="H1486" s="8"/>
      <c r="I1486" s="8">
        <f t="shared" si="134"/>
        <v>0</v>
      </c>
      <c r="J1486" s="14">
        <f t="shared" si="131"/>
        <v>0</v>
      </c>
      <c r="K1486" s="14">
        <f t="shared" si="132"/>
        <v>0</v>
      </c>
      <c r="L1486" s="14">
        <f t="shared" si="133"/>
        <v>0</v>
      </c>
    </row>
    <row r="1487" spans="1:12" ht="15">
      <c r="A1487" s="3">
        <v>2346</v>
      </c>
      <c r="B1487" s="39">
        <v>160</v>
      </c>
      <c r="C1487" s="7" t="s">
        <v>158</v>
      </c>
      <c r="D1487" s="4" t="s">
        <v>77</v>
      </c>
      <c r="E1487" s="6" t="s">
        <v>143</v>
      </c>
      <c r="F1487" s="12">
        <f>INDEX('PEDIDO JULIO'!A33:AD44,1,30)</f>
        <v>0</v>
      </c>
      <c r="G1487" s="8">
        <f>IFERROR(VLOOKUP($B1487,'[1]INSUMO POR SEDES MARZO PRUEBA'!$B$6:$CD$109,74,0),"NO BD")</f>
        <v>3035.3931000000002</v>
      </c>
      <c r="H1487" s="8"/>
      <c r="I1487" s="8">
        <f t="shared" si="134"/>
        <v>0</v>
      </c>
      <c r="J1487" s="14">
        <f t="shared" si="131"/>
        <v>0</v>
      </c>
      <c r="K1487" s="14">
        <f t="shared" si="132"/>
        <v>0</v>
      </c>
      <c r="L1487" s="14">
        <f t="shared" si="133"/>
        <v>0</v>
      </c>
    </row>
    <row r="1488" spans="1:12" ht="15">
      <c r="A1488" s="3">
        <v>2347</v>
      </c>
      <c r="B1488" s="39">
        <v>162</v>
      </c>
      <c r="C1488" s="7" t="s">
        <v>158</v>
      </c>
      <c r="D1488" s="4" t="s">
        <v>78</v>
      </c>
      <c r="E1488" s="6" t="s">
        <v>143</v>
      </c>
      <c r="F1488" s="12">
        <f>INDEX('PEDIDO JULIO'!A33:AD44,1,30)</f>
        <v>0</v>
      </c>
      <c r="G1488" s="8">
        <f>IFERROR(VLOOKUP($B1488,'[1]INSUMO POR SEDES MARZO PRUEBA'!$B$6:$CD$109,74,0),"NO BD")</f>
        <v>4030.4798999999998</v>
      </c>
      <c r="H1488" s="8"/>
      <c r="I1488" s="8">
        <f t="shared" si="134"/>
        <v>0</v>
      </c>
      <c r="J1488" s="14">
        <f t="shared" si="131"/>
        <v>0</v>
      </c>
      <c r="K1488" s="14">
        <f t="shared" si="132"/>
        <v>0</v>
      </c>
      <c r="L1488" s="14">
        <f t="shared" si="133"/>
        <v>0</v>
      </c>
    </row>
    <row r="1489" spans="1:12" ht="15">
      <c r="A1489" s="3">
        <v>2348</v>
      </c>
      <c r="B1489" s="39">
        <v>164</v>
      </c>
      <c r="C1489" s="7" t="s">
        <v>158</v>
      </c>
      <c r="D1489" s="4" t="s">
        <v>79</v>
      </c>
      <c r="E1489" s="6" t="s">
        <v>143</v>
      </c>
      <c r="F1489" s="12">
        <f>INDEX('PEDIDO JULIO'!A33:AD44,1,30)</f>
        <v>0</v>
      </c>
      <c r="G1489" s="8">
        <f>IFERROR(VLOOKUP($B1489,'[1]INSUMO POR SEDES MARZO PRUEBA'!$B$6:$CD$109,74,0),"NO BD")</f>
        <v>0</v>
      </c>
      <c r="H1489" s="8"/>
      <c r="I1489" s="8">
        <f t="shared" si="134"/>
        <v>0</v>
      </c>
      <c r="J1489" s="14">
        <f t="shared" si="131"/>
        <v>0</v>
      </c>
      <c r="K1489" s="14">
        <f t="shared" si="132"/>
        <v>0</v>
      </c>
      <c r="L1489" s="14">
        <f t="shared" si="133"/>
        <v>0</v>
      </c>
    </row>
    <row r="1490" spans="1:12" ht="15">
      <c r="A1490" s="3">
        <v>2349</v>
      </c>
      <c r="B1490" s="39">
        <v>169</v>
      </c>
      <c r="C1490" s="7" t="s">
        <v>158</v>
      </c>
      <c r="D1490" s="4" t="s">
        <v>80</v>
      </c>
      <c r="E1490" s="6" t="s">
        <v>143</v>
      </c>
      <c r="F1490" s="12">
        <f>INDEX('PEDIDO JULIO'!A33:AD45,1,30)</f>
        <v>0</v>
      </c>
      <c r="G1490" s="8">
        <f>IFERROR(VLOOKUP($B1490,'[1]INSUMO POR SEDES MARZO PRUEBA'!$B$6:$CD$109,74,0),"NO BD")</f>
        <v>0</v>
      </c>
      <c r="H1490" s="8"/>
      <c r="I1490" s="8">
        <f t="shared" si="134"/>
        <v>0</v>
      </c>
      <c r="J1490" s="14">
        <f t="shared" si="131"/>
        <v>0</v>
      </c>
      <c r="K1490" s="14">
        <f t="shared" si="132"/>
        <v>0</v>
      </c>
      <c r="L1490" s="14">
        <f t="shared" si="133"/>
        <v>0</v>
      </c>
    </row>
    <row r="1491" spans="1:12" ht="15">
      <c r="A1491" s="3">
        <v>2350</v>
      </c>
      <c r="B1491" s="39">
        <v>170</v>
      </c>
      <c r="C1491" s="7" t="s">
        <v>158</v>
      </c>
      <c r="D1491" s="4" t="s">
        <v>81</v>
      </c>
      <c r="E1491" s="6" t="s">
        <v>143</v>
      </c>
      <c r="F1491" s="12">
        <f>INDEX('PEDIDO JULIO'!A33:AD46,1,30)</f>
        <v>0</v>
      </c>
      <c r="G1491" s="8">
        <f>IFERROR(VLOOKUP($B1491,'[1]INSUMO POR SEDES MARZO PRUEBA'!$B$6:$CD$109,74,0),"NO BD")</f>
        <v>45575.353799999997</v>
      </c>
      <c r="H1491" s="8"/>
      <c r="I1491" s="8">
        <f t="shared" si="134"/>
        <v>0</v>
      </c>
      <c r="J1491" s="14">
        <f t="shared" si="131"/>
        <v>0</v>
      </c>
      <c r="K1491" s="14">
        <f t="shared" si="132"/>
        <v>0</v>
      </c>
      <c r="L1491" s="14">
        <f t="shared" si="133"/>
        <v>0</v>
      </c>
    </row>
    <row r="1492" spans="1:12" ht="15">
      <c r="A1492" s="3">
        <v>2351</v>
      </c>
      <c r="B1492" s="39">
        <v>174</v>
      </c>
      <c r="C1492" s="7" t="s">
        <v>158</v>
      </c>
      <c r="D1492" s="4" t="s">
        <v>82</v>
      </c>
      <c r="E1492" s="6" t="s">
        <v>143</v>
      </c>
      <c r="F1492" s="12">
        <f>INDEX('PEDIDO JULIO'!A33:AD47,1,30)</f>
        <v>0</v>
      </c>
      <c r="G1492" s="8">
        <f>IFERROR(VLOOKUP($B1492,'[1]INSUMO POR SEDES MARZO PRUEBA'!$B$6:$CD$109,74,0),"NO BD")</f>
        <v>10050.1875</v>
      </c>
      <c r="H1492" s="8"/>
      <c r="I1492" s="8">
        <f t="shared" si="134"/>
        <v>0</v>
      </c>
      <c r="J1492" s="14">
        <f t="shared" si="131"/>
        <v>0</v>
      </c>
      <c r="K1492" s="14">
        <f t="shared" si="132"/>
        <v>0</v>
      </c>
      <c r="L1492" s="14">
        <f t="shared" si="133"/>
        <v>0</v>
      </c>
    </row>
    <row r="1493" spans="1:12" ht="15">
      <c r="A1493" s="3">
        <v>2352</v>
      </c>
      <c r="B1493" s="39">
        <v>192</v>
      </c>
      <c r="C1493" s="7" t="s">
        <v>158</v>
      </c>
      <c r="D1493" s="4" t="s">
        <v>83</v>
      </c>
      <c r="E1493" s="6" t="s">
        <v>143</v>
      </c>
      <c r="F1493" s="12">
        <f>INDEX('PEDIDO JULIO'!A33:AD47,1,30)</f>
        <v>0</v>
      </c>
      <c r="G1493" s="8">
        <f>IFERROR(VLOOKUP($B1493,'[1]INSUMO POR SEDES MARZO PRUEBA'!$B$6:$CD$109,74,0),"NO BD")</f>
        <v>6866.2880999999998</v>
      </c>
      <c r="H1493" s="8"/>
      <c r="I1493" s="8">
        <f t="shared" si="134"/>
        <v>0</v>
      </c>
      <c r="J1493" s="14">
        <f t="shared" si="131"/>
        <v>0</v>
      </c>
      <c r="K1493" s="14">
        <f t="shared" si="132"/>
        <v>0</v>
      </c>
      <c r="L1493" s="14">
        <f t="shared" si="133"/>
        <v>0</v>
      </c>
    </row>
    <row r="1494" spans="1:12" ht="15">
      <c r="A1494" s="3">
        <v>2353</v>
      </c>
      <c r="B1494" s="39">
        <v>195</v>
      </c>
      <c r="C1494" s="7" t="s">
        <v>158</v>
      </c>
      <c r="D1494" s="4" t="s">
        <v>84</v>
      </c>
      <c r="E1494" s="6" t="s">
        <v>143</v>
      </c>
      <c r="F1494" s="12">
        <f>INDEX('PEDIDO JULIO'!A33:AD47,1,30)</f>
        <v>0</v>
      </c>
      <c r="G1494" s="8">
        <f>IFERROR(VLOOKUP($B1494,'[1]INSUMO POR SEDES MARZO PRUEBA'!$B$6:$CD$109,74,0),"NO BD")</f>
        <v>6431.0690000000004</v>
      </c>
      <c r="H1494" s="8"/>
      <c r="I1494" s="8">
        <f t="shared" si="134"/>
        <v>0</v>
      </c>
      <c r="J1494" s="14">
        <f t="shared" si="131"/>
        <v>0</v>
      </c>
      <c r="K1494" s="14">
        <f t="shared" si="132"/>
        <v>0</v>
      </c>
      <c r="L1494" s="14">
        <f t="shared" si="133"/>
        <v>0</v>
      </c>
    </row>
    <row r="1495" spans="1:12" ht="15">
      <c r="A1495" s="3">
        <v>2354</v>
      </c>
      <c r="B1495" s="39">
        <v>204</v>
      </c>
      <c r="C1495" s="7" t="s">
        <v>158</v>
      </c>
      <c r="D1495" s="4" t="s">
        <v>85</v>
      </c>
      <c r="E1495" s="6" t="s">
        <v>143</v>
      </c>
      <c r="F1495" s="12">
        <f>INDEX('PEDIDO JULIO'!A33:AD47,1,30)</f>
        <v>0</v>
      </c>
      <c r="G1495" s="8">
        <f>IFERROR(VLOOKUP($B1495,'[1]INSUMO POR SEDES MARZO PRUEBA'!$B$6:$CD$109,74,0),"NO BD")</f>
        <v>14760.243999999999</v>
      </c>
      <c r="H1495" s="8"/>
      <c r="I1495" s="8">
        <f t="shared" si="134"/>
        <v>0</v>
      </c>
      <c r="J1495" s="14">
        <f t="shared" si="131"/>
        <v>0</v>
      </c>
      <c r="K1495" s="14">
        <f t="shared" si="132"/>
        <v>0</v>
      </c>
      <c r="L1495" s="14">
        <f t="shared" si="133"/>
        <v>0</v>
      </c>
    </row>
    <row r="1496" spans="1:12" ht="15">
      <c r="A1496" s="3">
        <v>2355</v>
      </c>
      <c r="B1496" s="39">
        <v>205</v>
      </c>
      <c r="C1496" s="7" t="s">
        <v>152</v>
      </c>
      <c r="D1496" s="4" t="s">
        <v>86</v>
      </c>
      <c r="E1496" s="6" t="s">
        <v>143</v>
      </c>
      <c r="F1496" s="12">
        <f>INDEX('PEDIDO JULIO'!A33:AD47,1,30)</f>
        <v>0</v>
      </c>
      <c r="G1496" s="8">
        <f>IFERROR(VLOOKUP($B1496,'[1]INSUMO POR SEDES MARZO PRUEBA'!$B$6:$CD$109,74,0),"NO BD")</f>
        <v>32639.225399999996</v>
      </c>
      <c r="H1496" s="8"/>
      <c r="I1496" s="8">
        <f t="shared" si="134"/>
        <v>0</v>
      </c>
      <c r="J1496" s="14">
        <f t="shared" si="131"/>
        <v>0</v>
      </c>
      <c r="K1496" s="14">
        <f t="shared" si="132"/>
        <v>0</v>
      </c>
      <c r="L1496" s="14">
        <f t="shared" si="133"/>
        <v>0</v>
      </c>
    </row>
    <row r="1497" spans="1:12" ht="15">
      <c r="A1497" s="3">
        <v>2356</v>
      </c>
      <c r="B1497" s="39">
        <v>207</v>
      </c>
      <c r="C1497" s="7" t="s">
        <v>87</v>
      </c>
      <c r="D1497" s="4" t="s">
        <v>88</v>
      </c>
      <c r="E1497" s="6" t="s">
        <v>143</v>
      </c>
      <c r="F1497" s="12">
        <f>INDEX('PEDIDO JULIO'!A33:AD47,1,30)</f>
        <v>0</v>
      </c>
      <c r="G1497" s="8">
        <f>IFERROR(VLOOKUP($B1497,'[1]INSUMO POR SEDES MARZO PRUEBA'!$B$6:$CD$109,74,0),"NO BD")</f>
        <v>0</v>
      </c>
      <c r="H1497" s="8"/>
      <c r="I1497" s="8">
        <f t="shared" si="134"/>
        <v>0</v>
      </c>
      <c r="J1497" s="14">
        <f t="shared" si="131"/>
        <v>0</v>
      </c>
      <c r="K1497" s="14">
        <f t="shared" si="132"/>
        <v>0</v>
      </c>
      <c r="L1497" s="14">
        <f t="shared" si="133"/>
        <v>0</v>
      </c>
    </row>
    <row r="1498" spans="1:12" ht="15">
      <c r="A1498" s="3">
        <v>2357</v>
      </c>
      <c r="B1498" s="39">
        <v>212</v>
      </c>
      <c r="C1498" s="7" t="s">
        <v>87</v>
      </c>
      <c r="D1498" s="4" t="s">
        <v>89</v>
      </c>
      <c r="E1498" s="6" t="s">
        <v>143</v>
      </c>
      <c r="F1498" s="12">
        <f>INDEX('PEDIDO JULIO'!A33:AD47,1,30)</f>
        <v>0</v>
      </c>
      <c r="G1498" s="8">
        <f>IFERROR(VLOOKUP($B1498,'[1]INSUMO POR SEDES MARZO PRUEBA'!$B$6:$CD$109,74,0),"NO BD")</f>
        <v>0</v>
      </c>
      <c r="H1498" s="8"/>
      <c r="I1498" s="8">
        <f t="shared" si="134"/>
        <v>0</v>
      </c>
      <c r="J1498" s="14">
        <f t="shared" si="131"/>
        <v>0</v>
      </c>
      <c r="K1498" s="14">
        <f t="shared" si="132"/>
        <v>0</v>
      </c>
      <c r="L1498" s="14">
        <f t="shared" si="133"/>
        <v>0</v>
      </c>
    </row>
    <row r="1499" spans="1:12" ht="15">
      <c r="A1499" s="3">
        <v>2358</v>
      </c>
      <c r="B1499" s="39">
        <v>218</v>
      </c>
      <c r="C1499" s="7" t="s">
        <v>90</v>
      </c>
      <c r="D1499" s="4" t="s">
        <v>91</v>
      </c>
      <c r="E1499" s="6" t="s">
        <v>143</v>
      </c>
      <c r="F1499" s="12">
        <f>INDEX('PEDIDO JULIO'!A33:AD47,1,30)</f>
        <v>0</v>
      </c>
      <c r="G1499" s="8">
        <f>IFERROR(VLOOKUP($B1499,'[1]INSUMO POR SEDES MARZO PRUEBA'!$B$6:$CD$109,74,0),"NO BD")</f>
        <v>2587.0365000000002</v>
      </c>
      <c r="H1499" s="8"/>
      <c r="I1499" s="8">
        <f t="shared" si="134"/>
        <v>0</v>
      </c>
      <c r="J1499" s="14">
        <f t="shared" si="131"/>
        <v>0</v>
      </c>
      <c r="K1499" s="14">
        <f t="shared" si="132"/>
        <v>0</v>
      </c>
      <c r="L1499" s="14">
        <f t="shared" si="133"/>
        <v>0</v>
      </c>
    </row>
    <row r="1500" spans="1:12" ht="15">
      <c r="A1500" s="3">
        <v>2359</v>
      </c>
      <c r="B1500" s="39">
        <v>251</v>
      </c>
      <c r="C1500" s="7" t="s">
        <v>90</v>
      </c>
      <c r="D1500" s="4" t="s">
        <v>92</v>
      </c>
      <c r="E1500" s="6" t="s">
        <v>143</v>
      </c>
      <c r="F1500" s="12">
        <f>INDEX('PEDIDO JULIO'!A33:AD47,1,30)</f>
        <v>0</v>
      </c>
      <c r="G1500" s="8">
        <f>IFERROR(VLOOKUP($B1500,'[1]INSUMO POR SEDES MARZO PRUEBA'!$B$6:$CD$109,74,0),"NO BD")</f>
        <v>0</v>
      </c>
      <c r="H1500" s="8"/>
      <c r="I1500" s="8">
        <f t="shared" si="134"/>
        <v>0</v>
      </c>
      <c r="J1500" s="14">
        <f t="shared" si="131"/>
        <v>0</v>
      </c>
      <c r="K1500" s="14">
        <f t="shared" si="132"/>
        <v>0</v>
      </c>
      <c r="L1500" s="14">
        <f t="shared" si="133"/>
        <v>0</v>
      </c>
    </row>
    <row r="1501" spans="1:12" ht="27">
      <c r="A1501" s="3">
        <v>2400</v>
      </c>
      <c r="B1501" s="26">
        <v>3</v>
      </c>
      <c r="C1501" s="7" t="s">
        <v>13</v>
      </c>
      <c r="D1501" s="4" t="s">
        <v>15</v>
      </c>
      <c r="E1501" s="6" t="s">
        <v>144</v>
      </c>
      <c r="F1501" s="12">
        <f>INDEX('PEDIDO JULIO'!A10:AE32,1,31)</f>
        <v>0</v>
      </c>
      <c r="G1501" s="8">
        <f>IFERROR(VLOOKUP($B1501,'[1]INSUMO POR SEDES MARZO PRUEBA'!$B$6:$CD$109,77,0),"NO BD")</f>
        <v>7268.7160000000003</v>
      </c>
      <c r="H1501" s="8"/>
      <c r="I1501" s="8">
        <f t="shared" si="134"/>
        <v>0</v>
      </c>
      <c r="J1501" s="14">
        <f t="shared" ref="J1501:J1534" si="135">+I1501*10%</f>
        <v>0</v>
      </c>
      <c r="K1501" s="14">
        <f t="shared" ref="K1501:K1534" si="136">+J1501*19%</f>
        <v>0</v>
      </c>
      <c r="L1501" s="14">
        <f t="shared" ref="L1501:L1534" si="137">SUM(I1501:K1501)</f>
        <v>0</v>
      </c>
    </row>
    <row r="1502" spans="1:12" ht="15">
      <c r="A1502" s="3">
        <v>2401</v>
      </c>
      <c r="B1502" s="26">
        <v>5</v>
      </c>
      <c r="C1502" s="7" t="s">
        <v>16</v>
      </c>
      <c r="D1502" s="4" t="s">
        <v>17</v>
      </c>
      <c r="E1502" s="6" t="s">
        <v>144</v>
      </c>
      <c r="F1502" s="12">
        <f>INDEX('PEDIDO JULIO'!A10:AE32,1,31)</f>
        <v>0</v>
      </c>
      <c r="G1502" s="8">
        <f>IFERROR(VLOOKUP($B1502,'[1]INSUMO POR SEDES MARZO PRUEBA'!$B$6:$CD$109,77,0),"NO BD")</f>
        <v>0</v>
      </c>
      <c r="H1502" s="8"/>
      <c r="I1502" s="8">
        <f t="shared" si="134"/>
        <v>0</v>
      </c>
      <c r="J1502" s="14">
        <f t="shared" si="135"/>
        <v>0</v>
      </c>
      <c r="K1502" s="14">
        <f t="shared" si="136"/>
        <v>0</v>
      </c>
      <c r="L1502" s="14">
        <f t="shared" si="137"/>
        <v>0</v>
      </c>
    </row>
    <row r="1503" spans="1:12" ht="27">
      <c r="A1503" s="3">
        <v>2402</v>
      </c>
      <c r="B1503" s="26">
        <v>8</v>
      </c>
      <c r="C1503" s="7" t="s">
        <v>18</v>
      </c>
      <c r="D1503" s="4" t="s">
        <v>19</v>
      </c>
      <c r="E1503" s="6" t="s">
        <v>144</v>
      </c>
      <c r="F1503" s="12">
        <f>INDEX('PEDIDO JULIO'!A10:AE33,1,31)</f>
        <v>0</v>
      </c>
      <c r="G1503" s="8">
        <f>IFERROR(VLOOKUP($B1503,'[1]INSUMO POR SEDES MARZO PRUEBA'!$B$6:$CD$109,77,0),"NO BD")</f>
        <v>0</v>
      </c>
      <c r="H1503" s="8"/>
      <c r="I1503" s="8">
        <f t="shared" si="134"/>
        <v>0</v>
      </c>
      <c r="J1503" s="14">
        <f t="shared" si="135"/>
        <v>0</v>
      </c>
      <c r="K1503" s="14">
        <f t="shared" si="136"/>
        <v>0</v>
      </c>
      <c r="L1503" s="14">
        <f t="shared" si="137"/>
        <v>0</v>
      </c>
    </row>
    <row r="1504" spans="1:12" ht="27">
      <c r="A1504" s="3">
        <v>2403</v>
      </c>
      <c r="B1504" s="26">
        <v>9</v>
      </c>
      <c r="C1504" s="7" t="s">
        <v>20</v>
      </c>
      <c r="D1504" s="4" t="s">
        <v>21</v>
      </c>
      <c r="E1504" s="6" t="s">
        <v>144</v>
      </c>
      <c r="F1504" s="12">
        <f>INDEX('PEDIDO JULIO'!A10:AE33,1,31)</f>
        <v>0</v>
      </c>
      <c r="G1504" s="8">
        <f>IFERROR(VLOOKUP($B1504,'[1]INSUMO POR SEDES MARZO PRUEBA'!$B$6:$CD$109,77,0),"NO BD")</f>
        <v>3298.0379999999996</v>
      </c>
      <c r="H1504" s="8"/>
      <c r="I1504" s="8">
        <f t="shared" si="134"/>
        <v>0</v>
      </c>
      <c r="J1504" s="14">
        <f t="shared" si="135"/>
        <v>0</v>
      </c>
      <c r="K1504" s="14">
        <f t="shared" si="136"/>
        <v>0</v>
      </c>
      <c r="L1504" s="14">
        <f t="shared" si="137"/>
        <v>0</v>
      </c>
    </row>
    <row r="1505" spans="1:12" ht="27">
      <c r="A1505" s="3">
        <v>2404</v>
      </c>
      <c r="B1505" s="26">
        <v>13</v>
      </c>
      <c r="C1505" s="7" t="s">
        <v>22</v>
      </c>
      <c r="D1505" s="4" t="s">
        <v>23</v>
      </c>
      <c r="E1505" s="6" t="s">
        <v>144</v>
      </c>
      <c r="F1505" s="12">
        <f>INDEX('PEDIDO JULIO'!A11:AE33,1,31)</f>
        <v>0</v>
      </c>
      <c r="G1505" s="8">
        <f>IFERROR(VLOOKUP($B1505,'[1]INSUMO POR SEDES MARZO PRUEBA'!$B$6:$CD$109,77,0),"NO BD")</f>
        <v>0</v>
      </c>
      <c r="H1505" s="8"/>
      <c r="I1505" s="8">
        <f t="shared" si="134"/>
        <v>0</v>
      </c>
      <c r="J1505" s="14">
        <f t="shared" si="135"/>
        <v>0</v>
      </c>
      <c r="K1505" s="14">
        <f t="shared" si="136"/>
        <v>0</v>
      </c>
      <c r="L1505" s="14">
        <f t="shared" si="137"/>
        <v>0</v>
      </c>
    </row>
    <row r="1506" spans="1:12" ht="15">
      <c r="A1506" s="3">
        <v>2405</v>
      </c>
      <c r="B1506" s="26">
        <v>17</v>
      </c>
      <c r="C1506" s="7" t="s">
        <v>18</v>
      </c>
      <c r="D1506" s="4" t="s">
        <v>24</v>
      </c>
      <c r="E1506" s="6" t="s">
        <v>144</v>
      </c>
      <c r="F1506" s="12">
        <f>INDEX('PEDIDO JULIO'!A12:AE33,1,31)</f>
        <v>0</v>
      </c>
      <c r="G1506" s="8">
        <f>IFERROR(VLOOKUP($B1506,'[1]INSUMO POR SEDES MARZO PRUEBA'!$B$6:$CD$109,77,0),"NO BD")</f>
        <v>5647.0229999999992</v>
      </c>
      <c r="H1506" s="8"/>
      <c r="I1506" s="8">
        <f t="shared" si="134"/>
        <v>0</v>
      </c>
      <c r="J1506" s="14">
        <f t="shared" si="135"/>
        <v>0</v>
      </c>
      <c r="K1506" s="14">
        <f t="shared" si="136"/>
        <v>0</v>
      </c>
      <c r="L1506" s="14">
        <f t="shared" si="137"/>
        <v>0</v>
      </c>
    </row>
    <row r="1507" spans="1:12" ht="27">
      <c r="A1507" s="3">
        <v>2406</v>
      </c>
      <c r="B1507" s="31">
        <v>20</v>
      </c>
      <c r="C1507" s="7" t="s">
        <v>155</v>
      </c>
      <c r="D1507" s="4" t="s">
        <v>25</v>
      </c>
      <c r="E1507" s="6" t="s">
        <v>144</v>
      </c>
      <c r="F1507" s="12">
        <f>INDEX('PEDIDO JULIO'!A12:AE33,1,31)</f>
        <v>0</v>
      </c>
      <c r="G1507" s="8">
        <f>IFERROR(VLOOKUP($B1507,'[1]INSUMO POR SEDES MARZO PRUEBA'!$B$6:$CD$109,77,0),"NO BD")</f>
        <v>0</v>
      </c>
      <c r="H1507" s="8"/>
      <c r="I1507" s="8">
        <f t="shared" si="134"/>
        <v>0</v>
      </c>
      <c r="J1507" s="14">
        <f t="shared" si="135"/>
        <v>0</v>
      </c>
      <c r="K1507" s="14">
        <f t="shared" si="136"/>
        <v>0</v>
      </c>
      <c r="L1507" s="14">
        <f t="shared" si="137"/>
        <v>0</v>
      </c>
    </row>
    <row r="1508" spans="1:12" ht="27">
      <c r="A1508" s="3">
        <v>2407</v>
      </c>
      <c r="B1508" s="26">
        <v>21</v>
      </c>
      <c r="C1508" s="7" t="s">
        <v>16</v>
      </c>
      <c r="D1508" s="4" t="s">
        <v>26</v>
      </c>
      <c r="E1508" s="6" t="s">
        <v>144</v>
      </c>
      <c r="F1508" s="12">
        <f>INDEX('PEDIDO JULIO'!A13:AE34,1,31)</f>
        <v>0</v>
      </c>
      <c r="G1508" s="8">
        <f>IFERROR(VLOOKUP($B1508,'[1]INSUMO POR SEDES MARZO PRUEBA'!$B$6:$CD$109,77,0),"NO BD")</f>
        <v>0</v>
      </c>
      <c r="H1508" s="8"/>
      <c r="I1508" s="8">
        <f t="shared" si="134"/>
        <v>0</v>
      </c>
      <c r="J1508" s="14">
        <f t="shared" si="135"/>
        <v>0</v>
      </c>
      <c r="K1508" s="14">
        <f t="shared" si="136"/>
        <v>0</v>
      </c>
      <c r="L1508" s="14">
        <f t="shared" si="137"/>
        <v>0</v>
      </c>
    </row>
    <row r="1509" spans="1:12" ht="15">
      <c r="A1509" s="3">
        <v>2408</v>
      </c>
      <c r="B1509" s="26">
        <v>28</v>
      </c>
      <c r="C1509" s="7" t="s">
        <v>27</v>
      </c>
      <c r="D1509" s="4" t="s">
        <v>28</v>
      </c>
      <c r="E1509" s="6" t="s">
        <v>144</v>
      </c>
      <c r="F1509" s="12">
        <f>INDEX('PEDIDO JULIO'!A14:AE34,1,31)</f>
        <v>0</v>
      </c>
      <c r="G1509" s="8">
        <f>IFERROR(VLOOKUP($B1509,'[1]INSUMO POR SEDES MARZO PRUEBA'!$B$6:$CD$109,77,0),"NO BD")</f>
        <v>0</v>
      </c>
      <c r="H1509" s="8"/>
      <c r="I1509" s="8">
        <f t="shared" si="134"/>
        <v>0</v>
      </c>
      <c r="J1509" s="14">
        <f t="shared" si="135"/>
        <v>0</v>
      </c>
      <c r="K1509" s="14">
        <f t="shared" si="136"/>
        <v>0</v>
      </c>
      <c r="L1509" s="14">
        <f t="shared" si="137"/>
        <v>0</v>
      </c>
    </row>
    <row r="1510" spans="1:12" ht="15">
      <c r="A1510" s="3">
        <v>2409</v>
      </c>
      <c r="B1510" s="26">
        <v>29</v>
      </c>
      <c r="C1510" s="7" t="s">
        <v>13</v>
      </c>
      <c r="D1510" s="4" t="s">
        <v>29</v>
      </c>
      <c r="E1510" s="6" t="s">
        <v>144</v>
      </c>
      <c r="F1510" s="12">
        <f>INDEX('PEDIDO JULIO'!A15:AE34,1,31)</f>
        <v>0</v>
      </c>
      <c r="G1510" s="8">
        <f>IFERROR(VLOOKUP($B1510,'[1]INSUMO POR SEDES MARZO PRUEBA'!$B$6:$CD$109,77,0),"NO BD")</f>
        <v>0</v>
      </c>
      <c r="H1510" s="8"/>
      <c r="I1510" s="8">
        <f t="shared" si="134"/>
        <v>0</v>
      </c>
      <c r="J1510" s="14">
        <f t="shared" si="135"/>
        <v>0</v>
      </c>
      <c r="K1510" s="14">
        <f t="shared" si="136"/>
        <v>0</v>
      </c>
      <c r="L1510" s="14">
        <f t="shared" si="137"/>
        <v>0</v>
      </c>
    </row>
    <row r="1511" spans="1:12" ht="15">
      <c r="A1511" s="3">
        <v>2410</v>
      </c>
      <c r="B1511" s="26">
        <v>32</v>
      </c>
      <c r="C1511" s="7" t="s">
        <v>13</v>
      </c>
      <c r="D1511" s="4" t="s">
        <v>30</v>
      </c>
      <c r="E1511" s="6" t="s">
        <v>144</v>
      </c>
      <c r="F1511" s="12">
        <f>INDEX('PEDIDO JULIO'!A16:AE34,1,31)</f>
        <v>0</v>
      </c>
      <c r="G1511" s="8">
        <f>IFERROR(VLOOKUP($B1511,'[1]INSUMO POR SEDES MARZO PRUEBA'!$B$6:$CD$109,77,0),"NO BD")</f>
        <v>0</v>
      </c>
      <c r="H1511" s="8"/>
      <c r="I1511" s="8">
        <f t="shared" si="134"/>
        <v>0</v>
      </c>
      <c r="J1511" s="14">
        <f t="shared" si="135"/>
        <v>0</v>
      </c>
      <c r="K1511" s="14">
        <f t="shared" si="136"/>
        <v>0</v>
      </c>
      <c r="L1511" s="14">
        <f t="shared" si="137"/>
        <v>0</v>
      </c>
    </row>
    <row r="1512" spans="1:12" ht="15">
      <c r="A1512" s="3">
        <v>2411</v>
      </c>
      <c r="B1512" s="26">
        <v>38</v>
      </c>
      <c r="C1512" s="7" t="s">
        <v>13</v>
      </c>
      <c r="D1512" s="4" t="s">
        <v>31</v>
      </c>
      <c r="E1512" s="6" t="s">
        <v>144</v>
      </c>
      <c r="F1512" s="12">
        <f>INDEX('PEDIDO JULIO'!A17:AE34,1,31)</f>
        <v>0</v>
      </c>
      <c r="G1512" s="8">
        <f>IFERROR(VLOOKUP($B1512,'[1]INSUMO POR SEDES MARZO PRUEBA'!$B$6:$CD$109,77,0),"NO BD")</f>
        <v>15622.484399999999</v>
      </c>
      <c r="H1512" s="8"/>
      <c r="I1512" s="8">
        <f t="shared" si="134"/>
        <v>0</v>
      </c>
      <c r="J1512" s="14">
        <f t="shared" si="135"/>
        <v>0</v>
      </c>
      <c r="K1512" s="14">
        <f t="shared" si="136"/>
        <v>0</v>
      </c>
      <c r="L1512" s="14">
        <f t="shared" si="137"/>
        <v>0</v>
      </c>
    </row>
    <row r="1513" spans="1:12" ht="15">
      <c r="A1513" s="3">
        <v>2412</v>
      </c>
      <c r="B1513" s="26">
        <v>44</v>
      </c>
      <c r="C1513" s="7" t="s">
        <v>13</v>
      </c>
      <c r="D1513" s="4" t="s">
        <v>32</v>
      </c>
      <c r="E1513" s="6" t="s">
        <v>144</v>
      </c>
      <c r="F1513" s="12">
        <f>INDEX('PEDIDO JULIO'!A17:AE34,1,31)</f>
        <v>0</v>
      </c>
      <c r="G1513" s="8">
        <f>IFERROR(VLOOKUP($B1513,'[1]INSUMO POR SEDES MARZO PRUEBA'!$B$6:$CD$109,77,0),"NO BD")</f>
        <v>0</v>
      </c>
      <c r="H1513" s="8"/>
      <c r="I1513" s="8">
        <f t="shared" si="134"/>
        <v>0</v>
      </c>
      <c r="J1513" s="14">
        <f t="shared" si="135"/>
        <v>0</v>
      </c>
      <c r="K1513" s="14">
        <f t="shared" si="136"/>
        <v>0</v>
      </c>
      <c r="L1513" s="14">
        <f t="shared" si="137"/>
        <v>0</v>
      </c>
    </row>
    <row r="1514" spans="1:12" ht="15">
      <c r="A1514" s="3">
        <v>2413</v>
      </c>
      <c r="B1514" s="26">
        <v>50</v>
      </c>
      <c r="C1514" s="7" t="s">
        <v>33</v>
      </c>
      <c r="D1514" s="4" t="s">
        <v>34</v>
      </c>
      <c r="E1514" s="6" t="s">
        <v>144</v>
      </c>
      <c r="F1514" s="12">
        <f>INDEX('PEDIDO JULIO'!A18:AE35,1,31)</f>
        <v>0</v>
      </c>
      <c r="G1514" s="8">
        <f>IFERROR(VLOOKUP($B1514,'[1]INSUMO POR SEDES MARZO PRUEBA'!$B$6:$CD$109,77,0),"NO BD")</f>
        <v>0</v>
      </c>
      <c r="H1514" s="8"/>
      <c r="I1514" s="8">
        <f t="shared" si="134"/>
        <v>0</v>
      </c>
      <c r="J1514" s="14">
        <f t="shared" si="135"/>
        <v>0</v>
      </c>
      <c r="K1514" s="14">
        <f t="shared" si="136"/>
        <v>0</v>
      </c>
      <c r="L1514" s="14">
        <f t="shared" si="137"/>
        <v>0</v>
      </c>
    </row>
    <row r="1515" spans="1:12" ht="15">
      <c r="A1515" s="3">
        <v>2414</v>
      </c>
      <c r="B1515" s="26">
        <v>52</v>
      </c>
      <c r="C1515" s="7" t="s">
        <v>16</v>
      </c>
      <c r="D1515" s="4" t="s">
        <v>35</v>
      </c>
      <c r="E1515" s="6" t="s">
        <v>144</v>
      </c>
      <c r="F1515" s="12">
        <f>INDEX('PEDIDO JULIO'!A18:AE35,1,31)</f>
        <v>0</v>
      </c>
      <c r="G1515" s="8">
        <f>IFERROR(VLOOKUP($B1515,'[1]INSUMO POR SEDES MARZO PRUEBA'!$B$6:$CD$109,77,0),"NO BD")</f>
        <v>0</v>
      </c>
      <c r="H1515" s="8"/>
      <c r="I1515" s="8">
        <f t="shared" si="134"/>
        <v>0</v>
      </c>
      <c r="J1515" s="14">
        <f t="shared" si="135"/>
        <v>0</v>
      </c>
      <c r="K1515" s="14">
        <f t="shared" si="136"/>
        <v>0</v>
      </c>
      <c r="L1515" s="14">
        <f t="shared" si="137"/>
        <v>0</v>
      </c>
    </row>
    <row r="1516" spans="1:12" ht="15">
      <c r="A1516" s="3">
        <v>2415</v>
      </c>
      <c r="B1516" s="26">
        <v>57</v>
      </c>
      <c r="C1516" s="7" t="s">
        <v>36</v>
      </c>
      <c r="D1516" s="4" t="s">
        <v>37</v>
      </c>
      <c r="E1516" s="6" t="s">
        <v>144</v>
      </c>
      <c r="F1516" s="12">
        <f>INDEX('PEDIDO JULIO'!A18:AE35,1,31)</f>
        <v>0</v>
      </c>
      <c r="G1516" s="8">
        <f>IFERROR(VLOOKUP($B1516,'[1]INSUMO POR SEDES MARZO PRUEBA'!$B$6:$CD$109,77,0),"NO BD")</f>
        <v>27464.2065</v>
      </c>
      <c r="H1516" s="8"/>
      <c r="I1516" s="8">
        <f t="shared" si="134"/>
        <v>0</v>
      </c>
      <c r="J1516" s="14">
        <f t="shared" si="135"/>
        <v>0</v>
      </c>
      <c r="K1516" s="14">
        <f t="shared" si="136"/>
        <v>0</v>
      </c>
      <c r="L1516" s="14">
        <f t="shared" si="137"/>
        <v>0</v>
      </c>
    </row>
    <row r="1517" spans="1:12" ht="15">
      <c r="A1517" s="3">
        <v>2416</v>
      </c>
      <c r="B1517" s="26">
        <v>59</v>
      </c>
      <c r="C1517" s="7" t="s">
        <v>36</v>
      </c>
      <c r="D1517" s="4" t="s">
        <v>38</v>
      </c>
      <c r="E1517" s="6" t="s">
        <v>144</v>
      </c>
      <c r="F1517" s="12">
        <f>INDEX('PEDIDO JULIO'!A19:AE35,1,31)</f>
        <v>0</v>
      </c>
      <c r="G1517" s="8">
        <f>IFERROR(VLOOKUP($B1517,'[1]INSUMO POR SEDES MARZO PRUEBA'!$B$6:$CD$109,77,0),"NO BD")</f>
        <v>0</v>
      </c>
      <c r="H1517" s="8"/>
      <c r="I1517" s="8">
        <f t="shared" si="134"/>
        <v>0</v>
      </c>
      <c r="J1517" s="14">
        <f t="shared" si="135"/>
        <v>0</v>
      </c>
      <c r="K1517" s="14">
        <f t="shared" si="136"/>
        <v>0</v>
      </c>
      <c r="L1517" s="14">
        <f t="shared" si="137"/>
        <v>0</v>
      </c>
    </row>
    <row r="1518" spans="1:12" ht="15">
      <c r="A1518" s="3">
        <v>2417</v>
      </c>
      <c r="B1518" s="26">
        <v>62</v>
      </c>
      <c r="C1518" s="7" t="s">
        <v>39</v>
      </c>
      <c r="D1518" s="4" t="s">
        <v>40</v>
      </c>
      <c r="E1518" s="6" t="s">
        <v>144</v>
      </c>
      <c r="F1518" s="12">
        <f>INDEX('PEDIDO JULIO'!A19:AE35,1,31)</f>
        <v>0</v>
      </c>
      <c r="G1518" s="8">
        <f>IFERROR(VLOOKUP($B1518,'[1]INSUMO POR SEDES MARZO PRUEBA'!$B$6:$CD$109,77,0),"NO BD")</f>
        <v>10100.3202</v>
      </c>
      <c r="H1518" s="8"/>
      <c r="I1518" s="8">
        <f t="shared" si="134"/>
        <v>0</v>
      </c>
      <c r="J1518" s="14">
        <f t="shared" si="135"/>
        <v>0</v>
      </c>
      <c r="K1518" s="14">
        <f t="shared" si="136"/>
        <v>0</v>
      </c>
      <c r="L1518" s="14">
        <f t="shared" si="137"/>
        <v>0</v>
      </c>
    </row>
    <row r="1519" spans="1:12" ht="15">
      <c r="A1519" s="3">
        <v>2418</v>
      </c>
      <c r="B1519" s="26">
        <v>63</v>
      </c>
      <c r="C1519" s="7" t="s">
        <v>39</v>
      </c>
      <c r="D1519" s="4" t="s">
        <v>41</v>
      </c>
      <c r="E1519" s="6" t="s">
        <v>144</v>
      </c>
      <c r="F1519" s="12">
        <f>INDEX('PEDIDO JULIO'!A20:AE35,1,31)</f>
        <v>0</v>
      </c>
      <c r="G1519" s="8">
        <f>IFERROR(VLOOKUP($B1519,'[1]INSUMO POR SEDES MARZO PRUEBA'!$B$6:$CD$109,77,0),"NO BD")</f>
        <v>11443.4982</v>
      </c>
      <c r="H1519" s="8"/>
      <c r="I1519" s="8">
        <f t="shared" si="134"/>
        <v>0</v>
      </c>
      <c r="J1519" s="14">
        <f t="shared" si="135"/>
        <v>0</v>
      </c>
      <c r="K1519" s="14">
        <f t="shared" si="136"/>
        <v>0</v>
      </c>
      <c r="L1519" s="14">
        <f t="shared" si="137"/>
        <v>0</v>
      </c>
    </row>
    <row r="1520" spans="1:12" ht="15">
      <c r="A1520" s="3">
        <v>2419</v>
      </c>
      <c r="B1520" s="26">
        <v>64</v>
      </c>
      <c r="C1520" s="7" t="s">
        <v>151</v>
      </c>
      <c r="D1520" s="4" t="s">
        <v>42</v>
      </c>
      <c r="E1520" s="6" t="s">
        <v>144</v>
      </c>
      <c r="F1520" s="12">
        <f>INDEX('PEDIDO JULIO'!A20:AE35,1,31)</f>
        <v>0</v>
      </c>
      <c r="G1520" s="8">
        <f>IFERROR(VLOOKUP($B1520,'[1]INSUMO POR SEDES MARZO PRUEBA'!$B$6:$CD$109,77,0),"NO BD")</f>
        <v>0</v>
      </c>
      <c r="H1520" s="8"/>
      <c r="I1520" s="8">
        <f t="shared" si="134"/>
        <v>0</v>
      </c>
      <c r="J1520" s="14">
        <f t="shared" si="135"/>
        <v>0</v>
      </c>
      <c r="K1520" s="14">
        <f t="shared" si="136"/>
        <v>0</v>
      </c>
      <c r="L1520" s="14">
        <f t="shared" si="137"/>
        <v>0</v>
      </c>
    </row>
    <row r="1521" spans="1:12" ht="15">
      <c r="A1521" s="3">
        <v>2420</v>
      </c>
      <c r="B1521" s="26">
        <v>65</v>
      </c>
      <c r="C1521" s="7" t="s">
        <v>151</v>
      </c>
      <c r="D1521" s="4" t="s">
        <v>43</v>
      </c>
      <c r="E1521" s="6" t="s">
        <v>144</v>
      </c>
      <c r="F1521" s="12">
        <f>INDEX('PEDIDO JULIO'!A21:AE35,1,31)</f>
        <v>0</v>
      </c>
      <c r="G1521" s="8">
        <f>IFERROR(VLOOKUP($B1521,'[1]INSUMO POR SEDES MARZO PRUEBA'!$B$6:$CD$109,77,0),"NO BD")</f>
        <v>13820.650000000001</v>
      </c>
      <c r="H1521" s="8"/>
      <c r="I1521" s="8">
        <f t="shared" si="134"/>
        <v>0</v>
      </c>
      <c r="J1521" s="14">
        <f t="shared" si="135"/>
        <v>0</v>
      </c>
      <c r="K1521" s="14">
        <f t="shared" si="136"/>
        <v>0</v>
      </c>
      <c r="L1521" s="14">
        <f t="shared" si="137"/>
        <v>0</v>
      </c>
    </row>
    <row r="1522" spans="1:12" ht="15">
      <c r="A1522" s="3">
        <v>2421</v>
      </c>
      <c r="B1522" s="26">
        <v>66</v>
      </c>
      <c r="C1522" s="7" t="s">
        <v>151</v>
      </c>
      <c r="D1522" s="4" t="s">
        <v>44</v>
      </c>
      <c r="E1522" s="6" t="s">
        <v>144</v>
      </c>
      <c r="F1522" s="12">
        <f>INDEX('PEDIDO JULIO'!A22:AE35,1,31)</f>
        <v>0</v>
      </c>
      <c r="G1522" s="8">
        <f>IFERROR(VLOOKUP($B1522,'[1]INSUMO POR SEDES MARZO PRUEBA'!$B$6:$CD$109,77,0),"NO BD")</f>
        <v>4178.9862000000003</v>
      </c>
      <c r="H1522" s="8"/>
      <c r="I1522" s="8">
        <f t="shared" si="134"/>
        <v>0</v>
      </c>
      <c r="J1522" s="14">
        <f t="shared" si="135"/>
        <v>0</v>
      </c>
      <c r="K1522" s="14">
        <f t="shared" si="136"/>
        <v>0</v>
      </c>
      <c r="L1522" s="14">
        <f t="shared" si="137"/>
        <v>0</v>
      </c>
    </row>
    <row r="1523" spans="1:12" ht="40.5">
      <c r="A1523" s="3">
        <v>2422</v>
      </c>
      <c r="B1523" s="26">
        <v>71</v>
      </c>
      <c r="C1523" s="7" t="s">
        <v>151</v>
      </c>
      <c r="D1523" s="4" t="s">
        <v>45</v>
      </c>
      <c r="E1523" s="6" t="s">
        <v>144</v>
      </c>
      <c r="F1523" s="12">
        <f>INDEX('PEDIDO JULIO'!A23:AE36,1,31)</f>
        <v>0</v>
      </c>
      <c r="G1523" s="8">
        <f>IFERROR(VLOOKUP($B1523,'[1]INSUMO POR SEDES MARZO PRUEBA'!$B$6:$CD$109,77,0),"NO BD")</f>
        <v>7960.6944000000003</v>
      </c>
      <c r="H1523" s="8"/>
      <c r="I1523" s="8">
        <f t="shared" si="134"/>
        <v>0</v>
      </c>
      <c r="J1523" s="14">
        <f t="shared" si="135"/>
        <v>0</v>
      </c>
      <c r="K1523" s="14">
        <f t="shared" si="136"/>
        <v>0</v>
      </c>
      <c r="L1523" s="14">
        <f t="shared" si="137"/>
        <v>0</v>
      </c>
    </row>
    <row r="1524" spans="1:12" ht="27">
      <c r="A1524" s="3">
        <v>2423</v>
      </c>
      <c r="B1524" s="26">
        <v>72</v>
      </c>
      <c r="C1524" s="7" t="s">
        <v>46</v>
      </c>
      <c r="D1524" s="4" t="s">
        <v>47</v>
      </c>
      <c r="E1524" s="6" t="s">
        <v>144</v>
      </c>
      <c r="F1524" s="12">
        <f>INDEX('PEDIDO JULIO'!A23:AE37,1,31)</f>
        <v>0</v>
      </c>
      <c r="G1524" s="8">
        <f>IFERROR(VLOOKUP($B1524,'[1]INSUMO POR SEDES MARZO PRUEBA'!$B$6:$CD$109,77,0),"NO BD")</f>
        <v>7861.3749000000007</v>
      </c>
      <c r="H1524" s="8"/>
      <c r="I1524" s="8">
        <f t="shared" si="134"/>
        <v>0</v>
      </c>
      <c r="J1524" s="14">
        <f t="shared" si="135"/>
        <v>0</v>
      </c>
      <c r="K1524" s="14">
        <f t="shared" si="136"/>
        <v>0</v>
      </c>
      <c r="L1524" s="14">
        <f t="shared" si="137"/>
        <v>0</v>
      </c>
    </row>
    <row r="1525" spans="1:12" ht="15">
      <c r="A1525" s="3">
        <v>2424</v>
      </c>
      <c r="B1525" s="26">
        <v>73</v>
      </c>
      <c r="C1525" s="7" t="s">
        <v>159</v>
      </c>
      <c r="D1525" s="4" t="s">
        <v>48</v>
      </c>
      <c r="E1525" s="6" t="s">
        <v>144</v>
      </c>
      <c r="F1525" s="12">
        <f>INDEX('PEDIDO JULIO'!A24:AE37,1,31)</f>
        <v>0</v>
      </c>
      <c r="G1525" s="8">
        <f>IFERROR(VLOOKUP($B1525,'[1]INSUMO POR SEDES MARZO PRUEBA'!$B$6:$CD$109,77,0),"NO BD")</f>
        <v>21493.685699999998</v>
      </c>
      <c r="H1525" s="8"/>
      <c r="I1525" s="8">
        <f t="shared" si="134"/>
        <v>0</v>
      </c>
      <c r="J1525" s="14">
        <f t="shared" si="135"/>
        <v>0</v>
      </c>
      <c r="K1525" s="14">
        <f t="shared" si="136"/>
        <v>0</v>
      </c>
      <c r="L1525" s="14">
        <f t="shared" si="137"/>
        <v>0</v>
      </c>
    </row>
    <row r="1526" spans="1:12" ht="15">
      <c r="A1526" s="3">
        <v>2425</v>
      </c>
      <c r="B1526" s="26">
        <v>74</v>
      </c>
      <c r="C1526" s="7" t="s">
        <v>159</v>
      </c>
      <c r="D1526" s="4" t="s">
        <v>49</v>
      </c>
      <c r="E1526" s="6" t="s">
        <v>144</v>
      </c>
      <c r="F1526" s="12">
        <f>INDEX('PEDIDO JULIO'!A25:AE37,1,31)</f>
        <v>0</v>
      </c>
      <c r="G1526" s="8">
        <f>IFERROR(VLOOKUP($B1526,'[1]INSUMO POR SEDES MARZO PRUEBA'!$B$6:$CD$109,77,0),"NO BD")</f>
        <v>6915.4749000000002</v>
      </c>
      <c r="H1526" s="8"/>
      <c r="I1526" s="8">
        <f t="shared" si="134"/>
        <v>0</v>
      </c>
      <c r="J1526" s="14">
        <f t="shared" si="135"/>
        <v>0</v>
      </c>
      <c r="K1526" s="14">
        <f t="shared" si="136"/>
        <v>0</v>
      </c>
      <c r="L1526" s="14">
        <f t="shared" si="137"/>
        <v>0</v>
      </c>
    </row>
    <row r="1527" spans="1:12" ht="15">
      <c r="A1527" s="3">
        <v>2426</v>
      </c>
      <c r="B1527" s="26">
        <v>79</v>
      </c>
      <c r="C1527" s="7" t="s">
        <v>159</v>
      </c>
      <c r="D1527" s="4" t="s">
        <v>50</v>
      </c>
      <c r="E1527" s="6" t="s">
        <v>144</v>
      </c>
      <c r="F1527" s="12">
        <f>INDEX('PEDIDO JULIO'!A26:AE37,1,31)</f>
        <v>0</v>
      </c>
      <c r="G1527" s="8">
        <f>IFERROR(VLOOKUP($B1527,'[1]INSUMO POR SEDES MARZO PRUEBA'!$B$6:$CD$109,77,0),"NO BD")</f>
        <v>935.49510000000009</v>
      </c>
      <c r="H1527" s="8"/>
      <c r="I1527" s="8">
        <f t="shared" si="134"/>
        <v>0</v>
      </c>
      <c r="J1527" s="14">
        <f t="shared" si="135"/>
        <v>0</v>
      </c>
      <c r="K1527" s="14">
        <f t="shared" si="136"/>
        <v>0</v>
      </c>
      <c r="L1527" s="14">
        <f t="shared" si="137"/>
        <v>0</v>
      </c>
    </row>
    <row r="1528" spans="1:12" ht="15">
      <c r="A1528" s="3">
        <v>2427</v>
      </c>
      <c r="B1528" s="26">
        <v>80</v>
      </c>
      <c r="C1528" s="7" t="s">
        <v>159</v>
      </c>
      <c r="D1528" s="4" t="s">
        <v>51</v>
      </c>
      <c r="E1528" s="6" t="s">
        <v>144</v>
      </c>
      <c r="F1528" s="12">
        <f>INDEX('PEDIDO JULIO'!A27:AE37,1,31)</f>
        <v>0</v>
      </c>
      <c r="G1528" s="8">
        <f>IFERROR(VLOOKUP($B1528,'[1]INSUMO POR SEDES MARZO PRUEBA'!$B$6:$CD$109,77,0),"NO BD")</f>
        <v>607.26779999999997</v>
      </c>
      <c r="H1528" s="8"/>
      <c r="I1528" s="8">
        <f t="shared" si="134"/>
        <v>0</v>
      </c>
      <c r="J1528" s="14">
        <f t="shared" si="135"/>
        <v>0</v>
      </c>
      <c r="K1528" s="14">
        <f t="shared" si="136"/>
        <v>0</v>
      </c>
      <c r="L1528" s="14">
        <f t="shared" si="137"/>
        <v>0</v>
      </c>
    </row>
    <row r="1529" spans="1:12" ht="15">
      <c r="A1529" s="3">
        <v>2428</v>
      </c>
      <c r="B1529" s="26">
        <v>81</v>
      </c>
      <c r="C1529" s="7" t="s">
        <v>159</v>
      </c>
      <c r="D1529" s="4" t="s">
        <v>52</v>
      </c>
      <c r="E1529" s="6" t="s">
        <v>144</v>
      </c>
      <c r="F1529" s="12">
        <f>INDEX('PEDIDO JULIO'!A28:AE37,1,31)</f>
        <v>0</v>
      </c>
      <c r="G1529" s="8">
        <f>IFERROR(VLOOKUP($B1529,'[1]INSUMO POR SEDES MARZO PRUEBA'!$B$6:$CD$109,77,0),"NO BD")</f>
        <v>387.81900000000002</v>
      </c>
      <c r="H1529" s="8"/>
      <c r="I1529" s="8">
        <f t="shared" si="134"/>
        <v>0</v>
      </c>
      <c r="J1529" s="14">
        <f t="shared" si="135"/>
        <v>0</v>
      </c>
      <c r="K1529" s="14">
        <f t="shared" si="136"/>
        <v>0</v>
      </c>
      <c r="L1529" s="14">
        <f t="shared" si="137"/>
        <v>0</v>
      </c>
    </row>
    <row r="1530" spans="1:12" ht="15">
      <c r="A1530" s="3">
        <v>2429</v>
      </c>
      <c r="B1530" s="26">
        <v>82</v>
      </c>
      <c r="C1530" s="7" t="s">
        <v>53</v>
      </c>
      <c r="D1530" s="4" t="s">
        <v>54</v>
      </c>
      <c r="E1530" s="6" t="s">
        <v>144</v>
      </c>
      <c r="F1530" s="12">
        <f>INDEX('PEDIDO JULIO'!A28:AE37,1,31)</f>
        <v>0</v>
      </c>
      <c r="G1530" s="8">
        <f>IFERROR(VLOOKUP($B1530,'[1]INSUMO POR SEDES MARZO PRUEBA'!$B$6:$CD$109,77,0),"NO BD")</f>
        <v>1003.7049999999999</v>
      </c>
      <c r="H1530" s="8"/>
      <c r="I1530" s="8">
        <f t="shared" si="134"/>
        <v>0</v>
      </c>
      <c r="J1530" s="14">
        <f t="shared" si="135"/>
        <v>0</v>
      </c>
      <c r="K1530" s="14">
        <f t="shared" si="136"/>
        <v>0</v>
      </c>
      <c r="L1530" s="14">
        <f t="shared" si="137"/>
        <v>0</v>
      </c>
    </row>
    <row r="1531" spans="1:12" ht="15">
      <c r="A1531" s="3">
        <v>2430</v>
      </c>
      <c r="B1531" s="26">
        <v>83</v>
      </c>
      <c r="C1531" s="7" t="s">
        <v>53</v>
      </c>
      <c r="D1531" s="4" t="s">
        <v>55</v>
      </c>
      <c r="E1531" s="6" t="s">
        <v>144</v>
      </c>
      <c r="F1531" s="12">
        <f>INDEX('PEDIDO JULIO'!A29:AE37,1,31)</f>
        <v>0</v>
      </c>
      <c r="G1531" s="8">
        <f>IFERROR(VLOOKUP($B1531,'[1]INSUMO POR SEDES MARZO PRUEBA'!$B$6:$CD$109,77,0),"NO BD")</f>
        <v>336.32</v>
      </c>
      <c r="H1531" s="8"/>
      <c r="I1531" s="8">
        <f t="shared" si="134"/>
        <v>0</v>
      </c>
      <c r="J1531" s="14">
        <f t="shared" si="135"/>
        <v>0</v>
      </c>
      <c r="K1531" s="14">
        <f t="shared" si="136"/>
        <v>0</v>
      </c>
      <c r="L1531" s="14">
        <f t="shared" si="137"/>
        <v>0</v>
      </c>
    </row>
    <row r="1532" spans="1:12" ht="15">
      <c r="A1532" s="3">
        <v>2431</v>
      </c>
      <c r="B1532" s="26">
        <v>88</v>
      </c>
      <c r="C1532" s="7" t="s">
        <v>53</v>
      </c>
      <c r="D1532" s="4" t="s">
        <v>56</v>
      </c>
      <c r="E1532" s="6" t="s">
        <v>144</v>
      </c>
      <c r="F1532" s="12">
        <f>INDEX('PEDIDO JULIO'!A30:AE37,1,31)</f>
        <v>0</v>
      </c>
      <c r="G1532" s="8">
        <f>IFERROR(VLOOKUP($B1532,'[1]INSUMO POR SEDES MARZO PRUEBA'!$B$6:$CD$109,77,0),"NO BD")</f>
        <v>0</v>
      </c>
      <c r="H1532" s="8"/>
      <c r="I1532" s="8">
        <f t="shared" si="134"/>
        <v>0</v>
      </c>
      <c r="J1532" s="14">
        <f t="shared" si="135"/>
        <v>0</v>
      </c>
      <c r="K1532" s="14">
        <f t="shared" si="136"/>
        <v>0</v>
      </c>
      <c r="L1532" s="14">
        <f t="shared" si="137"/>
        <v>0</v>
      </c>
    </row>
    <row r="1533" spans="1:12" ht="15">
      <c r="A1533" s="3">
        <v>2432</v>
      </c>
      <c r="B1533" s="26">
        <v>92</v>
      </c>
      <c r="C1533" s="7" t="s">
        <v>53</v>
      </c>
      <c r="D1533" s="4" t="s">
        <v>57</v>
      </c>
      <c r="E1533" s="6" t="s">
        <v>144</v>
      </c>
      <c r="F1533" s="12">
        <f>INDEX('PEDIDO JULIO'!A31:AE37,1,31)</f>
        <v>0</v>
      </c>
      <c r="G1533" s="8">
        <f>IFERROR(VLOOKUP($B1533,'[1]INSUMO POR SEDES MARZO PRUEBA'!$B$6:$CD$109,77,0),"NO BD")</f>
        <v>2380.5149999999999</v>
      </c>
      <c r="H1533" s="8"/>
      <c r="I1533" s="8">
        <f t="shared" si="134"/>
        <v>0</v>
      </c>
      <c r="J1533" s="14">
        <f t="shared" si="135"/>
        <v>0</v>
      </c>
      <c r="K1533" s="14">
        <f t="shared" si="136"/>
        <v>0</v>
      </c>
      <c r="L1533" s="14">
        <f t="shared" si="137"/>
        <v>0</v>
      </c>
    </row>
    <row r="1534" spans="1:12" ht="27">
      <c r="A1534" s="3">
        <v>2433</v>
      </c>
      <c r="B1534" s="26">
        <v>94</v>
      </c>
      <c r="C1534" s="7" t="s">
        <v>160</v>
      </c>
      <c r="D1534" s="4" t="s">
        <v>58</v>
      </c>
      <c r="E1534" s="6" t="s">
        <v>144</v>
      </c>
      <c r="F1534" s="12">
        <f>INDEX('PEDIDO JULIO'!A32:AE37,1,31)</f>
        <v>0</v>
      </c>
      <c r="G1534" s="8">
        <f>IFERROR(VLOOKUP($B1534,'[1]INSUMO POR SEDES MARZO PRUEBA'!$B$6:$CD$109,77,0),"NO BD")</f>
        <v>0</v>
      </c>
      <c r="H1534" s="8"/>
      <c r="I1534" s="8">
        <f t="shared" si="134"/>
        <v>0</v>
      </c>
      <c r="J1534" s="14">
        <f t="shared" si="135"/>
        <v>0</v>
      </c>
      <c r="K1534" s="14">
        <f t="shared" si="136"/>
        <v>0</v>
      </c>
      <c r="L1534" s="14">
        <f t="shared" si="137"/>
        <v>0</v>
      </c>
    </row>
    <row r="1535" spans="1:12" ht="15">
      <c r="A1535" s="3">
        <v>2434</v>
      </c>
      <c r="B1535" s="26">
        <v>98</v>
      </c>
      <c r="C1535" s="7" t="s">
        <v>160</v>
      </c>
      <c r="D1535" s="4" t="s">
        <v>59</v>
      </c>
      <c r="E1535" s="6" t="s">
        <v>144</v>
      </c>
      <c r="F1535" s="12">
        <f>INDEX('PEDIDO JULIO'!A33:AE37,1,31)</f>
        <v>0</v>
      </c>
      <c r="G1535" s="8">
        <f>IFERROR(VLOOKUP($B1535,'[1]INSUMO POR SEDES MARZO PRUEBA'!$B$6:$CD$109,77,0),"NO BD")</f>
        <v>9503.4573</v>
      </c>
      <c r="H1535" s="8"/>
      <c r="I1535" s="8">
        <f t="shared" si="134"/>
        <v>0</v>
      </c>
      <c r="J1535" s="14">
        <f t="shared" ref="J1535:J1565" si="138">+I1535*10%</f>
        <v>0</v>
      </c>
      <c r="K1535" s="14">
        <f t="shared" ref="K1535:K1565" si="139">+J1535*19%</f>
        <v>0</v>
      </c>
      <c r="L1535" s="14">
        <f t="shared" ref="L1535:L1565" si="140">SUM(I1535:K1535)</f>
        <v>0</v>
      </c>
    </row>
    <row r="1536" spans="1:12" ht="15">
      <c r="A1536" s="3">
        <v>2435</v>
      </c>
      <c r="B1536" s="26">
        <v>100</v>
      </c>
      <c r="C1536" s="7" t="s">
        <v>60</v>
      </c>
      <c r="D1536" s="4" t="s">
        <v>61</v>
      </c>
      <c r="E1536" s="6" t="s">
        <v>144</v>
      </c>
      <c r="F1536" s="12">
        <f>INDEX('PEDIDO JULIO'!A33:AE38,1,31)</f>
        <v>0</v>
      </c>
      <c r="G1536" s="8">
        <f>IFERROR(VLOOKUP($B1536,'[1]INSUMO POR SEDES MARZO PRUEBA'!$B$6:$CD$109,77,0),"NO BD")</f>
        <v>0</v>
      </c>
      <c r="H1536" s="8"/>
      <c r="I1536" s="8">
        <f t="shared" si="134"/>
        <v>0</v>
      </c>
      <c r="J1536" s="14">
        <f t="shared" si="138"/>
        <v>0</v>
      </c>
      <c r="K1536" s="14">
        <f t="shared" si="139"/>
        <v>0</v>
      </c>
      <c r="L1536" s="14">
        <f t="shared" si="140"/>
        <v>0</v>
      </c>
    </row>
    <row r="1537" spans="1:12" ht="15">
      <c r="A1537" s="3">
        <v>2436</v>
      </c>
      <c r="B1537" s="26">
        <v>102</v>
      </c>
      <c r="C1537" s="7" t="s">
        <v>60</v>
      </c>
      <c r="D1537" s="4" t="s">
        <v>62</v>
      </c>
      <c r="E1537" s="6" t="s">
        <v>144</v>
      </c>
      <c r="F1537" s="12">
        <f>INDEX('PEDIDO JULIO'!A33:AE38,1,31)</f>
        <v>0</v>
      </c>
      <c r="G1537" s="8">
        <f>IFERROR(VLOOKUP($B1537,'[1]INSUMO POR SEDES MARZO PRUEBA'!$B$6:$CD$109,77,0),"NO BD")</f>
        <v>5422.8446999999996</v>
      </c>
      <c r="H1537" s="8"/>
      <c r="I1537" s="8">
        <f t="shared" si="134"/>
        <v>0</v>
      </c>
      <c r="J1537" s="14">
        <f t="shared" si="138"/>
        <v>0</v>
      </c>
      <c r="K1537" s="14">
        <f t="shared" si="139"/>
        <v>0</v>
      </c>
      <c r="L1537" s="14">
        <f t="shared" si="140"/>
        <v>0</v>
      </c>
    </row>
    <row r="1538" spans="1:12" ht="15">
      <c r="A1538" s="3">
        <v>2437</v>
      </c>
      <c r="B1538" s="26">
        <v>110</v>
      </c>
      <c r="C1538" s="7" t="s">
        <v>151</v>
      </c>
      <c r="D1538" s="4" t="s">
        <v>63</v>
      </c>
      <c r="E1538" s="6" t="s">
        <v>144</v>
      </c>
      <c r="F1538" s="12">
        <f>INDEX('PEDIDO JULIO'!A33:AE39,1,31)</f>
        <v>0</v>
      </c>
      <c r="G1538" s="8">
        <f>IFERROR(VLOOKUP($B1538,'[1]INSUMO POR SEDES MARZO PRUEBA'!$B$6:$CD$109,77,0),"NO BD")</f>
        <v>1442.4974999999999</v>
      </c>
      <c r="H1538" s="8"/>
      <c r="I1538" s="8">
        <f t="shared" si="134"/>
        <v>0</v>
      </c>
      <c r="J1538" s="14">
        <f t="shared" si="138"/>
        <v>0</v>
      </c>
      <c r="K1538" s="14">
        <f t="shared" si="139"/>
        <v>0</v>
      </c>
      <c r="L1538" s="14">
        <f t="shared" si="140"/>
        <v>0</v>
      </c>
    </row>
    <row r="1539" spans="1:12" ht="15">
      <c r="A1539" s="3">
        <v>2438</v>
      </c>
      <c r="B1539" s="26">
        <v>118</v>
      </c>
      <c r="C1539" s="7" t="s">
        <v>160</v>
      </c>
      <c r="D1539" s="4" t="s">
        <v>64</v>
      </c>
      <c r="E1539" s="6" t="s">
        <v>144</v>
      </c>
      <c r="F1539" s="12">
        <f>INDEX('PEDIDO JULIO'!A33:AE40,1,31)</f>
        <v>0</v>
      </c>
      <c r="G1539" s="8">
        <f>IFERROR(VLOOKUP($B1539,'[1]INSUMO POR SEDES MARZO PRUEBA'!$B$6:$CD$109,77,0),"NO BD")</f>
        <v>4129.7993999999999</v>
      </c>
      <c r="H1539" s="8"/>
      <c r="I1539" s="8">
        <f t="shared" si="134"/>
        <v>0</v>
      </c>
      <c r="J1539" s="14">
        <f t="shared" si="138"/>
        <v>0</v>
      </c>
      <c r="K1539" s="14">
        <f t="shared" si="139"/>
        <v>0</v>
      </c>
      <c r="L1539" s="14">
        <f t="shared" si="140"/>
        <v>0</v>
      </c>
    </row>
    <row r="1540" spans="1:12" ht="27">
      <c r="A1540" s="3">
        <v>2439</v>
      </c>
      <c r="B1540" s="26">
        <v>119</v>
      </c>
      <c r="C1540" s="7" t="s">
        <v>60</v>
      </c>
      <c r="D1540" s="4" t="s">
        <v>65</v>
      </c>
      <c r="E1540" s="6" t="s">
        <v>144</v>
      </c>
      <c r="F1540" s="12">
        <f>INDEX('PEDIDO JULIO'!A33:AE40,1,31)</f>
        <v>0</v>
      </c>
      <c r="G1540" s="8">
        <f>IFERROR(VLOOKUP($B1540,'[1]INSUMO POR SEDES MARZO PRUEBA'!$B$6:$CD$109,77,0),"NO BD")</f>
        <v>4259.3877000000002</v>
      </c>
      <c r="H1540" s="8"/>
      <c r="I1540" s="8">
        <f t="shared" si="134"/>
        <v>0</v>
      </c>
      <c r="J1540" s="14">
        <f t="shared" si="138"/>
        <v>0</v>
      </c>
      <c r="K1540" s="14">
        <f t="shared" si="139"/>
        <v>0</v>
      </c>
      <c r="L1540" s="14">
        <f t="shared" si="140"/>
        <v>0</v>
      </c>
    </row>
    <row r="1541" spans="1:12" ht="15">
      <c r="A1541" s="3">
        <v>2440</v>
      </c>
      <c r="B1541" s="26">
        <v>120</v>
      </c>
      <c r="C1541" s="7" t="s">
        <v>66</v>
      </c>
      <c r="D1541" s="4" t="s">
        <v>67</v>
      </c>
      <c r="E1541" s="6" t="s">
        <v>144</v>
      </c>
      <c r="F1541" s="12">
        <f>INDEX('PEDIDO JULIO'!A33:AE40,1,31)</f>
        <v>0</v>
      </c>
      <c r="G1541" s="8">
        <f>IFERROR(VLOOKUP($B1541,'[1]INSUMO POR SEDES MARZO PRUEBA'!$B$6:$CD$109,77,0),"NO BD")</f>
        <v>4259.3877000000002</v>
      </c>
      <c r="H1541" s="8"/>
      <c r="I1541" s="8">
        <f t="shared" si="134"/>
        <v>0</v>
      </c>
      <c r="J1541" s="14">
        <f t="shared" si="138"/>
        <v>0</v>
      </c>
      <c r="K1541" s="14">
        <f t="shared" si="139"/>
        <v>0</v>
      </c>
      <c r="L1541" s="14">
        <f t="shared" si="140"/>
        <v>0</v>
      </c>
    </row>
    <row r="1542" spans="1:12" ht="15">
      <c r="A1542" s="3">
        <v>2441</v>
      </c>
      <c r="B1542" s="26">
        <v>122</v>
      </c>
      <c r="C1542" s="7" t="s">
        <v>66</v>
      </c>
      <c r="D1542" s="4" t="s">
        <v>68</v>
      </c>
      <c r="E1542" s="6" t="s">
        <v>144</v>
      </c>
      <c r="F1542" s="12">
        <f>INDEX('PEDIDO JULIO'!A33:AE41,1,31)</f>
        <v>0</v>
      </c>
      <c r="G1542" s="8">
        <f>IFERROR(VLOOKUP($B1542,'[1]INSUMO POR SEDES MARZO PRUEBA'!$B$6:$CD$109,77,0),"NO BD")</f>
        <v>5920.3881000000001</v>
      </c>
      <c r="H1542" s="8"/>
      <c r="I1542" s="8">
        <f t="shared" ref="I1542:I1605" si="141">+F1542*G1542</f>
        <v>0</v>
      </c>
      <c r="J1542" s="14">
        <f t="shared" si="138"/>
        <v>0</v>
      </c>
      <c r="K1542" s="14">
        <f t="shared" si="139"/>
        <v>0</v>
      </c>
      <c r="L1542" s="14">
        <f t="shared" si="140"/>
        <v>0</v>
      </c>
    </row>
    <row r="1543" spans="1:12" ht="15">
      <c r="A1543" s="3">
        <v>2442</v>
      </c>
      <c r="B1543" s="26">
        <v>123</v>
      </c>
      <c r="C1543" s="7" t="s">
        <v>66</v>
      </c>
      <c r="D1543" s="4" t="s">
        <v>69</v>
      </c>
      <c r="E1543" s="6" t="s">
        <v>144</v>
      </c>
      <c r="F1543" s="12">
        <f>INDEX('PEDIDO JULIO'!A33:AE41,1,31)</f>
        <v>0</v>
      </c>
      <c r="G1543" s="8">
        <f>IFERROR(VLOOKUP($B1543,'[1]INSUMO POR SEDES MARZO PRUEBA'!$B$6:$CD$109,77,0),"NO BD")</f>
        <v>6169.1598000000004</v>
      </c>
      <c r="H1543" s="8"/>
      <c r="I1543" s="8">
        <f t="shared" si="141"/>
        <v>0</v>
      </c>
      <c r="J1543" s="14">
        <f t="shared" si="138"/>
        <v>0</v>
      </c>
      <c r="K1543" s="14">
        <f t="shared" si="139"/>
        <v>0</v>
      </c>
      <c r="L1543" s="14">
        <f t="shared" si="140"/>
        <v>0</v>
      </c>
    </row>
    <row r="1544" spans="1:12" ht="15">
      <c r="A1544" s="3">
        <v>2443</v>
      </c>
      <c r="B1544" s="26">
        <v>124</v>
      </c>
      <c r="C1544" s="7" t="s">
        <v>66</v>
      </c>
      <c r="D1544" s="4" t="s">
        <v>70</v>
      </c>
      <c r="E1544" s="6" t="s">
        <v>144</v>
      </c>
      <c r="F1544" s="12">
        <f>INDEX('PEDIDO JULIO'!A33:AE42,1,31)</f>
        <v>0</v>
      </c>
      <c r="G1544" s="8">
        <f>IFERROR(VLOOKUP($B1544,'[1]INSUMO POR SEDES MARZO PRUEBA'!$B$6:$CD$109,77,0),"NO BD")</f>
        <v>6169.1598000000004</v>
      </c>
      <c r="H1544" s="8"/>
      <c r="I1544" s="8">
        <f t="shared" si="141"/>
        <v>0</v>
      </c>
      <c r="J1544" s="14">
        <f t="shared" si="138"/>
        <v>0</v>
      </c>
      <c r="K1544" s="14">
        <f t="shared" si="139"/>
        <v>0</v>
      </c>
      <c r="L1544" s="14">
        <f t="shared" si="140"/>
        <v>0</v>
      </c>
    </row>
    <row r="1545" spans="1:12" ht="15">
      <c r="A1545" s="3">
        <v>2444</v>
      </c>
      <c r="B1545" s="26">
        <v>137</v>
      </c>
      <c r="C1545" s="7" t="s">
        <v>66</v>
      </c>
      <c r="D1545" s="4" t="s">
        <v>71</v>
      </c>
      <c r="E1545" s="6" t="s">
        <v>144</v>
      </c>
      <c r="F1545" s="12">
        <f>INDEX('PEDIDO JULIO'!A33:AE42,1,31)</f>
        <v>0</v>
      </c>
      <c r="G1545" s="8">
        <f>IFERROR(VLOOKUP($B1545,'[1]INSUMO POR SEDES MARZO PRUEBA'!$B$6:$CD$109,77,0),"NO BD")</f>
        <v>0</v>
      </c>
      <c r="H1545" s="8"/>
      <c r="I1545" s="8">
        <f t="shared" si="141"/>
        <v>0</v>
      </c>
      <c r="J1545" s="14">
        <f t="shared" si="138"/>
        <v>0</v>
      </c>
      <c r="K1545" s="14">
        <f t="shared" si="139"/>
        <v>0</v>
      </c>
      <c r="L1545" s="14">
        <f t="shared" si="140"/>
        <v>0</v>
      </c>
    </row>
    <row r="1546" spans="1:12" ht="15">
      <c r="A1546" s="3">
        <v>2445</v>
      </c>
      <c r="B1546" s="26">
        <v>139</v>
      </c>
      <c r="C1546" s="7" t="s">
        <v>66</v>
      </c>
      <c r="D1546" s="4" t="s">
        <v>72</v>
      </c>
      <c r="E1546" s="6" t="s">
        <v>144</v>
      </c>
      <c r="F1546" s="12">
        <f>INDEX('PEDIDO JULIO'!A33:AE42,1,31)</f>
        <v>0</v>
      </c>
      <c r="G1546" s="8">
        <f>IFERROR(VLOOKUP($B1546,'[1]INSUMO POR SEDES MARZO PRUEBA'!$B$6:$CD$109,77,0),"NO BD")</f>
        <v>25429.996000000003</v>
      </c>
      <c r="H1546" s="8"/>
      <c r="I1546" s="8">
        <f t="shared" si="141"/>
        <v>0</v>
      </c>
      <c r="J1546" s="14">
        <f t="shared" si="138"/>
        <v>0</v>
      </c>
      <c r="K1546" s="14">
        <f t="shared" si="139"/>
        <v>0</v>
      </c>
      <c r="L1546" s="14">
        <f t="shared" si="140"/>
        <v>0</v>
      </c>
    </row>
    <row r="1547" spans="1:12" ht="15">
      <c r="A1547" s="3">
        <v>2446</v>
      </c>
      <c r="B1547" s="26">
        <v>151</v>
      </c>
      <c r="C1547" s="7" t="s">
        <v>158</v>
      </c>
      <c r="D1547" s="4" t="s">
        <v>73</v>
      </c>
      <c r="E1547" s="6" t="s">
        <v>144</v>
      </c>
      <c r="F1547" s="12">
        <f>INDEX('PEDIDO JULIO'!A33:AE42,1,31)</f>
        <v>0</v>
      </c>
      <c r="G1547" s="8">
        <f>IFERROR(VLOOKUP($B1547,'[1]INSUMO POR SEDES MARZO PRUEBA'!$B$6:$CD$109,77,0),"NO BD")</f>
        <v>4422.6080000000002</v>
      </c>
      <c r="H1547" s="8"/>
      <c r="I1547" s="8">
        <f t="shared" si="141"/>
        <v>0</v>
      </c>
      <c r="J1547" s="14">
        <f t="shared" si="138"/>
        <v>0</v>
      </c>
      <c r="K1547" s="14">
        <f t="shared" si="139"/>
        <v>0</v>
      </c>
      <c r="L1547" s="14">
        <f t="shared" si="140"/>
        <v>0</v>
      </c>
    </row>
    <row r="1548" spans="1:12" ht="15">
      <c r="A1548" s="3">
        <v>2447</v>
      </c>
      <c r="B1548" s="26">
        <v>155</v>
      </c>
      <c r="C1548" s="7" t="s">
        <v>158</v>
      </c>
      <c r="D1548" s="4" t="s">
        <v>74</v>
      </c>
      <c r="E1548" s="6" t="s">
        <v>144</v>
      </c>
      <c r="F1548" s="12">
        <f>INDEX('PEDIDO JULIO'!A33:AE43,1,31)</f>
        <v>0</v>
      </c>
      <c r="G1548" s="8">
        <f>IFERROR(VLOOKUP($B1548,'[1]INSUMO POR SEDES MARZO PRUEBA'!$B$6:$CD$109,77,0),"NO BD")</f>
        <v>5005.7028</v>
      </c>
      <c r="H1548" s="8"/>
      <c r="I1548" s="8">
        <f t="shared" si="141"/>
        <v>0</v>
      </c>
      <c r="J1548" s="14">
        <f t="shared" si="138"/>
        <v>0</v>
      </c>
      <c r="K1548" s="14">
        <f t="shared" si="139"/>
        <v>0</v>
      </c>
      <c r="L1548" s="14">
        <f t="shared" si="140"/>
        <v>0</v>
      </c>
    </row>
    <row r="1549" spans="1:12" ht="15">
      <c r="A1549" s="3">
        <v>2448</v>
      </c>
      <c r="B1549" s="26">
        <v>156</v>
      </c>
      <c r="C1549" s="7" t="s">
        <v>158</v>
      </c>
      <c r="D1549" s="4" t="s">
        <v>75</v>
      </c>
      <c r="E1549" s="6" t="s">
        <v>144</v>
      </c>
      <c r="F1549" s="12">
        <f>INDEX('PEDIDO JULIO'!A33:AE43,1,31)</f>
        <v>0</v>
      </c>
      <c r="G1549" s="8">
        <f>IFERROR(VLOOKUP($B1549,'[1]INSUMO POR SEDES MARZO PRUEBA'!$B$6:$CD$109,77,0),"NO BD")</f>
        <v>4422.6080000000002</v>
      </c>
      <c r="H1549" s="8"/>
      <c r="I1549" s="8">
        <f t="shared" si="141"/>
        <v>0</v>
      </c>
      <c r="J1549" s="14">
        <f t="shared" si="138"/>
        <v>0</v>
      </c>
      <c r="K1549" s="14">
        <f t="shared" si="139"/>
        <v>0</v>
      </c>
      <c r="L1549" s="14">
        <f t="shared" si="140"/>
        <v>0</v>
      </c>
    </row>
    <row r="1550" spans="1:12" ht="15">
      <c r="A1550" s="3">
        <v>2449</v>
      </c>
      <c r="B1550" s="26">
        <v>157</v>
      </c>
      <c r="C1550" s="7" t="s">
        <v>158</v>
      </c>
      <c r="D1550" s="4" t="s">
        <v>76</v>
      </c>
      <c r="E1550" s="6" t="s">
        <v>144</v>
      </c>
      <c r="F1550" s="12">
        <f>INDEX('PEDIDO JULIO'!A33:AE43,1,31)</f>
        <v>0</v>
      </c>
      <c r="G1550" s="8">
        <f>IFERROR(VLOOKUP($B1550,'[1]INSUMO POR SEDES MARZO PRUEBA'!$B$6:$CD$109,77,0),"NO BD")</f>
        <v>5970.7309999999998</v>
      </c>
      <c r="H1550" s="8"/>
      <c r="I1550" s="8">
        <f t="shared" si="141"/>
        <v>0</v>
      </c>
      <c r="J1550" s="14">
        <f t="shared" si="138"/>
        <v>0</v>
      </c>
      <c r="K1550" s="14">
        <f t="shared" si="139"/>
        <v>0</v>
      </c>
      <c r="L1550" s="14">
        <f t="shared" si="140"/>
        <v>0</v>
      </c>
    </row>
    <row r="1551" spans="1:12" ht="15">
      <c r="A1551" s="3">
        <v>2450</v>
      </c>
      <c r="B1551" s="31">
        <v>159</v>
      </c>
      <c r="C1551" s="7" t="s">
        <v>158</v>
      </c>
      <c r="D1551" s="4" t="s">
        <v>77</v>
      </c>
      <c r="E1551" s="6" t="s">
        <v>144</v>
      </c>
      <c r="F1551" s="12">
        <f>INDEX('PEDIDO JULIO'!A33:AE44,1,31)</f>
        <v>0</v>
      </c>
      <c r="G1551" s="8">
        <f>IFERROR(VLOOKUP($B1551,'[1]INSUMO POR SEDES MARZO PRUEBA'!$B$6:$CD$109,77,0),"NO BD")</f>
        <v>6716.8359</v>
      </c>
      <c r="H1551" s="8"/>
      <c r="I1551" s="8">
        <f t="shared" si="141"/>
        <v>0</v>
      </c>
      <c r="J1551" s="14">
        <f t="shared" si="138"/>
        <v>0</v>
      </c>
      <c r="K1551" s="14">
        <f t="shared" si="139"/>
        <v>0</v>
      </c>
      <c r="L1551" s="14">
        <f t="shared" si="140"/>
        <v>0</v>
      </c>
    </row>
    <row r="1552" spans="1:12" ht="15">
      <c r="A1552" s="3">
        <v>2451</v>
      </c>
      <c r="B1552" s="26">
        <v>160</v>
      </c>
      <c r="C1552" s="7" t="s">
        <v>158</v>
      </c>
      <c r="D1552" s="4" t="s">
        <v>78</v>
      </c>
      <c r="E1552" s="6" t="s">
        <v>144</v>
      </c>
      <c r="F1552" s="12">
        <f>INDEX('PEDIDO JULIO'!A33:AE44,1,31)</f>
        <v>0</v>
      </c>
      <c r="G1552" s="8">
        <f>IFERROR(VLOOKUP($B1552,'[1]INSUMO POR SEDES MARZO PRUEBA'!$B$6:$CD$109,77,0),"NO BD")</f>
        <v>3035.3931000000002</v>
      </c>
      <c r="H1552" s="8"/>
      <c r="I1552" s="8">
        <f t="shared" si="141"/>
        <v>0</v>
      </c>
      <c r="J1552" s="14">
        <f t="shared" si="138"/>
        <v>0</v>
      </c>
      <c r="K1552" s="14">
        <f t="shared" si="139"/>
        <v>0</v>
      </c>
      <c r="L1552" s="14">
        <f t="shared" si="140"/>
        <v>0</v>
      </c>
    </row>
    <row r="1553" spans="1:12" ht="15">
      <c r="A1553" s="3">
        <v>2452</v>
      </c>
      <c r="B1553" s="26">
        <v>162</v>
      </c>
      <c r="C1553" s="7" t="s">
        <v>158</v>
      </c>
      <c r="D1553" s="4" t="s">
        <v>79</v>
      </c>
      <c r="E1553" s="6" t="s">
        <v>144</v>
      </c>
      <c r="F1553" s="12">
        <f>INDEX('PEDIDO JULIO'!A33:AE44,1,31)</f>
        <v>0</v>
      </c>
      <c r="G1553" s="8">
        <f>IFERROR(VLOOKUP($B1553,'[1]INSUMO POR SEDES MARZO PRUEBA'!$B$6:$CD$109,77,0),"NO BD")</f>
        <v>2684.2539999999999</v>
      </c>
      <c r="H1553" s="8"/>
      <c r="I1553" s="8">
        <f t="shared" si="141"/>
        <v>0</v>
      </c>
      <c r="J1553" s="14">
        <f t="shared" si="138"/>
        <v>0</v>
      </c>
      <c r="K1553" s="14">
        <f t="shared" si="139"/>
        <v>0</v>
      </c>
      <c r="L1553" s="14">
        <f t="shared" si="140"/>
        <v>0</v>
      </c>
    </row>
    <row r="1554" spans="1:12" ht="15">
      <c r="A1554" s="3">
        <v>2453</v>
      </c>
      <c r="B1554" s="26">
        <v>164</v>
      </c>
      <c r="C1554" s="7" t="s">
        <v>158</v>
      </c>
      <c r="D1554" s="4" t="s">
        <v>80</v>
      </c>
      <c r="E1554" s="6" t="s">
        <v>144</v>
      </c>
      <c r="F1554" s="12">
        <f>INDEX('PEDIDO JULIO'!A33:AE44,1,31)</f>
        <v>0</v>
      </c>
      <c r="G1554" s="8">
        <f>IFERROR(VLOOKUP($B1554,'[1]INSUMO POR SEDES MARZO PRUEBA'!$B$6:$CD$109,77,0),"NO BD")</f>
        <v>0</v>
      </c>
      <c r="H1554" s="8"/>
      <c r="I1554" s="8">
        <f t="shared" si="141"/>
        <v>0</v>
      </c>
      <c r="J1554" s="14">
        <f t="shared" si="138"/>
        <v>0</v>
      </c>
      <c r="K1554" s="14">
        <f t="shared" si="139"/>
        <v>0</v>
      </c>
      <c r="L1554" s="14">
        <f t="shared" si="140"/>
        <v>0</v>
      </c>
    </row>
    <row r="1555" spans="1:12" ht="15">
      <c r="A1555" s="3">
        <v>2454</v>
      </c>
      <c r="B1555" s="26">
        <v>169</v>
      </c>
      <c r="C1555" s="7" t="s">
        <v>158</v>
      </c>
      <c r="D1555" s="4" t="s">
        <v>81</v>
      </c>
      <c r="E1555" s="6" t="s">
        <v>144</v>
      </c>
      <c r="F1555" s="12">
        <f>INDEX('PEDIDO JULIO'!A33:AE45,1,31)</f>
        <v>0</v>
      </c>
      <c r="G1555" s="8">
        <f>IFERROR(VLOOKUP($B1555,'[1]INSUMO POR SEDES MARZO PRUEBA'!$B$6:$CD$109,77,0),"NO BD")</f>
        <v>0</v>
      </c>
      <c r="H1555" s="8"/>
      <c r="I1555" s="8">
        <f t="shared" si="141"/>
        <v>0</v>
      </c>
      <c r="J1555" s="14">
        <f t="shared" si="138"/>
        <v>0</v>
      </c>
      <c r="K1555" s="14">
        <f t="shared" si="139"/>
        <v>0</v>
      </c>
      <c r="L1555" s="14">
        <f t="shared" si="140"/>
        <v>0</v>
      </c>
    </row>
    <row r="1556" spans="1:12" ht="15">
      <c r="A1556" s="3">
        <v>2455</v>
      </c>
      <c r="B1556" s="26">
        <v>170</v>
      </c>
      <c r="C1556" s="7" t="s">
        <v>158</v>
      </c>
      <c r="D1556" s="4" t="s">
        <v>82</v>
      </c>
      <c r="E1556" s="6" t="s">
        <v>144</v>
      </c>
      <c r="F1556" s="12">
        <f>INDEX('PEDIDO JULIO'!A33:AE46,1,31)</f>
        <v>0</v>
      </c>
      <c r="G1556" s="8">
        <f>IFERROR(VLOOKUP($B1556,'[1]INSUMO POR SEDES MARZO PRUEBA'!$B$6:$CD$109,77,0),"NO BD")</f>
        <v>19405.664000000001</v>
      </c>
      <c r="H1556" s="8"/>
      <c r="I1556" s="8">
        <f t="shared" si="141"/>
        <v>0</v>
      </c>
      <c r="J1556" s="14">
        <f t="shared" si="138"/>
        <v>0</v>
      </c>
      <c r="K1556" s="14">
        <f t="shared" si="139"/>
        <v>0</v>
      </c>
      <c r="L1556" s="14">
        <f t="shared" si="140"/>
        <v>0</v>
      </c>
    </row>
    <row r="1557" spans="1:12" ht="15">
      <c r="A1557" s="3">
        <v>2456</v>
      </c>
      <c r="B1557" s="26">
        <v>174</v>
      </c>
      <c r="C1557" s="7" t="s">
        <v>158</v>
      </c>
      <c r="D1557" s="4" t="s">
        <v>83</v>
      </c>
      <c r="E1557" s="6" t="s">
        <v>144</v>
      </c>
      <c r="F1557" s="12">
        <f>INDEX('PEDIDO JULIO'!A33:AE47,1,31)</f>
        <v>0</v>
      </c>
      <c r="G1557" s="8">
        <f>IFERROR(VLOOKUP($B1557,'[1]INSUMO POR SEDES MARZO PRUEBA'!$B$6:$CD$109,77,0),"NO BD")</f>
        <v>10050.1875</v>
      </c>
      <c r="H1557" s="8"/>
      <c r="I1557" s="8">
        <f t="shared" si="141"/>
        <v>0</v>
      </c>
      <c r="J1557" s="14">
        <f t="shared" si="138"/>
        <v>0</v>
      </c>
      <c r="K1557" s="14">
        <f t="shared" si="139"/>
        <v>0</v>
      </c>
      <c r="L1557" s="14">
        <f t="shared" si="140"/>
        <v>0</v>
      </c>
    </row>
    <row r="1558" spans="1:12" ht="15">
      <c r="A1558" s="3">
        <v>2457</v>
      </c>
      <c r="B1558" s="26">
        <v>192</v>
      </c>
      <c r="C1558" s="7" t="s">
        <v>158</v>
      </c>
      <c r="D1558" s="4" t="s">
        <v>84</v>
      </c>
      <c r="E1558" s="6" t="s">
        <v>144</v>
      </c>
      <c r="F1558" s="12">
        <f>INDEX('PEDIDO JULIO'!A33:AE47,1,31)</f>
        <v>0</v>
      </c>
      <c r="G1558" s="8">
        <f>IFERROR(VLOOKUP($B1558,'[1]INSUMO POR SEDES MARZO PRUEBA'!$B$6:$CD$109,77,0),"NO BD")</f>
        <v>6866.2880999999998</v>
      </c>
      <c r="H1558" s="8"/>
      <c r="I1558" s="8">
        <f t="shared" si="141"/>
        <v>0</v>
      </c>
      <c r="J1558" s="14">
        <f t="shared" si="138"/>
        <v>0</v>
      </c>
      <c r="K1558" s="14">
        <f t="shared" si="139"/>
        <v>0</v>
      </c>
      <c r="L1558" s="14">
        <f t="shared" si="140"/>
        <v>0</v>
      </c>
    </row>
    <row r="1559" spans="1:12" ht="15">
      <c r="A1559" s="3">
        <v>2458</v>
      </c>
      <c r="B1559" s="26">
        <v>195</v>
      </c>
      <c r="C1559" s="7" t="s">
        <v>158</v>
      </c>
      <c r="D1559" s="4" t="s">
        <v>85</v>
      </c>
      <c r="E1559" s="6" t="s">
        <v>144</v>
      </c>
      <c r="F1559" s="12">
        <f>INDEX('PEDIDO JULIO'!A33:AE47,1,31)</f>
        <v>0</v>
      </c>
      <c r="G1559" s="8">
        <f>IFERROR(VLOOKUP($B1559,'[1]INSUMO POR SEDES MARZO PRUEBA'!$B$6:$CD$109,77,0),"NO BD")</f>
        <v>6431.0690000000004</v>
      </c>
      <c r="H1559" s="8"/>
      <c r="I1559" s="8">
        <f t="shared" si="141"/>
        <v>0</v>
      </c>
      <c r="J1559" s="14">
        <f t="shared" si="138"/>
        <v>0</v>
      </c>
      <c r="K1559" s="14">
        <f t="shared" si="139"/>
        <v>0</v>
      </c>
      <c r="L1559" s="14">
        <f t="shared" si="140"/>
        <v>0</v>
      </c>
    </row>
    <row r="1560" spans="1:12" ht="15">
      <c r="A1560" s="3">
        <v>2459</v>
      </c>
      <c r="B1560" s="26">
        <v>204</v>
      </c>
      <c r="C1560" s="7" t="s">
        <v>152</v>
      </c>
      <c r="D1560" s="4" t="s">
        <v>86</v>
      </c>
      <c r="E1560" s="6" t="s">
        <v>144</v>
      </c>
      <c r="F1560" s="12">
        <f>INDEX('PEDIDO JULIO'!A33:AE47,1,31)</f>
        <v>0</v>
      </c>
      <c r="G1560" s="8">
        <f>IFERROR(VLOOKUP($B1560,'[1]INSUMO POR SEDES MARZO PRUEBA'!$B$6:$CD$109,77,0),"NO BD")</f>
        <v>14760.243999999999</v>
      </c>
      <c r="H1560" s="8"/>
      <c r="I1560" s="8">
        <f t="shared" si="141"/>
        <v>0</v>
      </c>
      <c r="J1560" s="14">
        <f t="shared" si="138"/>
        <v>0</v>
      </c>
      <c r="K1560" s="14">
        <f t="shared" si="139"/>
        <v>0</v>
      </c>
      <c r="L1560" s="14">
        <f t="shared" si="140"/>
        <v>0</v>
      </c>
    </row>
    <row r="1561" spans="1:12" ht="15">
      <c r="A1561" s="3">
        <v>2460</v>
      </c>
      <c r="B1561" s="26">
        <v>205</v>
      </c>
      <c r="C1561" s="7" t="s">
        <v>87</v>
      </c>
      <c r="D1561" s="4" t="s">
        <v>88</v>
      </c>
      <c r="E1561" s="6" t="s">
        <v>144</v>
      </c>
      <c r="F1561" s="12">
        <f>INDEX('PEDIDO JULIO'!A33:AE47,1,31)</f>
        <v>0</v>
      </c>
      <c r="G1561" s="8">
        <f>IFERROR(VLOOKUP($B1561,'[1]INSUMO POR SEDES MARZO PRUEBA'!$B$6:$CD$109,77,0),"NO BD")</f>
        <v>32639.225399999996</v>
      </c>
      <c r="H1561" s="8"/>
      <c r="I1561" s="8">
        <f t="shared" si="141"/>
        <v>0</v>
      </c>
      <c r="J1561" s="14">
        <f t="shared" si="138"/>
        <v>0</v>
      </c>
      <c r="K1561" s="14">
        <f t="shared" si="139"/>
        <v>0</v>
      </c>
      <c r="L1561" s="14">
        <f t="shared" si="140"/>
        <v>0</v>
      </c>
    </row>
    <row r="1562" spans="1:12" ht="15">
      <c r="A1562" s="3">
        <v>2461</v>
      </c>
      <c r="B1562" s="26">
        <v>207</v>
      </c>
      <c r="C1562" s="7" t="s">
        <v>87</v>
      </c>
      <c r="D1562" s="4" t="s">
        <v>89</v>
      </c>
      <c r="E1562" s="6" t="s">
        <v>144</v>
      </c>
      <c r="F1562" s="12">
        <f>INDEX('PEDIDO JULIO'!A33:AE47,1,31)</f>
        <v>0</v>
      </c>
      <c r="G1562" s="8">
        <f>IFERROR(VLOOKUP($B1562,'[1]INSUMO POR SEDES MARZO PRUEBA'!$B$6:$CD$109,77,0),"NO BD")</f>
        <v>0</v>
      </c>
      <c r="H1562" s="8"/>
      <c r="I1562" s="8">
        <f t="shared" si="141"/>
        <v>0</v>
      </c>
      <c r="J1562" s="14">
        <f t="shared" si="138"/>
        <v>0</v>
      </c>
      <c r="K1562" s="14">
        <f t="shared" si="139"/>
        <v>0</v>
      </c>
      <c r="L1562" s="14">
        <f t="shared" si="140"/>
        <v>0</v>
      </c>
    </row>
    <row r="1563" spans="1:12" ht="15">
      <c r="A1563" s="3">
        <v>2462</v>
      </c>
      <c r="B1563" s="26">
        <v>212</v>
      </c>
      <c r="C1563" s="7" t="s">
        <v>90</v>
      </c>
      <c r="D1563" s="4" t="s">
        <v>91</v>
      </c>
      <c r="E1563" s="6" t="s">
        <v>144</v>
      </c>
      <c r="F1563" s="12">
        <f>INDEX('PEDIDO JULIO'!A33:AE47,1,31)</f>
        <v>0</v>
      </c>
      <c r="G1563" s="8">
        <f>IFERROR(VLOOKUP($B1563,'[1]INSUMO POR SEDES MARZO PRUEBA'!$B$6:$CD$109,77,0),"NO BD")</f>
        <v>0</v>
      </c>
      <c r="H1563" s="8"/>
      <c r="I1563" s="8">
        <f t="shared" si="141"/>
        <v>0</v>
      </c>
      <c r="J1563" s="14">
        <f t="shared" si="138"/>
        <v>0</v>
      </c>
      <c r="K1563" s="14">
        <f t="shared" si="139"/>
        <v>0</v>
      </c>
      <c r="L1563" s="14">
        <f t="shared" si="140"/>
        <v>0</v>
      </c>
    </row>
    <row r="1564" spans="1:12" ht="15">
      <c r="A1564" s="3">
        <v>2463</v>
      </c>
      <c r="B1564" s="26">
        <v>218</v>
      </c>
      <c r="C1564" s="7" t="s">
        <v>90</v>
      </c>
      <c r="D1564" s="4" t="s">
        <v>92</v>
      </c>
      <c r="E1564" s="6" t="s">
        <v>144</v>
      </c>
      <c r="F1564" s="12">
        <f>INDEX('PEDIDO JULIO'!A33:AE47,1,31)</f>
        <v>0</v>
      </c>
      <c r="G1564" s="8">
        <f>IFERROR(VLOOKUP($B1564,'[1]INSUMO POR SEDES MARZO PRUEBA'!$B$6:$CD$109,77,0),"NO BD")</f>
        <v>2587.0365000000002</v>
      </c>
      <c r="H1564" s="8"/>
      <c r="I1564" s="8">
        <f t="shared" si="141"/>
        <v>0</v>
      </c>
      <c r="J1564" s="14">
        <f t="shared" si="138"/>
        <v>0</v>
      </c>
      <c r="K1564" s="14">
        <f t="shared" si="139"/>
        <v>0</v>
      </c>
      <c r="L1564" s="14">
        <f t="shared" si="140"/>
        <v>0</v>
      </c>
    </row>
    <row r="1565" spans="1:12" ht="15">
      <c r="A1565" s="3">
        <v>2464</v>
      </c>
      <c r="B1565" s="26">
        <v>251</v>
      </c>
      <c r="C1565" s="7" t="s">
        <v>93</v>
      </c>
      <c r="D1565" s="4" t="s">
        <v>94</v>
      </c>
      <c r="E1565" s="6" t="s">
        <v>144</v>
      </c>
      <c r="F1565" s="12">
        <f>INDEX('PEDIDO JULIO'!A33:AE47,1,31)</f>
        <v>0</v>
      </c>
      <c r="G1565" s="8">
        <f>IFERROR(VLOOKUP($B1565,'[1]INSUMO POR SEDES MARZO PRUEBA'!$B$6:$CD$109,77,0),"NO BD")</f>
        <v>0</v>
      </c>
      <c r="H1565" s="8"/>
      <c r="I1565" s="8">
        <f t="shared" si="141"/>
        <v>0</v>
      </c>
      <c r="J1565" s="14">
        <f t="shared" si="138"/>
        <v>0</v>
      </c>
      <c r="K1565" s="14">
        <f t="shared" si="139"/>
        <v>0</v>
      </c>
      <c r="L1565" s="14">
        <f t="shared" si="140"/>
        <v>0</v>
      </c>
    </row>
    <row r="1566" spans="1:12" ht="27">
      <c r="A1566" s="3">
        <v>2510</v>
      </c>
      <c r="B1566" s="26">
        <v>3</v>
      </c>
      <c r="C1566" s="7" t="s">
        <v>155</v>
      </c>
      <c r="D1566" s="4" t="s">
        <v>25</v>
      </c>
      <c r="E1566" s="6" t="s">
        <v>145</v>
      </c>
      <c r="F1566" s="12">
        <f>INDEX('PEDIDO JULIO'!A10:AF32,1,32)</f>
        <v>0</v>
      </c>
      <c r="G1566" s="8">
        <f>IFERROR(VLOOKUP($B1566,'[1]INSUMO POR SEDES MARZO PRUEBA'!$B$6:$CD$109,80,0),"NO BD")</f>
        <v>7268.7160000000003</v>
      </c>
      <c r="H1566" s="8"/>
      <c r="I1566" s="8">
        <f t="shared" si="141"/>
        <v>0</v>
      </c>
      <c r="J1566" s="14">
        <f t="shared" ref="J1566:J1617" si="142">+I1566*10%</f>
        <v>0</v>
      </c>
      <c r="K1566" s="14">
        <f t="shared" ref="K1566:K1617" si="143">+J1566*19%</f>
        <v>0</v>
      </c>
      <c r="L1566" s="14">
        <f t="shared" ref="L1566:L1617" si="144">SUM(I1566:K1566)</f>
        <v>0</v>
      </c>
    </row>
    <row r="1567" spans="1:12" ht="27">
      <c r="A1567" s="3">
        <v>2511</v>
      </c>
      <c r="B1567" s="26">
        <v>5</v>
      </c>
      <c r="C1567" s="7" t="s">
        <v>16</v>
      </c>
      <c r="D1567" s="4" t="s">
        <v>26</v>
      </c>
      <c r="E1567" s="6" t="s">
        <v>145</v>
      </c>
      <c r="F1567" s="12">
        <f>INDEX('PEDIDO JULIO'!A10:AF32,1,32)</f>
        <v>0</v>
      </c>
      <c r="G1567" s="8">
        <f>IFERROR(VLOOKUP($B1567,'[1]INSUMO POR SEDES MARZO PRUEBA'!$B$6:$CD$109,80,0),"NO BD")</f>
        <v>0</v>
      </c>
      <c r="H1567" s="8"/>
      <c r="I1567" s="8">
        <f t="shared" si="141"/>
        <v>0</v>
      </c>
      <c r="J1567" s="14">
        <f t="shared" si="142"/>
        <v>0</v>
      </c>
      <c r="K1567" s="14">
        <f t="shared" si="143"/>
        <v>0</v>
      </c>
      <c r="L1567" s="14">
        <f t="shared" si="144"/>
        <v>0</v>
      </c>
    </row>
    <row r="1568" spans="1:12" ht="15">
      <c r="A1568" s="3">
        <v>2512</v>
      </c>
      <c r="B1568" s="26">
        <v>8</v>
      </c>
      <c r="C1568" s="7" t="s">
        <v>27</v>
      </c>
      <c r="D1568" s="4" t="s">
        <v>28</v>
      </c>
      <c r="E1568" s="6" t="s">
        <v>145</v>
      </c>
      <c r="F1568" s="12">
        <f>INDEX('PEDIDO JULIO'!A10:AF33,1,32)</f>
        <v>0</v>
      </c>
      <c r="G1568" s="8">
        <f>IFERROR(VLOOKUP($B1568,'[1]INSUMO POR SEDES MARZO PRUEBA'!$B$6:$CD$109,80,0),"NO BD")</f>
        <v>2211.3040000000001</v>
      </c>
      <c r="H1568" s="8"/>
      <c r="I1568" s="8">
        <f t="shared" si="141"/>
        <v>0</v>
      </c>
      <c r="J1568" s="14">
        <f t="shared" si="142"/>
        <v>0</v>
      </c>
      <c r="K1568" s="14">
        <f t="shared" si="143"/>
        <v>0</v>
      </c>
      <c r="L1568" s="14">
        <f t="shared" si="144"/>
        <v>0</v>
      </c>
    </row>
    <row r="1569" spans="1:12" ht="15">
      <c r="A1569" s="3">
        <v>2513</v>
      </c>
      <c r="B1569" s="26">
        <v>9</v>
      </c>
      <c r="C1569" s="7" t="s">
        <v>13</v>
      </c>
      <c r="D1569" s="4" t="s">
        <v>29</v>
      </c>
      <c r="E1569" s="6" t="s">
        <v>145</v>
      </c>
      <c r="F1569" s="12">
        <f>INDEX('PEDIDO JULIO'!A10:AF33,1,32)</f>
        <v>0</v>
      </c>
      <c r="G1569" s="8">
        <f>IFERROR(VLOOKUP($B1569,'[1]INSUMO POR SEDES MARZO PRUEBA'!$B$6:$CD$109,80,0),"NO BD")</f>
        <v>0</v>
      </c>
      <c r="H1569" s="8"/>
      <c r="I1569" s="8">
        <f t="shared" si="141"/>
        <v>0</v>
      </c>
      <c r="J1569" s="14">
        <f t="shared" si="142"/>
        <v>0</v>
      </c>
      <c r="K1569" s="14">
        <f t="shared" si="143"/>
        <v>0</v>
      </c>
      <c r="L1569" s="14">
        <f t="shared" si="144"/>
        <v>0</v>
      </c>
    </row>
    <row r="1570" spans="1:12" ht="15">
      <c r="A1570" s="3">
        <v>2514</v>
      </c>
      <c r="B1570" s="26">
        <v>13</v>
      </c>
      <c r="C1570" s="7" t="s">
        <v>13</v>
      </c>
      <c r="D1570" s="4" t="s">
        <v>30</v>
      </c>
      <c r="E1570" s="6" t="s">
        <v>145</v>
      </c>
      <c r="F1570" s="12">
        <f>INDEX('PEDIDO JULIO'!A11:AF33,1,32)</f>
        <v>0</v>
      </c>
      <c r="G1570" s="8">
        <f>IFERROR(VLOOKUP($B1570,'[1]INSUMO POR SEDES MARZO PRUEBA'!$B$6:$CD$109,80,0),"NO BD")</f>
        <v>0</v>
      </c>
      <c r="H1570" s="8"/>
      <c r="I1570" s="8">
        <f t="shared" si="141"/>
        <v>0</v>
      </c>
      <c r="J1570" s="14">
        <f t="shared" si="142"/>
        <v>0</v>
      </c>
      <c r="K1570" s="14">
        <f t="shared" si="143"/>
        <v>0</v>
      </c>
      <c r="L1570" s="14">
        <f t="shared" si="144"/>
        <v>0</v>
      </c>
    </row>
    <row r="1571" spans="1:12" ht="15">
      <c r="A1571" s="3">
        <v>2515</v>
      </c>
      <c r="B1571" s="26">
        <v>17</v>
      </c>
      <c r="C1571" s="7" t="s">
        <v>13</v>
      </c>
      <c r="D1571" s="4" t="s">
        <v>31</v>
      </c>
      <c r="E1571" s="6" t="s">
        <v>145</v>
      </c>
      <c r="F1571" s="12">
        <f>INDEX('PEDIDO JULIO'!A12:AF33,1,32)</f>
        <v>0</v>
      </c>
      <c r="G1571" s="8">
        <f>IFERROR(VLOOKUP($B1571,'[1]INSUMO POR SEDES MARZO PRUEBA'!$B$6:$CD$109,80,0),"NO BD")</f>
        <v>0</v>
      </c>
      <c r="H1571" s="8"/>
      <c r="I1571" s="8">
        <f t="shared" si="141"/>
        <v>0</v>
      </c>
      <c r="J1571" s="14">
        <f t="shared" si="142"/>
        <v>0</v>
      </c>
      <c r="K1571" s="14">
        <f t="shared" si="143"/>
        <v>0</v>
      </c>
      <c r="L1571" s="14">
        <f t="shared" si="144"/>
        <v>0</v>
      </c>
    </row>
    <row r="1572" spans="1:12" ht="15">
      <c r="A1572" s="3">
        <v>2516</v>
      </c>
      <c r="B1572" s="31">
        <v>20</v>
      </c>
      <c r="C1572" s="7" t="s">
        <v>13</v>
      </c>
      <c r="D1572" s="4" t="s">
        <v>32</v>
      </c>
      <c r="E1572" s="6" t="s">
        <v>145</v>
      </c>
      <c r="F1572" s="12">
        <f>INDEX('PEDIDO JULIO'!A12:AF33,1,32)</f>
        <v>0</v>
      </c>
      <c r="G1572" s="8">
        <f>IFERROR(VLOOKUP($B1572,'[1]INSUMO POR SEDES MARZO PRUEBA'!$B$6:$CD$109,80,0),"NO BD")</f>
        <v>0</v>
      </c>
      <c r="H1572" s="8"/>
      <c r="I1572" s="8">
        <f t="shared" si="141"/>
        <v>0</v>
      </c>
      <c r="J1572" s="14">
        <f t="shared" si="142"/>
        <v>0</v>
      </c>
      <c r="K1572" s="14">
        <f t="shared" si="143"/>
        <v>0</v>
      </c>
      <c r="L1572" s="14">
        <f t="shared" si="144"/>
        <v>0</v>
      </c>
    </row>
    <row r="1573" spans="1:12" ht="15">
      <c r="A1573" s="3">
        <v>2517</v>
      </c>
      <c r="B1573" s="26">
        <v>21</v>
      </c>
      <c r="C1573" s="7" t="s">
        <v>33</v>
      </c>
      <c r="D1573" s="4" t="s">
        <v>34</v>
      </c>
      <c r="E1573" s="6" t="s">
        <v>145</v>
      </c>
      <c r="F1573" s="12">
        <f>INDEX('PEDIDO JULIO'!A13:AF34,1,32)</f>
        <v>0</v>
      </c>
      <c r="G1573" s="8">
        <f>IFERROR(VLOOKUP($B1573,'[1]INSUMO POR SEDES MARZO PRUEBA'!$B$6:$CD$109,80,0),"NO BD")</f>
        <v>0</v>
      </c>
      <c r="H1573" s="8"/>
      <c r="I1573" s="8">
        <f t="shared" si="141"/>
        <v>0</v>
      </c>
      <c r="J1573" s="14">
        <f t="shared" si="142"/>
        <v>0</v>
      </c>
      <c r="K1573" s="14">
        <f t="shared" si="143"/>
        <v>0</v>
      </c>
      <c r="L1573" s="14">
        <f t="shared" si="144"/>
        <v>0</v>
      </c>
    </row>
    <row r="1574" spans="1:12" ht="15">
      <c r="A1574" s="3">
        <v>2518</v>
      </c>
      <c r="B1574" s="26">
        <v>28</v>
      </c>
      <c r="C1574" s="7" t="s">
        <v>16</v>
      </c>
      <c r="D1574" s="4" t="s">
        <v>35</v>
      </c>
      <c r="E1574" s="6" t="s">
        <v>145</v>
      </c>
      <c r="F1574" s="12">
        <f>INDEX('PEDIDO JULIO'!A14:AF34,1,32)</f>
        <v>0</v>
      </c>
      <c r="G1574" s="8">
        <f>IFERROR(VLOOKUP($B1574,'[1]INSUMO POR SEDES MARZO PRUEBA'!$B$6:$CD$109,80,0),"NO BD")</f>
        <v>0</v>
      </c>
      <c r="H1574" s="8"/>
      <c r="I1574" s="8">
        <f t="shared" si="141"/>
        <v>0</v>
      </c>
      <c r="J1574" s="14">
        <f t="shared" si="142"/>
        <v>0</v>
      </c>
      <c r="K1574" s="14">
        <f t="shared" si="143"/>
        <v>0</v>
      </c>
      <c r="L1574" s="14">
        <f t="shared" si="144"/>
        <v>0</v>
      </c>
    </row>
    <row r="1575" spans="1:12" ht="15">
      <c r="A1575" s="3">
        <v>2519</v>
      </c>
      <c r="B1575" s="26">
        <v>29</v>
      </c>
      <c r="C1575" s="7" t="s">
        <v>36</v>
      </c>
      <c r="D1575" s="4" t="s">
        <v>37</v>
      </c>
      <c r="E1575" s="6" t="s">
        <v>145</v>
      </c>
      <c r="F1575" s="12">
        <f>INDEX('PEDIDO JULIO'!A15:AF34,1,32)</f>
        <v>0</v>
      </c>
      <c r="G1575" s="8">
        <f>IFERROR(VLOOKUP($B1575,'[1]INSUMO POR SEDES MARZO PRUEBA'!$B$6:$CD$109,80,0),"NO BD")</f>
        <v>4829.3450000000012</v>
      </c>
      <c r="H1575" s="8"/>
      <c r="I1575" s="8">
        <f t="shared" si="141"/>
        <v>0</v>
      </c>
      <c r="J1575" s="14">
        <f t="shared" si="142"/>
        <v>0</v>
      </c>
      <c r="K1575" s="14">
        <f t="shared" si="143"/>
        <v>0</v>
      </c>
      <c r="L1575" s="14">
        <f t="shared" si="144"/>
        <v>0</v>
      </c>
    </row>
    <row r="1576" spans="1:12" ht="15">
      <c r="A1576" s="3">
        <v>2520</v>
      </c>
      <c r="B1576" s="26">
        <v>32</v>
      </c>
      <c r="C1576" s="7" t="s">
        <v>36</v>
      </c>
      <c r="D1576" s="4" t="s">
        <v>38</v>
      </c>
      <c r="E1576" s="6" t="s">
        <v>145</v>
      </c>
      <c r="F1576" s="12">
        <f>INDEX('PEDIDO JULIO'!A16:AF34,1,32)</f>
        <v>0</v>
      </c>
      <c r="G1576" s="8">
        <f>IFERROR(VLOOKUP($B1576,'[1]INSUMO POR SEDES MARZO PRUEBA'!$B$6:$CD$109,80,0),"NO BD")</f>
        <v>4115.7160000000003</v>
      </c>
      <c r="H1576" s="8"/>
      <c r="I1576" s="8">
        <f t="shared" si="141"/>
        <v>0</v>
      </c>
      <c r="J1576" s="14">
        <f t="shared" si="142"/>
        <v>0</v>
      </c>
      <c r="K1576" s="14">
        <f t="shared" si="143"/>
        <v>0</v>
      </c>
      <c r="L1576" s="14">
        <f t="shared" si="144"/>
        <v>0</v>
      </c>
    </row>
    <row r="1577" spans="1:12" ht="15">
      <c r="A1577" s="3">
        <v>2521</v>
      </c>
      <c r="B1577" s="26">
        <v>38</v>
      </c>
      <c r="C1577" s="7" t="s">
        <v>39</v>
      </c>
      <c r="D1577" s="4" t="s">
        <v>40</v>
      </c>
      <c r="E1577" s="6" t="s">
        <v>145</v>
      </c>
      <c r="F1577" s="12">
        <f>INDEX('PEDIDO JULIO'!A17:AF34,1,32)</f>
        <v>0</v>
      </c>
      <c r="G1577" s="8">
        <f>IFERROR(VLOOKUP($B1577,'[1]INSUMO POR SEDES MARZO PRUEBA'!$B$6:$CD$109,80,0),"NO BD")</f>
        <v>0</v>
      </c>
      <c r="H1577" s="8"/>
      <c r="I1577" s="8">
        <f t="shared" si="141"/>
        <v>0</v>
      </c>
      <c r="J1577" s="14">
        <f t="shared" si="142"/>
        <v>0</v>
      </c>
      <c r="K1577" s="14">
        <f t="shared" si="143"/>
        <v>0</v>
      </c>
      <c r="L1577" s="14">
        <f t="shared" si="144"/>
        <v>0</v>
      </c>
    </row>
    <row r="1578" spans="1:12" ht="15">
      <c r="A1578" s="3">
        <v>2522</v>
      </c>
      <c r="B1578" s="26">
        <v>44</v>
      </c>
      <c r="C1578" s="7" t="s">
        <v>39</v>
      </c>
      <c r="D1578" s="4" t="s">
        <v>41</v>
      </c>
      <c r="E1578" s="6" t="s">
        <v>145</v>
      </c>
      <c r="F1578" s="12">
        <f>INDEX('PEDIDO JULIO'!A17:AF34,1,32)</f>
        <v>0</v>
      </c>
      <c r="G1578" s="8">
        <f>IFERROR(VLOOKUP($B1578,'[1]INSUMO POR SEDES MARZO PRUEBA'!$B$6:$CD$109,80,0),"NO BD")</f>
        <v>0</v>
      </c>
      <c r="H1578" s="8"/>
      <c r="I1578" s="8">
        <f t="shared" si="141"/>
        <v>0</v>
      </c>
      <c r="J1578" s="14">
        <f t="shared" si="142"/>
        <v>0</v>
      </c>
      <c r="K1578" s="14">
        <f t="shared" si="143"/>
        <v>0</v>
      </c>
      <c r="L1578" s="14">
        <f t="shared" si="144"/>
        <v>0</v>
      </c>
    </row>
    <row r="1579" spans="1:12" ht="15">
      <c r="A1579" s="3">
        <v>2523</v>
      </c>
      <c r="B1579" s="26">
        <v>50</v>
      </c>
      <c r="C1579" s="7" t="s">
        <v>151</v>
      </c>
      <c r="D1579" s="4" t="s">
        <v>42</v>
      </c>
      <c r="E1579" s="6" t="s">
        <v>145</v>
      </c>
      <c r="F1579" s="12">
        <f>INDEX('PEDIDO JULIO'!A18:AF35,1,32)</f>
        <v>0</v>
      </c>
      <c r="G1579" s="8">
        <f>IFERROR(VLOOKUP($B1579,'[1]INSUMO POR SEDES MARZO PRUEBA'!$B$6:$CD$109,80,0),"NO BD")</f>
        <v>0</v>
      </c>
      <c r="H1579" s="8"/>
      <c r="I1579" s="8">
        <f t="shared" si="141"/>
        <v>0</v>
      </c>
      <c r="J1579" s="14">
        <f t="shared" si="142"/>
        <v>0</v>
      </c>
      <c r="K1579" s="14">
        <f t="shared" si="143"/>
        <v>0</v>
      </c>
      <c r="L1579" s="14">
        <f t="shared" si="144"/>
        <v>0</v>
      </c>
    </row>
    <row r="1580" spans="1:12" ht="15">
      <c r="A1580" s="3">
        <v>2524</v>
      </c>
      <c r="B1580" s="26">
        <v>52</v>
      </c>
      <c r="C1580" s="7" t="s">
        <v>151</v>
      </c>
      <c r="D1580" s="4" t="s">
        <v>43</v>
      </c>
      <c r="E1580" s="6" t="s">
        <v>145</v>
      </c>
      <c r="F1580" s="12">
        <f>INDEX('PEDIDO JULIO'!A18:AF35,1,32)</f>
        <v>0</v>
      </c>
      <c r="G1580" s="8">
        <f>IFERROR(VLOOKUP($B1580,'[1]INSUMO POR SEDES MARZO PRUEBA'!$B$6:$CD$109,80,0),"NO BD")</f>
        <v>0</v>
      </c>
      <c r="H1580" s="8"/>
      <c r="I1580" s="8">
        <f t="shared" si="141"/>
        <v>0</v>
      </c>
      <c r="J1580" s="14">
        <f t="shared" si="142"/>
        <v>0</v>
      </c>
      <c r="K1580" s="14">
        <f t="shared" si="143"/>
        <v>0</v>
      </c>
      <c r="L1580" s="14">
        <f t="shared" si="144"/>
        <v>0</v>
      </c>
    </row>
    <row r="1581" spans="1:12" ht="15">
      <c r="A1581" s="3">
        <v>2525</v>
      </c>
      <c r="B1581" s="26">
        <v>57</v>
      </c>
      <c r="C1581" s="7" t="s">
        <v>151</v>
      </c>
      <c r="D1581" s="4" t="s">
        <v>44</v>
      </c>
      <c r="E1581" s="6" t="s">
        <v>145</v>
      </c>
      <c r="F1581" s="12">
        <f>INDEX('PEDIDO JULIO'!A18:AF35,1,32)</f>
        <v>0</v>
      </c>
      <c r="G1581" s="8">
        <f>IFERROR(VLOOKUP($B1581,'[1]INSUMO POR SEDES MARZO PRUEBA'!$B$6:$CD$109,80,0),"NO BD")</f>
        <v>27464.2065</v>
      </c>
      <c r="H1581" s="8"/>
      <c r="I1581" s="8">
        <f t="shared" si="141"/>
        <v>0</v>
      </c>
      <c r="J1581" s="14">
        <f t="shared" si="142"/>
        <v>0</v>
      </c>
      <c r="K1581" s="14">
        <f t="shared" si="143"/>
        <v>0</v>
      </c>
      <c r="L1581" s="14">
        <f t="shared" si="144"/>
        <v>0</v>
      </c>
    </row>
    <row r="1582" spans="1:12" ht="40.5">
      <c r="A1582" s="3">
        <v>2526</v>
      </c>
      <c r="B1582" s="26">
        <v>59</v>
      </c>
      <c r="C1582" s="7" t="s">
        <v>151</v>
      </c>
      <c r="D1582" s="4" t="s">
        <v>45</v>
      </c>
      <c r="E1582" s="6" t="s">
        <v>145</v>
      </c>
      <c r="F1582" s="12">
        <f>INDEX('PEDIDO JULIO'!A19:AF35,1,32)</f>
        <v>0</v>
      </c>
      <c r="G1582" s="8">
        <f>IFERROR(VLOOKUP($B1582,'[1]INSUMO POR SEDES MARZO PRUEBA'!$B$6:$CD$109,80,0),"NO BD")</f>
        <v>0</v>
      </c>
      <c r="H1582" s="8"/>
      <c r="I1582" s="8">
        <f t="shared" si="141"/>
        <v>0</v>
      </c>
      <c r="J1582" s="14">
        <f t="shared" si="142"/>
        <v>0</v>
      </c>
      <c r="K1582" s="14">
        <f t="shared" si="143"/>
        <v>0</v>
      </c>
      <c r="L1582" s="14">
        <f t="shared" si="144"/>
        <v>0</v>
      </c>
    </row>
    <row r="1583" spans="1:12" ht="27">
      <c r="A1583" s="3">
        <v>2527</v>
      </c>
      <c r="B1583" s="26">
        <v>62</v>
      </c>
      <c r="C1583" s="7" t="s">
        <v>46</v>
      </c>
      <c r="D1583" s="4" t="s">
        <v>47</v>
      </c>
      <c r="E1583" s="6" t="s">
        <v>145</v>
      </c>
      <c r="F1583" s="12">
        <f>INDEX('PEDIDO JULIO'!A19:AF35,1,32)</f>
        <v>0</v>
      </c>
      <c r="G1583" s="8">
        <f>IFERROR(VLOOKUP($B1583,'[1]INSUMO POR SEDES MARZO PRUEBA'!$B$6:$CD$109,80,0),"NO BD")</f>
        <v>10100.3202</v>
      </c>
      <c r="H1583" s="8"/>
      <c r="I1583" s="8">
        <f t="shared" si="141"/>
        <v>0</v>
      </c>
      <c r="J1583" s="14">
        <f t="shared" si="142"/>
        <v>0</v>
      </c>
      <c r="K1583" s="14">
        <f t="shared" si="143"/>
        <v>0</v>
      </c>
      <c r="L1583" s="14">
        <f t="shared" si="144"/>
        <v>0</v>
      </c>
    </row>
    <row r="1584" spans="1:12" ht="15">
      <c r="A1584" s="3">
        <v>2528</v>
      </c>
      <c r="B1584" s="26">
        <v>63</v>
      </c>
      <c r="C1584" s="7" t="s">
        <v>159</v>
      </c>
      <c r="D1584" s="4" t="s">
        <v>48</v>
      </c>
      <c r="E1584" s="6" t="s">
        <v>145</v>
      </c>
      <c r="F1584" s="12">
        <f>INDEX('PEDIDO JULIO'!A20:AF35,1,32)</f>
        <v>0</v>
      </c>
      <c r="G1584" s="8">
        <f>IFERROR(VLOOKUP($B1584,'[1]INSUMO POR SEDES MARZO PRUEBA'!$B$6:$CD$109,80,0),"NO BD")</f>
        <v>11443.4982</v>
      </c>
      <c r="H1584" s="8"/>
      <c r="I1584" s="8">
        <f t="shared" si="141"/>
        <v>0</v>
      </c>
      <c r="J1584" s="14">
        <f t="shared" si="142"/>
        <v>0</v>
      </c>
      <c r="K1584" s="14">
        <f t="shared" si="143"/>
        <v>0</v>
      </c>
      <c r="L1584" s="14">
        <f t="shared" si="144"/>
        <v>0</v>
      </c>
    </row>
    <row r="1585" spans="1:12" ht="15">
      <c r="A1585" s="3">
        <v>2529</v>
      </c>
      <c r="B1585" s="26">
        <v>64</v>
      </c>
      <c r="C1585" s="7" t="s">
        <v>159</v>
      </c>
      <c r="D1585" s="4" t="s">
        <v>49</v>
      </c>
      <c r="E1585" s="6" t="s">
        <v>145</v>
      </c>
      <c r="F1585" s="12">
        <f>INDEX('PEDIDO JULIO'!A20:AF35,1,32)</f>
        <v>0</v>
      </c>
      <c r="G1585" s="8">
        <f>IFERROR(VLOOKUP($B1585,'[1]INSUMO POR SEDES MARZO PRUEBA'!$B$6:$CD$109,80,0),"NO BD")</f>
        <v>0</v>
      </c>
      <c r="H1585" s="8"/>
      <c r="I1585" s="8">
        <f t="shared" si="141"/>
        <v>0</v>
      </c>
      <c r="J1585" s="14">
        <f t="shared" si="142"/>
        <v>0</v>
      </c>
      <c r="K1585" s="14">
        <f t="shared" si="143"/>
        <v>0</v>
      </c>
      <c r="L1585" s="14">
        <f t="shared" si="144"/>
        <v>0</v>
      </c>
    </row>
    <row r="1586" spans="1:12" ht="15">
      <c r="A1586" s="3">
        <v>2530</v>
      </c>
      <c r="B1586" s="26">
        <v>65</v>
      </c>
      <c r="C1586" s="7" t="s">
        <v>159</v>
      </c>
      <c r="D1586" s="4" t="s">
        <v>50</v>
      </c>
      <c r="E1586" s="6" t="s">
        <v>145</v>
      </c>
      <c r="F1586" s="12">
        <f>INDEX('PEDIDO JULIO'!A21:AF35,1,32)</f>
        <v>0</v>
      </c>
      <c r="G1586" s="8">
        <f>IFERROR(VLOOKUP($B1586,'[1]INSUMO POR SEDES MARZO PRUEBA'!$B$6:$CD$109,80,0),"NO BD")</f>
        <v>21295.046699999999</v>
      </c>
      <c r="H1586" s="8"/>
      <c r="I1586" s="8">
        <f t="shared" si="141"/>
        <v>0</v>
      </c>
      <c r="J1586" s="14">
        <f t="shared" si="142"/>
        <v>0</v>
      </c>
      <c r="K1586" s="14">
        <f t="shared" si="143"/>
        <v>0</v>
      </c>
      <c r="L1586" s="14">
        <f t="shared" si="144"/>
        <v>0</v>
      </c>
    </row>
    <row r="1587" spans="1:12" ht="15">
      <c r="A1587" s="3">
        <v>2531</v>
      </c>
      <c r="B1587" s="26">
        <v>66</v>
      </c>
      <c r="C1587" s="7" t="s">
        <v>159</v>
      </c>
      <c r="D1587" s="4" t="s">
        <v>51</v>
      </c>
      <c r="E1587" s="6" t="s">
        <v>145</v>
      </c>
      <c r="F1587" s="12">
        <f>INDEX('PEDIDO JULIO'!A22:AF35,1,32)</f>
        <v>0</v>
      </c>
      <c r="G1587" s="8">
        <f>IFERROR(VLOOKUP($B1587,'[1]INSUMO POR SEDES MARZO PRUEBA'!$B$6:$CD$109,80,0),"NO BD")</f>
        <v>4178.9862000000003</v>
      </c>
      <c r="H1587" s="8"/>
      <c r="I1587" s="8">
        <f t="shared" si="141"/>
        <v>0</v>
      </c>
      <c r="J1587" s="14">
        <f t="shared" si="142"/>
        <v>0</v>
      </c>
      <c r="K1587" s="14">
        <f t="shared" si="143"/>
        <v>0</v>
      </c>
      <c r="L1587" s="14">
        <f t="shared" si="144"/>
        <v>0</v>
      </c>
    </row>
    <row r="1588" spans="1:12" ht="15">
      <c r="A1588" s="3">
        <v>2532</v>
      </c>
      <c r="B1588" s="26">
        <v>71</v>
      </c>
      <c r="C1588" s="7" t="s">
        <v>159</v>
      </c>
      <c r="D1588" s="4" t="s">
        <v>52</v>
      </c>
      <c r="E1588" s="6" t="s">
        <v>145</v>
      </c>
      <c r="F1588" s="12">
        <f>INDEX('PEDIDO JULIO'!A23:AF36,1,32)</f>
        <v>2</v>
      </c>
      <c r="G1588" s="8">
        <f>IFERROR(VLOOKUP($B1588,'[1]INSUMO POR SEDES MARZO PRUEBA'!$B$6:$CD$109,80,0),"NO BD")</f>
        <v>7960.6944000000003</v>
      </c>
      <c r="H1588" s="8"/>
      <c r="I1588" s="8">
        <f t="shared" si="141"/>
        <v>15921.388800000001</v>
      </c>
      <c r="J1588" s="14">
        <f t="shared" si="142"/>
        <v>1592.1388800000002</v>
      </c>
      <c r="K1588" s="14">
        <f t="shared" si="143"/>
        <v>302.50638720000006</v>
      </c>
      <c r="L1588" s="14">
        <f t="shared" si="144"/>
        <v>17816.034067199998</v>
      </c>
    </row>
    <row r="1589" spans="1:12" ht="15">
      <c r="A1589" s="3">
        <v>2533</v>
      </c>
      <c r="B1589" s="26">
        <v>72</v>
      </c>
      <c r="C1589" s="7" t="s">
        <v>53</v>
      </c>
      <c r="D1589" s="4" t="s">
        <v>54</v>
      </c>
      <c r="E1589" s="6" t="s">
        <v>145</v>
      </c>
      <c r="F1589" s="12">
        <f>INDEX('PEDIDO JULIO'!A23:AF37,1,32)</f>
        <v>2</v>
      </c>
      <c r="G1589" s="8">
        <f>IFERROR(VLOOKUP($B1589,'[1]INSUMO POR SEDES MARZO PRUEBA'!$B$6:$CD$109,80,0),"NO BD")</f>
        <v>7861.3749000000007</v>
      </c>
      <c r="H1589" s="8"/>
      <c r="I1589" s="8">
        <f t="shared" si="141"/>
        <v>15722.749800000001</v>
      </c>
      <c r="J1589" s="14">
        <f t="shared" si="142"/>
        <v>1572.2749800000001</v>
      </c>
      <c r="K1589" s="14">
        <f t="shared" si="143"/>
        <v>298.73224620000002</v>
      </c>
      <c r="L1589" s="14">
        <f t="shared" si="144"/>
        <v>17593.757026200001</v>
      </c>
    </row>
    <row r="1590" spans="1:12" ht="15">
      <c r="A1590" s="3">
        <v>2534</v>
      </c>
      <c r="B1590" s="26">
        <v>73</v>
      </c>
      <c r="C1590" s="7" t="s">
        <v>53</v>
      </c>
      <c r="D1590" s="4" t="s">
        <v>55</v>
      </c>
      <c r="E1590" s="6" t="s">
        <v>145</v>
      </c>
      <c r="F1590" s="12">
        <f>INDEX('PEDIDO JULIO'!A24:AF37,1,32)</f>
        <v>5</v>
      </c>
      <c r="G1590" s="8">
        <f>IFERROR(VLOOKUP($B1590,'[1]INSUMO POR SEDES MARZO PRUEBA'!$B$6:$CD$109,80,0),"NO BD")</f>
        <v>21493.685699999998</v>
      </c>
      <c r="H1590" s="8"/>
      <c r="I1590" s="8">
        <f t="shared" si="141"/>
        <v>107468.42849999999</v>
      </c>
      <c r="J1590" s="14">
        <f t="shared" si="142"/>
        <v>10746.842850000001</v>
      </c>
      <c r="K1590" s="14">
        <f t="shared" si="143"/>
        <v>2041.9001415000002</v>
      </c>
      <c r="L1590" s="14">
        <f t="shared" si="144"/>
        <v>120257.17149149999</v>
      </c>
    </row>
    <row r="1591" spans="1:12" ht="15">
      <c r="A1591" s="3">
        <v>2535</v>
      </c>
      <c r="B1591" s="26">
        <v>74</v>
      </c>
      <c r="C1591" s="7" t="s">
        <v>53</v>
      </c>
      <c r="D1591" s="4" t="s">
        <v>56</v>
      </c>
      <c r="E1591" s="6" t="s">
        <v>145</v>
      </c>
      <c r="F1591" s="12">
        <f>INDEX('PEDIDO JULIO'!A25:AF37,1,32)</f>
        <v>0</v>
      </c>
      <c r="G1591" s="8">
        <f>IFERROR(VLOOKUP($B1591,'[1]INSUMO POR SEDES MARZO PRUEBA'!$B$6:$CD$109,80,0),"NO BD")</f>
        <v>6915.4749000000002</v>
      </c>
      <c r="H1591" s="8"/>
      <c r="I1591" s="8">
        <f t="shared" si="141"/>
        <v>0</v>
      </c>
      <c r="J1591" s="14">
        <f t="shared" si="142"/>
        <v>0</v>
      </c>
      <c r="K1591" s="14">
        <f t="shared" si="143"/>
        <v>0</v>
      </c>
      <c r="L1591" s="14">
        <f t="shared" si="144"/>
        <v>0</v>
      </c>
    </row>
    <row r="1592" spans="1:12" ht="15">
      <c r="A1592" s="3">
        <v>2536</v>
      </c>
      <c r="B1592" s="26">
        <v>79</v>
      </c>
      <c r="C1592" s="7" t="s">
        <v>53</v>
      </c>
      <c r="D1592" s="4" t="s">
        <v>57</v>
      </c>
      <c r="E1592" s="6" t="s">
        <v>145</v>
      </c>
      <c r="F1592" s="12">
        <f>INDEX('PEDIDO JULIO'!A26:AF37,1,32)</f>
        <v>0</v>
      </c>
      <c r="G1592" s="8">
        <f>IFERROR(VLOOKUP($B1592,'[1]INSUMO POR SEDES MARZO PRUEBA'!$B$6:$CD$109,80,0),"NO BD")</f>
        <v>935.49510000000009</v>
      </c>
      <c r="H1592" s="8"/>
      <c r="I1592" s="8">
        <f t="shared" si="141"/>
        <v>0</v>
      </c>
      <c r="J1592" s="14">
        <f t="shared" si="142"/>
        <v>0</v>
      </c>
      <c r="K1592" s="14">
        <f t="shared" si="143"/>
        <v>0</v>
      </c>
      <c r="L1592" s="14">
        <f t="shared" si="144"/>
        <v>0</v>
      </c>
    </row>
    <row r="1593" spans="1:12" ht="27">
      <c r="A1593" s="3">
        <v>2537</v>
      </c>
      <c r="B1593" s="26">
        <v>80</v>
      </c>
      <c r="C1593" s="7" t="s">
        <v>160</v>
      </c>
      <c r="D1593" s="4" t="s">
        <v>58</v>
      </c>
      <c r="E1593" s="6" t="s">
        <v>145</v>
      </c>
      <c r="F1593" s="12">
        <f>INDEX('PEDIDO JULIO'!A27:AF37,1,32)</f>
        <v>0</v>
      </c>
      <c r="G1593" s="8">
        <f>IFERROR(VLOOKUP($B1593,'[1]INSUMO POR SEDES MARZO PRUEBA'!$B$6:$CD$109,80,0),"NO BD")</f>
        <v>607.26779999999997</v>
      </c>
      <c r="H1593" s="8"/>
      <c r="I1593" s="8">
        <f t="shared" si="141"/>
        <v>0</v>
      </c>
      <c r="J1593" s="14">
        <f t="shared" si="142"/>
        <v>0</v>
      </c>
      <c r="K1593" s="14">
        <f t="shared" si="143"/>
        <v>0</v>
      </c>
      <c r="L1593" s="14">
        <f t="shared" si="144"/>
        <v>0</v>
      </c>
    </row>
    <row r="1594" spans="1:12" ht="15">
      <c r="A1594" s="3">
        <v>2538</v>
      </c>
      <c r="B1594" s="26">
        <v>81</v>
      </c>
      <c r="C1594" s="7" t="s">
        <v>160</v>
      </c>
      <c r="D1594" s="4" t="s">
        <v>59</v>
      </c>
      <c r="E1594" s="6" t="s">
        <v>145</v>
      </c>
      <c r="F1594" s="12">
        <f>INDEX('PEDIDO JULIO'!A28:AF37,1,32)</f>
        <v>0</v>
      </c>
      <c r="G1594" s="8">
        <f>IFERROR(VLOOKUP($B1594,'[1]INSUMO POR SEDES MARZO PRUEBA'!$B$6:$CD$109,80,0),"NO BD")</f>
        <v>387.81900000000002</v>
      </c>
      <c r="H1594" s="8"/>
      <c r="I1594" s="8">
        <f t="shared" si="141"/>
        <v>0</v>
      </c>
      <c r="J1594" s="14">
        <f t="shared" si="142"/>
        <v>0</v>
      </c>
      <c r="K1594" s="14">
        <f t="shared" si="143"/>
        <v>0</v>
      </c>
      <c r="L1594" s="14">
        <f t="shared" si="144"/>
        <v>0</v>
      </c>
    </row>
    <row r="1595" spans="1:12" ht="15">
      <c r="A1595" s="3">
        <v>2539</v>
      </c>
      <c r="B1595" s="26">
        <v>82</v>
      </c>
      <c r="C1595" s="7" t="s">
        <v>60</v>
      </c>
      <c r="D1595" s="4" t="s">
        <v>61</v>
      </c>
      <c r="E1595" s="6" t="s">
        <v>145</v>
      </c>
      <c r="F1595" s="12">
        <f>INDEX('PEDIDO JULIO'!A28:AF37,1,32)</f>
        <v>0</v>
      </c>
      <c r="G1595" s="8">
        <f>IFERROR(VLOOKUP($B1595,'[1]INSUMO POR SEDES MARZO PRUEBA'!$B$6:$CD$109,80,0),"NO BD")</f>
        <v>1003.7049999999999</v>
      </c>
      <c r="H1595" s="8"/>
      <c r="I1595" s="8">
        <f t="shared" si="141"/>
        <v>0</v>
      </c>
      <c r="J1595" s="14">
        <f t="shared" si="142"/>
        <v>0</v>
      </c>
      <c r="K1595" s="14">
        <f t="shared" si="143"/>
        <v>0</v>
      </c>
      <c r="L1595" s="14">
        <f t="shared" si="144"/>
        <v>0</v>
      </c>
    </row>
    <row r="1596" spans="1:12" ht="15">
      <c r="A1596" s="3">
        <v>2540</v>
      </c>
      <c r="B1596" s="26">
        <v>83</v>
      </c>
      <c r="C1596" s="7" t="s">
        <v>60</v>
      </c>
      <c r="D1596" s="4" t="s">
        <v>62</v>
      </c>
      <c r="E1596" s="6" t="s">
        <v>145</v>
      </c>
      <c r="F1596" s="12">
        <f>INDEX('PEDIDO JULIO'!A29:AF37,1,32)</f>
        <v>0</v>
      </c>
      <c r="G1596" s="8">
        <f>IFERROR(VLOOKUP($B1596,'[1]INSUMO POR SEDES MARZO PRUEBA'!$B$6:$CD$109,80,0),"NO BD")</f>
        <v>367.95510000000002</v>
      </c>
      <c r="H1596" s="8"/>
      <c r="I1596" s="8">
        <f t="shared" si="141"/>
        <v>0</v>
      </c>
      <c r="J1596" s="14">
        <f t="shared" si="142"/>
        <v>0</v>
      </c>
      <c r="K1596" s="14">
        <f t="shared" si="143"/>
        <v>0</v>
      </c>
      <c r="L1596" s="14">
        <f t="shared" si="144"/>
        <v>0</v>
      </c>
    </row>
    <row r="1597" spans="1:12" ht="15">
      <c r="A1597" s="3">
        <v>2541</v>
      </c>
      <c r="B1597" s="26">
        <v>88</v>
      </c>
      <c r="C1597" s="7" t="s">
        <v>151</v>
      </c>
      <c r="D1597" s="4" t="s">
        <v>63</v>
      </c>
      <c r="E1597" s="6" t="s">
        <v>145</v>
      </c>
      <c r="F1597" s="12">
        <f>INDEX('PEDIDO JULIO'!A30:AF37,1,32)</f>
        <v>0</v>
      </c>
      <c r="G1597" s="8">
        <f>IFERROR(VLOOKUP($B1597,'[1]INSUMO POR SEDES MARZO PRUEBA'!$B$6:$CD$109,80,0),"NO BD")</f>
        <v>0</v>
      </c>
      <c r="H1597" s="8"/>
      <c r="I1597" s="8">
        <f t="shared" si="141"/>
        <v>0</v>
      </c>
      <c r="J1597" s="14">
        <f t="shared" si="142"/>
        <v>0</v>
      </c>
      <c r="K1597" s="14">
        <f t="shared" si="143"/>
        <v>0</v>
      </c>
      <c r="L1597" s="14">
        <f t="shared" si="144"/>
        <v>0</v>
      </c>
    </row>
    <row r="1598" spans="1:12" ht="15">
      <c r="A1598" s="3">
        <v>2542</v>
      </c>
      <c r="B1598" s="26">
        <v>92</v>
      </c>
      <c r="C1598" s="7" t="s">
        <v>160</v>
      </c>
      <c r="D1598" s="4" t="s">
        <v>64</v>
      </c>
      <c r="E1598" s="6" t="s">
        <v>145</v>
      </c>
      <c r="F1598" s="12">
        <f>INDEX('PEDIDO JULIO'!A31:AF37,1,32)</f>
        <v>0</v>
      </c>
      <c r="G1598" s="8">
        <f>IFERROR(VLOOKUP($B1598,'[1]INSUMO POR SEDES MARZO PRUEBA'!$B$6:$CD$109,80,0),"NO BD")</f>
        <v>2380.5149999999999</v>
      </c>
      <c r="H1598" s="8"/>
      <c r="I1598" s="8">
        <f t="shared" si="141"/>
        <v>0</v>
      </c>
      <c r="J1598" s="14">
        <f t="shared" si="142"/>
        <v>0</v>
      </c>
      <c r="K1598" s="14">
        <f t="shared" si="143"/>
        <v>0</v>
      </c>
      <c r="L1598" s="14">
        <f t="shared" si="144"/>
        <v>0</v>
      </c>
    </row>
    <row r="1599" spans="1:12" ht="27">
      <c r="A1599" s="3">
        <v>2543</v>
      </c>
      <c r="B1599" s="26">
        <v>94</v>
      </c>
      <c r="C1599" s="7" t="s">
        <v>60</v>
      </c>
      <c r="D1599" s="4" t="s">
        <v>65</v>
      </c>
      <c r="E1599" s="6" t="s">
        <v>145</v>
      </c>
      <c r="F1599" s="12">
        <f>INDEX('PEDIDO JULIO'!A32:AF37,1,32)</f>
        <v>0</v>
      </c>
      <c r="G1599" s="8">
        <f>IFERROR(VLOOKUP($B1599,'[1]INSUMO POR SEDES MARZO PRUEBA'!$B$6:$CD$109,80,0),"NO BD")</f>
        <v>3316.9560000000001</v>
      </c>
      <c r="H1599" s="8"/>
      <c r="I1599" s="8">
        <f t="shared" si="141"/>
        <v>0</v>
      </c>
      <c r="J1599" s="14">
        <f t="shared" si="142"/>
        <v>0</v>
      </c>
      <c r="K1599" s="14">
        <f t="shared" si="143"/>
        <v>0</v>
      </c>
      <c r="L1599" s="14">
        <f t="shared" si="144"/>
        <v>0</v>
      </c>
    </row>
    <row r="1600" spans="1:12" ht="15">
      <c r="A1600" s="3">
        <v>2544</v>
      </c>
      <c r="B1600" s="26">
        <v>98</v>
      </c>
      <c r="C1600" s="7" t="s">
        <v>66</v>
      </c>
      <c r="D1600" s="4" t="s">
        <v>67</v>
      </c>
      <c r="E1600" s="6" t="s">
        <v>145</v>
      </c>
      <c r="F1600" s="12">
        <f>INDEX('PEDIDO JULIO'!A33:AF37,1,32)</f>
        <v>0</v>
      </c>
      <c r="G1600" s="8">
        <f>IFERROR(VLOOKUP($B1600,'[1]INSUMO POR SEDES MARZO PRUEBA'!$B$6:$CD$109,80,0),"NO BD")</f>
        <v>9503.4573</v>
      </c>
      <c r="H1600" s="8"/>
      <c r="I1600" s="8">
        <f t="shared" si="141"/>
        <v>0</v>
      </c>
      <c r="J1600" s="14">
        <f t="shared" si="142"/>
        <v>0</v>
      </c>
      <c r="K1600" s="14">
        <f t="shared" si="143"/>
        <v>0</v>
      </c>
      <c r="L1600" s="14">
        <f t="shared" si="144"/>
        <v>0</v>
      </c>
    </row>
    <row r="1601" spans="1:12" ht="15">
      <c r="A1601" s="3">
        <v>2545</v>
      </c>
      <c r="B1601" s="26">
        <v>100</v>
      </c>
      <c r="C1601" s="7" t="s">
        <v>66</v>
      </c>
      <c r="D1601" s="4" t="s">
        <v>68</v>
      </c>
      <c r="E1601" s="6" t="s">
        <v>145</v>
      </c>
      <c r="F1601" s="12">
        <f>INDEX('PEDIDO JULIO'!A33:AF38,1,32)</f>
        <v>0</v>
      </c>
      <c r="G1601" s="8">
        <f>IFERROR(VLOOKUP($B1601,'[1]INSUMO POR SEDES MARZO PRUEBA'!$B$6:$CD$109,80,0),"NO BD")</f>
        <v>0</v>
      </c>
      <c r="H1601" s="8"/>
      <c r="I1601" s="8">
        <f t="shared" si="141"/>
        <v>0</v>
      </c>
      <c r="J1601" s="14">
        <f t="shared" si="142"/>
        <v>0</v>
      </c>
      <c r="K1601" s="14">
        <f t="shared" si="143"/>
        <v>0</v>
      </c>
      <c r="L1601" s="14">
        <f t="shared" si="144"/>
        <v>0</v>
      </c>
    </row>
    <row r="1602" spans="1:12" ht="15">
      <c r="A1602" s="3">
        <v>2546</v>
      </c>
      <c r="B1602" s="26">
        <v>102</v>
      </c>
      <c r="C1602" s="7" t="s">
        <v>66</v>
      </c>
      <c r="D1602" s="4" t="s">
        <v>69</v>
      </c>
      <c r="E1602" s="6" t="s">
        <v>145</v>
      </c>
      <c r="F1602" s="12">
        <f>INDEX('PEDIDO JULIO'!A33:AF38,1,32)</f>
        <v>0</v>
      </c>
      <c r="G1602" s="8">
        <f>IFERROR(VLOOKUP($B1602,'[1]INSUMO POR SEDES MARZO PRUEBA'!$B$6:$CD$109,80,0),"NO BD")</f>
        <v>5422.8446999999996</v>
      </c>
      <c r="H1602" s="8"/>
      <c r="I1602" s="8">
        <f t="shared" si="141"/>
        <v>0</v>
      </c>
      <c r="J1602" s="14">
        <f t="shared" si="142"/>
        <v>0</v>
      </c>
      <c r="K1602" s="14">
        <f t="shared" si="143"/>
        <v>0</v>
      </c>
      <c r="L1602" s="14">
        <f t="shared" si="144"/>
        <v>0</v>
      </c>
    </row>
    <row r="1603" spans="1:12" ht="15">
      <c r="A1603" s="3">
        <v>2547</v>
      </c>
      <c r="B1603" s="26">
        <v>110</v>
      </c>
      <c r="C1603" s="7" t="s">
        <v>66</v>
      </c>
      <c r="D1603" s="4" t="s">
        <v>70</v>
      </c>
      <c r="E1603" s="6" t="s">
        <v>145</v>
      </c>
      <c r="F1603" s="12">
        <f>INDEX('PEDIDO JULIO'!A33:AF39,1,32)</f>
        <v>0</v>
      </c>
      <c r="G1603" s="8">
        <f>IFERROR(VLOOKUP($B1603,'[1]INSUMO POR SEDES MARZO PRUEBA'!$B$6:$CD$109,80,0),"NO BD")</f>
        <v>1442.4974999999999</v>
      </c>
      <c r="H1603" s="8"/>
      <c r="I1603" s="8">
        <f t="shared" si="141"/>
        <v>0</v>
      </c>
      <c r="J1603" s="14">
        <f t="shared" si="142"/>
        <v>0</v>
      </c>
      <c r="K1603" s="14">
        <f t="shared" si="143"/>
        <v>0</v>
      </c>
      <c r="L1603" s="14">
        <f t="shared" si="144"/>
        <v>0</v>
      </c>
    </row>
    <row r="1604" spans="1:12" ht="15">
      <c r="A1604" s="3">
        <v>2548</v>
      </c>
      <c r="B1604" s="26">
        <v>118</v>
      </c>
      <c r="C1604" s="7" t="s">
        <v>66</v>
      </c>
      <c r="D1604" s="4" t="s">
        <v>71</v>
      </c>
      <c r="E1604" s="6" t="s">
        <v>145</v>
      </c>
      <c r="F1604" s="12">
        <f>INDEX('PEDIDO JULIO'!A33:AF40,1,32)</f>
        <v>0</v>
      </c>
      <c r="G1604" s="8">
        <f>IFERROR(VLOOKUP($B1604,'[1]INSUMO POR SEDES MARZO PRUEBA'!$B$6:$CD$109,80,0),"NO BD")</f>
        <v>4129.7993999999999</v>
      </c>
      <c r="H1604" s="8"/>
      <c r="I1604" s="8">
        <f t="shared" si="141"/>
        <v>0</v>
      </c>
      <c r="J1604" s="14">
        <f t="shared" si="142"/>
        <v>0</v>
      </c>
      <c r="K1604" s="14">
        <f t="shared" si="143"/>
        <v>0</v>
      </c>
      <c r="L1604" s="14">
        <f t="shared" si="144"/>
        <v>0</v>
      </c>
    </row>
    <row r="1605" spans="1:12" ht="15">
      <c r="A1605" s="3">
        <v>2549</v>
      </c>
      <c r="B1605" s="26">
        <v>119</v>
      </c>
      <c r="C1605" s="7" t="s">
        <v>66</v>
      </c>
      <c r="D1605" s="4" t="s">
        <v>72</v>
      </c>
      <c r="E1605" s="6" t="s">
        <v>145</v>
      </c>
      <c r="F1605" s="12">
        <f>INDEX('PEDIDO JULIO'!A33:AF40,1,32)</f>
        <v>0</v>
      </c>
      <c r="G1605" s="8">
        <f>IFERROR(VLOOKUP($B1605,'[1]INSUMO POR SEDES MARZO PRUEBA'!$B$6:$CD$109,80,0),"NO BD")</f>
        <v>2821.9350000000004</v>
      </c>
      <c r="H1605" s="8"/>
      <c r="I1605" s="8">
        <f t="shared" si="141"/>
        <v>0</v>
      </c>
      <c r="J1605" s="14">
        <f t="shared" si="142"/>
        <v>0</v>
      </c>
      <c r="K1605" s="14">
        <f t="shared" si="143"/>
        <v>0</v>
      </c>
      <c r="L1605" s="14">
        <f t="shared" si="144"/>
        <v>0</v>
      </c>
    </row>
    <row r="1606" spans="1:12" ht="15">
      <c r="A1606" s="3">
        <v>2550</v>
      </c>
      <c r="B1606" s="26">
        <v>120</v>
      </c>
      <c r="C1606" s="7" t="s">
        <v>158</v>
      </c>
      <c r="D1606" s="4" t="s">
        <v>73</v>
      </c>
      <c r="E1606" s="6" t="s">
        <v>145</v>
      </c>
      <c r="F1606" s="12">
        <f>INDEX('PEDIDO JULIO'!A33:AF40,1,32)</f>
        <v>0</v>
      </c>
      <c r="G1606" s="8">
        <f>IFERROR(VLOOKUP($B1606,'[1]INSUMO POR SEDES MARZO PRUEBA'!$B$6:$CD$109,80,0),"NO BD")</f>
        <v>4259.3877000000002</v>
      </c>
      <c r="H1606" s="8"/>
      <c r="I1606" s="8">
        <f t="shared" ref="I1606:I1630" si="145">+F1606*G1606</f>
        <v>0</v>
      </c>
      <c r="J1606" s="14">
        <f t="shared" si="142"/>
        <v>0</v>
      </c>
      <c r="K1606" s="14">
        <f t="shared" si="143"/>
        <v>0</v>
      </c>
      <c r="L1606" s="14">
        <f t="shared" si="144"/>
        <v>0</v>
      </c>
    </row>
    <row r="1607" spans="1:12" ht="15">
      <c r="A1607" s="3">
        <v>2551</v>
      </c>
      <c r="B1607" s="26">
        <v>122</v>
      </c>
      <c r="C1607" s="7" t="s">
        <v>158</v>
      </c>
      <c r="D1607" s="4" t="s">
        <v>74</v>
      </c>
      <c r="E1607" s="6" t="s">
        <v>145</v>
      </c>
      <c r="F1607" s="12">
        <f>INDEX('PEDIDO JULIO'!A33:AF41,1,32)</f>
        <v>0</v>
      </c>
      <c r="G1607" s="8">
        <f>IFERROR(VLOOKUP($B1607,'[1]INSUMO POR SEDES MARZO PRUEBA'!$B$6:$CD$109,80,0),"NO BD")</f>
        <v>5920.3881000000001</v>
      </c>
      <c r="H1607" s="8"/>
      <c r="I1607" s="8">
        <f t="shared" si="145"/>
        <v>0</v>
      </c>
      <c r="J1607" s="14">
        <f t="shared" si="142"/>
        <v>0</v>
      </c>
      <c r="K1607" s="14">
        <f t="shared" si="143"/>
        <v>0</v>
      </c>
      <c r="L1607" s="14">
        <f t="shared" si="144"/>
        <v>0</v>
      </c>
    </row>
    <row r="1608" spans="1:12" ht="15">
      <c r="A1608" s="3">
        <v>2552</v>
      </c>
      <c r="B1608" s="26">
        <v>123</v>
      </c>
      <c r="C1608" s="7" t="s">
        <v>158</v>
      </c>
      <c r="D1608" s="4" t="s">
        <v>75</v>
      </c>
      <c r="E1608" s="6" t="s">
        <v>145</v>
      </c>
      <c r="F1608" s="12">
        <f>INDEX('PEDIDO JULIO'!A33:AF41,1,32)</f>
        <v>0</v>
      </c>
      <c r="G1608" s="8">
        <f>IFERROR(VLOOKUP($B1608,'[1]INSUMO POR SEDES MARZO PRUEBA'!$B$6:$CD$109,80,0),"NO BD")</f>
        <v>6169.1598000000004</v>
      </c>
      <c r="H1608" s="8"/>
      <c r="I1608" s="8">
        <f t="shared" si="145"/>
        <v>0</v>
      </c>
      <c r="J1608" s="14">
        <f t="shared" si="142"/>
        <v>0</v>
      </c>
      <c r="K1608" s="14">
        <f t="shared" si="143"/>
        <v>0</v>
      </c>
      <c r="L1608" s="14">
        <f t="shared" si="144"/>
        <v>0</v>
      </c>
    </row>
    <row r="1609" spans="1:12" ht="15">
      <c r="A1609" s="3">
        <v>2553</v>
      </c>
      <c r="B1609" s="26">
        <v>124</v>
      </c>
      <c r="C1609" s="7" t="s">
        <v>158</v>
      </c>
      <c r="D1609" s="4" t="s">
        <v>76</v>
      </c>
      <c r="E1609" s="6" t="s">
        <v>145</v>
      </c>
      <c r="F1609" s="12">
        <f>INDEX('PEDIDO JULIO'!A33:AF42,1,32)</f>
        <v>0</v>
      </c>
      <c r="G1609" s="8">
        <f>IFERROR(VLOOKUP($B1609,'[1]INSUMO POR SEDES MARZO PRUEBA'!$B$6:$CD$109,80,0),"NO BD")</f>
        <v>6169.1598000000004</v>
      </c>
      <c r="H1609" s="8"/>
      <c r="I1609" s="8">
        <f t="shared" si="145"/>
        <v>0</v>
      </c>
      <c r="J1609" s="14">
        <f t="shared" si="142"/>
        <v>0</v>
      </c>
      <c r="K1609" s="14">
        <f t="shared" si="143"/>
        <v>0</v>
      </c>
      <c r="L1609" s="14">
        <f t="shared" si="144"/>
        <v>0</v>
      </c>
    </row>
    <row r="1610" spans="1:12" ht="15">
      <c r="A1610" s="3">
        <v>2554</v>
      </c>
      <c r="B1610" s="26">
        <v>137</v>
      </c>
      <c r="C1610" s="7" t="s">
        <v>158</v>
      </c>
      <c r="D1610" s="4" t="s">
        <v>77</v>
      </c>
      <c r="E1610" s="6" t="s">
        <v>145</v>
      </c>
      <c r="F1610" s="12">
        <f>INDEX('PEDIDO JULIO'!A33:AF42,1,32)</f>
        <v>0</v>
      </c>
      <c r="G1610" s="8">
        <f>IFERROR(VLOOKUP($B1610,'[1]INSUMO POR SEDES MARZO PRUEBA'!$B$6:$CD$109,80,0),"NO BD")</f>
        <v>0</v>
      </c>
      <c r="H1610" s="8"/>
      <c r="I1610" s="8">
        <f t="shared" si="145"/>
        <v>0</v>
      </c>
      <c r="J1610" s="14">
        <f t="shared" si="142"/>
        <v>0</v>
      </c>
      <c r="K1610" s="14">
        <f t="shared" si="143"/>
        <v>0</v>
      </c>
      <c r="L1610" s="14">
        <f t="shared" si="144"/>
        <v>0</v>
      </c>
    </row>
    <row r="1611" spans="1:12" ht="15">
      <c r="A1611" s="3">
        <v>2555</v>
      </c>
      <c r="B1611" s="26">
        <v>139</v>
      </c>
      <c r="C1611" s="7" t="s">
        <v>158</v>
      </c>
      <c r="D1611" s="4" t="s">
        <v>78</v>
      </c>
      <c r="E1611" s="6" t="s">
        <v>145</v>
      </c>
      <c r="F1611" s="12">
        <f>INDEX('PEDIDO JULIO'!A33:AF42,1,32)</f>
        <v>0</v>
      </c>
      <c r="G1611" s="8">
        <f>IFERROR(VLOOKUP($B1611,'[1]INSUMO POR SEDES MARZO PRUEBA'!$B$6:$CD$109,80,0),"NO BD")</f>
        <v>25429.996000000003</v>
      </c>
      <c r="H1611" s="8"/>
      <c r="I1611" s="8">
        <f t="shared" si="145"/>
        <v>0</v>
      </c>
      <c r="J1611" s="14">
        <f t="shared" si="142"/>
        <v>0</v>
      </c>
      <c r="K1611" s="14">
        <f t="shared" si="143"/>
        <v>0</v>
      </c>
      <c r="L1611" s="14">
        <f t="shared" si="144"/>
        <v>0</v>
      </c>
    </row>
    <row r="1612" spans="1:12" ht="15">
      <c r="A1612" s="3">
        <v>2556</v>
      </c>
      <c r="B1612" s="26">
        <v>151</v>
      </c>
      <c r="C1612" s="7" t="s">
        <v>158</v>
      </c>
      <c r="D1612" s="4" t="s">
        <v>79</v>
      </c>
      <c r="E1612" s="6" t="s">
        <v>145</v>
      </c>
      <c r="F1612" s="12">
        <f>INDEX('PEDIDO JULIO'!A33:AF42,1,32)</f>
        <v>0</v>
      </c>
      <c r="G1612" s="8">
        <f>IFERROR(VLOOKUP($B1612,'[1]INSUMO POR SEDES MARZO PRUEBA'!$B$6:$CD$109,80,0),"NO BD")</f>
        <v>4422.6080000000002</v>
      </c>
      <c r="H1612" s="8"/>
      <c r="I1612" s="8">
        <f t="shared" si="145"/>
        <v>0</v>
      </c>
      <c r="J1612" s="14">
        <f t="shared" si="142"/>
        <v>0</v>
      </c>
      <c r="K1612" s="14">
        <f t="shared" si="143"/>
        <v>0</v>
      </c>
      <c r="L1612" s="14">
        <f t="shared" si="144"/>
        <v>0</v>
      </c>
    </row>
    <row r="1613" spans="1:12" ht="15">
      <c r="A1613" s="3">
        <v>2557</v>
      </c>
      <c r="B1613" s="26">
        <v>155</v>
      </c>
      <c r="C1613" s="7" t="s">
        <v>158</v>
      </c>
      <c r="D1613" s="4" t="s">
        <v>80</v>
      </c>
      <c r="E1613" s="6" t="s">
        <v>145</v>
      </c>
      <c r="F1613" s="12">
        <f>INDEX('PEDIDO JULIO'!A33:AF43,1,32)</f>
        <v>0</v>
      </c>
      <c r="G1613" s="8">
        <f>IFERROR(VLOOKUP($B1613,'[1]INSUMO POR SEDES MARZO PRUEBA'!$B$6:$CD$109,80,0),"NO BD")</f>
        <v>5005.7028</v>
      </c>
      <c r="H1613" s="8"/>
      <c r="I1613" s="8">
        <f t="shared" si="145"/>
        <v>0</v>
      </c>
      <c r="J1613" s="14">
        <f t="shared" si="142"/>
        <v>0</v>
      </c>
      <c r="K1613" s="14">
        <f t="shared" si="143"/>
        <v>0</v>
      </c>
      <c r="L1613" s="14">
        <f t="shared" si="144"/>
        <v>0</v>
      </c>
    </row>
    <row r="1614" spans="1:12" ht="15">
      <c r="A1614" s="3">
        <v>2558</v>
      </c>
      <c r="B1614" s="26">
        <v>156</v>
      </c>
      <c r="C1614" s="7" t="s">
        <v>158</v>
      </c>
      <c r="D1614" s="4" t="s">
        <v>81</v>
      </c>
      <c r="E1614" s="6" t="s">
        <v>145</v>
      </c>
      <c r="F1614" s="12">
        <f>INDEX('PEDIDO JULIO'!A33:AF43,1,32)</f>
        <v>0</v>
      </c>
      <c r="G1614" s="8">
        <f>IFERROR(VLOOKUP($B1614,'[1]INSUMO POR SEDES MARZO PRUEBA'!$B$6:$CD$109,80,0),"NO BD")</f>
        <v>4422.6080000000002</v>
      </c>
      <c r="H1614" s="8"/>
      <c r="I1614" s="8">
        <f t="shared" si="145"/>
        <v>0</v>
      </c>
      <c r="J1614" s="14">
        <f t="shared" si="142"/>
        <v>0</v>
      </c>
      <c r="K1614" s="14">
        <f t="shared" si="143"/>
        <v>0</v>
      </c>
      <c r="L1614" s="14">
        <f t="shared" si="144"/>
        <v>0</v>
      </c>
    </row>
    <row r="1615" spans="1:12" ht="15">
      <c r="A1615" s="3">
        <v>2559</v>
      </c>
      <c r="B1615" s="26">
        <v>157</v>
      </c>
      <c r="C1615" s="7" t="s">
        <v>158</v>
      </c>
      <c r="D1615" s="4" t="s">
        <v>82</v>
      </c>
      <c r="E1615" s="6" t="s">
        <v>145</v>
      </c>
      <c r="F1615" s="12">
        <f>INDEX('PEDIDO JULIO'!A33:AF43,1,32)</f>
        <v>0</v>
      </c>
      <c r="G1615" s="8">
        <f>IFERROR(VLOOKUP($B1615,'[1]INSUMO POR SEDES MARZO PRUEBA'!$B$6:$CD$109,80,0),"NO BD")</f>
        <v>5970.7309999999998</v>
      </c>
      <c r="H1615" s="8"/>
      <c r="I1615" s="8">
        <f t="shared" si="145"/>
        <v>0</v>
      </c>
      <c r="J1615" s="14">
        <f t="shared" si="142"/>
        <v>0</v>
      </c>
      <c r="K1615" s="14">
        <f t="shared" si="143"/>
        <v>0</v>
      </c>
      <c r="L1615" s="14">
        <f t="shared" si="144"/>
        <v>0</v>
      </c>
    </row>
    <row r="1616" spans="1:12" ht="15">
      <c r="A1616" s="3">
        <v>2560</v>
      </c>
      <c r="B1616" s="31">
        <v>159</v>
      </c>
      <c r="C1616" s="7" t="s">
        <v>158</v>
      </c>
      <c r="D1616" s="4" t="s">
        <v>83</v>
      </c>
      <c r="E1616" s="6" t="s">
        <v>145</v>
      </c>
      <c r="F1616" s="12">
        <f>INDEX('PEDIDO JULIO'!A33:AF44,1,32)</f>
        <v>0</v>
      </c>
      <c r="G1616" s="8">
        <f>IFERROR(VLOOKUP($B1616,'[1]INSUMO POR SEDES MARZO PRUEBA'!$B$6:$CD$109,80,0),"NO BD")</f>
        <v>6716.8359</v>
      </c>
      <c r="H1616" s="8"/>
      <c r="I1616" s="8">
        <f t="shared" si="145"/>
        <v>0</v>
      </c>
      <c r="J1616" s="14">
        <f t="shared" si="142"/>
        <v>0</v>
      </c>
      <c r="K1616" s="14">
        <f t="shared" si="143"/>
        <v>0</v>
      </c>
      <c r="L1616" s="14">
        <f t="shared" si="144"/>
        <v>0</v>
      </c>
    </row>
    <row r="1617" spans="1:12" ht="15">
      <c r="A1617" s="3">
        <v>2561</v>
      </c>
      <c r="B1617" s="26">
        <v>160</v>
      </c>
      <c r="C1617" s="7" t="s">
        <v>158</v>
      </c>
      <c r="D1617" s="4" t="s">
        <v>84</v>
      </c>
      <c r="E1617" s="6" t="s">
        <v>145</v>
      </c>
      <c r="F1617" s="12">
        <f>INDEX('PEDIDO JULIO'!A33:AF44,1,32)</f>
        <v>0</v>
      </c>
      <c r="G1617" s="8">
        <f>IFERROR(VLOOKUP($B1617,'[1]INSUMO POR SEDES MARZO PRUEBA'!$B$6:$CD$109,80,0),"NO BD")</f>
        <v>3035.3931000000002</v>
      </c>
      <c r="H1617" s="8"/>
      <c r="I1617" s="8">
        <f t="shared" si="145"/>
        <v>0</v>
      </c>
      <c r="J1617" s="14">
        <f t="shared" si="142"/>
        <v>0</v>
      </c>
      <c r="K1617" s="14">
        <f t="shared" si="143"/>
        <v>0</v>
      </c>
      <c r="L1617" s="14">
        <f t="shared" si="144"/>
        <v>0</v>
      </c>
    </row>
    <row r="1618" spans="1:12" ht="15">
      <c r="A1618" s="3">
        <v>2562</v>
      </c>
      <c r="B1618" s="26">
        <v>162</v>
      </c>
      <c r="C1618" s="7" t="s">
        <v>158</v>
      </c>
      <c r="D1618" s="4" t="s">
        <v>85</v>
      </c>
      <c r="E1618" s="6" t="s">
        <v>145</v>
      </c>
      <c r="F1618" s="12">
        <f>INDEX('PEDIDO JULIO'!A33:AF44,1,32)</f>
        <v>0</v>
      </c>
      <c r="G1618" s="8">
        <f>IFERROR(VLOOKUP($B1618,'[1]INSUMO POR SEDES MARZO PRUEBA'!$B$6:$CD$109,80,0),"NO BD")</f>
        <v>4030.4798999999998</v>
      </c>
      <c r="H1618" s="8"/>
      <c r="I1618" s="8">
        <f t="shared" si="145"/>
        <v>0</v>
      </c>
      <c r="J1618" s="14">
        <f t="shared" ref="J1618:J1630" si="146">+I1618*10%</f>
        <v>0</v>
      </c>
      <c r="K1618" s="14">
        <f t="shared" ref="K1618:K1630" si="147">+J1618*19%</f>
        <v>0</v>
      </c>
      <c r="L1618" s="14">
        <f t="shared" ref="L1618:L1630" si="148">SUM(I1618:K1618)</f>
        <v>0</v>
      </c>
    </row>
    <row r="1619" spans="1:12" ht="15">
      <c r="A1619" s="3">
        <v>2563</v>
      </c>
      <c r="B1619" s="26">
        <v>164</v>
      </c>
      <c r="C1619" s="7" t="s">
        <v>152</v>
      </c>
      <c r="D1619" s="4" t="s">
        <v>86</v>
      </c>
      <c r="E1619" s="6" t="s">
        <v>145</v>
      </c>
      <c r="F1619" s="12">
        <f>INDEX('PEDIDO JULIO'!A33:AF44,1,32)</f>
        <v>0</v>
      </c>
      <c r="G1619" s="8">
        <f>IFERROR(VLOOKUP($B1619,'[1]INSUMO POR SEDES MARZO PRUEBA'!$B$6:$CD$109,80,0),"NO BD")</f>
        <v>0</v>
      </c>
      <c r="H1619" s="8"/>
      <c r="I1619" s="8">
        <f t="shared" si="145"/>
        <v>0</v>
      </c>
      <c r="J1619" s="14">
        <f t="shared" si="146"/>
        <v>0</v>
      </c>
      <c r="K1619" s="14">
        <f t="shared" si="147"/>
        <v>0</v>
      </c>
      <c r="L1619" s="14">
        <f t="shared" si="148"/>
        <v>0</v>
      </c>
    </row>
    <row r="1620" spans="1:12" ht="15">
      <c r="A1620" s="3">
        <v>2564</v>
      </c>
      <c r="B1620" s="26">
        <v>169</v>
      </c>
      <c r="C1620" s="7" t="s">
        <v>87</v>
      </c>
      <c r="D1620" s="4" t="s">
        <v>88</v>
      </c>
      <c r="E1620" s="6" t="s">
        <v>145</v>
      </c>
      <c r="F1620" s="12">
        <f>INDEX('PEDIDO JULIO'!A33:AF45,1,32)</f>
        <v>0</v>
      </c>
      <c r="G1620" s="8">
        <f>IFERROR(VLOOKUP($B1620,'[1]INSUMO POR SEDES MARZO PRUEBA'!$B$6:$CD$109,80,0),"NO BD")</f>
        <v>0</v>
      </c>
      <c r="H1620" s="8"/>
      <c r="I1620" s="8">
        <f t="shared" si="145"/>
        <v>0</v>
      </c>
      <c r="J1620" s="14">
        <f t="shared" si="146"/>
        <v>0</v>
      </c>
      <c r="K1620" s="14">
        <f t="shared" si="147"/>
        <v>0</v>
      </c>
      <c r="L1620" s="14">
        <f t="shared" si="148"/>
        <v>0</v>
      </c>
    </row>
    <row r="1621" spans="1:12" ht="15">
      <c r="A1621" s="3">
        <v>2565</v>
      </c>
      <c r="B1621" s="26">
        <v>170</v>
      </c>
      <c r="C1621" s="7" t="s">
        <v>87</v>
      </c>
      <c r="D1621" s="4" t="s">
        <v>89</v>
      </c>
      <c r="E1621" s="6" t="s">
        <v>145</v>
      </c>
      <c r="F1621" s="12">
        <f>INDEX('PEDIDO JULIO'!A33:AF46,1,32)</f>
        <v>0</v>
      </c>
      <c r="G1621" s="8">
        <f>IFERROR(VLOOKUP($B1621,'[1]INSUMO POR SEDES MARZO PRUEBA'!$B$6:$CD$109,80,0),"NO BD")</f>
        <v>45575.353799999997</v>
      </c>
      <c r="H1621" s="8"/>
      <c r="I1621" s="8">
        <f t="shared" si="145"/>
        <v>0</v>
      </c>
      <c r="J1621" s="14">
        <f t="shared" si="146"/>
        <v>0</v>
      </c>
      <c r="K1621" s="14">
        <f t="shared" si="147"/>
        <v>0</v>
      </c>
      <c r="L1621" s="14">
        <f t="shared" si="148"/>
        <v>0</v>
      </c>
    </row>
    <row r="1622" spans="1:12" ht="15">
      <c r="A1622" s="3">
        <v>2566</v>
      </c>
      <c r="B1622" s="26">
        <v>174</v>
      </c>
      <c r="C1622" s="7" t="s">
        <v>90</v>
      </c>
      <c r="D1622" s="4" t="s">
        <v>91</v>
      </c>
      <c r="E1622" s="6" t="s">
        <v>145</v>
      </c>
      <c r="F1622" s="12">
        <f>INDEX('PEDIDO JULIO'!A33:AF47,1,32)</f>
        <v>0</v>
      </c>
      <c r="G1622" s="8">
        <f>IFERROR(VLOOKUP($B1622,'[1]INSUMO POR SEDES MARZO PRUEBA'!$B$6:$CD$109,80,0),"NO BD")</f>
        <v>10050.1875</v>
      </c>
      <c r="H1622" s="8"/>
      <c r="I1622" s="8">
        <f t="shared" si="145"/>
        <v>0</v>
      </c>
      <c r="J1622" s="14">
        <f t="shared" si="146"/>
        <v>0</v>
      </c>
      <c r="K1622" s="14">
        <f t="shared" si="147"/>
        <v>0</v>
      </c>
      <c r="L1622" s="14">
        <f t="shared" si="148"/>
        <v>0</v>
      </c>
    </row>
    <row r="1623" spans="1:12" ht="15">
      <c r="A1623" s="3">
        <v>2567</v>
      </c>
      <c r="B1623" s="26">
        <v>192</v>
      </c>
      <c r="C1623" s="7" t="s">
        <v>90</v>
      </c>
      <c r="D1623" s="4" t="s">
        <v>92</v>
      </c>
      <c r="E1623" s="6" t="s">
        <v>145</v>
      </c>
      <c r="F1623" s="12">
        <f>INDEX('PEDIDO JULIO'!A33:AF47,1,32)</f>
        <v>0</v>
      </c>
      <c r="G1623" s="8">
        <f>IFERROR(VLOOKUP($B1623,'[1]INSUMO POR SEDES MARZO PRUEBA'!$B$6:$CD$109,80,0),"NO BD")</f>
        <v>6866.2880999999998</v>
      </c>
      <c r="H1623" s="8"/>
      <c r="I1623" s="8">
        <f t="shared" si="145"/>
        <v>0</v>
      </c>
      <c r="J1623" s="14">
        <f t="shared" si="146"/>
        <v>0</v>
      </c>
      <c r="K1623" s="14">
        <f t="shared" si="147"/>
        <v>0</v>
      </c>
      <c r="L1623" s="14">
        <f t="shared" si="148"/>
        <v>0</v>
      </c>
    </row>
    <row r="1624" spans="1:12" ht="15">
      <c r="A1624" s="3">
        <v>2568</v>
      </c>
      <c r="B1624" s="26">
        <v>195</v>
      </c>
      <c r="C1624" s="7" t="s">
        <v>93</v>
      </c>
      <c r="D1624" s="4" t="s">
        <v>94</v>
      </c>
      <c r="E1624" s="6" t="s">
        <v>145</v>
      </c>
      <c r="F1624" s="12">
        <f>INDEX('PEDIDO JULIO'!A33:AF47,1,32)</f>
        <v>0</v>
      </c>
      <c r="G1624" s="8">
        <f>IFERROR(VLOOKUP($B1624,'[1]INSUMO POR SEDES MARZO PRUEBA'!$B$6:$CD$109,80,0),"NO BD")</f>
        <v>10697.1831</v>
      </c>
      <c r="H1624" s="8"/>
      <c r="I1624" s="8">
        <f t="shared" si="145"/>
        <v>0</v>
      </c>
      <c r="J1624" s="14">
        <f t="shared" si="146"/>
        <v>0</v>
      </c>
      <c r="K1624" s="14">
        <f t="shared" si="147"/>
        <v>0</v>
      </c>
      <c r="L1624" s="14">
        <f t="shared" si="148"/>
        <v>0</v>
      </c>
    </row>
    <row r="1625" spans="1:12" ht="15">
      <c r="A1625" s="3">
        <v>2569</v>
      </c>
      <c r="B1625" s="26">
        <v>204</v>
      </c>
      <c r="C1625" s="7" t="s">
        <v>154</v>
      </c>
      <c r="D1625" s="4" t="s">
        <v>95</v>
      </c>
      <c r="E1625" s="6" t="s">
        <v>145</v>
      </c>
      <c r="F1625" s="12">
        <f>INDEX('PEDIDO JULIO'!A33:AF47,1,32)</f>
        <v>0</v>
      </c>
      <c r="G1625" s="8">
        <f>IFERROR(VLOOKUP($B1625,'[1]INSUMO POR SEDES MARZO PRUEBA'!$B$6:$CD$109,80,0),"NO BD")</f>
        <v>25673.6178</v>
      </c>
      <c r="H1625" s="8"/>
      <c r="I1625" s="8">
        <f t="shared" si="145"/>
        <v>0</v>
      </c>
      <c r="J1625" s="14">
        <f t="shared" si="146"/>
        <v>0</v>
      </c>
      <c r="K1625" s="14">
        <f t="shared" si="147"/>
        <v>0</v>
      </c>
      <c r="L1625" s="14">
        <f t="shared" si="148"/>
        <v>0</v>
      </c>
    </row>
    <row r="1626" spans="1:12" ht="15">
      <c r="A1626" s="3">
        <v>2570</v>
      </c>
      <c r="B1626" s="26">
        <v>205</v>
      </c>
      <c r="C1626" s="7" t="s">
        <v>154</v>
      </c>
      <c r="D1626" s="4" t="s">
        <v>96</v>
      </c>
      <c r="E1626" s="6" t="s">
        <v>145</v>
      </c>
      <c r="F1626" s="12">
        <f>INDEX('PEDIDO JULIO'!A33:AF47,1,32)</f>
        <v>0</v>
      </c>
      <c r="G1626" s="8">
        <f>IFERROR(VLOOKUP($B1626,'[1]INSUMO POR SEDES MARZO PRUEBA'!$B$6:$CD$109,80,0),"NO BD")</f>
        <v>32639.225399999996</v>
      </c>
      <c r="H1626" s="8"/>
      <c r="I1626" s="8">
        <f t="shared" si="145"/>
        <v>0</v>
      </c>
      <c r="J1626" s="14">
        <f t="shared" si="146"/>
        <v>0</v>
      </c>
      <c r="K1626" s="14">
        <f t="shared" si="147"/>
        <v>0</v>
      </c>
      <c r="L1626" s="14">
        <f t="shared" si="148"/>
        <v>0</v>
      </c>
    </row>
    <row r="1627" spans="1:12" ht="15">
      <c r="A1627" s="3">
        <v>2571</v>
      </c>
      <c r="B1627" s="26">
        <v>207</v>
      </c>
      <c r="C1627" s="7" t="s">
        <v>154</v>
      </c>
      <c r="D1627" s="4" t="s">
        <v>97</v>
      </c>
      <c r="E1627" s="6" t="s">
        <v>145</v>
      </c>
      <c r="F1627" s="12">
        <f>INDEX('PEDIDO JULIO'!A33:AF47,1,32)</f>
        <v>0</v>
      </c>
      <c r="G1627" s="8">
        <f>IFERROR(VLOOKUP($B1627,'[1]INSUMO POR SEDES MARZO PRUEBA'!$B$6:$CD$109,80,0),"NO BD")</f>
        <v>0</v>
      </c>
      <c r="H1627" s="8"/>
      <c r="I1627" s="8">
        <f t="shared" si="145"/>
        <v>0</v>
      </c>
      <c r="J1627" s="14">
        <f t="shared" si="146"/>
        <v>0</v>
      </c>
      <c r="K1627" s="14">
        <f t="shared" si="147"/>
        <v>0</v>
      </c>
      <c r="L1627" s="14">
        <f t="shared" si="148"/>
        <v>0</v>
      </c>
    </row>
    <row r="1628" spans="1:12" ht="15">
      <c r="A1628" s="3">
        <v>2572</v>
      </c>
      <c r="B1628" s="26">
        <v>212</v>
      </c>
      <c r="C1628" s="7" t="s">
        <v>152</v>
      </c>
      <c r="D1628" s="4" t="s">
        <v>98</v>
      </c>
      <c r="E1628" s="6" t="s">
        <v>145</v>
      </c>
      <c r="F1628" s="12">
        <f>INDEX('PEDIDO JULIO'!A33:AF47,1,32)</f>
        <v>0</v>
      </c>
      <c r="G1628" s="8">
        <f>IFERROR(VLOOKUP($B1628,'[1]INSUMO POR SEDES MARZO PRUEBA'!$B$6:$CD$109,80,0),"NO BD")</f>
        <v>0</v>
      </c>
      <c r="H1628" s="8"/>
      <c r="I1628" s="8">
        <f t="shared" si="145"/>
        <v>0</v>
      </c>
      <c r="J1628" s="14">
        <f t="shared" si="146"/>
        <v>0</v>
      </c>
      <c r="K1628" s="14">
        <f t="shared" si="147"/>
        <v>0</v>
      </c>
      <c r="L1628" s="14">
        <f t="shared" si="148"/>
        <v>0</v>
      </c>
    </row>
    <row r="1629" spans="1:12" ht="15">
      <c r="A1629" s="3">
        <v>2573</v>
      </c>
      <c r="B1629" s="26">
        <v>218</v>
      </c>
      <c r="C1629" s="7" t="s">
        <v>153</v>
      </c>
      <c r="D1629" s="4" t="s">
        <v>99</v>
      </c>
      <c r="E1629" s="6" t="s">
        <v>145</v>
      </c>
      <c r="F1629" s="12">
        <f>INDEX('PEDIDO JULIO'!A33:AF47,1,32)</f>
        <v>0</v>
      </c>
      <c r="G1629" s="8">
        <f>IFERROR(VLOOKUP($B1629,'[1]INSUMO POR SEDES MARZO PRUEBA'!$B$6:$CD$109,80,0),"NO BD")</f>
        <v>2587.0365000000002</v>
      </c>
      <c r="H1629" s="8"/>
      <c r="I1629" s="8">
        <f t="shared" si="145"/>
        <v>0</v>
      </c>
      <c r="J1629" s="14">
        <f t="shared" si="146"/>
        <v>0</v>
      </c>
      <c r="K1629" s="14">
        <f t="shared" si="147"/>
        <v>0</v>
      </c>
      <c r="L1629" s="14">
        <f t="shared" si="148"/>
        <v>0</v>
      </c>
    </row>
    <row r="1630" spans="1:12" ht="15">
      <c r="A1630" s="3">
        <v>2574</v>
      </c>
      <c r="B1630" s="26">
        <v>251</v>
      </c>
      <c r="C1630" s="7" t="s">
        <v>151</v>
      </c>
      <c r="D1630" s="4" t="s">
        <v>100</v>
      </c>
      <c r="E1630" s="6" t="s">
        <v>145</v>
      </c>
      <c r="F1630" s="12">
        <f>INDEX('PEDIDO JULIO'!A33:AF47,1,32)</f>
        <v>0</v>
      </c>
      <c r="G1630" s="8">
        <f>IFERROR(VLOOKUP($B1630,'[1]INSUMO POR SEDES MARZO PRUEBA'!$B$6:$CD$109,80,0),"NO BD")</f>
        <v>16031.954000000002</v>
      </c>
      <c r="H1630" s="8"/>
      <c r="I1630" s="8">
        <f t="shared" si="145"/>
        <v>0</v>
      </c>
      <c r="J1630" s="14">
        <f t="shared" si="146"/>
        <v>0</v>
      </c>
      <c r="K1630" s="14">
        <f t="shared" si="147"/>
        <v>0</v>
      </c>
      <c r="L1630" s="14">
        <f t="shared" si="148"/>
        <v>0</v>
      </c>
    </row>
    <row r="1632" spans="1:12" ht="15.75">
      <c r="F1632" s="18">
        <f>SUBTOTAL(9,F6:F1631)</f>
        <v>1845</v>
      </c>
      <c r="I1632" s="17">
        <f>SUBTOTAL(9,I6:I1631)</f>
        <v>13039918.643800011</v>
      </c>
      <c r="J1632" s="17">
        <f>SUBTOTAL(9,J6:J1631)</f>
        <v>1303991.8643799999</v>
      </c>
      <c r="K1632" s="17">
        <f>SUBTOTAL(9,K6:K1631)</f>
        <v>247758.4542321999</v>
      </c>
      <c r="L1632" s="17">
        <f>SUBTOTAL(9,L6:L1631)</f>
        <v>14591668.962412195</v>
      </c>
    </row>
    <row r="1634" spans="9:9">
      <c r="I1634" s="14"/>
    </row>
    <row r="1635" spans="9:9">
      <c r="I1635" s="19"/>
    </row>
  </sheetData>
  <autoFilter ref="A5:I1630" xr:uid="{00000000-0009-0000-0000-000000000000}"/>
  <mergeCells count="1">
    <mergeCell ref="F4:I4"/>
  </mergeCells>
  <conditionalFormatting sqref="A5">
    <cfRule type="duplicateValues" dxfId="941" priority="1198"/>
  </conditionalFormatting>
  <conditionalFormatting sqref="D6:D70">
    <cfRule type="duplicateValues" dxfId="940" priority="1304"/>
    <cfRule type="duplicateValues" dxfId="939" priority="1305"/>
  </conditionalFormatting>
  <conditionalFormatting sqref="D71:D135">
    <cfRule type="duplicateValues" dxfId="938" priority="1310"/>
    <cfRule type="duplicateValues" dxfId="937" priority="1311"/>
  </conditionalFormatting>
  <conditionalFormatting sqref="D136:D200">
    <cfRule type="duplicateValues" dxfId="936" priority="1314"/>
    <cfRule type="duplicateValues" dxfId="935" priority="1315"/>
  </conditionalFormatting>
  <conditionalFormatting sqref="D201:D265">
    <cfRule type="duplicateValues" dxfId="934" priority="1318"/>
    <cfRule type="duplicateValues" dxfId="933" priority="1319"/>
  </conditionalFormatting>
  <conditionalFormatting sqref="D266:D330">
    <cfRule type="duplicateValues" dxfId="932" priority="1351"/>
    <cfRule type="duplicateValues" dxfId="931" priority="1352"/>
  </conditionalFormatting>
  <conditionalFormatting sqref="D331:D395">
    <cfRule type="duplicateValues" dxfId="930" priority="1357"/>
    <cfRule type="duplicateValues" dxfId="929" priority="1358"/>
  </conditionalFormatting>
  <conditionalFormatting sqref="D396:D460">
    <cfRule type="duplicateValues" dxfId="928" priority="1363"/>
    <cfRule type="duplicateValues" dxfId="927" priority="1364"/>
  </conditionalFormatting>
  <conditionalFormatting sqref="D461:D525">
    <cfRule type="duplicateValues" dxfId="926" priority="1369"/>
    <cfRule type="duplicateValues" dxfId="925" priority="1370"/>
  </conditionalFormatting>
  <conditionalFormatting sqref="D526:D590">
    <cfRule type="duplicateValues" dxfId="924" priority="1375"/>
    <cfRule type="duplicateValues" dxfId="923" priority="1376"/>
  </conditionalFormatting>
  <conditionalFormatting sqref="D591:D655">
    <cfRule type="duplicateValues" dxfId="922" priority="1386"/>
    <cfRule type="duplicateValues" dxfId="921" priority="1387"/>
  </conditionalFormatting>
  <conditionalFormatting sqref="D656:D720">
    <cfRule type="duplicateValues" dxfId="920" priority="1392"/>
    <cfRule type="duplicateValues" dxfId="919" priority="1393"/>
  </conditionalFormatting>
  <conditionalFormatting sqref="D721:D785">
    <cfRule type="duplicateValues" dxfId="918" priority="1435"/>
    <cfRule type="duplicateValues" dxfId="917" priority="1436"/>
  </conditionalFormatting>
  <conditionalFormatting sqref="D786:D850">
    <cfRule type="duplicateValues" dxfId="916" priority="1489"/>
    <cfRule type="duplicateValues" dxfId="915" priority="1490"/>
  </conditionalFormatting>
  <conditionalFormatting sqref="D851:D915">
    <cfRule type="duplicateValues" dxfId="914" priority="1498"/>
    <cfRule type="duplicateValues" dxfId="913" priority="1499"/>
  </conditionalFormatting>
  <conditionalFormatting sqref="D916:D980">
    <cfRule type="duplicateValues" dxfId="912" priority="1534"/>
    <cfRule type="duplicateValues" dxfId="911" priority="1535"/>
  </conditionalFormatting>
  <conditionalFormatting sqref="D981:D1045">
    <cfRule type="duplicateValues" dxfId="910" priority="1570"/>
    <cfRule type="duplicateValues" dxfId="909" priority="1571"/>
  </conditionalFormatting>
  <conditionalFormatting sqref="D1046:D1110">
    <cfRule type="duplicateValues" dxfId="908" priority="1614"/>
    <cfRule type="duplicateValues" dxfId="907" priority="1615"/>
  </conditionalFormatting>
  <conditionalFormatting sqref="D1111:D1175">
    <cfRule type="duplicateValues" dxfId="906" priority="1937"/>
    <cfRule type="duplicateValues" dxfId="905" priority="1938"/>
  </conditionalFormatting>
  <conditionalFormatting sqref="D1176:D1240">
    <cfRule type="duplicateValues" dxfId="904" priority="1977"/>
    <cfRule type="duplicateValues" dxfId="903" priority="1978"/>
  </conditionalFormatting>
  <conditionalFormatting sqref="D1241:D1305">
    <cfRule type="duplicateValues" dxfId="902" priority="2125"/>
    <cfRule type="duplicateValues" dxfId="901" priority="2126"/>
  </conditionalFormatting>
  <conditionalFormatting sqref="D1306:D1370">
    <cfRule type="duplicateValues" dxfId="900" priority="2147"/>
    <cfRule type="duplicateValues" dxfId="899" priority="2148"/>
  </conditionalFormatting>
  <conditionalFormatting sqref="D1371:D1435">
    <cfRule type="duplicateValues" dxfId="898" priority="2189"/>
    <cfRule type="duplicateValues" dxfId="897" priority="2190"/>
  </conditionalFormatting>
  <conditionalFormatting sqref="D1436:D1500">
    <cfRule type="duplicateValues" dxfId="896" priority="2252"/>
    <cfRule type="duplicateValues" dxfId="895" priority="2253"/>
  </conditionalFormatting>
  <conditionalFormatting sqref="D1501:D1565">
    <cfRule type="duplicateValues" dxfId="894" priority="2296"/>
    <cfRule type="duplicateValues" dxfId="893" priority="2297"/>
  </conditionalFormatting>
  <conditionalFormatting sqref="D1566:D1630">
    <cfRule type="duplicateValues" dxfId="892" priority="2306"/>
    <cfRule type="duplicateValues" dxfId="891" priority="2307"/>
  </conditionalFormatting>
  <conditionalFormatting sqref="F3:I3 D3:E5">
    <cfRule type="duplicateValues" dxfId="890" priority="10325"/>
  </conditionalFormatting>
  <conditionalFormatting sqref="F6:I6 F7:F1630 F1566:I1630">
    <cfRule type="cellIs" dxfId="889" priority="831" operator="lessThan">
      <formula>0</formula>
    </cfRule>
  </conditionalFormatting>
  <conditionalFormatting sqref="G7:I1565">
    <cfRule type="cellIs" dxfId="888" priority="16" operator="lessThan">
      <formula>0</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7" tint="-0.249977111117893"/>
  </sheetPr>
  <dimension ref="A1:AS57"/>
  <sheetViews>
    <sheetView tabSelected="1" zoomScale="80" zoomScaleNormal="80" workbookViewId="0">
      <pane xSplit="2" ySplit="5" topLeftCell="AG6" activePane="bottomRight" state="frozen"/>
      <selection pane="topRight" activeCell="C1" sqref="C1"/>
      <selection pane="bottomLeft" activeCell="A6" sqref="A6"/>
      <selection pane="bottomRight" activeCell="AS32" sqref="AS32"/>
    </sheetView>
  </sheetViews>
  <sheetFormatPr baseColWidth="10" defaultColWidth="12.42578125" defaultRowHeight="15"/>
  <cols>
    <col min="1" max="1" width="48.140625" customWidth="1"/>
    <col min="2" max="2" width="9.5703125" customWidth="1"/>
    <col min="3" max="3" width="18.42578125" customWidth="1"/>
    <col min="4" max="4" width="18.28515625" customWidth="1"/>
    <col min="5" max="5" width="15.5703125" bestFit="1" customWidth="1"/>
    <col min="6" max="6" width="17" customWidth="1"/>
    <col min="7" max="9" width="15.85546875" customWidth="1"/>
    <col min="10" max="10" width="17" customWidth="1"/>
    <col min="11" max="11" width="14.85546875" customWidth="1"/>
    <col min="12" max="12" width="15.85546875" customWidth="1"/>
    <col min="13" max="13" width="20.7109375" customWidth="1"/>
    <col min="14" max="14" width="14.140625" customWidth="1"/>
    <col min="15" max="15" width="13.7109375" customWidth="1"/>
    <col min="16" max="16" width="16.5703125" bestFit="1" customWidth="1"/>
    <col min="17" max="17" width="17" customWidth="1"/>
    <col min="18" max="18" width="16.5703125" bestFit="1" customWidth="1"/>
    <col min="19" max="19" width="16.85546875" customWidth="1"/>
    <col min="20" max="20" width="13.7109375" customWidth="1"/>
    <col min="21" max="21" width="14.140625" customWidth="1"/>
    <col min="22" max="22" width="16.5703125" bestFit="1" customWidth="1"/>
    <col min="23" max="23" width="13.7109375" customWidth="1"/>
    <col min="24" max="24" width="15.85546875" customWidth="1"/>
    <col min="25" max="25" width="14" customWidth="1"/>
    <col min="26" max="27" width="13.7109375" customWidth="1"/>
    <col min="28" max="28" width="14.85546875" customWidth="1"/>
    <col min="29" max="29" width="14.140625" customWidth="1"/>
    <col min="30" max="30" width="15.85546875" customWidth="1"/>
    <col min="31" max="31" width="17" customWidth="1"/>
    <col min="32" max="32" width="15.7109375" customWidth="1"/>
    <col min="33" max="33" width="17" customWidth="1"/>
    <col min="34" max="35" width="14.140625" customWidth="1"/>
    <col min="36" max="36" width="17" customWidth="1"/>
    <col min="37" max="38" width="13.7109375" customWidth="1"/>
    <col min="39" max="39" width="14.140625" customWidth="1"/>
    <col min="40" max="40" width="15.85546875" customWidth="1"/>
    <col min="41" max="41" width="14.140625" customWidth="1"/>
    <col min="42" max="42" width="15.85546875" customWidth="1"/>
    <col min="43" max="43" width="17.140625" customWidth="1"/>
    <col min="44" max="45" width="18.42578125" customWidth="1"/>
  </cols>
  <sheetData>
    <row r="1" spans="1:45" ht="30">
      <c r="A1" s="276" t="s">
        <v>358</v>
      </c>
      <c r="B1" s="277"/>
      <c r="C1" s="40" t="s">
        <v>359</v>
      </c>
      <c r="D1" s="40" t="s">
        <v>360</v>
      </c>
      <c r="E1" s="40" t="s">
        <v>361</v>
      </c>
      <c r="F1" s="40" t="s">
        <v>362</v>
      </c>
      <c r="G1" s="40" t="s">
        <v>363</v>
      </c>
      <c r="H1" s="40" t="s">
        <v>364</v>
      </c>
      <c r="I1" s="40" t="s">
        <v>365</v>
      </c>
      <c r="J1" s="40" t="s">
        <v>366</v>
      </c>
      <c r="K1" s="40" t="s">
        <v>367</v>
      </c>
      <c r="L1" s="40" t="s">
        <v>368</v>
      </c>
      <c r="M1" s="40" t="s">
        <v>369</v>
      </c>
      <c r="N1" s="40" t="s">
        <v>370</v>
      </c>
      <c r="O1" s="40" t="s">
        <v>371</v>
      </c>
      <c r="P1" s="40" t="s">
        <v>372</v>
      </c>
      <c r="Q1" s="40" t="s">
        <v>373</v>
      </c>
      <c r="R1" s="40" t="s">
        <v>374</v>
      </c>
      <c r="S1" s="40" t="s">
        <v>375</v>
      </c>
      <c r="T1" s="40" t="s">
        <v>376</v>
      </c>
      <c r="U1" s="40" t="s">
        <v>377</v>
      </c>
      <c r="V1" s="40" t="s">
        <v>378</v>
      </c>
      <c r="W1" s="40" t="s">
        <v>379</v>
      </c>
      <c r="X1" s="40" t="s">
        <v>380</v>
      </c>
      <c r="Y1" s="40" t="s">
        <v>381</v>
      </c>
      <c r="Z1" s="40" t="s">
        <v>382</v>
      </c>
      <c r="AA1" s="40" t="s">
        <v>383</v>
      </c>
      <c r="AB1" s="40" t="s">
        <v>384</v>
      </c>
      <c r="AC1" s="40" t="s">
        <v>385</v>
      </c>
      <c r="AD1" s="40" t="s">
        <v>386</v>
      </c>
      <c r="AE1" s="40" t="s">
        <v>387</v>
      </c>
      <c r="AF1" s="40" t="s">
        <v>388</v>
      </c>
      <c r="AG1" s="40" t="s">
        <v>389</v>
      </c>
      <c r="AH1" s="40" t="s">
        <v>390</v>
      </c>
      <c r="AI1" s="40" t="s">
        <v>391</v>
      </c>
      <c r="AJ1" s="40" t="s">
        <v>392</v>
      </c>
      <c r="AK1" s="40" t="s">
        <v>393</v>
      </c>
      <c r="AL1" s="40" t="s">
        <v>394</v>
      </c>
      <c r="AM1" s="40" t="s">
        <v>395</v>
      </c>
      <c r="AN1" s="40" t="s">
        <v>396</v>
      </c>
      <c r="AO1" s="40" t="s">
        <v>397</v>
      </c>
      <c r="AP1" s="40" t="s">
        <v>398</v>
      </c>
      <c r="AQ1" s="40" t="s">
        <v>399</v>
      </c>
      <c r="AR1" s="40" t="s">
        <v>400</v>
      </c>
      <c r="AS1" s="40" t="s">
        <v>401</v>
      </c>
    </row>
    <row r="2" spans="1:45">
      <c r="A2" s="276" t="s">
        <v>402</v>
      </c>
      <c r="B2" s="277"/>
      <c r="C2" s="41">
        <v>38031767.508197203</v>
      </c>
      <c r="D2" s="41">
        <v>25469902.61984</v>
      </c>
      <c r="E2" s="41">
        <v>5915797</v>
      </c>
      <c r="F2" s="41">
        <v>701</v>
      </c>
      <c r="G2" s="41">
        <v>3679729.4847779996</v>
      </c>
      <c r="H2" s="41">
        <v>0</v>
      </c>
      <c r="I2" s="41">
        <v>1.064089999999851</v>
      </c>
      <c r="J2" s="41">
        <v>22101904.413683996</v>
      </c>
      <c r="K2" s="41">
        <v>4375622</v>
      </c>
      <c r="L2" s="41">
        <v>1</v>
      </c>
      <c r="M2" s="41">
        <v>1</v>
      </c>
      <c r="N2" s="41">
        <v>275331</v>
      </c>
      <c r="O2" s="41">
        <v>1199896</v>
      </c>
      <c r="P2" s="41">
        <v>45237741.729877599</v>
      </c>
      <c r="Q2" s="41">
        <v>38392507.730150096</v>
      </c>
      <c r="R2" s="41">
        <v>0.61786000058054924</v>
      </c>
      <c r="S2" s="41">
        <v>4889194.5226389999</v>
      </c>
      <c r="T2" s="41">
        <v>0</v>
      </c>
      <c r="U2" s="41">
        <v>9148104.3306719009</v>
      </c>
      <c r="V2" s="41">
        <v>0.31401119939982891</v>
      </c>
      <c r="W2" s="41">
        <v>3267835.2565359999</v>
      </c>
      <c r="X2" s="41">
        <v>1954504.5789440002</v>
      </c>
      <c r="Y2" s="41">
        <v>6717244</v>
      </c>
      <c r="Z2" s="41">
        <v>4966591.7756479997</v>
      </c>
      <c r="AA2" s="41">
        <v>3365335.106586</v>
      </c>
      <c r="AB2" s="41">
        <v>0</v>
      </c>
      <c r="AC2" s="41">
        <v>1594031.1993819994</v>
      </c>
      <c r="AD2" s="41">
        <v>24520553.824193995</v>
      </c>
      <c r="AE2" s="41">
        <v>12293826.7035092</v>
      </c>
      <c r="AF2" s="41">
        <v>62542921.804700702</v>
      </c>
      <c r="AG2" s="41">
        <v>3478.1517332002113</v>
      </c>
      <c r="AH2" s="41">
        <v>334783</v>
      </c>
      <c r="AI2" s="41">
        <v>1</v>
      </c>
      <c r="AJ2" s="41">
        <v>76976.688039999994</v>
      </c>
      <c r="AK2" s="41">
        <v>377736</v>
      </c>
      <c r="AL2" s="41">
        <v>5239202</v>
      </c>
      <c r="AM2" s="41">
        <v>4594224.7050890001</v>
      </c>
      <c r="AN2" s="41">
        <v>3009237.120652</v>
      </c>
      <c r="AO2" s="41">
        <v>678466.23363599996</v>
      </c>
      <c r="AP2" s="41">
        <v>0</v>
      </c>
      <c r="AQ2" s="41">
        <v>177870719</v>
      </c>
      <c r="AR2" s="41">
        <v>139922733.00578463</v>
      </c>
      <c r="AS2" s="41">
        <v>1940899258.2860847</v>
      </c>
    </row>
    <row r="3" spans="1:45">
      <c r="A3" s="276" t="s">
        <v>403</v>
      </c>
      <c r="B3" s="277"/>
      <c r="C3" s="41">
        <f>C2-C31</f>
        <v>38031767.508197203</v>
      </c>
      <c r="D3" s="41">
        <f t="shared" ref="D3:AS3" si="0">D2-D31</f>
        <v>25469902.61984</v>
      </c>
      <c r="E3" s="41">
        <f t="shared" si="0"/>
        <v>781471.25937009975</v>
      </c>
      <c r="F3" s="41">
        <f t="shared" si="0"/>
        <v>701</v>
      </c>
      <c r="G3" s="41">
        <f t="shared" si="0"/>
        <v>2340378.5930249998</v>
      </c>
      <c r="H3" s="41">
        <f t="shared" si="0"/>
        <v>0</v>
      </c>
      <c r="I3" s="41">
        <f t="shared" si="0"/>
        <v>1.064089999999851</v>
      </c>
      <c r="J3" s="41">
        <f t="shared" si="0"/>
        <v>15281837.003344797</v>
      </c>
      <c r="K3" s="41">
        <f t="shared" si="0"/>
        <v>4375622</v>
      </c>
      <c r="L3" s="41">
        <f t="shared" si="0"/>
        <v>1</v>
      </c>
      <c r="M3" s="41">
        <f t="shared" si="0"/>
        <v>1</v>
      </c>
      <c r="N3" s="41">
        <f t="shared" si="0"/>
        <v>275331</v>
      </c>
      <c r="O3" s="41">
        <f t="shared" si="0"/>
        <v>1199896</v>
      </c>
      <c r="P3" s="41">
        <f t="shared" si="0"/>
        <v>8460271.5355077833</v>
      </c>
      <c r="Q3" s="41">
        <f t="shared" si="0"/>
        <v>26667287.971190095</v>
      </c>
      <c r="R3" s="41">
        <f t="shared" si="0"/>
        <v>0.61786000058054924</v>
      </c>
      <c r="S3" s="41">
        <f t="shared" si="0"/>
        <v>4860496.0869009998</v>
      </c>
      <c r="T3" s="41">
        <f t="shared" si="0"/>
        <v>0</v>
      </c>
      <c r="U3" s="41">
        <f t="shared" si="0"/>
        <v>8678010.7342679016</v>
      </c>
      <c r="V3" s="41">
        <f t="shared" si="0"/>
        <v>0.31401119939982891</v>
      </c>
      <c r="W3" s="41">
        <f t="shared" si="0"/>
        <v>3260411.909008</v>
      </c>
      <c r="X3" s="41">
        <f t="shared" si="0"/>
        <v>305585.86483850051</v>
      </c>
      <c r="Y3" s="41">
        <f t="shared" si="0"/>
        <v>6717244</v>
      </c>
      <c r="Z3" s="41">
        <f t="shared" si="0"/>
        <v>4619066.6791411992</v>
      </c>
      <c r="AA3" s="41">
        <f t="shared" si="0"/>
        <v>3339501.5749320001</v>
      </c>
      <c r="AB3" s="41">
        <f t="shared" si="0"/>
        <v>0</v>
      </c>
      <c r="AC3" s="41">
        <f t="shared" si="0"/>
        <v>1594031.1993819994</v>
      </c>
      <c r="AD3" s="41">
        <f t="shared" si="0"/>
        <v>22433814.140720397</v>
      </c>
      <c r="AE3" s="41">
        <f t="shared" si="0"/>
        <v>11845716.188853201</v>
      </c>
      <c r="AF3" s="41">
        <f t="shared" si="0"/>
        <v>58720705.787183702</v>
      </c>
      <c r="AG3" s="41">
        <f t="shared" si="0"/>
        <v>3478.1517332002113</v>
      </c>
      <c r="AH3" s="41">
        <f t="shared" si="0"/>
        <v>334783</v>
      </c>
      <c r="AI3" s="41">
        <f t="shared" si="0"/>
        <v>1</v>
      </c>
      <c r="AJ3" s="41">
        <f t="shared" si="0"/>
        <v>76976.688039999994</v>
      </c>
      <c r="AK3" s="41">
        <f t="shared" si="0"/>
        <v>377736</v>
      </c>
      <c r="AL3" s="41">
        <f t="shared" si="0"/>
        <v>5239202</v>
      </c>
      <c r="AM3" s="41">
        <f t="shared" si="0"/>
        <v>4575976.8184850002</v>
      </c>
      <c r="AN3" s="41">
        <f t="shared" si="0"/>
        <v>3009237.120652</v>
      </c>
      <c r="AO3" s="41">
        <f t="shared" si="0"/>
        <v>664106.43114599993</v>
      </c>
      <c r="AP3" s="41">
        <f t="shared" si="0"/>
        <v>0</v>
      </c>
      <c r="AQ3" s="41">
        <f t="shared" si="0"/>
        <v>177870719</v>
      </c>
      <c r="AR3" s="41">
        <f t="shared" si="0"/>
        <v>124348320.72867364</v>
      </c>
      <c r="AS3" s="41">
        <f t="shared" si="0"/>
        <v>1202548759.1797376</v>
      </c>
    </row>
    <row r="4" spans="1:45" ht="111.6" customHeight="1">
      <c r="A4" s="43" t="s">
        <v>404</v>
      </c>
      <c r="B4" s="40"/>
      <c r="C4" s="40" t="s">
        <v>405</v>
      </c>
      <c r="D4" s="40" t="s">
        <v>406</v>
      </c>
      <c r="E4" s="44" t="s">
        <v>407</v>
      </c>
      <c r="F4" s="40" t="s">
        <v>408</v>
      </c>
      <c r="G4" s="40" t="s">
        <v>409</v>
      </c>
      <c r="H4" s="40" t="s">
        <v>410</v>
      </c>
      <c r="I4" s="40" t="s">
        <v>411</v>
      </c>
      <c r="J4" s="40" t="s">
        <v>412</v>
      </c>
      <c r="K4" s="44" t="s">
        <v>413</v>
      </c>
      <c r="L4" s="40" t="s">
        <v>414</v>
      </c>
      <c r="M4" s="40" t="s">
        <v>415</v>
      </c>
      <c r="N4" s="40" t="s">
        <v>416</v>
      </c>
      <c r="O4" s="40" t="s">
        <v>417</v>
      </c>
      <c r="P4" s="40" t="s">
        <v>418</v>
      </c>
      <c r="Q4" s="40" t="s">
        <v>419</v>
      </c>
      <c r="R4" s="40" t="s">
        <v>420</v>
      </c>
      <c r="S4" s="40" t="s">
        <v>421</v>
      </c>
      <c r="T4" s="44" t="s">
        <v>422</v>
      </c>
      <c r="U4" s="40" t="s">
        <v>423</v>
      </c>
      <c r="V4" s="40" t="s">
        <v>424</v>
      </c>
      <c r="W4" s="40" t="s">
        <v>425</v>
      </c>
      <c r="X4" s="40" t="s">
        <v>426</v>
      </c>
      <c r="Y4" s="40" t="s">
        <v>427</v>
      </c>
      <c r="Z4" s="40" t="s">
        <v>428</v>
      </c>
      <c r="AA4" s="40" t="s">
        <v>429</v>
      </c>
      <c r="AB4" s="40" t="s">
        <v>430</v>
      </c>
      <c r="AC4" s="40" t="s">
        <v>431</v>
      </c>
      <c r="AD4" s="40" t="s">
        <v>432</v>
      </c>
      <c r="AE4" s="40" t="s">
        <v>433</v>
      </c>
      <c r="AF4" s="40" t="s">
        <v>434</v>
      </c>
      <c r="AG4" s="40" t="s">
        <v>435</v>
      </c>
      <c r="AH4" s="40" t="s">
        <v>436</v>
      </c>
      <c r="AI4" s="40" t="s">
        <v>437</v>
      </c>
      <c r="AJ4" s="40" t="s">
        <v>438</v>
      </c>
      <c r="AK4" s="44" t="s">
        <v>439</v>
      </c>
      <c r="AL4" s="44" t="s">
        <v>440</v>
      </c>
      <c r="AM4" s="40" t="s">
        <v>441</v>
      </c>
      <c r="AN4" s="40" t="s">
        <v>442</v>
      </c>
      <c r="AO4" s="40" t="s">
        <v>443</v>
      </c>
      <c r="AP4" s="40" t="s">
        <v>444</v>
      </c>
      <c r="AQ4" s="40" t="s">
        <v>445</v>
      </c>
      <c r="AR4" s="40" t="s">
        <v>446</v>
      </c>
      <c r="AS4" s="40" t="s">
        <v>447</v>
      </c>
    </row>
    <row r="5" spans="1:45" ht="107.1" customHeight="1">
      <c r="A5" s="43"/>
      <c r="B5" s="40"/>
      <c r="C5" s="40" t="s">
        <v>108</v>
      </c>
      <c r="D5" s="40" t="s">
        <v>105</v>
      </c>
      <c r="E5" s="44"/>
      <c r="F5" s="40" t="s">
        <v>149</v>
      </c>
      <c r="G5" s="40" t="s">
        <v>150</v>
      </c>
      <c r="H5" s="40" t="s">
        <v>66</v>
      </c>
      <c r="I5" s="40" t="s">
        <v>46</v>
      </c>
      <c r="J5" s="40" t="s">
        <v>151</v>
      </c>
      <c r="K5" s="44"/>
      <c r="L5" s="40" t="s">
        <v>152</v>
      </c>
      <c r="M5" s="40" t="s">
        <v>87</v>
      </c>
      <c r="N5" s="40" t="s">
        <v>153</v>
      </c>
      <c r="O5" s="40" t="s">
        <v>93</v>
      </c>
      <c r="P5" s="40" t="s">
        <v>90</v>
      </c>
      <c r="Q5" s="40" t="s">
        <v>154</v>
      </c>
      <c r="R5" s="40" t="s">
        <v>39</v>
      </c>
      <c r="S5" s="40" t="s">
        <v>33</v>
      </c>
      <c r="T5" s="44"/>
      <c r="U5" s="40" t="s">
        <v>22</v>
      </c>
      <c r="V5" s="40" t="s">
        <v>18</v>
      </c>
      <c r="W5" s="40" t="s">
        <v>6</v>
      </c>
      <c r="X5" s="40" t="s">
        <v>155</v>
      </c>
      <c r="Y5" s="40" t="s">
        <v>156</v>
      </c>
      <c r="Z5" s="40" t="s">
        <v>157</v>
      </c>
      <c r="AA5" s="40" t="s">
        <v>9</v>
      </c>
      <c r="AB5" s="40" t="s">
        <v>16</v>
      </c>
      <c r="AC5" s="40" t="s">
        <v>20</v>
      </c>
      <c r="AD5" s="40" t="s">
        <v>36</v>
      </c>
      <c r="AE5" s="40" t="s">
        <v>27</v>
      </c>
      <c r="AF5" s="40" t="s">
        <v>13</v>
      </c>
      <c r="AG5" s="40" t="s">
        <v>158</v>
      </c>
      <c r="AH5" s="40" t="s">
        <v>449</v>
      </c>
      <c r="AI5" s="40" t="s">
        <v>450</v>
      </c>
      <c r="AJ5" s="40" t="s">
        <v>103</v>
      </c>
      <c r="AK5" s="44"/>
      <c r="AL5" s="44"/>
      <c r="AM5" s="40" t="s">
        <v>53</v>
      </c>
      <c r="AN5" s="40" t="s">
        <v>60</v>
      </c>
      <c r="AO5" s="40" t="s">
        <v>159</v>
      </c>
      <c r="AP5" s="40" t="s">
        <v>160</v>
      </c>
      <c r="AQ5" s="40"/>
      <c r="AR5" s="40"/>
      <c r="AS5" s="40"/>
    </row>
    <row r="6" spans="1:45">
      <c r="A6" t="s">
        <v>161</v>
      </c>
      <c r="B6" s="6">
        <v>4233100</v>
      </c>
      <c r="C6" s="47">
        <v>0</v>
      </c>
      <c r="D6" s="47">
        <v>0</v>
      </c>
      <c r="E6" s="47">
        <v>1536675.2767799997</v>
      </c>
      <c r="F6" s="47">
        <v>0</v>
      </c>
      <c r="G6" s="47">
        <v>0</v>
      </c>
      <c r="H6" s="47">
        <v>0</v>
      </c>
      <c r="I6" s="47">
        <v>0</v>
      </c>
      <c r="J6" s="47">
        <v>3279253.185873</v>
      </c>
      <c r="K6" s="47">
        <v>0</v>
      </c>
      <c r="L6" s="47">
        <v>0</v>
      </c>
      <c r="M6" s="47">
        <v>0</v>
      </c>
      <c r="N6" s="47">
        <v>0</v>
      </c>
      <c r="O6" s="47">
        <v>0</v>
      </c>
      <c r="P6" s="47">
        <v>29229452.060742002</v>
      </c>
      <c r="Q6" s="47">
        <v>10857469.007999999</v>
      </c>
      <c r="R6" s="47">
        <v>0</v>
      </c>
      <c r="S6" s="47">
        <v>0</v>
      </c>
      <c r="T6" s="47">
        <v>0</v>
      </c>
      <c r="U6" s="47">
        <v>276329.17224000004</v>
      </c>
      <c r="V6" s="47">
        <v>0</v>
      </c>
      <c r="W6" s="47">
        <v>0</v>
      </c>
      <c r="X6" s="47">
        <v>1489203.2515949998</v>
      </c>
      <c r="Y6" s="47">
        <v>0</v>
      </c>
      <c r="Z6" s="47">
        <v>145644.38496</v>
      </c>
      <c r="AA6" s="47">
        <v>0</v>
      </c>
      <c r="AB6" s="47">
        <v>0</v>
      </c>
      <c r="AC6" s="47">
        <v>0</v>
      </c>
      <c r="AD6" s="47">
        <v>738256.14550800005</v>
      </c>
      <c r="AE6" s="47">
        <v>0</v>
      </c>
      <c r="AF6" s="47">
        <v>3213149.8755900003</v>
      </c>
      <c r="AG6" s="47">
        <v>0</v>
      </c>
      <c r="AH6" s="47">
        <v>0</v>
      </c>
      <c r="AI6" s="47">
        <v>0</v>
      </c>
      <c r="AJ6" s="47">
        <v>0</v>
      </c>
      <c r="AK6" s="47">
        <v>0</v>
      </c>
      <c r="AL6" s="47">
        <v>0</v>
      </c>
      <c r="AM6" s="47">
        <v>0</v>
      </c>
      <c r="AN6" s="47">
        <v>0</v>
      </c>
      <c r="AO6" s="47">
        <v>3545.8480349999995</v>
      </c>
      <c r="AP6" s="47">
        <v>0</v>
      </c>
      <c r="AQ6" s="47"/>
      <c r="AR6" s="48">
        <v>4833435.2556990003</v>
      </c>
      <c r="AS6" s="48">
        <v>206909698.04212368</v>
      </c>
    </row>
    <row r="7" spans="1:45">
      <c r="A7" t="s">
        <v>162</v>
      </c>
      <c r="B7" s="6">
        <v>4213000</v>
      </c>
      <c r="C7" s="47">
        <v>0</v>
      </c>
      <c r="D7" s="47">
        <v>0</v>
      </c>
      <c r="E7" s="47">
        <v>0</v>
      </c>
      <c r="F7" s="47">
        <v>0</v>
      </c>
      <c r="G7" s="47">
        <v>0</v>
      </c>
      <c r="H7" s="47">
        <v>0</v>
      </c>
      <c r="I7" s="47">
        <v>0</v>
      </c>
      <c r="J7" s="47">
        <v>130299.1542549</v>
      </c>
      <c r="K7" s="47">
        <v>0</v>
      </c>
      <c r="L7" s="47">
        <v>0</v>
      </c>
      <c r="M7" s="47">
        <v>0</v>
      </c>
      <c r="N7" s="47">
        <v>0</v>
      </c>
      <c r="O7" s="47">
        <v>0</v>
      </c>
      <c r="P7" s="47">
        <v>438230.35898700001</v>
      </c>
      <c r="Q7" s="47">
        <v>0</v>
      </c>
      <c r="R7" s="47">
        <v>0</v>
      </c>
      <c r="S7" s="47">
        <v>0</v>
      </c>
      <c r="T7" s="47">
        <v>0</v>
      </c>
      <c r="U7" s="47">
        <v>0</v>
      </c>
      <c r="V7" s="47">
        <v>0</v>
      </c>
      <c r="W7" s="47">
        <v>0</v>
      </c>
      <c r="X7" s="47">
        <v>0</v>
      </c>
      <c r="Y7" s="47">
        <v>0</v>
      </c>
      <c r="Z7" s="47">
        <v>0</v>
      </c>
      <c r="AA7" s="47">
        <v>0</v>
      </c>
      <c r="AB7" s="47">
        <v>0</v>
      </c>
      <c r="AC7" s="47">
        <v>0</v>
      </c>
      <c r="AD7" s="47">
        <v>0</v>
      </c>
      <c r="AE7" s="47">
        <v>0</v>
      </c>
      <c r="AF7" s="47">
        <v>0</v>
      </c>
      <c r="AG7" s="47">
        <v>0</v>
      </c>
      <c r="AH7" s="47">
        <v>0</v>
      </c>
      <c r="AI7" s="47">
        <v>0</v>
      </c>
      <c r="AJ7" s="47">
        <v>0</v>
      </c>
      <c r="AK7" s="47">
        <v>0</v>
      </c>
      <c r="AL7" s="47">
        <v>0</v>
      </c>
      <c r="AM7" s="47">
        <v>0</v>
      </c>
      <c r="AN7" s="47">
        <v>0</v>
      </c>
      <c r="AO7" s="47">
        <v>0</v>
      </c>
      <c r="AP7" s="47">
        <v>0</v>
      </c>
      <c r="AQ7" s="47"/>
      <c r="AR7" s="48">
        <v>1108789.620717</v>
      </c>
      <c r="AS7" s="48">
        <v>60305339.127855159</v>
      </c>
    </row>
    <row r="8" spans="1:45">
      <c r="A8" t="s">
        <v>163</v>
      </c>
      <c r="B8" s="6">
        <v>4211200</v>
      </c>
      <c r="C8" s="47">
        <v>0</v>
      </c>
      <c r="D8" s="47">
        <v>0</v>
      </c>
      <c r="E8" s="47">
        <v>0</v>
      </c>
      <c r="F8" s="47">
        <v>0</v>
      </c>
      <c r="G8" s="47">
        <v>0</v>
      </c>
      <c r="H8" s="47">
        <v>0</v>
      </c>
      <c r="I8" s="47">
        <v>0</v>
      </c>
      <c r="J8" s="47">
        <v>83290.382648999992</v>
      </c>
      <c r="K8" s="47">
        <v>0</v>
      </c>
      <c r="L8" s="47">
        <v>0</v>
      </c>
      <c r="M8" s="47">
        <v>0</v>
      </c>
      <c r="N8" s="47">
        <v>0</v>
      </c>
      <c r="O8" s="47">
        <v>0</v>
      </c>
      <c r="P8" s="47">
        <v>352044.02403239999</v>
      </c>
      <c r="Q8" s="47">
        <v>0</v>
      </c>
      <c r="R8" s="47">
        <v>0</v>
      </c>
      <c r="S8" s="47">
        <v>0</v>
      </c>
      <c r="T8" s="47">
        <v>0</v>
      </c>
      <c r="U8" s="47">
        <v>0</v>
      </c>
      <c r="V8" s="47">
        <v>0</v>
      </c>
      <c r="W8" s="47">
        <v>0</v>
      </c>
      <c r="X8" s="47">
        <v>0</v>
      </c>
      <c r="Y8" s="47">
        <v>0</v>
      </c>
      <c r="Z8" s="47">
        <v>0</v>
      </c>
      <c r="AA8" s="47">
        <v>0</v>
      </c>
      <c r="AB8" s="47">
        <v>0</v>
      </c>
      <c r="AC8" s="47">
        <v>0</v>
      </c>
      <c r="AD8" s="47">
        <v>0</v>
      </c>
      <c r="AE8" s="47">
        <v>0</v>
      </c>
      <c r="AF8" s="47">
        <v>0</v>
      </c>
      <c r="AG8" s="47">
        <v>0</v>
      </c>
      <c r="AH8" s="47">
        <v>0</v>
      </c>
      <c r="AI8" s="47">
        <v>0</v>
      </c>
      <c r="AJ8" s="47">
        <v>0</v>
      </c>
      <c r="AK8" s="47">
        <v>0</v>
      </c>
      <c r="AL8" s="47">
        <v>0</v>
      </c>
      <c r="AM8" s="47">
        <v>0</v>
      </c>
      <c r="AN8" s="47">
        <v>0</v>
      </c>
      <c r="AO8" s="47">
        <v>0</v>
      </c>
      <c r="AP8" s="47">
        <v>0</v>
      </c>
      <c r="AQ8" s="47"/>
      <c r="AR8" s="48">
        <v>672616.20641099999</v>
      </c>
      <c r="AS8" s="48">
        <v>15596208.395134956</v>
      </c>
    </row>
    <row r="9" spans="1:45">
      <c r="A9" t="s">
        <v>477</v>
      </c>
      <c r="B9" s="6"/>
      <c r="C9" s="47">
        <v>0</v>
      </c>
      <c r="D9" s="47">
        <v>0</v>
      </c>
      <c r="E9" s="47">
        <v>0</v>
      </c>
      <c r="F9" s="47">
        <v>0</v>
      </c>
      <c r="G9" s="47">
        <v>0</v>
      </c>
      <c r="H9" s="47">
        <v>0</v>
      </c>
      <c r="I9" s="47">
        <v>0</v>
      </c>
      <c r="J9" s="47">
        <v>0</v>
      </c>
      <c r="K9" s="47">
        <v>0</v>
      </c>
      <c r="L9" s="47">
        <v>0</v>
      </c>
      <c r="M9" s="47">
        <v>0</v>
      </c>
      <c r="N9" s="47">
        <v>0</v>
      </c>
      <c r="O9" s="47">
        <v>0</v>
      </c>
      <c r="P9" s="47">
        <v>0</v>
      </c>
      <c r="Q9" s="47">
        <v>0</v>
      </c>
      <c r="R9" s="47">
        <v>0</v>
      </c>
      <c r="S9" s="47">
        <v>0</v>
      </c>
      <c r="T9" s="47">
        <v>0</v>
      </c>
      <c r="U9" s="47">
        <v>0</v>
      </c>
      <c r="V9" s="47">
        <v>0</v>
      </c>
      <c r="W9" s="47">
        <v>0</v>
      </c>
      <c r="X9" s="47">
        <v>0</v>
      </c>
      <c r="Y9" s="47">
        <v>0</v>
      </c>
      <c r="Z9" s="47">
        <v>0</v>
      </c>
      <c r="AA9" s="47">
        <v>0</v>
      </c>
      <c r="AB9" s="47">
        <v>0</v>
      </c>
      <c r="AC9" s="47">
        <v>0</v>
      </c>
      <c r="AD9" s="47">
        <v>0</v>
      </c>
      <c r="AE9" s="47">
        <v>0</v>
      </c>
      <c r="AF9" s="47">
        <v>0</v>
      </c>
      <c r="AG9" s="47">
        <v>0</v>
      </c>
      <c r="AH9" s="47">
        <v>0</v>
      </c>
      <c r="AI9" s="47">
        <v>0</v>
      </c>
      <c r="AJ9" s="47">
        <v>0</v>
      </c>
      <c r="AK9" s="47">
        <v>0</v>
      </c>
      <c r="AL9" s="47">
        <v>0</v>
      </c>
      <c r="AM9" s="47">
        <v>0</v>
      </c>
      <c r="AN9" s="47">
        <v>0</v>
      </c>
      <c r="AO9" s="47">
        <v>0</v>
      </c>
      <c r="AP9" s="47">
        <v>0</v>
      </c>
      <c r="AQ9" s="47"/>
      <c r="AR9" s="48">
        <v>0</v>
      </c>
      <c r="AS9" s="48">
        <v>7798104.1975674778</v>
      </c>
    </row>
    <row r="10" spans="1:45">
      <c r="A10" t="s">
        <v>478</v>
      </c>
      <c r="B10" s="6">
        <v>4222119</v>
      </c>
      <c r="C10" s="47">
        <v>0</v>
      </c>
      <c r="D10" s="47">
        <v>0</v>
      </c>
      <c r="E10" s="47">
        <v>268918.17343649996</v>
      </c>
      <c r="F10" s="47">
        <v>0</v>
      </c>
      <c r="G10" s="47">
        <v>0</v>
      </c>
      <c r="H10" s="47">
        <v>0</v>
      </c>
      <c r="I10" s="47">
        <v>0</v>
      </c>
      <c r="J10" s="47">
        <v>1018637.3458806</v>
      </c>
      <c r="K10" s="47">
        <v>0</v>
      </c>
      <c r="L10" s="47">
        <v>0</v>
      </c>
      <c r="M10" s="47">
        <v>0</v>
      </c>
      <c r="N10" s="47">
        <v>0</v>
      </c>
      <c r="O10" s="47">
        <v>0</v>
      </c>
      <c r="P10" s="47">
        <v>391088.80919100007</v>
      </c>
      <c r="Q10" s="47">
        <v>61861.229400000011</v>
      </c>
      <c r="R10" s="47">
        <v>0</v>
      </c>
      <c r="S10" s="47">
        <v>0</v>
      </c>
      <c r="T10" s="47">
        <v>0</v>
      </c>
      <c r="U10" s="47">
        <v>0</v>
      </c>
      <c r="V10" s="47">
        <v>0</v>
      </c>
      <c r="W10" s="47">
        <v>0</v>
      </c>
      <c r="X10" s="47">
        <v>40353.867562500003</v>
      </c>
      <c r="Y10" s="47">
        <v>0</v>
      </c>
      <c r="Z10" s="47">
        <v>50975.534735999994</v>
      </c>
      <c r="AA10" s="47">
        <v>0</v>
      </c>
      <c r="AB10" s="47">
        <v>0</v>
      </c>
      <c r="AC10" s="47">
        <v>0</v>
      </c>
      <c r="AD10" s="47">
        <v>97933.147340399999</v>
      </c>
      <c r="AE10" s="47">
        <v>0</v>
      </c>
      <c r="AF10" s="47">
        <v>22047.765543000005</v>
      </c>
      <c r="AG10" s="47">
        <v>0</v>
      </c>
      <c r="AH10" s="47">
        <v>0</v>
      </c>
      <c r="AI10" s="47">
        <v>0</v>
      </c>
      <c r="AJ10" s="47">
        <v>0</v>
      </c>
      <c r="AK10" s="47">
        <v>0</v>
      </c>
      <c r="AL10" s="47">
        <v>0</v>
      </c>
      <c r="AM10" s="47">
        <v>0</v>
      </c>
      <c r="AN10" s="47">
        <v>0</v>
      </c>
      <c r="AO10" s="47">
        <v>0</v>
      </c>
      <c r="AP10" s="47">
        <v>0</v>
      </c>
      <c r="AQ10" s="47"/>
      <c r="AR10" s="48">
        <v>914630.03736900003</v>
      </c>
      <c r="AS10" s="48">
        <v>46398719.975526489</v>
      </c>
    </row>
    <row r="11" spans="1:45">
      <c r="A11" t="s">
        <v>479</v>
      </c>
      <c r="B11" s="6">
        <v>4222120</v>
      </c>
      <c r="C11" s="47">
        <v>0</v>
      </c>
      <c r="D11" s="47">
        <v>0</v>
      </c>
      <c r="E11" s="47">
        <v>0</v>
      </c>
      <c r="F11" s="47">
        <v>0</v>
      </c>
      <c r="G11" s="47">
        <v>0</v>
      </c>
      <c r="H11" s="47">
        <v>0</v>
      </c>
      <c r="I11" s="47">
        <v>0</v>
      </c>
      <c r="J11" s="47">
        <v>755136.8518995</v>
      </c>
      <c r="K11" s="47">
        <v>0</v>
      </c>
      <c r="L11" s="47">
        <v>0</v>
      </c>
      <c r="M11" s="47">
        <v>0</v>
      </c>
      <c r="N11" s="47">
        <v>0</v>
      </c>
      <c r="O11" s="47">
        <v>0</v>
      </c>
      <c r="P11" s="47">
        <v>1297618.0832880002</v>
      </c>
      <c r="Q11" s="47">
        <v>0</v>
      </c>
      <c r="R11" s="47">
        <v>0</v>
      </c>
      <c r="S11" s="47">
        <v>0</v>
      </c>
      <c r="T11" s="47">
        <v>0</v>
      </c>
      <c r="U11" s="47">
        <v>0</v>
      </c>
      <c r="V11" s="47">
        <v>0</v>
      </c>
      <c r="W11" s="47">
        <v>0</v>
      </c>
      <c r="X11" s="47">
        <v>32283.094049999996</v>
      </c>
      <c r="Y11" s="47">
        <v>0</v>
      </c>
      <c r="Z11" s="47">
        <v>14564.438495999999</v>
      </c>
      <c r="AA11" s="47">
        <v>0</v>
      </c>
      <c r="AB11" s="47">
        <v>0</v>
      </c>
      <c r="AC11" s="47">
        <v>0</v>
      </c>
      <c r="AD11" s="47">
        <v>120537.663948</v>
      </c>
      <c r="AE11" s="47">
        <v>0</v>
      </c>
      <c r="AF11" s="47">
        <v>12638.037473999999</v>
      </c>
      <c r="AG11" s="47">
        <v>0</v>
      </c>
      <c r="AH11" s="47">
        <v>0</v>
      </c>
      <c r="AI11" s="47">
        <v>0</v>
      </c>
      <c r="AJ11" s="47">
        <v>0</v>
      </c>
      <c r="AK11" s="47">
        <v>0</v>
      </c>
      <c r="AL11" s="47">
        <v>0</v>
      </c>
      <c r="AM11" s="47">
        <v>0</v>
      </c>
      <c r="AN11" s="47">
        <v>0</v>
      </c>
      <c r="AO11" s="47">
        <v>0</v>
      </c>
      <c r="AP11" s="47">
        <v>0</v>
      </c>
      <c r="AQ11" s="47"/>
      <c r="AR11" s="48">
        <v>569178.585723</v>
      </c>
      <c r="AS11" s="48">
        <v>38860552.584544599</v>
      </c>
    </row>
    <row r="12" spans="1:45">
      <c r="A12" t="s">
        <v>480</v>
      </c>
      <c r="B12" s="6">
        <v>4222122</v>
      </c>
      <c r="C12" s="47">
        <v>0</v>
      </c>
      <c r="D12" s="47">
        <v>0</v>
      </c>
      <c r="E12" s="47">
        <v>0</v>
      </c>
      <c r="F12" s="47">
        <v>0</v>
      </c>
      <c r="G12" s="47">
        <v>0</v>
      </c>
      <c r="H12" s="47">
        <v>0</v>
      </c>
      <c r="I12" s="47">
        <v>0</v>
      </c>
      <c r="J12" s="47">
        <v>694713.13163820002</v>
      </c>
      <c r="K12" s="47">
        <v>0</v>
      </c>
      <c r="L12" s="47">
        <v>0</v>
      </c>
      <c r="M12" s="47">
        <v>0</v>
      </c>
      <c r="N12" s="47">
        <v>0</v>
      </c>
      <c r="O12" s="47">
        <v>0</v>
      </c>
      <c r="P12" s="47">
        <v>1857259.9254899998</v>
      </c>
      <c r="Q12" s="47">
        <v>0</v>
      </c>
      <c r="R12" s="47">
        <v>0</v>
      </c>
      <c r="S12" s="47">
        <v>28698.435738000007</v>
      </c>
      <c r="T12" s="47">
        <v>0</v>
      </c>
      <c r="U12" s="47">
        <v>0</v>
      </c>
      <c r="V12" s="47">
        <v>0</v>
      </c>
      <c r="W12" s="47">
        <v>0</v>
      </c>
      <c r="X12" s="47">
        <v>32283.094049999996</v>
      </c>
      <c r="Y12" s="47">
        <v>0</v>
      </c>
      <c r="Z12" s="47">
        <v>0</v>
      </c>
      <c r="AA12" s="47">
        <v>0</v>
      </c>
      <c r="AB12" s="47">
        <v>0</v>
      </c>
      <c r="AC12" s="47">
        <v>0</v>
      </c>
      <c r="AD12" s="47">
        <v>99436.163522400006</v>
      </c>
      <c r="AE12" s="47">
        <v>0</v>
      </c>
      <c r="AF12" s="47">
        <v>150996.674979</v>
      </c>
      <c r="AG12" s="47">
        <v>0</v>
      </c>
      <c r="AH12" s="47">
        <v>0</v>
      </c>
      <c r="AI12" s="47">
        <v>0</v>
      </c>
      <c r="AJ12" s="47">
        <v>0</v>
      </c>
      <c r="AK12" s="47">
        <v>0</v>
      </c>
      <c r="AL12" s="47">
        <v>0</v>
      </c>
      <c r="AM12" s="47">
        <v>0</v>
      </c>
      <c r="AN12" s="47">
        <v>0</v>
      </c>
      <c r="AO12" s="47">
        <v>0</v>
      </c>
      <c r="AP12" s="47">
        <v>0</v>
      </c>
      <c r="AQ12" s="47"/>
      <c r="AR12" s="48">
        <v>569178.585723</v>
      </c>
      <c r="AS12" s="48">
        <v>34441626.872589692</v>
      </c>
    </row>
    <row r="13" spans="1:45">
      <c r="A13" t="s">
        <v>481</v>
      </c>
      <c r="B13" s="6">
        <v>4222125</v>
      </c>
      <c r="C13" s="47">
        <v>0</v>
      </c>
      <c r="D13" s="47">
        <v>0</v>
      </c>
      <c r="E13" s="47">
        <v>0</v>
      </c>
      <c r="F13" s="47">
        <v>0</v>
      </c>
      <c r="G13" s="47">
        <v>0</v>
      </c>
      <c r="H13" s="47">
        <v>0</v>
      </c>
      <c r="I13" s="47">
        <v>0</v>
      </c>
      <c r="J13" s="47">
        <v>119701.47888900001</v>
      </c>
      <c r="K13" s="47">
        <v>0</v>
      </c>
      <c r="L13" s="47">
        <v>0</v>
      </c>
      <c r="M13" s="47">
        <v>0</v>
      </c>
      <c r="N13" s="47">
        <v>0</v>
      </c>
      <c r="O13" s="47">
        <v>0</v>
      </c>
      <c r="P13" s="47">
        <v>209908.79375460002</v>
      </c>
      <c r="Q13" s="47">
        <v>0</v>
      </c>
      <c r="R13" s="47">
        <v>0</v>
      </c>
      <c r="S13" s="47">
        <v>0</v>
      </c>
      <c r="T13" s="47">
        <v>0</v>
      </c>
      <c r="U13" s="47">
        <v>9210.9724080000015</v>
      </c>
      <c r="V13" s="47">
        <v>0</v>
      </c>
      <c r="W13" s="47">
        <v>0</v>
      </c>
      <c r="X13" s="47">
        <v>0</v>
      </c>
      <c r="Y13" s="47">
        <v>0</v>
      </c>
      <c r="Z13" s="47">
        <v>0</v>
      </c>
      <c r="AA13" s="47">
        <v>0</v>
      </c>
      <c r="AB13" s="47">
        <v>0</v>
      </c>
      <c r="AC13" s="47">
        <v>0</v>
      </c>
      <c r="AD13" s="47">
        <v>67813.549822800007</v>
      </c>
      <c r="AE13" s="47">
        <v>0</v>
      </c>
      <c r="AF13" s="47">
        <v>18957.056210999996</v>
      </c>
      <c r="AG13" s="47">
        <v>0</v>
      </c>
      <c r="AH13" s="47">
        <v>0</v>
      </c>
      <c r="AI13" s="47">
        <v>0</v>
      </c>
      <c r="AJ13" s="47">
        <v>0</v>
      </c>
      <c r="AK13" s="47">
        <v>0</v>
      </c>
      <c r="AL13" s="47">
        <v>0</v>
      </c>
      <c r="AM13" s="47">
        <v>0</v>
      </c>
      <c r="AN13" s="47">
        <v>0</v>
      </c>
      <c r="AO13" s="47">
        <v>0</v>
      </c>
      <c r="AP13" s="47">
        <v>0</v>
      </c>
      <c r="AQ13" s="47"/>
      <c r="AR13" s="48">
        <v>569178.585723</v>
      </c>
      <c r="AS13" s="48">
        <v>9487693.4403737653</v>
      </c>
    </row>
    <row r="14" spans="1:45">
      <c r="A14" t="s">
        <v>482</v>
      </c>
      <c r="B14" s="6">
        <v>4222124</v>
      </c>
      <c r="C14" s="47">
        <v>0</v>
      </c>
      <c r="D14" s="47">
        <v>0</v>
      </c>
      <c r="E14" s="47">
        <v>384168.81919499993</v>
      </c>
      <c r="F14" s="47">
        <v>0</v>
      </c>
      <c r="G14" s="47">
        <v>0</v>
      </c>
      <c r="H14" s="47">
        <v>0</v>
      </c>
      <c r="I14" s="47">
        <v>0</v>
      </c>
      <c r="J14" s="47">
        <v>608199.37907399994</v>
      </c>
      <c r="K14" s="47">
        <v>0</v>
      </c>
      <c r="L14" s="47">
        <v>0</v>
      </c>
      <c r="M14" s="47">
        <v>0</v>
      </c>
      <c r="N14" s="47">
        <v>0</v>
      </c>
      <c r="O14" s="47">
        <v>0</v>
      </c>
      <c r="P14" s="47">
        <v>712014.04748339998</v>
      </c>
      <c r="Q14" s="47">
        <v>0</v>
      </c>
      <c r="R14" s="47">
        <v>0</v>
      </c>
      <c r="S14" s="47">
        <v>0</v>
      </c>
      <c r="T14" s="47">
        <v>0</v>
      </c>
      <c r="U14" s="47">
        <v>13816.458612</v>
      </c>
      <c r="V14" s="47">
        <v>0</v>
      </c>
      <c r="W14" s="47">
        <v>0</v>
      </c>
      <c r="X14" s="47">
        <v>2634.3945599999997</v>
      </c>
      <c r="Y14" s="47">
        <v>0</v>
      </c>
      <c r="Z14" s="47">
        <v>0</v>
      </c>
      <c r="AA14" s="47">
        <v>0</v>
      </c>
      <c r="AB14" s="47">
        <v>0</v>
      </c>
      <c r="AC14" s="47">
        <v>0</v>
      </c>
      <c r="AD14" s="47">
        <v>83624.856672599999</v>
      </c>
      <c r="AE14" s="47">
        <v>0</v>
      </c>
      <c r="AF14" s="47">
        <v>234742.19633099996</v>
      </c>
      <c r="AG14" s="47">
        <v>0</v>
      </c>
      <c r="AH14" s="47">
        <v>0</v>
      </c>
      <c r="AI14" s="47">
        <v>0</v>
      </c>
      <c r="AJ14" s="47">
        <v>0</v>
      </c>
      <c r="AK14" s="47">
        <v>0</v>
      </c>
      <c r="AL14" s="47">
        <v>0</v>
      </c>
      <c r="AM14" s="47">
        <v>0</v>
      </c>
      <c r="AN14" s="47">
        <v>0</v>
      </c>
      <c r="AO14" s="47">
        <v>2363.8986900000004</v>
      </c>
      <c r="AP14" s="47">
        <v>0</v>
      </c>
      <c r="AQ14" s="47"/>
      <c r="AR14" s="48">
        <v>569178.585723</v>
      </c>
      <c r="AS14" s="48">
        <v>31192416.790269911</v>
      </c>
    </row>
    <row r="15" spans="1:45">
      <c r="A15" t="s">
        <v>483</v>
      </c>
      <c r="B15" s="6">
        <v>4222138</v>
      </c>
      <c r="C15" s="47">
        <v>0</v>
      </c>
      <c r="D15" s="47">
        <v>0</v>
      </c>
      <c r="E15" s="47">
        <v>0</v>
      </c>
      <c r="F15" s="47">
        <v>0</v>
      </c>
      <c r="G15" s="47">
        <v>0</v>
      </c>
      <c r="H15" s="47">
        <v>0</v>
      </c>
      <c r="I15" s="47">
        <v>0</v>
      </c>
      <c r="J15" s="47">
        <v>0</v>
      </c>
      <c r="K15" s="47">
        <v>0</v>
      </c>
      <c r="L15" s="47">
        <v>0</v>
      </c>
      <c r="M15" s="47">
        <v>0</v>
      </c>
      <c r="N15" s="47">
        <v>0</v>
      </c>
      <c r="O15" s="47">
        <v>0</v>
      </c>
      <c r="P15" s="47">
        <v>0</v>
      </c>
      <c r="Q15" s="47">
        <v>154653.0735</v>
      </c>
      <c r="R15" s="47">
        <v>0</v>
      </c>
      <c r="S15" s="47">
        <v>0</v>
      </c>
      <c r="T15" s="47">
        <v>0</v>
      </c>
      <c r="U15" s="47">
        <v>0</v>
      </c>
      <c r="V15" s="47">
        <v>0</v>
      </c>
      <c r="W15" s="47">
        <v>0</v>
      </c>
      <c r="X15" s="47">
        <v>0</v>
      </c>
      <c r="Y15" s="47">
        <v>0</v>
      </c>
      <c r="Z15" s="47">
        <v>114494.08057080003</v>
      </c>
      <c r="AA15" s="47">
        <v>0</v>
      </c>
      <c r="AB15" s="47">
        <v>0</v>
      </c>
      <c r="AC15" s="47">
        <v>0</v>
      </c>
      <c r="AD15" s="47">
        <v>120537.663948</v>
      </c>
      <c r="AE15" s="47">
        <v>0</v>
      </c>
      <c r="AF15" s="47">
        <v>139700.53223400001</v>
      </c>
      <c r="AG15" s="47">
        <v>0</v>
      </c>
      <c r="AH15" s="47">
        <v>0</v>
      </c>
      <c r="AI15" s="47">
        <v>0</v>
      </c>
      <c r="AJ15" s="47">
        <v>0</v>
      </c>
      <c r="AK15" s="47">
        <v>0</v>
      </c>
      <c r="AL15" s="47">
        <v>0</v>
      </c>
      <c r="AM15" s="47">
        <v>0</v>
      </c>
      <c r="AN15" s="47">
        <v>0</v>
      </c>
      <c r="AO15" s="47">
        <v>0</v>
      </c>
      <c r="AP15" s="47">
        <v>0</v>
      </c>
      <c r="AQ15" s="47"/>
      <c r="AR15" s="48">
        <v>702230.79989999998</v>
      </c>
      <c r="AS15" s="48">
        <v>50297772.074310236</v>
      </c>
    </row>
    <row r="16" spans="1:45">
      <c r="A16" t="s">
        <v>484</v>
      </c>
      <c r="B16" s="6">
        <v>4222121</v>
      </c>
      <c r="C16" s="47">
        <v>0</v>
      </c>
      <c r="D16" s="47">
        <v>0</v>
      </c>
      <c r="E16" s="47">
        <v>0</v>
      </c>
      <c r="F16" s="47">
        <v>0</v>
      </c>
      <c r="G16" s="47">
        <v>0</v>
      </c>
      <c r="H16" s="47">
        <v>0</v>
      </c>
      <c r="I16" s="47">
        <v>0</v>
      </c>
      <c r="J16" s="47">
        <v>0</v>
      </c>
      <c r="K16" s="47">
        <v>0</v>
      </c>
      <c r="L16" s="47">
        <v>0</v>
      </c>
      <c r="M16" s="47">
        <v>0</v>
      </c>
      <c r="N16" s="47">
        <v>0</v>
      </c>
      <c r="O16" s="47">
        <v>0</v>
      </c>
      <c r="P16" s="47">
        <v>287287.78318200004</v>
      </c>
      <c r="Q16" s="47">
        <v>0</v>
      </c>
      <c r="R16" s="47">
        <v>0</v>
      </c>
      <c r="S16" s="47">
        <v>0</v>
      </c>
      <c r="T16" s="47">
        <v>0</v>
      </c>
      <c r="U16" s="47">
        <v>0</v>
      </c>
      <c r="V16" s="47">
        <v>0</v>
      </c>
      <c r="W16" s="47">
        <v>0</v>
      </c>
      <c r="X16" s="47">
        <v>0</v>
      </c>
      <c r="Y16" s="47">
        <v>0</v>
      </c>
      <c r="Z16" s="47">
        <v>0</v>
      </c>
      <c r="AA16" s="47">
        <v>0</v>
      </c>
      <c r="AB16" s="47">
        <v>0</v>
      </c>
      <c r="AC16" s="47">
        <v>0</v>
      </c>
      <c r="AD16" s="47">
        <v>0</v>
      </c>
      <c r="AE16" s="47">
        <v>0</v>
      </c>
      <c r="AF16" s="47">
        <v>0</v>
      </c>
      <c r="AG16" s="47">
        <v>0</v>
      </c>
      <c r="AH16" s="47">
        <v>0</v>
      </c>
      <c r="AI16" s="47">
        <v>0</v>
      </c>
      <c r="AJ16" s="47">
        <v>0</v>
      </c>
      <c r="AK16" s="47">
        <v>0</v>
      </c>
      <c r="AL16" s="47">
        <v>0</v>
      </c>
      <c r="AM16" s="47">
        <v>0</v>
      </c>
      <c r="AN16" s="47">
        <v>0</v>
      </c>
      <c r="AO16" s="47">
        <v>0</v>
      </c>
      <c r="AP16" s="47">
        <v>0</v>
      </c>
      <c r="AQ16" s="47"/>
      <c r="AR16" s="48">
        <v>569178.585723</v>
      </c>
      <c r="AS16" s="48">
        <v>53676950.559922799</v>
      </c>
    </row>
    <row r="17" spans="1:45">
      <c r="A17" t="s">
        <v>172</v>
      </c>
      <c r="B17" s="6">
        <v>4222135</v>
      </c>
      <c r="C17" s="47">
        <v>0</v>
      </c>
      <c r="D17" s="47">
        <v>0</v>
      </c>
      <c r="E17" s="47">
        <v>0</v>
      </c>
      <c r="F17" s="47">
        <v>0</v>
      </c>
      <c r="G17" s="47">
        <v>0</v>
      </c>
      <c r="H17" s="47">
        <v>0</v>
      </c>
      <c r="I17" s="47">
        <v>0</v>
      </c>
      <c r="J17" s="47">
        <v>0</v>
      </c>
      <c r="K17" s="47">
        <v>0</v>
      </c>
      <c r="L17" s="47">
        <v>0</v>
      </c>
      <c r="M17" s="47">
        <v>0</v>
      </c>
      <c r="N17" s="47">
        <v>0</v>
      </c>
      <c r="O17" s="47">
        <v>0</v>
      </c>
      <c r="P17" s="47">
        <v>172372.66990919999</v>
      </c>
      <c r="Q17" s="47">
        <v>0</v>
      </c>
      <c r="R17" s="47">
        <v>0</v>
      </c>
      <c r="S17" s="47">
        <v>0</v>
      </c>
      <c r="T17" s="47">
        <v>0</v>
      </c>
      <c r="U17" s="47">
        <v>0</v>
      </c>
      <c r="V17" s="47">
        <v>0</v>
      </c>
      <c r="W17" s="47">
        <v>0</v>
      </c>
      <c r="X17" s="47">
        <v>0</v>
      </c>
      <c r="Y17" s="47">
        <v>0</v>
      </c>
      <c r="Z17" s="47">
        <v>0</v>
      </c>
      <c r="AA17" s="47">
        <v>0</v>
      </c>
      <c r="AB17" s="47">
        <v>0</v>
      </c>
      <c r="AC17" s="47">
        <v>0</v>
      </c>
      <c r="AD17" s="47">
        <v>0</v>
      </c>
      <c r="AE17" s="47">
        <v>0</v>
      </c>
      <c r="AF17" s="47">
        <v>0</v>
      </c>
      <c r="AG17" s="47">
        <v>0</v>
      </c>
      <c r="AH17" s="47">
        <v>0</v>
      </c>
      <c r="AI17" s="47">
        <v>0</v>
      </c>
      <c r="AJ17" s="47">
        <v>0</v>
      </c>
      <c r="AK17" s="47">
        <v>0</v>
      </c>
      <c r="AL17" s="47">
        <v>0</v>
      </c>
      <c r="AM17" s="47">
        <v>0</v>
      </c>
      <c r="AN17" s="47">
        <v>0</v>
      </c>
      <c r="AO17" s="47">
        <v>0</v>
      </c>
      <c r="AP17" s="47">
        <v>0</v>
      </c>
      <c r="AQ17" s="47"/>
      <c r="AR17" s="48">
        <v>387508.855155</v>
      </c>
      <c r="AS17" s="48">
        <v>7798104.1975674778</v>
      </c>
    </row>
    <row r="18" spans="1:45">
      <c r="A18" t="s">
        <v>485</v>
      </c>
      <c r="B18" s="6">
        <v>4222102</v>
      </c>
      <c r="C18" s="47">
        <v>0</v>
      </c>
      <c r="D18" s="47">
        <v>0</v>
      </c>
      <c r="E18" s="47">
        <v>76833.763838999992</v>
      </c>
      <c r="F18" s="47">
        <v>0</v>
      </c>
      <c r="G18" s="47">
        <v>0</v>
      </c>
      <c r="H18" s="47">
        <v>0</v>
      </c>
      <c r="I18" s="47">
        <v>0</v>
      </c>
      <c r="J18" s="47">
        <v>0</v>
      </c>
      <c r="K18" s="47">
        <v>0</v>
      </c>
      <c r="L18" s="47">
        <v>0</v>
      </c>
      <c r="M18" s="47">
        <v>0</v>
      </c>
      <c r="N18" s="47">
        <v>0</v>
      </c>
      <c r="O18" s="47">
        <v>0</v>
      </c>
      <c r="P18" s="47">
        <v>282519.99945600005</v>
      </c>
      <c r="Q18" s="47">
        <v>0</v>
      </c>
      <c r="R18" s="47">
        <v>0</v>
      </c>
      <c r="S18" s="47">
        <v>0</v>
      </c>
      <c r="T18" s="47">
        <v>0</v>
      </c>
      <c r="U18" s="47">
        <v>0</v>
      </c>
      <c r="V18" s="47">
        <v>0</v>
      </c>
      <c r="W18" s="47">
        <v>7423.3475280000002</v>
      </c>
      <c r="X18" s="47">
        <v>15806.367359999998</v>
      </c>
      <c r="Y18" s="47">
        <v>0</v>
      </c>
      <c r="Z18" s="47">
        <v>21846.657743999996</v>
      </c>
      <c r="AA18" s="47">
        <v>11071.513565999996</v>
      </c>
      <c r="AB18" s="47">
        <v>0</v>
      </c>
      <c r="AC18" s="47">
        <v>0</v>
      </c>
      <c r="AD18" s="47">
        <v>128052.74485800001</v>
      </c>
      <c r="AE18" s="47">
        <v>0</v>
      </c>
      <c r="AF18" s="47">
        <v>0</v>
      </c>
      <c r="AG18" s="47">
        <v>0</v>
      </c>
      <c r="AH18" s="47">
        <v>0</v>
      </c>
      <c r="AI18" s="47">
        <v>0</v>
      </c>
      <c r="AJ18" s="47">
        <v>0</v>
      </c>
      <c r="AK18" s="47">
        <v>0</v>
      </c>
      <c r="AL18" s="47">
        <v>0</v>
      </c>
      <c r="AM18" s="47">
        <v>0</v>
      </c>
      <c r="AN18" s="47">
        <v>0</v>
      </c>
      <c r="AO18" s="47">
        <v>0</v>
      </c>
      <c r="AP18" s="47">
        <v>0</v>
      </c>
      <c r="AQ18" s="47"/>
      <c r="AR18" s="48">
        <v>267518.06329199998</v>
      </c>
      <c r="AS18" s="48">
        <v>7148262.1811035201</v>
      </c>
    </row>
    <row r="19" spans="1:45">
      <c r="A19" t="s">
        <v>486</v>
      </c>
      <c r="B19" s="6">
        <v>4222104</v>
      </c>
      <c r="C19" s="47">
        <v>0</v>
      </c>
      <c r="D19" s="47">
        <v>0</v>
      </c>
      <c r="E19" s="47">
        <v>46100.258303399998</v>
      </c>
      <c r="F19" s="47">
        <v>0</v>
      </c>
      <c r="G19" s="47">
        <v>0</v>
      </c>
      <c r="H19" s="47">
        <v>0</v>
      </c>
      <c r="I19" s="47">
        <v>0</v>
      </c>
      <c r="J19" s="47">
        <v>119701.47888900001</v>
      </c>
      <c r="K19" s="47">
        <v>0</v>
      </c>
      <c r="L19" s="47">
        <v>0</v>
      </c>
      <c r="M19" s="47">
        <v>0</v>
      </c>
      <c r="N19" s="47">
        <v>0</v>
      </c>
      <c r="O19" s="47">
        <v>0</v>
      </c>
      <c r="P19" s="47">
        <v>257468.55368700001</v>
      </c>
      <c r="Q19" s="47">
        <v>61861.229400000011</v>
      </c>
      <c r="R19" s="47">
        <v>0</v>
      </c>
      <c r="S19" s="47">
        <v>0</v>
      </c>
      <c r="T19" s="47">
        <v>0</v>
      </c>
      <c r="U19" s="47">
        <v>170736.99314400004</v>
      </c>
      <c r="V19" s="47">
        <v>0</v>
      </c>
      <c r="W19" s="47">
        <v>0</v>
      </c>
      <c r="X19" s="47">
        <v>2107.5156479999996</v>
      </c>
      <c r="Y19" s="47">
        <v>0</v>
      </c>
      <c r="Z19" s="47">
        <v>0</v>
      </c>
      <c r="AA19" s="47">
        <v>7381.0090439999994</v>
      </c>
      <c r="AB19" s="47">
        <v>0</v>
      </c>
      <c r="AC19" s="47">
        <v>0</v>
      </c>
      <c r="AD19" s="47">
        <v>50442.0698376</v>
      </c>
      <c r="AE19" s="47">
        <v>0</v>
      </c>
      <c r="AF19" s="47">
        <v>0</v>
      </c>
      <c r="AG19" s="47">
        <v>0</v>
      </c>
      <c r="AH19" s="47">
        <v>0</v>
      </c>
      <c r="AI19" s="47">
        <v>0</v>
      </c>
      <c r="AJ19" s="47">
        <v>0</v>
      </c>
      <c r="AK19" s="47">
        <v>0</v>
      </c>
      <c r="AL19" s="47">
        <v>0</v>
      </c>
      <c r="AM19" s="47">
        <v>0</v>
      </c>
      <c r="AN19" s="47">
        <v>0</v>
      </c>
      <c r="AO19" s="47">
        <v>3604.6514850000003</v>
      </c>
      <c r="AP19" s="47">
        <v>0</v>
      </c>
      <c r="AQ19" s="47"/>
      <c r="AR19" s="48">
        <v>255282.241416</v>
      </c>
      <c r="AS19" s="48">
        <v>11567187.893058427</v>
      </c>
    </row>
    <row r="20" spans="1:45">
      <c r="A20" t="s">
        <v>487</v>
      </c>
      <c r="B20" s="6">
        <v>4222113</v>
      </c>
      <c r="C20" s="47">
        <v>0</v>
      </c>
      <c r="D20" s="47">
        <v>0</v>
      </c>
      <c r="E20" s="47">
        <v>0</v>
      </c>
      <c r="F20" s="47">
        <v>0</v>
      </c>
      <c r="G20" s="47">
        <v>0</v>
      </c>
      <c r="H20" s="47">
        <v>0</v>
      </c>
      <c r="I20" s="47">
        <v>0</v>
      </c>
      <c r="J20" s="47">
        <v>0</v>
      </c>
      <c r="K20" s="47">
        <v>0</v>
      </c>
      <c r="L20" s="47">
        <v>0</v>
      </c>
      <c r="M20" s="47">
        <v>0</v>
      </c>
      <c r="N20" s="47">
        <v>0</v>
      </c>
      <c r="O20" s="47">
        <v>0</v>
      </c>
      <c r="P20" s="47">
        <v>172372.66990919999</v>
      </c>
      <c r="Q20" s="47">
        <v>0</v>
      </c>
      <c r="R20" s="47">
        <v>0</v>
      </c>
      <c r="S20" s="47">
        <v>0</v>
      </c>
      <c r="T20" s="47">
        <v>0</v>
      </c>
      <c r="U20" s="47">
        <v>0</v>
      </c>
      <c r="V20" s="47">
        <v>0</v>
      </c>
      <c r="W20" s="47">
        <v>0</v>
      </c>
      <c r="X20" s="47">
        <v>0</v>
      </c>
      <c r="Y20" s="47">
        <v>0</v>
      </c>
      <c r="Z20" s="47">
        <v>0</v>
      </c>
      <c r="AA20" s="47">
        <v>0</v>
      </c>
      <c r="AB20" s="47">
        <v>0</v>
      </c>
      <c r="AC20" s="47">
        <v>0</v>
      </c>
      <c r="AD20" s="47">
        <v>0</v>
      </c>
      <c r="AE20" s="47">
        <v>0</v>
      </c>
      <c r="AF20" s="47">
        <v>0</v>
      </c>
      <c r="AG20" s="47">
        <v>0</v>
      </c>
      <c r="AH20" s="47">
        <v>0</v>
      </c>
      <c r="AI20" s="47">
        <v>0</v>
      </c>
      <c r="AJ20" s="47">
        <v>0</v>
      </c>
      <c r="AK20" s="47">
        <v>0</v>
      </c>
      <c r="AL20" s="47">
        <v>0</v>
      </c>
      <c r="AM20" s="47">
        <v>0</v>
      </c>
      <c r="AN20" s="47">
        <v>0</v>
      </c>
      <c r="AO20" s="47">
        <v>0</v>
      </c>
      <c r="AP20" s="47">
        <v>0</v>
      </c>
      <c r="AQ20" s="47"/>
      <c r="AR20" s="48">
        <v>205656.83389200002</v>
      </c>
      <c r="AS20" s="48">
        <v>11697156.296351217</v>
      </c>
    </row>
    <row r="21" spans="1:45">
      <c r="A21" t="s">
        <v>488</v>
      </c>
      <c r="B21" s="6">
        <v>4222126</v>
      </c>
      <c r="C21" s="47">
        <v>0</v>
      </c>
      <c r="D21" s="47">
        <v>0</v>
      </c>
      <c r="E21" s="47">
        <v>0</v>
      </c>
      <c r="F21" s="47">
        <v>0</v>
      </c>
      <c r="G21" s="47">
        <v>287287.78318200004</v>
      </c>
      <c r="H21" s="47">
        <v>0</v>
      </c>
      <c r="I21" s="47">
        <v>0</v>
      </c>
      <c r="J21" s="47">
        <v>0</v>
      </c>
      <c r="K21" s="47">
        <v>0</v>
      </c>
      <c r="L21" s="47">
        <v>0</v>
      </c>
      <c r="M21" s="47">
        <v>0</v>
      </c>
      <c r="N21" s="47">
        <v>0</v>
      </c>
      <c r="O21" s="47">
        <v>0</v>
      </c>
      <c r="P21" s="47">
        <v>0</v>
      </c>
      <c r="Q21" s="47">
        <v>0</v>
      </c>
      <c r="R21" s="47">
        <v>0</v>
      </c>
      <c r="S21" s="47">
        <v>0</v>
      </c>
      <c r="T21" s="47">
        <v>0</v>
      </c>
      <c r="U21" s="47">
        <v>0</v>
      </c>
      <c r="V21" s="47">
        <v>0</v>
      </c>
      <c r="W21" s="47">
        <v>0</v>
      </c>
      <c r="X21" s="47">
        <v>0</v>
      </c>
      <c r="Y21" s="47">
        <v>0</v>
      </c>
      <c r="Z21" s="47">
        <v>0</v>
      </c>
      <c r="AA21" s="47">
        <v>0</v>
      </c>
      <c r="AB21" s="47">
        <v>0</v>
      </c>
      <c r="AC21" s="47">
        <v>0</v>
      </c>
      <c r="AD21" s="47">
        <v>0</v>
      </c>
      <c r="AE21" s="47">
        <v>0</v>
      </c>
      <c r="AF21" s="47">
        <v>0</v>
      </c>
      <c r="AG21" s="47">
        <v>0</v>
      </c>
      <c r="AH21" s="47">
        <v>0</v>
      </c>
      <c r="AI21" s="47">
        <v>0</v>
      </c>
      <c r="AJ21" s="47">
        <v>0</v>
      </c>
      <c r="AK21" s="47">
        <v>0</v>
      </c>
      <c r="AL21" s="47">
        <v>0</v>
      </c>
      <c r="AM21" s="47">
        <v>0</v>
      </c>
      <c r="AN21" s="47">
        <v>0</v>
      </c>
      <c r="AO21" s="47">
        <v>0</v>
      </c>
      <c r="AP21" s="47">
        <v>0</v>
      </c>
      <c r="AQ21" s="47"/>
      <c r="AR21" s="48">
        <v>552309.05198700004</v>
      </c>
      <c r="AS21" s="48">
        <v>21704723.349896144</v>
      </c>
    </row>
    <row r="22" spans="1:45">
      <c r="A22" t="s">
        <v>489</v>
      </c>
      <c r="B22" s="6">
        <v>4222127</v>
      </c>
      <c r="C22" s="47">
        <v>0</v>
      </c>
      <c r="D22" s="47">
        <v>0</v>
      </c>
      <c r="E22" s="47">
        <v>589605.72818400012</v>
      </c>
      <c r="F22" s="47">
        <v>0</v>
      </c>
      <c r="G22" s="47">
        <v>143643.89159100002</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22604.516607600002</v>
      </c>
      <c r="AE22" s="47">
        <v>0</v>
      </c>
      <c r="AF22" s="47">
        <v>0</v>
      </c>
      <c r="AG22" s="47">
        <v>0</v>
      </c>
      <c r="AH22" s="47">
        <v>0</v>
      </c>
      <c r="AI22" s="47">
        <v>0</v>
      </c>
      <c r="AJ22" s="47">
        <v>0</v>
      </c>
      <c r="AK22" s="47">
        <v>0</v>
      </c>
      <c r="AL22" s="47">
        <v>0</v>
      </c>
      <c r="AM22" s="47">
        <v>0</v>
      </c>
      <c r="AN22" s="47">
        <v>0</v>
      </c>
      <c r="AO22" s="47">
        <v>0</v>
      </c>
      <c r="AP22" s="47">
        <v>0</v>
      </c>
      <c r="AQ22" s="47"/>
      <c r="AR22" s="48">
        <v>289826.91615300003</v>
      </c>
      <c r="AS22" s="48">
        <v>3899052.0987837389</v>
      </c>
    </row>
    <row r="23" spans="1:45">
      <c r="A23" t="s">
        <v>490</v>
      </c>
      <c r="B23" s="6">
        <v>4121000</v>
      </c>
      <c r="C23" s="47">
        <v>0</v>
      </c>
      <c r="D23" s="47">
        <v>0</v>
      </c>
      <c r="E23" s="47">
        <v>654745.837956</v>
      </c>
      <c r="F23" s="47">
        <v>0</v>
      </c>
      <c r="G23" s="47">
        <v>198200.55643199998</v>
      </c>
      <c r="H23" s="47">
        <v>0</v>
      </c>
      <c r="I23" s="47">
        <v>0</v>
      </c>
      <c r="J23" s="47">
        <v>11135.021292000003</v>
      </c>
      <c r="K23" s="47">
        <v>0</v>
      </c>
      <c r="L23" s="47">
        <v>0</v>
      </c>
      <c r="M23" s="47">
        <v>0</v>
      </c>
      <c r="N23" s="47">
        <v>0</v>
      </c>
      <c r="O23" s="47">
        <v>0</v>
      </c>
      <c r="P23" s="47">
        <v>395911.86816000001</v>
      </c>
      <c r="Q23" s="47">
        <v>0</v>
      </c>
      <c r="R23" s="47">
        <v>0</v>
      </c>
      <c r="S23" s="47">
        <v>0</v>
      </c>
      <c r="T23" s="47">
        <v>0</v>
      </c>
      <c r="U23" s="47">
        <v>0</v>
      </c>
      <c r="V23" s="47">
        <v>0</v>
      </c>
      <c r="W23" s="47">
        <v>0</v>
      </c>
      <c r="X23" s="47">
        <v>26343.945599999999</v>
      </c>
      <c r="Y23" s="47">
        <v>0</v>
      </c>
      <c r="Z23" s="47">
        <v>0</v>
      </c>
      <c r="AA23" s="47">
        <v>7381.0090439999994</v>
      </c>
      <c r="AB23" s="47">
        <v>0</v>
      </c>
      <c r="AC23" s="47">
        <v>0</v>
      </c>
      <c r="AD23" s="47">
        <v>35906.562638999996</v>
      </c>
      <c r="AE23" s="47">
        <v>0</v>
      </c>
      <c r="AF23" s="47">
        <v>0</v>
      </c>
      <c r="AG23" s="47">
        <v>0</v>
      </c>
      <c r="AH23" s="47">
        <v>0</v>
      </c>
      <c r="AI23" s="47">
        <v>0</v>
      </c>
      <c r="AJ23" s="47">
        <v>0</v>
      </c>
      <c r="AK23" s="47">
        <v>0</v>
      </c>
      <c r="AL23" s="47">
        <v>0</v>
      </c>
      <c r="AM23" s="47">
        <v>0</v>
      </c>
      <c r="AN23" s="47">
        <v>0</v>
      </c>
      <c r="AO23" s="47">
        <v>2422.7021399999994</v>
      </c>
      <c r="AP23" s="47">
        <v>0</v>
      </c>
      <c r="AQ23" s="47"/>
      <c r="AR23" s="48">
        <v>552309.05198700004</v>
      </c>
      <c r="AS23" s="48">
        <v>30932479.983684331</v>
      </c>
    </row>
    <row r="24" spans="1:45">
      <c r="A24" t="s">
        <v>491</v>
      </c>
      <c r="B24" s="6">
        <v>4123002</v>
      </c>
      <c r="C24" s="47">
        <v>0</v>
      </c>
      <c r="D24" s="47">
        <v>0</v>
      </c>
      <c r="E24" s="47">
        <v>287854.64844000002</v>
      </c>
      <c r="F24" s="47">
        <v>0</v>
      </c>
      <c r="G24" s="47">
        <v>165167.13036000001</v>
      </c>
      <c r="H24" s="47">
        <v>0</v>
      </c>
      <c r="I24" s="47">
        <v>0</v>
      </c>
      <c r="J24" s="47">
        <v>0</v>
      </c>
      <c r="K24" s="47">
        <v>0</v>
      </c>
      <c r="L24" s="47">
        <v>0</v>
      </c>
      <c r="M24" s="47">
        <v>0</v>
      </c>
      <c r="N24" s="47">
        <v>0</v>
      </c>
      <c r="O24" s="47">
        <v>0</v>
      </c>
      <c r="P24" s="47">
        <v>129908.58174000001</v>
      </c>
      <c r="Q24" s="47">
        <v>0</v>
      </c>
      <c r="R24" s="47">
        <v>0</v>
      </c>
      <c r="S24" s="47">
        <v>0</v>
      </c>
      <c r="T24" s="47">
        <v>0</v>
      </c>
      <c r="U24" s="47">
        <v>0</v>
      </c>
      <c r="V24" s="47">
        <v>0</v>
      </c>
      <c r="W24" s="47">
        <v>0</v>
      </c>
      <c r="X24" s="47">
        <v>0</v>
      </c>
      <c r="Y24" s="47">
        <v>0</v>
      </c>
      <c r="Z24" s="47">
        <v>0</v>
      </c>
      <c r="AA24" s="47">
        <v>0</v>
      </c>
      <c r="AB24" s="47">
        <v>0</v>
      </c>
      <c r="AC24" s="47">
        <v>0</v>
      </c>
      <c r="AD24" s="47">
        <v>128052.74485800001</v>
      </c>
      <c r="AE24" s="47">
        <v>448110.51465599996</v>
      </c>
      <c r="AF24" s="47">
        <v>29983.879154999999</v>
      </c>
      <c r="AG24" s="47">
        <v>0</v>
      </c>
      <c r="AH24" s="47">
        <v>0</v>
      </c>
      <c r="AI24" s="47">
        <v>0</v>
      </c>
      <c r="AJ24" s="47">
        <v>0</v>
      </c>
      <c r="AK24" s="47">
        <v>0</v>
      </c>
      <c r="AL24" s="47">
        <v>0</v>
      </c>
      <c r="AM24" s="47">
        <v>0</v>
      </c>
      <c r="AN24" s="47">
        <v>0</v>
      </c>
      <c r="AO24" s="47">
        <v>0</v>
      </c>
      <c r="AP24" s="47">
        <v>0</v>
      </c>
      <c r="AQ24" s="47"/>
      <c r="AR24" s="48">
        <v>320757.530853</v>
      </c>
      <c r="AS24" s="48">
        <v>18715450.074161947</v>
      </c>
    </row>
    <row r="25" spans="1:45">
      <c r="A25" t="s">
        <v>492</v>
      </c>
      <c r="B25" s="6">
        <v>4123005</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7">
        <v>0</v>
      </c>
      <c r="V25" s="47">
        <v>0</v>
      </c>
      <c r="W25" s="47">
        <v>0</v>
      </c>
      <c r="X25" s="47">
        <v>0</v>
      </c>
      <c r="Y25" s="47">
        <v>0</v>
      </c>
      <c r="Z25" s="47">
        <v>0</v>
      </c>
      <c r="AA25" s="47">
        <v>0</v>
      </c>
      <c r="AB25" s="47">
        <v>0</v>
      </c>
      <c r="AC25" s="47">
        <v>0</v>
      </c>
      <c r="AD25" s="47">
        <v>0</v>
      </c>
      <c r="AE25" s="47">
        <v>0</v>
      </c>
      <c r="AF25" s="47">
        <v>0</v>
      </c>
      <c r="AG25" s="47">
        <v>0</v>
      </c>
      <c r="AH25" s="47">
        <v>0</v>
      </c>
      <c r="AI25" s="47">
        <v>0</v>
      </c>
      <c r="AJ25" s="47">
        <v>0</v>
      </c>
      <c r="AK25" s="47">
        <v>0</v>
      </c>
      <c r="AL25" s="47">
        <v>0</v>
      </c>
      <c r="AM25" s="47">
        <v>0</v>
      </c>
      <c r="AN25" s="47">
        <v>0</v>
      </c>
      <c r="AO25" s="47">
        <v>0</v>
      </c>
      <c r="AP25" s="47">
        <v>0</v>
      </c>
      <c r="AQ25" s="47"/>
      <c r="AR25" s="74"/>
      <c r="AS25" s="48"/>
    </row>
    <row r="26" spans="1:45">
      <c r="A26" t="s">
        <v>493</v>
      </c>
      <c r="B26" s="6">
        <v>4123001</v>
      </c>
      <c r="C26" s="47">
        <v>0</v>
      </c>
      <c r="D26" s="47">
        <v>0</v>
      </c>
      <c r="E26" s="47">
        <v>231897.28542000003</v>
      </c>
      <c r="F26" s="47">
        <v>0</v>
      </c>
      <c r="G26" s="47">
        <v>82583.565180000005</v>
      </c>
      <c r="H26" s="47">
        <v>0</v>
      </c>
      <c r="I26" s="47">
        <v>0</v>
      </c>
      <c r="J26" s="47">
        <v>0</v>
      </c>
      <c r="K26" s="47">
        <v>0</v>
      </c>
      <c r="L26" s="47">
        <v>0</v>
      </c>
      <c r="M26" s="47">
        <v>0</v>
      </c>
      <c r="N26" s="47">
        <v>0</v>
      </c>
      <c r="O26" s="47">
        <v>0</v>
      </c>
      <c r="P26" s="47">
        <v>148466.95056</v>
      </c>
      <c r="Q26" s="47">
        <v>0</v>
      </c>
      <c r="R26" s="47">
        <v>0</v>
      </c>
      <c r="S26" s="47">
        <v>0</v>
      </c>
      <c r="T26" s="47">
        <v>0</v>
      </c>
      <c r="U26" s="47">
        <v>0</v>
      </c>
      <c r="V26" s="47">
        <v>0</v>
      </c>
      <c r="W26" s="47">
        <v>0</v>
      </c>
      <c r="X26" s="47">
        <v>0</v>
      </c>
      <c r="Y26" s="47">
        <v>0</v>
      </c>
      <c r="Z26" s="47">
        <v>0</v>
      </c>
      <c r="AA26" s="47">
        <v>0</v>
      </c>
      <c r="AB26" s="47">
        <v>0</v>
      </c>
      <c r="AC26" s="47">
        <v>0</v>
      </c>
      <c r="AD26" s="47">
        <v>128052.74485800001</v>
      </c>
      <c r="AE26" s="47">
        <v>0</v>
      </c>
      <c r="AF26" s="47">
        <v>0</v>
      </c>
      <c r="AG26" s="47">
        <v>0</v>
      </c>
      <c r="AH26" s="47">
        <v>0</v>
      </c>
      <c r="AI26" s="47">
        <v>0</v>
      </c>
      <c r="AJ26" s="47">
        <v>0</v>
      </c>
      <c r="AK26" s="47">
        <v>0</v>
      </c>
      <c r="AL26" s="47">
        <v>0</v>
      </c>
      <c r="AM26" s="47">
        <v>0</v>
      </c>
      <c r="AN26" s="47">
        <v>0</v>
      </c>
      <c r="AO26" s="47">
        <v>0</v>
      </c>
      <c r="AP26" s="47">
        <v>0</v>
      </c>
      <c r="AQ26" s="47"/>
      <c r="AR26" s="48">
        <v>320757.530853</v>
      </c>
      <c r="AS26" s="48">
        <v>11697156.296351217</v>
      </c>
    </row>
    <row r="27" spans="1:45">
      <c r="A27" t="s">
        <v>182</v>
      </c>
      <c r="B27" s="6">
        <v>4123004</v>
      </c>
      <c r="C27" s="47">
        <v>0</v>
      </c>
      <c r="D27" s="47">
        <v>0</v>
      </c>
      <c r="E27" s="47">
        <v>377840.39190600003</v>
      </c>
      <c r="F27" s="47">
        <v>0</v>
      </c>
      <c r="G27" s="47">
        <v>198200.55643199998</v>
      </c>
      <c r="H27" s="47">
        <v>0</v>
      </c>
      <c r="I27" s="47">
        <v>0</v>
      </c>
      <c r="J27" s="47">
        <v>0</v>
      </c>
      <c r="K27" s="47">
        <v>0</v>
      </c>
      <c r="L27" s="47">
        <v>0</v>
      </c>
      <c r="M27" s="47">
        <v>0</v>
      </c>
      <c r="N27" s="47">
        <v>0</v>
      </c>
      <c r="O27" s="47">
        <v>0</v>
      </c>
      <c r="P27" s="47">
        <v>176304.50378999999</v>
      </c>
      <c r="Q27" s="47">
        <v>589375.21866000001</v>
      </c>
      <c r="R27" s="47">
        <v>0</v>
      </c>
      <c r="S27" s="47">
        <v>0</v>
      </c>
      <c r="T27" s="47">
        <v>0</v>
      </c>
      <c r="U27" s="47">
        <v>0</v>
      </c>
      <c r="V27" s="47">
        <v>0</v>
      </c>
      <c r="W27" s="47">
        <v>0</v>
      </c>
      <c r="X27" s="47">
        <v>7903.1836799999992</v>
      </c>
      <c r="Y27" s="47">
        <v>0</v>
      </c>
      <c r="Z27" s="47">
        <v>0</v>
      </c>
      <c r="AA27" s="47">
        <v>0</v>
      </c>
      <c r="AB27" s="47">
        <v>0</v>
      </c>
      <c r="AC27" s="47">
        <v>0</v>
      </c>
      <c r="AD27" s="47">
        <v>115922.76919199999</v>
      </c>
      <c r="AE27" s="47">
        <v>0</v>
      </c>
      <c r="AF27" s="47">
        <v>0</v>
      </c>
      <c r="AG27" s="47">
        <v>0</v>
      </c>
      <c r="AH27" s="47">
        <v>0</v>
      </c>
      <c r="AI27" s="47">
        <v>0</v>
      </c>
      <c r="AJ27" s="47">
        <v>0</v>
      </c>
      <c r="AK27" s="47">
        <v>0</v>
      </c>
      <c r="AL27" s="47">
        <v>0</v>
      </c>
      <c r="AM27" s="47">
        <v>0</v>
      </c>
      <c r="AN27" s="47">
        <v>0</v>
      </c>
      <c r="AO27" s="47">
        <v>0</v>
      </c>
      <c r="AP27" s="47">
        <v>0</v>
      </c>
      <c r="AQ27" s="47"/>
      <c r="AR27" s="48">
        <v>320757.530853</v>
      </c>
      <c r="AS27" s="48">
        <v>11697156.296351217</v>
      </c>
    </row>
    <row r="28" spans="1:45">
      <c r="A28" t="s">
        <v>495</v>
      </c>
      <c r="B28" s="6">
        <v>4123010</v>
      </c>
      <c r="C28" s="47">
        <v>0</v>
      </c>
      <c r="D28" s="47">
        <v>0</v>
      </c>
      <c r="E28" s="47">
        <v>215890.98633000001</v>
      </c>
      <c r="F28" s="47">
        <v>0</v>
      </c>
      <c r="G28" s="47">
        <v>82583.565180000005</v>
      </c>
      <c r="H28" s="47">
        <v>0</v>
      </c>
      <c r="I28" s="47">
        <v>0</v>
      </c>
      <c r="J28" s="47">
        <v>0</v>
      </c>
      <c r="K28" s="47">
        <v>0</v>
      </c>
      <c r="L28" s="47">
        <v>0</v>
      </c>
      <c r="M28" s="47">
        <v>0</v>
      </c>
      <c r="N28" s="47">
        <v>0</v>
      </c>
      <c r="O28" s="47">
        <v>0</v>
      </c>
      <c r="P28" s="47">
        <v>148466.95056</v>
      </c>
      <c r="Q28" s="47">
        <v>0</v>
      </c>
      <c r="R28" s="47">
        <v>0</v>
      </c>
      <c r="S28" s="47">
        <v>0</v>
      </c>
      <c r="T28" s="47">
        <v>0</v>
      </c>
      <c r="U28" s="47">
        <v>0</v>
      </c>
      <c r="V28" s="47">
        <v>0</v>
      </c>
      <c r="W28" s="47">
        <v>0</v>
      </c>
      <c r="X28" s="47">
        <v>0</v>
      </c>
      <c r="Y28" s="47">
        <v>0</v>
      </c>
      <c r="Z28" s="47">
        <v>0</v>
      </c>
      <c r="AA28" s="47">
        <v>0</v>
      </c>
      <c r="AB28" s="47">
        <v>0</v>
      </c>
      <c r="AC28" s="47">
        <v>0</v>
      </c>
      <c r="AD28" s="47">
        <v>91604.955265199998</v>
      </c>
      <c r="AE28" s="47">
        <v>0</v>
      </c>
      <c r="AF28" s="47">
        <v>0</v>
      </c>
      <c r="AG28" s="47">
        <v>0</v>
      </c>
      <c r="AH28" s="47">
        <v>0</v>
      </c>
      <c r="AI28" s="47">
        <v>0</v>
      </c>
      <c r="AJ28" s="47">
        <v>0</v>
      </c>
      <c r="AK28" s="47">
        <v>0</v>
      </c>
      <c r="AL28" s="47">
        <v>0</v>
      </c>
      <c r="AM28" s="47">
        <v>0</v>
      </c>
      <c r="AN28" s="47">
        <v>0</v>
      </c>
      <c r="AO28" s="47">
        <v>2422.7021399999994</v>
      </c>
      <c r="AP28" s="47">
        <v>0</v>
      </c>
      <c r="AQ28" s="47"/>
      <c r="AR28" s="48">
        <v>320757.530853</v>
      </c>
      <c r="AS28" s="48">
        <v>20405039.316968232</v>
      </c>
    </row>
    <row r="29" spans="1:45">
      <c r="A29" t="s">
        <v>496</v>
      </c>
      <c r="B29" s="6">
        <v>4123007</v>
      </c>
      <c r="C29" s="47">
        <v>0</v>
      </c>
      <c r="D29" s="47">
        <v>0</v>
      </c>
      <c r="E29" s="47">
        <v>0</v>
      </c>
      <c r="F29" s="47">
        <v>0</v>
      </c>
      <c r="G29" s="47">
        <v>99100.278215999992</v>
      </c>
      <c r="H29" s="47">
        <v>0</v>
      </c>
      <c r="I29" s="47">
        <v>0</v>
      </c>
      <c r="J29" s="47">
        <v>0</v>
      </c>
      <c r="K29" s="47">
        <v>0</v>
      </c>
      <c r="L29" s="47">
        <v>0</v>
      </c>
      <c r="M29" s="47">
        <v>0</v>
      </c>
      <c r="N29" s="47">
        <v>0</v>
      </c>
      <c r="O29" s="47">
        <v>0</v>
      </c>
      <c r="P29" s="47">
        <v>0</v>
      </c>
      <c r="Q29" s="47">
        <v>0</v>
      </c>
      <c r="R29" s="47">
        <v>0</v>
      </c>
      <c r="S29" s="47">
        <v>0</v>
      </c>
      <c r="T29" s="47">
        <v>0</v>
      </c>
      <c r="U29" s="47">
        <v>0</v>
      </c>
      <c r="V29" s="47">
        <v>0</v>
      </c>
      <c r="W29" s="47">
        <v>0</v>
      </c>
      <c r="X29" s="47">
        <v>0</v>
      </c>
      <c r="Y29" s="47">
        <v>0</v>
      </c>
      <c r="Z29" s="47">
        <v>0</v>
      </c>
      <c r="AA29" s="47">
        <v>0</v>
      </c>
      <c r="AB29" s="47">
        <v>0</v>
      </c>
      <c r="AC29" s="47">
        <v>0</v>
      </c>
      <c r="AD29" s="47">
        <v>0</v>
      </c>
      <c r="AE29" s="47">
        <v>0</v>
      </c>
      <c r="AF29" s="47">
        <v>0</v>
      </c>
      <c r="AG29" s="47">
        <v>0</v>
      </c>
      <c r="AH29" s="47">
        <v>0</v>
      </c>
      <c r="AI29" s="47">
        <v>0</v>
      </c>
      <c r="AJ29" s="47">
        <v>0</v>
      </c>
      <c r="AK29" s="47">
        <v>0</v>
      </c>
      <c r="AL29" s="47">
        <v>0</v>
      </c>
      <c r="AM29" s="47">
        <v>0</v>
      </c>
      <c r="AN29" s="47">
        <v>0</v>
      </c>
      <c r="AO29" s="47">
        <v>0</v>
      </c>
      <c r="AP29" s="47">
        <v>0</v>
      </c>
      <c r="AQ29" s="47"/>
      <c r="AR29" s="48">
        <v>320757.530853</v>
      </c>
      <c r="AS29" s="48">
        <v>7538167.3909818949</v>
      </c>
    </row>
    <row r="30" spans="1:45">
      <c r="A30" t="s">
        <v>709</v>
      </c>
      <c r="B30" s="6">
        <v>4222118</v>
      </c>
      <c r="C30" s="47">
        <v>0</v>
      </c>
      <c r="D30" s="47">
        <v>0</v>
      </c>
      <c r="E30" s="47">
        <v>463794.57084000006</v>
      </c>
      <c r="F30" s="47">
        <v>0</v>
      </c>
      <c r="G30" s="47">
        <v>82583.565180000005</v>
      </c>
      <c r="H30" s="47">
        <v>0</v>
      </c>
      <c r="I30" s="47">
        <v>0</v>
      </c>
      <c r="J30" s="47">
        <v>0</v>
      </c>
      <c r="K30" s="47">
        <v>0</v>
      </c>
      <c r="L30" s="47">
        <v>0</v>
      </c>
      <c r="M30" s="47">
        <v>0</v>
      </c>
      <c r="N30" s="47">
        <v>0</v>
      </c>
      <c r="O30" s="47">
        <v>0</v>
      </c>
      <c r="P30" s="47">
        <v>118773.560448</v>
      </c>
      <c r="Q30" s="47">
        <v>0</v>
      </c>
      <c r="R30" s="47">
        <v>0</v>
      </c>
      <c r="S30" s="47">
        <v>0</v>
      </c>
      <c r="T30" s="47">
        <v>0</v>
      </c>
      <c r="U30" s="47">
        <v>0</v>
      </c>
      <c r="V30" s="47">
        <v>0</v>
      </c>
      <c r="W30" s="47">
        <v>0</v>
      </c>
      <c r="X30" s="47">
        <v>0</v>
      </c>
      <c r="Y30" s="47">
        <v>0</v>
      </c>
      <c r="Z30" s="47">
        <v>0</v>
      </c>
      <c r="AA30" s="47">
        <v>0</v>
      </c>
      <c r="AB30" s="47">
        <v>0</v>
      </c>
      <c r="AC30" s="47">
        <v>0</v>
      </c>
      <c r="AD30" s="47">
        <v>57961.384595999996</v>
      </c>
      <c r="AE30" s="47">
        <v>0</v>
      </c>
      <c r="AF30" s="47">
        <v>0</v>
      </c>
      <c r="AG30" s="47">
        <v>0</v>
      </c>
      <c r="AH30" s="47">
        <v>0</v>
      </c>
      <c r="AI30" s="47">
        <v>0</v>
      </c>
      <c r="AJ30" s="47">
        <v>0</v>
      </c>
      <c r="AK30" s="47">
        <v>0</v>
      </c>
      <c r="AL30" s="47">
        <v>0</v>
      </c>
      <c r="AM30" s="47">
        <v>18247.886603999999</v>
      </c>
      <c r="AN30" s="47">
        <v>0</v>
      </c>
      <c r="AO30" s="47">
        <v>0</v>
      </c>
      <c r="AP30" s="47">
        <v>0</v>
      </c>
      <c r="AQ30" s="47"/>
      <c r="AR30" s="48">
        <v>382618.76025299996</v>
      </c>
      <c r="AS30" s="48">
        <v>18585481.670869153</v>
      </c>
    </row>
    <row r="31" spans="1:45">
      <c r="B31" s="6"/>
      <c r="C31" s="50">
        <f>SUM(C6:C30)</f>
        <v>0</v>
      </c>
      <c r="D31" s="50">
        <f t="shared" ref="D31:AP31" si="1">SUM(D6:D30)</f>
        <v>0</v>
      </c>
      <c r="E31" s="50">
        <f t="shared" si="1"/>
        <v>5134325.7406299002</v>
      </c>
      <c r="F31" s="50">
        <f t="shared" si="1"/>
        <v>0</v>
      </c>
      <c r="G31" s="50">
        <f t="shared" si="1"/>
        <v>1339350.891753</v>
      </c>
      <c r="H31" s="50">
        <f t="shared" si="1"/>
        <v>0</v>
      </c>
      <c r="I31" s="50">
        <f t="shared" si="1"/>
        <v>0</v>
      </c>
      <c r="J31" s="50">
        <f t="shared" si="1"/>
        <v>6820067.410339199</v>
      </c>
      <c r="K31" s="50">
        <f t="shared" si="1"/>
        <v>0</v>
      </c>
      <c r="L31" s="50">
        <f t="shared" si="1"/>
        <v>0</v>
      </c>
      <c r="M31" s="50">
        <f t="shared" si="1"/>
        <v>0</v>
      </c>
      <c r="N31" s="50">
        <f t="shared" si="1"/>
        <v>0</v>
      </c>
      <c r="O31" s="50">
        <f t="shared" si="1"/>
        <v>0</v>
      </c>
      <c r="P31" s="50">
        <f t="shared" si="1"/>
        <v>36777470.194369815</v>
      </c>
      <c r="Q31" s="50">
        <f t="shared" si="1"/>
        <v>11725219.758959999</v>
      </c>
      <c r="R31" s="50">
        <f t="shared" si="1"/>
        <v>0</v>
      </c>
      <c r="S31" s="50">
        <f t="shared" si="1"/>
        <v>28698.435738000007</v>
      </c>
      <c r="T31" s="50">
        <f t="shared" si="1"/>
        <v>0</v>
      </c>
      <c r="U31" s="50">
        <f t="shared" si="1"/>
        <v>470093.59640400007</v>
      </c>
      <c r="V31" s="50">
        <f t="shared" si="1"/>
        <v>0</v>
      </c>
      <c r="W31" s="50">
        <f t="shared" si="1"/>
        <v>7423.3475280000002</v>
      </c>
      <c r="X31" s="50">
        <f t="shared" si="1"/>
        <v>1648918.7141054997</v>
      </c>
      <c r="Y31" s="50">
        <f t="shared" si="1"/>
        <v>0</v>
      </c>
      <c r="Z31" s="50">
        <f t="shared" si="1"/>
        <v>347525.09650680004</v>
      </c>
      <c r="AA31" s="50">
        <f t="shared" si="1"/>
        <v>25833.531653999995</v>
      </c>
      <c r="AB31" s="50">
        <f t="shared" si="1"/>
        <v>0</v>
      </c>
      <c r="AC31" s="50">
        <f t="shared" si="1"/>
        <v>0</v>
      </c>
      <c r="AD31" s="50">
        <f t="shared" si="1"/>
        <v>2086739.6834735996</v>
      </c>
      <c r="AE31" s="50">
        <f t="shared" si="1"/>
        <v>448110.51465599996</v>
      </c>
      <c r="AF31" s="50">
        <f t="shared" si="1"/>
        <v>3822216.017517</v>
      </c>
      <c r="AG31" s="50">
        <f t="shared" si="1"/>
        <v>0</v>
      </c>
      <c r="AH31" s="50">
        <f t="shared" si="1"/>
        <v>0</v>
      </c>
      <c r="AI31" s="50">
        <f t="shared" si="1"/>
        <v>0</v>
      </c>
      <c r="AJ31" s="50">
        <f t="shared" si="1"/>
        <v>0</v>
      </c>
      <c r="AK31" s="50">
        <f t="shared" si="1"/>
        <v>0</v>
      </c>
      <c r="AL31" s="50">
        <f t="shared" si="1"/>
        <v>0</v>
      </c>
      <c r="AM31" s="50">
        <f t="shared" si="1"/>
        <v>18247.886603999999</v>
      </c>
      <c r="AN31" s="50">
        <f t="shared" si="1"/>
        <v>0</v>
      </c>
      <c r="AO31" s="50">
        <f t="shared" si="1"/>
        <v>14359.802489999998</v>
      </c>
      <c r="AP31" s="50">
        <f t="shared" si="1"/>
        <v>0</v>
      </c>
      <c r="AQ31" s="50">
        <f>SUM(AQ6:AQ30)</f>
        <v>0</v>
      </c>
      <c r="AR31" s="50">
        <f t="shared" ref="AR31" si="2">SUM(AR6:AR30)</f>
        <v>15574412.277110999</v>
      </c>
      <c r="AS31" s="50">
        <f>SUM(AS6:AS30)</f>
        <v>738350499.10634708</v>
      </c>
    </row>
    <row r="32" spans="1:45">
      <c r="C32" s="52"/>
      <c r="D32" s="52"/>
      <c r="E32" s="52"/>
      <c r="F32" s="52"/>
      <c r="G32" s="52"/>
      <c r="H32" s="52"/>
      <c r="I32" s="52"/>
      <c r="J32" s="52"/>
      <c r="K32" s="52"/>
      <c r="L32" s="52"/>
      <c r="M32" s="52"/>
      <c r="N32" s="52"/>
      <c r="O32" s="52"/>
      <c r="P32" s="52"/>
      <c r="Q32" s="52"/>
      <c r="R32" s="52"/>
      <c r="S32" s="52"/>
      <c r="T32" s="52"/>
      <c r="U32" s="52"/>
      <c r="V32" s="51"/>
      <c r="W32" s="52"/>
      <c r="X32" s="52"/>
      <c r="Y32" s="52"/>
      <c r="Z32" s="52"/>
      <c r="AA32" s="52"/>
      <c r="AB32" s="52"/>
      <c r="AC32" s="52"/>
      <c r="AD32" s="52"/>
      <c r="AE32" s="52"/>
      <c r="AF32" s="52"/>
      <c r="AG32" s="52"/>
      <c r="AH32" s="52"/>
      <c r="AI32" s="52"/>
      <c r="AJ32" s="52"/>
      <c r="AK32" s="52"/>
      <c r="AL32" s="52"/>
      <c r="AM32" s="52"/>
      <c r="AN32" s="52"/>
      <c r="AO32" s="52"/>
      <c r="AP32" s="52"/>
      <c r="AQ32" s="52"/>
      <c r="AS32" s="53">
        <f>SUM(C31:AS31)</f>
        <v>824639512.00618684</v>
      </c>
    </row>
    <row r="33" spans="3:45">
      <c r="C33" s="51"/>
      <c r="D33" s="51"/>
      <c r="E33" s="52"/>
      <c r="F33" s="51"/>
      <c r="G33" s="51"/>
      <c r="H33" s="51"/>
      <c r="I33" s="51"/>
      <c r="J33" s="51"/>
      <c r="L33" s="51"/>
      <c r="M33" s="51"/>
      <c r="N33" s="51"/>
      <c r="O33" s="51"/>
      <c r="P33" s="51"/>
      <c r="Q33" s="51"/>
      <c r="R33" s="51"/>
      <c r="S33" s="51"/>
      <c r="U33" s="51"/>
      <c r="V33" s="51"/>
      <c r="W33" s="51"/>
      <c r="X33" s="51"/>
      <c r="Y33" s="51"/>
      <c r="Z33" s="52"/>
      <c r="AA33" s="51"/>
      <c r="AB33" s="51"/>
      <c r="AC33" s="51"/>
      <c r="AD33" s="51"/>
      <c r="AE33" s="51"/>
      <c r="AF33" s="51"/>
      <c r="AG33" s="51"/>
      <c r="AH33" s="51"/>
      <c r="AI33" s="51"/>
      <c r="AJ33" s="51"/>
      <c r="AM33" s="51"/>
      <c r="AN33" s="51"/>
      <c r="AO33" s="51"/>
      <c r="AP33" s="51"/>
      <c r="AR33" s="53"/>
      <c r="AS33" s="54"/>
    </row>
    <row r="34" spans="3:45">
      <c r="R34" s="51"/>
      <c r="AO34" s="42"/>
      <c r="AQ34" s="75" t="s">
        <v>356</v>
      </c>
      <c r="AR34" s="51">
        <f>SUM(C31:AP31)</f>
        <v>70714600.62272881</v>
      </c>
    </row>
    <row r="35" spans="3:45">
      <c r="R35" s="51"/>
      <c r="AQ35" s="76" t="s">
        <v>451</v>
      </c>
      <c r="AR35" s="51">
        <f>+'CONSOLIDADO POR SEDE JUNIO'!K2606</f>
        <v>70714600.622728899</v>
      </c>
    </row>
    <row r="36" spans="3:45" ht="15.75" thickBot="1">
      <c r="R36" s="51"/>
      <c r="AR36" s="57">
        <f>+AR34-AR35</f>
        <v>0</v>
      </c>
    </row>
    <row r="37" spans="3:45" ht="15.75" thickTop="1">
      <c r="R37" s="51"/>
    </row>
    <row r="38" spans="3:45">
      <c r="R38" s="51"/>
    </row>
    <row r="39" spans="3:45">
      <c r="R39" s="51"/>
    </row>
    <row r="40" spans="3:45">
      <c r="R40" s="51"/>
    </row>
    <row r="41" spans="3:45">
      <c r="R41" s="51"/>
    </row>
    <row r="42" spans="3:45">
      <c r="R42" s="51"/>
    </row>
    <row r="43" spans="3:45">
      <c r="R43" s="51"/>
    </row>
    <row r="44" spans="3:45">
      <c r="R44" s="51"/>
    </row>
    <row r="45" spans="3:45">
      <c r="R45" s="51"/>
    </row>
    <row r="46" spans="3:45">
      <c r="R46" s="51"/>
    </row>
    <row r="47" spans="3:45">
      <c r="R47" s="51"/>
    </row>
    <row r="48" spans="3:45">
      <c r="R48" s="51"/>
    </row>
    <row r="49" spans="18:18">
      <c r="R49" s="51"/>
    </row>
    <row r="50" spans="18:18">
      <c r="R50" s="51"/>
    </row>
    <row r="51" spans="18:18">
      <c r="R51" s="51"/>
    </row>
    <row r="52" spans="18:18">
      <c r="R52" s="51"/>
    </row>
    <row r="53" spans="18:18">
      <c r="R53" s="51"/>
    </row>
    <row r="54" spans="18:18">
      <c r="R54" s="51"/>
    </row>
    <row r="55" spans="18:18">
      <c r="R55" s="51"/>
    </row>
    <row r="56" spans="18:18">
      <c r="R56" s="51"/>
    </row>
    <row r="57" spans="18:18">
      <c r="R57" s="51"/>
    </row>
  </sheetData>
  <mergeCells count="3">
    <mergeCell ref="A1:B1"/>
    <mergeCell ref="A2:B2"/>
    <mergeCell ref="A3:B3"/>
  </mergeCells>
  <conditionalFormatting sqref="B6:B30">
    <cfRule type="duplicateValues" dxfId="887" priority="1"/>
  </conditionalFormatting>
  <conditionalFormatting sqref="C3:AS3">
    <cfRule type="cellIs" dxfId="886" priority="2" operator="lessThan">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6FFFF"/>
  </sheetPr>
  <dimension ref="A1:BF209"/>
  <sheetViews>
    <sheetView topLeftCell="B6" zoomScale="60" zoomScaleNormal="60" workbookViewId="0">
      <selection activeCell="BB142" sqref="BB142:BB175"/>
    </sheetView>
  </sheetViews>
  <sheetFormatPr baseColWidth="10" defaultColWidth="11.42578125" defaultRowHeight="255" customHeight="1"/>
  <cols>
    <col min="1" max="1" width="24.140625" style="90" customWidth="1"/>
    <col min="2" max="2" width="7" style="90" bestFit="1" customWidth="1"/>
    <col min="3" max="3" width="16.42578125" style="136" customWidth="1"/>
    <col min="4" max="4" width="49.85546875" style="90" customWidth="1"/>
    <col min="5" max="5" width="39.5703125" style="90" customWidth="1"/>
    <col min="6" max="6" width="54.85546875" style="90" customWidth="1"/>
    <col min="7" max="7" width="75.5703125" style="90" customWidth="1"/>
    <col min="8" max="8" width="23.28515625" style="90" hidden="1" customWidth="1"/>
    <col min="9" max="9" width="25.140625" style="90" hidden="1" customWidth="1"/>
    <col min="10" max="10" width="8.140625" style="90" hidden="1" customWidth="1"/>
    <col min="11" max="18" width="6.7109375" style="90" hidden="1" customWidth="1"/>
    <col min="19" max="19" width="6.7109375" style="137" hidden="1" customWidth="1"/>
    <col min="20" max="20" width="6.42578125" style="137" hidden="1" customWidth="1"/>
    <col min="21" max="21" width="6.5703125" style="137" hidden="1" customWidth="1"/>
    <col min="22" max="25" width="6.7109375" style="137" hidden="1" customWidth="1"/>
    <col min="26" max="28" width="6.7109375" style="90" hidden="1" customWidth="1"/>
    <col min="29" max="32" width="6.7109375" style="137" hidden="1" customWidth="1"/>
    <col min="33" max="39" width="6.7109375" style="90" hidden="1" customWidth="1"/>
    <col min="40" max="41" width="18.85546875" style="90" hidden="1" customWidth="1"/>
    <col min="42" max="42" width="16.5703125" style="90" hidden="1" customWidth="1"/>
    <col min="43" max="43" width="15.28515625" style="90" hidden="1" customWidth="1"/>
    <col min="44" max="44" width="19.42578125" style="90" hidden="1" customWidth="1"/>
    <col min="45" max="45" width="15.7109375" style="90" hidden="1" customWidth="1"/>
    <col min="46" max="46" width="17.140625" style="90" hidden="1" customWidth="1"/>
    <col min="47" max="47" width="16.140625" style="90" hidden="1" customWidth="1"/>
    <col min="48" max="48" width="14.85546875" style="90" hidden="1" customWidth="1"/>
    <col min="49" max="49" width="14" style="90" hidden="1" customWidth="1"/>
    <col min="50" max="50" width="16.140625" style="90" hidden="1" customWidth="1"/>
    <col min="51" max="51" width="11.42578125" style="90" hidden="1" customWidth="1"/>
    <col min="52" max="52" width="13.42578125" style="90" hidden="1" customWidth="1"/>
    <col min="53" max="53" width="11.42578125" style="90" hidden="1" customWidth="1"/>
    <col min="54" max="54" width="15.5703125" style="90" customWidth="1"/>
    <col min="55" max="16384" width="11.42578125" style="90"/>
  </cols>
  <sheetData>
    <row r="1" spans="2:56" ht="73.5" customHeight="1">
      <c r="B1" s="87"/>
      <c r="C1" s="88"/>
      <c r="D1" s="89"/>
      <c r="E1" s="89"/>
      <c r="F1" s="89"/>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2:56" ht="89.1" customHeight="1">
      <c r="B2" s="284" t="s">
        <v>791</v>
      </c>
      <c r="C2" s="285"/>
      <c r="D2" s="91"/>
      <c r="E2" s="92"/>
      <c r="F2" s="92"/>
      <c r="G2" s="93"/>
      <c r="H2" s="93"/>
      <c r="I2" s="93"/>
      <c r="P2" s="87"/>
      <c r="Q2" s="87"/>
      <c r="R2" s="87"/>
      <c r="S2" s="87"/>
      <c r="T2" s="87"/>
      <c r="U2" s="87"/>
      <c r="V2" s="87"/>
      <c r="W2" s="87"/>
      <c r="X2" s="87"/>
      <c r="Y2" s="87"/>
      <c r="Z2" s="87"/>
      <c r="AA2" s="87"/>
      <c r="AB2" s="87"/>
      <c r="AC2" s="87"/>
      <c r="AD2" s="87"/>
      <c r="AE2" s="87"/>
      <c r="AF2" s="87"/>
      <c r="AG2" s="87"/>
      <c r="AH2" s="87"/>
      <c r="AI2" s="87"/>
      <c r="AJ2" s="87"/>
      <c r="AK2" s="87"/>
    </row>
    <row r="3" spans="2:56" ht="57.6" customHeight="1">
      <c r="B3" s="87"/>
      <c r="C3" s="93"/>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row>
    <row r="4" spans="2:56" ht="42.95" customHeight="1">
      <c r="B4" s="293" t="s">
        <v>548</v>
      </c>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row>
    <row r="5" spans="2:56" ht="60.95" customHeight="1">
      <c r="B5" s="293"/>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row>
    <row r="6" spans="2:56" ht="44.1" customHeight="1">
      <c r="B6" s="87"/>
      <c r="C6" s="93"/>
      <c r="D6" s="87"/>
      <c r="E6" s="87"/>
      <c r="F6" s="87"/>
      <c r="G6" s="87"/>
      <c r="H6" s="87"/>
      <c r="I6" s="87"/>
      <c r="J6" s="94">
        <v>1</v>
      </c>
      <c r="K6" s="94">
        <v>2</v>
      </c>
      <c r="L6" s="94">
        <v>3</v>
      </c>
      <c r="M6" s="94">
        <v>4</v>
      </c>
      <c r="N6" s="94">
        <v>5</v>
      </c>
      <c r="O6" s="94">
        <v>6</v>
      </c>
      <c r="P6" s="94">
        <v>7</v>
      </c>
      <c r="Q6" s="94">
        <v>8</v>
      </c>
      <c r="R6" s="94">
        <v>9</v>
      </c>
      <c r="S6" s="94">
        <v>10</v>
      </c>
      <c r="T6" s="94">
        <v>11</v>
      </c>
      <c r="U6" s="94">
        <v>12</v>
      </c>
      <c r="V6" s="94">
        <v>13</v>
      </c>
      <c r="W6" s="94">
        <v>14</v>
      </c>
      <c r="X6" s="94">
        <v>15</v>
      </c>
      <c r="Y6" s="94">
        <v>16</v>
      </c>
      <c r="Z6" s="94">
        <v>17</v>
      </c>
      <c r="AA6" s="94">
        <v>18</v>
      </c>
      <c r="AB6" s="94">
        <v>19</v>
      </c>
      <c r="AC6" s="94">
        <v>20</v>
      </c>
      <c r="AD6" s="94">
        <v>21</v>
      </c>
      <c r="AE6" s="94">
        <v>22</v>
      </c>
      <c r="AF6" s="94">
        <v>23</v>
      </c>
      <c r="AG6" s="94">
        <v>24</v>
      </c>
      <c r="AH6" s="94">
        <v>25</v>
      </c>
      <c r="AI6" s="94">
        <v>26</v>
      </c>
      <c r="AJ6" s="94">
        <v>27</v>
      </c>
      <c r="AK6" s="94">
        <v>28</v>
      </c>
      <c r="AL6" s="94">
        <v>29</v>
      </c>
      <c r="AM6" s="94">
        <v>30</v>
      </c>
    </row>
    <row r="7" spans="2:56" ht="40.5" customHeight="1">
      <c r="B7" s="286" t="s">
        <v>1</v>
      </c>
      <c r="C7" s="286" t="s">
        <v>549</v>
      </c>
      <c r="D7" s="287" t="s">
        <v>550</v>
      </c>
      <c r="E7" s="286" t="s">
        <v>551</v>
      </c>
      <c r="F7" s="289" t="s">
        <v>552</v>
      </c>
      <c r="G7" s="291" t="s">
        <v>119</v>
      </c>
      <c r="H7" s="291" t="s">
        <v>553</v>
      </c>
      <c r="I7" s="282" t="s">
        <v>554</v>
      </c>
      <c r="J7" s="95" t="s">
        <v>798</v>
      </c>
      <c r="K7" s="95" t="s">
        <v>799</v>
      </c>
      <c r="L7" s="95" t="s">
        <v>800</v>
      </c>
      <c r="M7" s="95" t="s">
        <v>801</v>
      </c>
      <c r="N7" s="95" t="s">
        <v>802</v>
      </c>
      <c r="O7" s="95" t="s">
        <v>803</v>
      </c>
      <c r="P7" s="95" t="s">
        <v>804</v>
      </c>
      <c r="Q7" s="95" t="s">
        <v>798</v>
      </c>
      <c r="R7" s="95" t="s">
        <v>799</v>
      </c>
      <c r="S7" s="95" t="s">
        <v>800</v>
      </c>
      <c r="T7" s="95" t="s">
        <v>801</v>
      </c>
      <c r="U7" s="95" t="s">
        <v>802</v>
      </c>
      <c r="V7" s="95" t="s">
        <v>803</v>
      </c>
      <c r="W7" s="95" t="s">
        <v>804</v>
      </c>
      <c r="X7" s="95" t="s">
        <v>798</v>
      </c>
      <c r="Y7" s="95" t="s">
        <v>799</v>
      </c>
      <c r="Z7" s="95" t="s">
        <v>800</v>
      </c>
      <c r="AA7" s="95" t="s">
        <v>801</v>
      </c>
      <c r="AB7" s="95" t="s">
        <v>802</v>
      </c>
      <c r="AC7" s="95" t="s">
        <v>803</v>
      </c>
      <c r="AD7" s="95" t="s">
        <v>804</v>
      </c>
      <c r="AE7" s="95" t="s">
        <v>798</v>
      </c>
      <c r="AF7" s="95" t="s">
        <v>799</v>
      </c>
      <c r="AG7" s="95" t="s">
        <v>800</v>
      </c>
      <c r="AH7" s="95" t="s">
        <v>801</v>
      </c>
      <c r="AI7" s="95" t="s">
        <v>802</v>
      </c>
      <c r="AJ7" s="95" t="s">
        <v>803</v>
      </c>
      <c r="AK7" s="95" t="s">
        <v>804</v>
      </c>
      <c r="AL7" s="95" t="s">
        <v>802</v>
      </c>
      <c r="AM7" s="95" t="s">
        <v>803</v>
      </c>
      <c r="AO7" s="96" t="s">
        <v>555</v>
      </c>
      <c r="AP7" s="97" t="s">
        <v>556</v>
      </c>
      <c r="AQ7" s="98" t="s">
        <v>557</v>
      </c>
      <c r="AR7" s="99" t="s">
        <v>558</v>
      </c>
      <c r="AS7" s="96" t="s">
        <v>559</v>
      </c>
      <c r="AT7" s="100" t="s">
        <v>560</v>
      </c>
      <c r="AU7" s="101" t="s">
        <v>561</v>
      </c>
      <c r="AV7" s="102" t="s">
        <v>562</v>
      </c>
      <c r="AW7" s="103" t="s">
        <v>563</v>
      </c>
      <c r="AX7" s="104" t="s">
        <v>564</v>
      </c>
      <c r="AY7" s="105" t="s">
        <v>565</v>
      </c>
      <c r="AZ7" s="106" t="s">
        <v>566</v>
      </c>
      <c r="BA7" s="97" t="s">
        <v>567</v>
      </c>
      <c r="BB7" s="107" t="s">
        <v>568</v>
      </c>
    </row>
    <row r="8" spans="2:56" ht="40.5" customHeight="1">
      <c r="B8" s="287"/>
      <c r="C8" s="287"/>
      <c r="D8" s="288"/>
      <c r="E8" s="287"/>
      <c r="F8" s="290"/>
      <c r="G8" s="292"/>
      <c r="H8" s="292"/>
      <c r="I8" s="283"/>
      <c r="J8" s="108">
        <v>46204</v>
      </c>
      <c r="K8" s="109">
        <v>46205</v>
      </c>
      <c r="L8" s="109">
        <v>46206</v>
      </c>
      <c r="M8" s="109">
        <v>46207</v>
      </c>
      <c r="N8" s="109">
        <v>46208</v>
      </c>
      <c r="O8" s="109">
        <v>46209</v>
      </c>
      <c r="P8" s="109">
        <v>46210</v>
      </c>
      <c r="Q8" s="109">
        <v>46211</v>
      </c>
      <c r="R8" s="109">
        <v>46212</v>
      </c>
      <c r="S8" s="109">
        <v>46213</v>
      </c>
      <c r="T8" s="109">
        <v>46214</v>
      </c>
      <c r="U8" s="109">
        <v>46215</v>
      </c>
      <c r="V8" s="109">
        <v>46216</v>
      </c>
      <c r="W8" s="109">
        <v>46217</v>
      </c>
      <c r="X8" s="109">
        <v>46218</v>
      </c>
      <c r="Y8" s="109">
        <v>46219</v>
      </c>
      <c r="Z8" s="109">
        <v>46220</v>
      </c>
      <c r="AA8" s="109">
        <v>46221</v>
      </c>
      <c r="AB8" s="109">
        <v>46222</v>
      </c>
      <c r="AC8" s="109">
        <v>46223</v>
      </c>
      <c r="AD8" s="109">
        <v>46224</v>
      </c>
      <c r="AE8" s="109">
        <v>46225</v>
      </c>
      <c r="AF8" s="109">
        <v>46226</v>
      </c>
      <c r="AG8" s="109">
        <v>46227</v>
      </c>
      <c r="AH8" s="109">
        <v>46228</v>
      </c>
      <c r="AI8" s="109">
        <v>46229</v>
      </c>
      <c r="AJ8" s="109">
        <v>46230</v>
      </c>
      <c r="AK8" s="109">
        <v>46231</v>
      </c>
      <c r="AL8" s="109">
        <v>29</v>
      </c>
      <c r="AM8" s="109">
        <v>30</v>
      </c>
      <c r="AO8" s="110" t="s">
        <v>569</v>
      </c>
      <c r="AP8" s="111" t="s">
        <v>570</v>
      </c>
      <c r="AQ8" s="110" t="s">
        <v>571</v>
      </c>
      <c r="AR8" s="110" t="s">
        <v>572</v>
      </c>
      <c r="AS8" s="110" t="s">
        <v>573</v>
      </c>
      <c r="AT8" s="111" t="s">
        <v>574</v>
      </c>
      <c r="AU8" s="110" t="s">
        <v>575</v>
      </c>
      <c r="AV8" s="111" t="s">
        <v>576</v>
      </c>
      <c r="AW8" s="110" t="s">
        <v>577</v>
      </c>
      <c r="AX8" s="111" t="s">
        <v>578</v>
      </c>
      <c r="AY8" s="111" t="s">
        <v>579</v>
      </c>
      <c r="AZ8" s="111" t="s">
        <v>580</v>
      </c>
      <c r="BA8" s="110" t="s">
        <v>581</v>
      </c>
      <c r="BB8" s="111"/>
    </row>
    <row r="9" spans="2:56" ht="48.95" customHeight="1">
      <c r="B9" s="112">
        <v>1</v>
      </c>
      <c r="C9" s="113">
        <v>1111335552</v>
      </c>
      <c r="D9" s="114" t="s">
        <v>805</v>
      </c>
      <c r="E9" s="134" t="s">
        <v>792</v>
      </c>
      <c r="F9" s="78" t="s">
        <v>506</v>
      </c>
      <c r="G9" s="260" t="s">
        <v>161</v>
      </c>
      <c r="H9" s="114" t="s">
        <v>806</v>
      </c>
      <c r="I9" s="114" t="s">
        <v>600</v>
      </c>
      <c r="J9" s="97" t="s">
        <v>567</v>
      </c>
      <c r="K9" s="97" t="s">
        <v>567</v>
      </c>
      <c r="L9" s="97" t="s">
        <v>567</v>
      </c>
      <c r="M9" s="97" t="s">
        <v>567</v>
      </c>
      <c r="N9" s="97" t="s">
        <v>557</v>
      </c>
      <c r="O9" s="97" t="s">
        <v>567</v>
      </c>
      <c r="P9" s="97" t="s">
        <v>567</v>
      </c>
      <c r="Q9" s="97" t="s">
        <v>567</v>
      </c>
      <c r="R9" s="97" t="s">
        <v>567</v>
      </c>
      <c r="S9" s="97" t="s">
        <v>567</v>
      </c>
      <c r="T9" s="97" t="s">
        <v>567</v>
      </c>
      <c r="U9" s="97" t="s">
        <v>557</v>
      </c>
      <c r="V9" s="97" t="s">
        <v>557</v>
      </c>
      <c r="W9" s="97" t="s">
        <v>567</v>
      </c>
      <c r="X9" s="97" t="s">
        <v>567</v>
      </c>
      <c r="Y9" s="97" t="s">
        <v>567</v>
      </c>
      <c r="Z9" s="97" t="s">
        <v>567</v>
      </c>
      <c r="AA9" s="97" t="s">
        <v>567</v>
      </c>
      <c r="AB9" s="97" t="s">
        <v>557</v>
      </c>
      <c r="AC9" s="97" t="s">
        <v>557</v>
      </c>
      <c r="AD9" s="97" t="s">
        <v>567</v>
      </c>
      <c r="AE9" s="97" t="s">
        <v>567</v>
      </c>
      <c r="AF9" s="97" t="s">
        <v>567</v>
      </c>
      <c r="AG9" s="97" t="s">
        <v>567</v>
      </c>
      <c r="AH9" s="97" t="s">
        <v>567</v>
      </c>
      <c r="AI9" s="97" t="s">
        <v>567</v>
      </c>
      <c r="AJ9" s="97" t="s">
        <v>557</v>
      </c>
      <c r="AK9" s="97" t="s">
        <v>567</v>
      </c>
      <c r="AL9" s="97" t="s">
        <v>567</v>
      </c>
      <c r="AM9" s="97" t="s">
        <v>567</v>
      </c>
      <c r="AO9" s="116">
        <f>COUNTIF($J9:$AM9,AO$7)</f>
        <v>0</v>
      </c>
      <c r="AP9" s="116">
        <f t="shared" ref="AP9:BA15" si="0">COUNTIF($J9:$AM9,AP$7)</f>
        <v>0</v>
      </c>
      <c r="AQ9" s="116">
        <f t="shared" si="0"/>
        <v>6</v>
      </c>
      <c r="AR9" s="116">
        <f t="shared" si="0"/>
        <v>0</v>
      </c>
      <c r="AS9" s="116">
        <f t="shared" si="0"/>
        <v>0</v>
      </c>
      <c r="AT9" s="116">
        <f t="shared" si="0"/>
        <v>0</v>
      </c>
      <c r="AU9" s="116">
        <f t="shared" si="0"/>
        <v>0</v>
      </c>
      <c r="AV9" s="116">
        <f t="shared" si="0"/>
        <v>0</v>
      </c>
      <c r="AW9" s="116">
        <f t="shared" si="0"/>
        <v>0</v>
      </c>
      <c r="AX9" s="116">
        <f t="shared" si="0"/>
        <v>0</v>
      </c>
      <c r="AY9" s="116">
        <f t="shared" si="0"/>
        <v>0</v>
      </c>
      <c r="AZ9" s="116">
        <f t="shared" si="0"/>
        <v>0</v>
      </c>
      <c r="BA9" s="116">
        <f t="shared" si="0"/>
        <v>24</v>
      </c>
      <c r="BB9" s="117">
        <f>+BA9+AQ9</f>
        <v>30</v>
      </c>
      <c r="BD9" s="137">
        <v>30</v>
      </c>
    </row>
    <row r="10" spans="2:56" ht="48.95" customHeight="1">
      <c r="B10" s="112">
        <v>2</v>
      </c>
      <c r="C10" s="113">
        <v>1073599974</v>
      </c>
      <c r="D10" s="114" t="s">
        <v>807</v>
      </c>
      <c r="E10" s="134" t="s">
        <v>792</v>
      </c>
      <c r="F10" s="78" t="s">
        <v>507</v>
      </c>
      <c r="G10" s="260" t="s">
        <v>161</v>
      </c>
      <c r="H10" s="114" t="s">
        <v>808</v>
      </c>
      <c r="I10" s="114" t="s">
        <v>597</v>
      </c>
      <c r="J10" s="97" t="s">
        <v>567</v>
      </c>
      <c r="K10" s="97" t="s">
        <v>567</v>
      </c>
      <c r="L10" s="97" t="s">
        <v>567</v>
      </c>
      <c r="M10" s="97" t="s">
        <v>567</v>
      </c>
      <c r="N10" s="97" t="s">
        <v>557</v>
      </c>
      <c r="O10" s="97" t="s">
        <v>567</v>
      </c>
      <c r="P10" s="97" t="s">
        <v>567</v>
      </c>
      <c r="Q10" s="97" t="s">
        <v>567</v>
      </c>
      <c r="R10" s="97" t="s">
        <v>567</v>
      </c>
      <c r="S10" s="97" t="s">
        <v>567</v>
      </c>
      <c r="T10" s="97" t="s">
        <v>567</v>
      </c>
      <c r="U10" s="97" t="s">
        <v>557</v>
      </c>
      <c r="V10" s="97" t="s">
        <v>557</v>
      </c>
      <c r="W10" s="97" t="s">
        <v>567</v>
      </c>
      <c r="X10" s="97" t="s">
        <v>567</v>
      </c>
      <c r="Y10" s="97" t="s">
        <v>567</v>
      </c>
      <c r="Z10" s="97" t="s">
        <v>567</v>
      </c>
      <c r="AA10" s="97" t="s">
        <v>567</v>
      </c>
      <c r="AB10" s="97" t="s">
        <v>557</v>
      </c>
      <c r="AC10" s="97" t="s">
        <v>557</v>
      </c>
      <c r="AD10" s="97" t="s">
        <v>567</v>
      </c>
      <c r="AE10" s="97" t="s">
        <v>567</v>
      </c>
      <c r="AF10" s="97" t="s">
        <v>567</v>
      </c>
      <c r="AG10" s="97" t="s">
        <v>567</v>
      </c>
      <c r="AH10" s="97" t="s">
        <v>567</v>
      </c>
      <c r="AI10" s="97" t="s">
        <v>567</v>
      </c>
      <c r="AJ10" s="97" t="s">
        <v>557</v>
      </c>
      <c r="AK10" s="97" t="s">
        <v>567</v>
      </c>
      <c r="AL10" s="97" t="s">
        <v>567</v>
      </c>
      <c r="AM10" s="97" t="s">
        <v>567</v>
      </c>
      <c r="AO10" s="116">
        <f t="shared" ref="AO10:AO73" si="1">COUNTIF($J10:$AM10,AO$7)</f>
        <v>0</v>
      </c>
      <c r="AP10" s="116">
        <f t="shared" si="0"/>
        <v>0</v>
      </c>
      <c r="AQ10" s="116">
        <f t="shared" si="0"/>
        <v>6</v>
      </c>
      <c r="AR10" s="116">
        <f t="shared" si="0"/>
        <v>0</v>
      </c>
      <c r="AS10" s="116">
        <f t="shared" si="0"/>
        <v>0</v>
      </c>
      <c r="AT10" s="116">
        <f t="shared" si="0"/>
        <v>0</v>
      </c>
      <c r="AU10" s="116">
        <f t="shared" si="0"/>
        <v>0</v>
      </c>
      <c r="AV10" s="116">
        <f t="shared" si="0"/>
        <v>0</v>
      </c>
      <c r="AW10" s="116">
        <f t="shared" si="0"/>
        <v>0</v>
      </c>
      <c r="AX10" s="116">
        <f t="shared" si="0"/>
        <v>0</v>
      </c>
      <c r="AY10" s="116">
        <f t="shared" si="0"/>
        <v>0</v>
      </c>
      <c r="AZ10" s="116">
        <f t="shared" si="0"/>
        <v>0</v>
      </c>
      <c r="BA10" s="116">
        <f t="shared" si="0"/>
        <v>24</v>
      </c>
      <c r="BB10" s="117">
        <f t="shared" ref="BB10:BB73" si="2">+BA10+AQ10</f>
        <v>30</v>
      </c>
      <c r="BD10" s="137">
        <v>30</v>
      </c>
    </row>
    <row r="11" spans="2:56" ht="48.95" customHeight="1">
      <c r="B11" s="112">
        <v>3</v>
      </c>
      <c r="C11" s="113">
        <v>52381579</v>
      </c>
      <c r="D11" s="114" t="s">
        <v>809</v>
      </c>
      <c r="E11" s="134" t="s">
        <v>792</v>
      </c>
      <c r="F11" s="78" t="s">
        <v>506</v>
      </c>
      <c r="G11" s="260" t="s">
        <v>161</v>
      </c>
      <c r="H11" s="114" t="s">
        <v>810</v>
      </c>
      <c r="I11" s="114" t="s">
        <v>597</v>
      </c>
      <c r="J11" s="97" t="s">
        <v>567</v>
      </c>
      <c r="K11" s="97" t="s">
        <v>567</v>
      </c>
      <c r="L11" s="97" t="s">
        <v>567</v>
      </c>
      <c r="M11" s="97" t="s">
        <v>567</v>
      </c>
      <c r="N11" s="97" t="s">
        <v>557</v>
      </c>
      <c r="O11" s="97" t="s">
        <v>567</v>
      </c>
      <c r="P11" s="97" t="s">
        <v>567</v>
      </c>
      <c r="Q11" s="97" t="s">
        <v>567</v>
      </c>
      <c r="R11" s="97" t="s">
        <v>567</v>
      </c>
      <c r="S11" s="97" t="s">
        <v>567</v>
      </c>
      <c r="T11" s="97" t="s">
        <v>567</v>
      </c>
      <c r="U11" s="97" t="s">
        <v>557</v>
      </c>
      <c r="V11" s="97" t="s">
        <v>557</v>
      </c>
      <c r="W11" s="97" t="s">
        <v>567</v>
      </c>
      <c r="X11" s="97" t="s">
        <v>567</v>
      </c>
      <c r="Y11" s="97" t="s">
        <v>567</v>
      </c>
      <c r="Z11" s="97" t="s">
        <v>567</v>
      </c>
      <c r="AA11" s="97" t="s">
        <v>567</v>
      </c>
      <c r="AB11" s="97" t="s">
        <v>557</v>
      </c>
      <c r="AC11" s="97" t="s">
        <v>557</v>
      </c>
      <c r="AD11" s="97" t="s">
        <v>567</v>
      </c>
      <c r="AE11" s="97" t="s">
        <v>567</v>
      </c>
      <c r="AF11" s="97" t="s">
        <v>567</v>
      </c>
      <c r="AG11" s="97" t="s">
        <v>567</v>
      </c>
      <c r="AH11" s="97" t="s">
        <v>567</v>
      </c>
      <c r="AI11" s="97" t="s">
        <v>567</v>
      </c>
      <c r="AJ11" s="97" t="s">
        <v>557</v>
      </c>
      <c r="AK11" s="97" t="s">
        <v>567</v>
      </c>
      <c r="AL11" s="97" t="s">
        <v>567</v>
      </c>
      <c r="AM11" s="97" t="s">
        <v>567</v>
      </c>
      <c r="AO11" s="116">
        <f t="shared" si="1"/>
        <v>0</v>
      </c>
      <c r="AP11" s="116">
        <f t="shared" si="0"/>
        <v>0</v>
      </c>
      <c r="AQ11" s="116">
        <f t="shared" si="0"/>
        <v>6</v>
      </c>
      <c r="AR11" s="116">
        <f t="shared" si="0"/>
        <v>0</v>
      </c>
      <c r="AS11" s="116">
        <f t="shared" si="0"/>
        <v>0</v>
      </c>
      <c r="AT11" s="116">
        <f t="shared" si="0"/>
        <v>0</v>
      </c>
      <c r="AU11" s="116">
        <f t="shared" si="0"/>
        <v>0</v>
      </c>
      <c r="AV11" s="116">
        <f t="shared" si="0"/>
        <v>0</v>
      </c>
      <c r="AW11" s="116">
        <f t="shared" si="0"/>
        <v>0</v>
      </c>
      <c r="AX11" s="116">
        <f t="shared" si="0"/>
        <v>0</v>
      </c>
      <c r="AY11" s="116">
        <f t="shared" si="0"/>
        <v>0</v>
      </c>
      <c r="AZ11" s="116">
        <f t="shared" si="0"/>
        <v>0</v>
      </c>
      <c r="BA11" s="116">
        <f t="shared" si="0"/>
        <v>24</v>
      </c>
      <c r="BB11" s="117">
        <f t="shared" si="2"/>
        <v>30</v>
      </c>
      <c r="BD11" s="137">
        <v>30</v>
      </c>
    </row>
    <row r="12" spans="2:56" ht="48.95" customHeight="1">
      <c r="B12" s="112">
        <v>4</v>
      </c>
      <c r="C12" s="113">
        <v>52927563</v>
      </c>
      <c r="D12" s="114" t="s">
        <v>811</v>
      </c>
      <c r="E12" s="134" t="s">
        <v>792</v>
      </c>
      <c r="F12" s="78" t="s">
        <v>506</v>
      </c>
      <c r="G12" s="260" t="s">
        <v>161</v>
      </c>
      <c r="H12" s="114" t="s">
        <v>812</v>
      </c>
      <c r="I12" s="114" t="s">
        <v>597</v>
      </c>
      <c r="J12" s="97" t="s">
        <v>567</v>
      </c>
      <c r="K12" s="97" t="s">
        <v>567</v>
      </c>
      <c r="L12" s="97" t="s">
        <v>567</v>
      </c>
      <c r="M12" s="97" t="s">
        <v>567</v>
      </c>
      <c r="N12" s="97" t="s">
        <v>557</v>
      </c>
      <c r="O12" s="97" t="s">
        <v>567</v>
      </c>
      <c r="P12" s="97" t="s">
        <v>567</v>
      </c>
      <c r="Q12" s="97" t="s">
        <v>567</v>
      </c>
      <c r="R12" s="97" t="s">
        <v>567</v>
      </c>
      <c r="S12" s="97" t="s">
        <v>567</v>
      </c>
      <c r="T12" s="97" t="s">
        <v>567</v>
      </c>
      <c r="U12" s="97" t="s">
        <v>557</v>
      </c>
      <c r="V12" s="97" t="s">
        <v>557</v>
      </c>
      <c r="W12" s="97" t="s">
        <v>567</v>
      </c>
      <c r="X12" s="97" t="s">
        <v>567</v>
      </c>
      <c r="Y12" s="97" t="s">
        <v>567</v>
      </c>
      <c r="Z12" s="97" t="s">
        <v>567</v>
      </c>
      <c r="AA12" s="97" t="s">
        <v>567</v>
      </c>
      <c r="AB12" s="97" t="s">
        <v>557</v>
      </c>
      <c r="AC12" s="97" t="s">
        <v>557</v>
      </c>
      <c r="AD12" s="97" t="s">
        <v>567</v>
      </c>
      <c r="AE12" s="97" t="s">
        <v>567</v>
      </c>
      <c r="AF12" s="97" t="s">
        <v>567</v>
      </c>
      <c r="AG12" s="97" t="s">
        <v>567</v>
      </c>
      <c r="AH12" s="97" t="s">
        <v>567</v>
      </c>
      <c r="AI12" s="97" t="s">
        <v>567</v>
      </c>
      <c r="AJ12" s="97" t="s">
        <v>557</v>
      </c>
      <c r="AK12" s="97" t="s">
        <v>567</v>
      </c>
      <c r="AL12" s="97" t="s">
        <v>567</v>
      </c>
      <c r="AM12" s="97" t="s">
        <v>567</v>
      </c>
      <c r="AO12" s="116">
        <f t="shared" si="1"/>
        <v>0</v>
      </c>
      <c r="AP12" s="116">
        <f t="shared" si="0"/>
        <v>0</v>
      </c>
      <c r="AQ12" s="116">
        <f t="shared" si="0"/>
        <v>6</v>
      </c>
      <c r="AR12" s="116">
        <f t="shared" si="0"/>
        <v>0</v>
      </c>
      <c r="AS12" s="116">
        <f t="shared" si="0"/>
        <v>0</v>
      </c>
      <c r="AT12" s="116">
        <f t="shared" si="0"/>
        <v>0</v>
      </c>
      <c r="AU12" s="116">
        <f t="shared" si="0"/>
        <v>0</v>
      </c>
      <c r="AV12" s="116">
        <f t="shared" si="0"/>
        <v>0</v>
      </c>
      <c r="AW12" s="116">
        <f t="shared" si="0"/>
        <v>0</v>
      </c>
      <c r="AX12" s="116">
        <f t="shared" si="0"/>
        <v>0</v>
      </c>
      <c r="AY12" s="116">
        <f t="shared" si="0"/>
        <v>0</v>
      </c>
      <c r="AZ12" s="116">
        <f t="shared" si="0"/>
        <v>0</v>
      </c>
      <c r="BA12" s="116">
        <f t="shared" si="0"/>
        <v>24</v>
      </c>
      <c r="BB12" s="117">
        <f t="shared" si="2"/>
        <v>30</v>
      </c>
      <c r="BD12" s="137">
        <v>30</v>
      </c>
    </row>
    <row r="13" spans="2:56" ht="48.95" customHeight="1">
      <c r="B13" s="112">
        <v>5</v>
      </c>
      <c r="C13" s="113">
        <v>79453613</v>
      </c>
      <c r="D13" s="114" t="s">
        <v>813</v>
      </c>
      <c r="E13" s="134" t="s">
        <v>792</v>
      </c>
      <c r="F13" s="78" t="s">
        <v>507</v>
      </c>
      <c r="G13" s="260" t="s">
        <v>161</v>
      </c>
      <c r="H13" s="114" t="s">
        <v>814</v>
      </c>
      <c r="I13" s="114" t="s">
        <v>597</v>
      </c>
      <c r="J13" s="97" t="s">
        <v>567</v>
      </c>
      <c r="K13" s="97" t="s">
        <v>567</v>
      </c>
      <c r="L13" s="97" t="s">
        <v>567</v>
      </c>
      <c r="M13" s="97" t="s">
        <v>567</v>
      </c>
      <c r="N13" s="97" t="s">
        <v>557</v>
      </c>
      <c r="O13" s="97" t="s">
        <v>567</v>
      </c>
      <c r="P13" s="97" t="s">
        <v>567</v>
      </c>
      <c r="Q13" s="97" t="s">
        <v>567</v>
      </c>
      <c r="R13" s="97" t="s">
        <v>567</v>
      </c>
      <c r="S13" s="97" t="s">
        <v>567</v>
      </c>
      <c r="T13" s="97" t="s">
        <v>567</v>
      </c>
      <c r="U13" s="97" t="s">
        <v>557</v>
      </c>
      <c r="V13" s="97" t="s">
        <v>557</v>
      </c>
      <c r="W13" s="97" t="s">
        <v>567</v>
      </c>
      <c r="X13" s="97" t="s">
        <v>567</v>
      </c>
      <c r="Y13" s="97" t="s">
        <v>567</v>
      </c>
      <c r="Z13" s="97" t="s">
        <v>567</v>
      </c>
      <c r="AA13" s="97" t="s">
        <v>567</v>
      </c>
      <c r="AB13" s="97" t="s">
        <v>557</v>
      </c>
      <c r="AC13" s="97" t="s">
        <v>557</v>
      </c>
      <c r="AD13" s="97" t="s">
        <v>567</v>
      </c>
      <c r="AE13" s="97" t="s">
        <v>567</v>
      </c>
      <c r="AF13" s="97" t="s">
        <v>567</v>
      </c>
      <c r="AG13" s="97" t="s">
        <v>567</v>
      </c>
      <c r="AH13" s="97" t="s">
        <v>567</v>
      </c>
      <c r="AI13" s="97" t="s">
        <v>567</v>
      </c>
      <c r="AJ13" s="97" t="s">
        <v>557</v>
      </c>
      <c r="AK13" s="97" t="s">
        <v>567</v>
      </c>
      <c r="AL13" s="97" t="s">
        <v>567</v>
      </c>
      <c r="AM13" s="97" t="s">
        <v>567</v>
      </c>
      <c r="AO13" s="116">
        <f t="shared" si="1"/>
        <v>0</v>
      </c>
      <c r="AP13" s="116">
        <f t="shared" si="0"/>
        <v>0</v>
      </c>
      <c r="AQ13" s="116">
        <f t="shared" si="0"/>
        <v>6</v>
      </c>
      <c r="AR13" s="116">
        <f t="shared" si="0"/>
        <v>0</v>
      </c>
      <c r="AS13" s="116">
        <f t="shared" si="0"/>
        <v>0</v>
      </c>
      <c r="AT13" s="116">
        <f t="shared" si="0"/>
        <v>0</v>
      </c>
      <c r="AU13" s="116">
        <f t="shared" si="0"/>
        <v>0</v>
      </c>
      <c r="AV13" s="116">
        <f t="shared" si="0"/>
        <v>0</v>
      </c>
      <c r="AW13" s="116">
        <f t="shared" si="0"/>
        <v>0</v>
      </c>
      <c r="AX13" s="116">
        <f t="shared" si="0"/>
        <v>0</v>
      </c>
      <c r="AY13" s="116">
        <f t="shared" si="0"/>
        <v>0</v>
      </c>
      <c r="AZ13" s="116">
        <f t="shared" si="0"/>
        <v>0</v>
      </c>
      <c r="BA13" s="116">
        <f t="shared" si="0"/>
        <v>24</v>
      </c>
      <c r="BB13" s="117">
        <f t="shared" si="2"/>
        <v>30</v>
      </c>
      <c r="BD13" s="137">
        <v>30</v>
      </c>
    </row>
    <row r="14" spans="2:56" ht="48.95" customHeight="1">
      <c r="B14" s="112">
        <v>6</v>
      </c>
      <c r="C14" s="113">
        <v>1045227589</v>
      </c>
      <c r="D14" s="114" t="s">
        <v>815</v>
      </c>
      <c r="E14" s="134" t="s">
        <v>792</v>
      </c>
      <c r="F14" s="78" t="s">
        <v>506</v>
      </c>
      <c r="G14" s="260" t="s">
        <v>161</v>
      </c>
      <c r="H14" s="114" t="s">
        <v>816</v>
      </c>
      <c r="I14" s="114" t="s">
        <v>597</v>
      </c>
      <c r="J14" s="97" t="s">
        <v>567</v>
      </c>
      <c r="K14" s="97" t="s">
        <v>567</v>
      </c>
      <c r="L14" s="97" t="s">
        <v>567</v>
      </c>
      <c r="M14" s="97" t="s">
        <v>567</v>
      </c>
      <c r="N14" s="97" t="s">
        <v>557</v>
      </c>
      <c r="O14" s="97" t="s">
        <v>567</v>
      </c>
      <c r="P14" s="97" t="s">
        <v>567</v>
      </c>
      <c r="Q14" s="97" t="s">
        <v>567</v>
      </c>
      <c r="R14" s="97" t="s">
        <v>567</v>
      </c>
      <c r="S14" s="97" t="s">
        <v>567</v>
      </c>
      <c r="T14" s="97" t="s">
        <v>567</v>
      </c>
      <c r="U14" s="97" t="s">
        <v>557</v>
      </c>
      <c r="V14" s="97" t="s">
        <v>557</v>
      </c>
      <c r="W14" s="97" t="s">
        <v>567</v>
      </c>
      <c r="X14" s="97" t="s">
        <v>567</v>
      </c>
      <c r="Y14" s="97" t="s">
        <v>567</v>
      </c>
      <c r="Z14" s="97" t="s">
        <v>567</v>
      </c>
      <c r="AA14" s="97" t="s">
        <v>567</v>
      </c>
      <c r="AB14" s="97" t="s">
        <v>557</v>
      </c>
      <c r="AC14" s="97" t="s">
        <v>557</v>
      </c>
      <c r="AD14" s="97" t="s">
        <v>567</v>
      </c>
      <c r="AE14" s="97" t="s">
        <v>567</v>
      </c>
      <c r="AF14" s="97" t="s">
        <v>567</v>
      </c>
      <c r="AG14" s="97" t="s">
        <v>567</v>
      </c>
      <c r="AH14" s="97" t="s">
        <v>567</v>
      </c>
      <c r="AI14" s="97" t="s">
        <v>567</v>
      </c>
      <c r="AJ14" s="97" t="s">
        <v>557</v>
      </c>
      <c r="AK14" s="97" t="s">
        <v>567</v>
      </c>
      <c r="AL14" s="97" t="s">
        <v>567</v>
      </c>
      <c r="AM14" s="97" t="s">
        <v>567</v>
      </c>
      <c r="AO14" s="116">
        <f t="shared" si="1"/>
        <v>0</v>
      </c>
      <c r="AP14" s="116">
        <f t="shared" si="0"/>
        <v>0</v>
      </c>
      <c r="AQ14" s="116">
        <f t="shared" si="0"/>
        <v>6</v>
      </c>
      <c r="AR14" s="116">
        <f t="shared" si="0"/>
        <v>0</v>
      </c>
      <c r="AS14" s="116">
        <f t="shared" si="0"/>
        <v>0</v>
      </c>
      <c r="AT14" s="116">
        <f t="shared" si="0"/>
        <v>0</v>
      </c>
      <c r="AU14" s="116">
        <f t="shared" si="0"/>
        <v>0</v>
      </c>
      <c r="AV14" s="116">
        <f t="shared" si="0"/>
        <v>0</v>
      </c>
      <c r="AW14" s="116">
        <f t="shared" si="0"/>
        <v>0</v>
      </c>
      <c r="AX14" s="116">
        <f t="shared" si="0"/>
        <v>0</v>
      </c>
      <c r="AY14" s="116">
        <f t="shared" si="0"/>
        <v>0</v>
      </c>
      <c r="AZ14" s="116">
        <f t="shared" si="0"/>
        <v>0</v>
      </c>
      <c r="BA14" s="116">
        <f t="shared" si="0"/>
        <v>24</v>
      </c>
      <c r="BB14" s="117">
        <f t="shared" si="2"/>
        <v>30</v>
      </c>
      <c r="BD14" s="137">
        <v>30</v>
      </c>
    </row>
    <row r="15" spans="2:56" ht="48.95" customHeight="1">
      <c r="B15" s="112">
        <v>7</v>
      </c>
      <c r="C15" s="113">
        <v>1065626457</v>
      </c>
      <c r="D15" s="114" t="s">
        <v>817</v>
      </c>
      <c r="E15" s="134" t="s">
        <v>792</v>
      </c>
      <c r="F15" s="78" t="s">
        <v>507</v>
      </c>
      <c r="G15" s="261" t="s">
        <v>161</v>
      </c>
      <c r="H15" s="114" t="s">
        <v>818</v>
      </c>
      <c r="I15" s="114" t="s">
        <v>597</v>
      </c>
      <c r="J15" s="97" t="s">
        <v>567</v>
      </c>
      <c r="K15" s="97" t="s">
        <v>567</v>
      </c>
      <c r="L15" s="97" t="s">
        <v>567</v>
      </c>
      <c r="M15" s="97" t="s">
        <v>567</v>
      </c>
      <c r="N15" s="97" t="s">
        <v>557</v>
      </c>
      <c r="O15" s="97" t="s">
        <v>567</v>
      </c>
      <c r="P15" s="97" t="s">
        <v>567</v>
      </c>
      <c r="Q15" s="97" t="s">
        <v>567</v>
      </c>
      <c r="R15" s="97" t="s">
        <v>567</v>
      </c>
      <c r="S15" s="97" t="s">
        <v>567</v>
      </c>
      <c r="T15" s="97" t="s">
        <v>567</v>
      </c>
      <c r="U15" s="97" t="s">
        <v>557</v>
      </c>
      <c r="V15" s="97" t="s">
        <v>557</v>
      </c>
      <c r="W15" s="97" t="s">
        <v>567</v>
      </c>
      <c r="X15" s="97" t="s">
        <v>567</v>
      </c>
      <c r="Y15" s="97" t="s">
        <v>567</v>
      </c>
      <c r="Z15" s="97" t="s">
        <v>567</v>
      </c>
      <c r="AA15" s="97" t="s">
        <v>567</v>
      </c>
      <c r="AB15" s="97" t="s">
        <v>557</v>
      </c>
      <c r="AC15" s="97" t="s">
        <v>557</v>
      </c>
      <c r="AD15" s="97" t="s">
        <v>567</v>
      </c>
      <c r="AE15" s="97" t="s">
        <v>567</v>
      </c>
      <c r="AF15" s="97" t="s">
        <v>567</v>
      </c>
      <c r="AG15" s="97" t="s">
        <v>567</v>
      </c>
      <c r="AH15" s="97" t="s">
        <v>567</v>
      </c>
      <c r="AI15" s="97" t="s">
        <v>567</v>
      </c>
      <c r="AJ15" s="97" t="s">
        <v>557</v>
      </c>
      <c r="AK15" s="97" t="s">
        <v>567</v>
      </c>
      <c r="AL15" s="97" t="s">
        <v>567</v>
      </c>
      <c r="AM15" s="97" t="s">
        <v>567</v>
      </c>
      <c r="AO15" s="116">
        <f t="shared" si="1"/>
        <v>0</v>
      </c>
      <c r="AP15" s="116">
        <f t="shared" si="0"/>
        <v>0</v>
      </c>
      <c r="AQ15" s="116">
        <f t="shared" si="0"/>
        <v>6</v>
      </c>
      <c r="AR15" s="116">
        <f t="shared" si="0"/>
        <v>0</v>
      </c>
      <c r="AS15" s="116">
        <f t="shared" ref="AP15:BA36" si="3">COUNTIF($J15:$AM15,AS$7)</f>
        <v>0</v>
      </c>
      <c r="AT15" s="116">
        <f t="shared" si="3"/>
        <v>0</v>
      </c>
      <c r="AU15" s="116">
        <f t="shared" si="3"/>
        <v>0</v>
      </c>
      <c r="AV15" s="116">
        <f t="shared" si="3"/>
        <v>0</v>
      </c>
      <c r="AW15" s="116">
        <f t="shared" si="3"/>
        <v>0</v>
      </c>
      <c r="AX15" s="116">
        <f t="shared" si="3"/>
        <v>0</v>
      </c>
      <c r="AY15" s="116">
        <f t="shared" si="3"/>
        <v>0</v>
      </c>
      <c r="AZ15" s="116">
        <f t="shared" si="3"/>
        <v>0</v>
      </c>
      <c r="BA15" s="116">
        <f t="shared" si="3"/>
        <v>24</v>
      </c>
      <c r="BB15" s="117">
        <f t="shared" si="2"/>
        <v>30</v>
      </c>
      <c r="BD15" s="137">
        <v>30</v>
      </c>
    </row>
    <row r="16" spans="2:56" ht="48.95" customHeight="1">
      <c r="B16" s="112">
        <v>8</v>
      </c>
      <c r="C16" s="113">
        <v>52164356</v>
      </c>
      <c r="D16" s="114" t="s">
        <v>819</v>
      </c>
      <c r="E16" s="134" t="s">
        <v>792</v>
      </c>
      <c r="F16" s="78" t="s">
        <v>506</v>
      </c>
      <c r="G16" s="260" t="s">
        <v>161</v>
      </c>
      <c r="H16" s="114" t="s">
        <v>820</v>
      </c>
      <c r="I16" s="114" t="s">
        <v>597</v>
      </c>
      <c r="J16" s="97" t="s">
        <v>567</v>
      </c>
      <c r="K16" s="97" t="s">
        <v>567</v>
      </c>
      <c r="L16" s="97" t="s">
        <v>567</v>
      </c>
      <c r="M16" s="97" t="s">
        <v>567</v>
      </c>
      <c r="N16" s="97" t="s">
        <v>557</v>
      </c>
      <c r="O16" s="97" t="s">
        <v>567</v>
      </c>
      <c r="P16" s="97" t="s">
        <v>567</v>
      </c>
      <c r="Q16" s="97" t="s">
        <v>567</v>
      </c>
      <c r="R16" s="97" t="s">
        <v>567</v>
      </c>
      <c r="S16" s="97" t="s">
        <v>567</v>
      </c>
      <c r="T16" s="97" t="s">
        <v>567</v>
      </c>
      <c r="U16" s="97" t="s">
        <v>557</v>
      </c>
      <c r="V16" s="97" t="s">
        <v>557</v>
      </c>
      <c r="W16" s="97" t="s">
        <v>567</v>
      </c>
      <c r="X16" s="97" t="s">
        <v>567</v>
      </c>
      <c r="Y16" s="97" t="s">
        <v>567</v>
      </c>
      <c r="Z16" s="97" t="s">
        <v>567</v>
      </c>
      <c r="AA16" s="97" t="s">
        <v>567</v>
      </c>
      <c r="AB16" s="97" t="s">
        <v>557</v>
      </c>
      <c r="AC16" s="97" t="s">
        <v>557</v>
      </c>
      <c r="AD16" s="97" t="s">
        <v>567</v>
      </c>
      <c r="AE16" s="97" t="s">
        <v>567</v>
      </c>
      <c r="AF16" s="97" t="s">
        <v>567</v>
      </c>
      <c r="AG16" s="97" t="s">
        <v>567</v>
      </c>
      <c r="AH16" s="97" t="s">
        <v>567</v>
      </c>
      <c r="AI16" s="97" t="s">
        <v>567</v>
      </c>
      <c r="AJ16" s="97" t="s">
        <v>557</v>
      </c>
      <c r="AK16" s="97" t="s">
        <v>567</v>
      </c>
      <c r="AL16" s="97" t="s">
        <v>567</v>
      </c>
      <c r="AM16" s="97" t="s">
        <v>567</v>
      </c>
      <c r="AO16" s="116">
        <f t="shared" si="1"/>
        <v>0</v>
      </c>
      <c r="AP16" s="116">
        <f t="shared" si="3"/>
        <v>0</v>
      </c>
      <c r="AQ16" s="116">
        <f t="shared" si="3"/>
        <v>6</v>
      </c>
      <c r="AR16" s="116">
        <f t="shared" si="3"/>
        <v>0</v>
      </c>
      <c r="AS16" s="116">
        <f t="shared" si="3"/>
        <v>0</v>
      </c>
      <c r="AT16" s="116">
        <f t="shared" si="3"/>
        <v>0</v>
      </c>
      <c r="AU16" s="116">
        <f t="shared" si="3"/>
        <v>0</v>
      </c>
      <c r="AV16" s="116">
        <f t="shared" si="3"/>
        <v>0</v>
      </c>
      <c r="AW16" s="116">
        <f t="shared" si="3"/>
        <v>0</v>
      </c>
      <c r="AX16" s="116">
        <f t="shared" si="3"/>
        <v>0</v>
      </c>
      <c r="AY16" s="116">
        <f t="shared" si="3"/>
        <v>0</v>
      </c>
      <c r="AZ16" s="116">
        <f t="shared" si="3"/>
        <v>0</v>
      </c>
      <c r="BA16" s="116">
        <f t="shared" si="3"/>
        <v>24</v>
      </c>
      <c r="BB16" s="117">
        <f t="shared" si="2"/>
        <v>30</v>
      </c>
      <c r="BD16" s="137">
        <v>30</v>
      </c>
    </row>
    <row r="17" spans="2:56" ht="48.95" customHeight="1">
      <c r="B17" s="112">
        <v>9</v>
      </c>
      <c r="C17" s="113">
        <v>65788478</v>
      </c>
      <c r="D17" s="114" t="s">
        <v>821</v>
      </c>
      <c r="E17" s="134" t="s">
        <v>792</v>
      </c>
      <c r="F17" s="78" t="s">
        <v>506</v>
      </c>
      <c r="G17" s="260" t="s">
        <v>161</v>
      </c>
      <c r="H17" s="114" t="s">
        <v>822</v>
      </c>
      <c r="I17" s="255" t="s">
        <v>747</v>
      </c>
      <c r="J17" s="97" t="s">
        <v>567</v>
      </c>
      <c r="K17" s="97" t="s">
        <v>567</v>
      </c>
      <c r="L17" s="97" t="s">
        <v>567</v>
      </c>
      <c r="M17" s="97" t="s">
        <v>567</v>
      </c>
      <c r="N17" s="97" t="s">
        <v>557</v>
      </c>
      <c r="O17" s="97" t="s">
        <v>567</v>
      </c>
      <c r="P17" s="97" t="s">
        <v>567</v>
      </c>
      <c r="Q17" s="97" t="s">
        <v>567</v>
      </c>
      <c r="R17" s="97" t="s">
        <v>567</v>
      </c>
      <c r="S17" s="97" t="s">
        <v>567</v>
      </c>
      <c r="T17" s="97" t="s">
        <v>567</v>
      </c>
      <c r="U17" s="97" t="s">
        <v>557</v>
      </c>
      <c r="V17" s="97" t="s">
        <v>557</v>
      </c>
      <c r="W17" s="97" t="s">
        <v>567</v>
      </c>
      <c r="X17" s="97" t="s">
        <v>567</v>
      </c>
      <c r="Y17" s="97" t="s">
        <v>567</v>
      </c>
      <c r="Z17" s="97" t="s">
        <v>567</v>
      </c>
      <c r="AA17" s="97" t="s">
        <v>567</v>
      </c>
      <c r="AB17" s="97" t="s">
        <v>557</v>
      </c>
      <c r="AC17" s="97" t="s">
        <v>557</v>
      </c>
      <c r="AD17" s="97" t="s">
        <v>567</v>
      </c>
      <c r="AE17" s="97" t="s">
        <v>567</v>
      </c>
      <c r="AF17" s="97" t="s">
        <v>567</v>
      </c>
      <c r="AG17" s="97" t="s">
        <v>567</v>
      </c>
      <c r="AH17" s="97" t="s">
        <v>567</v>
      </c>
      <c r="AI17" s="97" t="s">
        <v>567</v>
      </c>
      <c r="AJ17" s="97" t="s">
        <v>557</v>
      </c>
      <c r="AK17" s="97" t="s">
        <v>567</v>
      </c>
      <c r="AL17" s="97" t="s">
        <v>567</v>
      </c>
      <c r="AM17" s="97" t="s">
        <v>567</v>
      </c>
      <c r="AO17" s="116">
        <f t="shared" si="1"/>
        <v>0</v>
      </c>
      <c r="AP17" s="116">
        <f t="shared" si="3"/>
        <v>0</v>
      </c>
      <c r="AQ17" s="116">
        <f t="shared" si="3"/>
        <v>6</v>
      </c>
      <c r="AR17" s="116">
        <f t="shared" si="3"/>
        <v>0</v>
      </c>
      <c r="AS17" s="116">
        <f t="shared" si="3"/>
        <v>0</v>
      </c>
      <c r="AT17" s="116">
        <f t="shared" si="3"/>
        <v>0</v>
      </c>
      <c r="AU17" s="116">
        <f t="shared" si="3"/>
        <v>0</v>
      </c>
      <c r="AV17" s="116">
        <f t="shared" si="3"/>
        <v>0</v>
      </c>
      <c r="AW17" s="116">
        <f t="shared" si="3"/>
        <v>0</v>
      </c>
      <c r="AX17" s="116">
        <f t="shared" si="3"/>
        <v>0</v>
      </c>
      <c r="AY17" s="116">
        <f t="shared" si="3"/>
        <v>0</v>
      </c>
      <c r="AZ17" s="116">
        <f t="shared" si="3"/>
        <v>0</v>
      </c>
      <c r="BA17" s="116">
        <f t="shared" si="3"/>
        <v>24</v>
      </c>
      <c r="BB17" s="117">
        <f t="shared" si="2"/>
        <v>30</v>
      </c>
      <c r="BD17" s="137">
        <v>30</v>
      </c>
    </row>
    <row r="18" spans="2:56" ht="48.95" customHeight="1">
      <c r="B18" s="112">
        <v>10</v>
      </c>
      <c r="C18" s="113">
        <v>52886419</v>
      </c>
      <c r="D18" s="114" t="s">
        <v>823</v>
      </c>
      <c r="E18" s="134" t="s">
        <v>792</v>
      </c>
      <c r="F18" s="78" t="s">
        <v>506</v>
      </c>
      <c r="G18" s="260" t="s">
        <v>161</v>
      </c>
      <c r="H18" s="114" t="s">
        <v>824</v>
      </c>
      <c r="I18" s="114" t="s">
        <v>597</v>
      </c>
      <c r="J18" s="97" t="s">
        <v>567</v>
      </c>
      <c r="K18" s="97" t="s">
        <v>567</v>
      </c>
      <c r="L18" s="97" t="s">
        <v>567</v>
      </c>
      <c r="M18" s="97" t="s">
        <v>567</v>
      </c>
      <c r="N18" s="97" t="s">
        <v>557</v>
      </c>
      <c r="O18" s="97" t="s">
        <v>567</v>
      </c>
      <c r="P18" s="97" t="s">
        <v>567</v>
      </c>
      <c r="Q18" s="97" t="s">
        <v>567</v>
      </c>
      <c r="R18" s="97" t="s">
        <v>567</v>
      </c>
      <c r="S18" s="97" t="s">
        <v>567</v>
      </c>
      <c r="T18" s="97" t="s">
        <v>567</v>
      </c>
      <c r="U18" s="97" t="s">
        <v>557</v>
      </c>
      <c r="V18" s="97" t="s">
        <v>557</v>
      </c>
      <c r="W18" s="97" t="s">
        <v>567</v>
      </c>
      <c r="X18" s="97" t="s">
        <v>567</v>
      </c>
      <c r="Y18" s="97" t="s">
        <v>567</v>
      </c>
      <c r="Z18" s="97" t="s">
        <v>567</v>
      </c>
      <c r="AA18" s="97" t="s">
        <v>567</v>
      </c>
      <c r="AB18" s="97" t="s">
        <v>557</v>
      </c>
      <c r="AC18" s="97" t="s">
        <v>557</v>
      </c>
      <c r="AD18" s="97" t="s">
        <v>567</v>
      </c>
      <c r="AE18" s="97" t="s">
        <v>567</v>
      </c>
      <c r="AF18" s="97" t="s">
        <v>567</v>
      </c>
      <c r="AG18" s="97" t="s">
        <v>567</v>
      </c>
      <c r="AH18" s="97" t="s">
        <v>567</v>
      </c>
      <c r="AI18" s="97" t="s">
        <v>567</v>
      </c>
      <c r="AJ18" s="97" t="s">
        <v>557</v>
      </c>
      <c r="AK18" s="97" t="s">
        <v>567</v>
      </c>
      <c r="AL18" s="97" t="s">
        <v>567</v>
      </c>
      <c r="AM18" s="97" t="s">
        <v>567</v>
      </c>
      <c r="AO18" s="116">
        <f t="shared" si="1"/>
        <v>0</v>
      </c>
      <c r="AP18" s="116">
        <f t="shared" si="3"/>
        <v>0</v>
      </c>
      <c r="AQ18" s="116">
        <f t="shared" si="3"/>
        <v>6</v>
      </c>
      <c r="AR18" s="116">
        <f t="shared" si="3"/>
        <v>0</v>
      </c>
      <c r="AS18" s="116">
        <f t="shared" si="3"/>
        <v>0</v>
      </c>
      <c r="AT18" s="116">
        <f t="shared" si="3"/>
        <v>0</v>
      </c>
      <c r="AU18" s="116">
        <f t="shared" si="3"/>
        <v>0</v>
      </c>
      <c r="AV18" s="116">
        <f t="shared" si="3"/>
        <v>0</v>
      </c>
      <c r="AW18" s="116">
        <f t="shared" si="3"/>
        <v>0</v>
      </c>
      <c r="AX18" s="116">
        <f t="shared" si="3"/>
        <v>0</v>
      </c>
      <c r="AY18" s="116">
        <f t="shared" si="3"/>
        <v>0</v>
      </c>
      <c r="AZ18" s="116">
        <f t="shared" si="3"/>
        <v>0</v>
      </c>
      <c r="BA18" s="116">
        <f t="shared" si="3"/>
        <v>24</v>
      </c>
      <c r="BB18" s="117">
        <f t="shared" si="2"/>
        <v>30</v>
      </c>
      <c r="BD18" s="137">
        <v>30</v>
      </c>
    </row>
    <row r="19" spans="2:56" ht="48.95" customHeight="1">
      <c r="B19" s="112">
        <v>11</v>
      </c>
      <c r="C19" s="113">
        <v>1001171553</v>
      </c>
      <c r="D19" s="114" t="s">
        <v>760</v>
      </c>
      <c r="E19" s="134" t="s">
        <v>792</v>
      </c>
      <c r="F19" s="78" t="s">
        <v>507</v>
      </c>
      <c r="G19" s="260" t="s">
        <v>161</v>
      </c>
      <c r="H19" s="114" t="s">
        <v>761</v>
      </c>
      <c r="I19" s="114" t="s">
        <v>597</v>
      </c>
      <c r="J19" s="97" t="s">
        <v>567</v>
      </c>
      <c r="K19" s="97" t="s">
        <v>567</v>
      </c>
      <c r="L19" s="97" t="s">
        <v>567</v>
      </c>
      <c r="M19" s="97" t="s">
        <v>567</v>
      </c>
      <c r="N19" s="97" t="s">
        <v>557</v>
      </c>
      <c r="O19" s="97" t="s">
        <v>567</v>
      </c>
      <c r="P19" s="97" t="s">
        <v>567</v>
      </c>
      <c r="Q19" s="97" t="s">
        <v>567</v>
      </c>
      <c r="R19" s="97" t="s">
        <v>567</v>
      </c>
      <c r="S19" s="97" t="s">
        <v>567</v>
      </c>
      <c r="T19" s="97" t="s">
        <v>567</v>
      </c>
      <c r="U19" s="97" t="s">
        <v>557</v>
      </c>
      <c r="V19" s="97" t="s">
        <v>557</v>
      </c>
      <c r="W19" s="97" t="s">
        <v>567</v>
      </c>
      <c r="X19" s="97" t="s">
        <v>567</v>
      </c>
      <c r="Y19" s="97" t="s">
        <v>567</v>
      </c>
      <c r="Z19" s="97" t="s">
        <v>567</v>
      </c>
      <c r="AA19" s="97" t="s">
        <v>567</v>
      </c>
      <c r="AB19" s="97" t="s">
        <v>557</v>
      </c>
      <c r="AC19" s="97" t="s">
        <v>557</v>
      </c>
      <c r="AD19" s="97" t="s">
        <v>567</v>
      </c>
      <c r="AE19" s="97" t="s">
        <v>567</v>
      </c>
      <c r="AF19" s="97" t="s">
        <v>567</v>
      </c>
      <c r="AG19" s="97" t="s">
        <v>567</v>
      </c>
      <c r="AH19" s="97" t="s">
        <v>567</v>
      </c>
      <c r="AI19" s="97" t="s">
        <v>567</v>
      </c>
      <c r="AJ19" s="97" t="s">
        <v>557</v>
      </c>
      <c r="AK19" s="97" t="s">
        <v>567</v>
      </c>
      <c r="AL19" s="97" t="s">
        <v>567</v>
      </c>
      <c r="AM19" s="97" t="s">
        <v>567</v>
      </c>
      <c r="AO19" s="116">
        <f t="shared" si="1"/>
        <v>0</v>
      </c>
      <c r="AP19" s="116">
        <f t="shared" si="3"/>
        <v>0</v>
      </c>
      <c r="AQ19" s="116">
        <f t="shared" si="3"/>
        <v>6</v>
      </c>
      <c r="AR19" s="116">
        <f t="shared" si="3"/>
        <v>0</v>
      </c>
      <c r="AS19" s="116">
        <f t="shared" si="3"/>
        <v>0</v>
      </c>
      <c r="AT19" s="116">
        <f t="shared" si="3"/>
        <v>0</v>
      </c>
      <c r="AU19" s="116">
        <f t="shared" si="3"/>
        <v>0</v>
      </c>
      <c r="AV19" s="116">
        <f t="shared" si="3"/>
        <v>0</v>
      </c>
      <c r="AW19" s="116">
        <f t="shared" si="3"/>
        <v>0</v>
      </c>
      <c r="AX19" s="116">
        <f t="shared" si="3"/>
        <v>0</v>
      </c>
      <c r="AY19" s="116">
        <f t="shared" si="3"/>
        <v>0</v>
      </c>
      <c r="AZ19" s="116">
        <f t="shared" si="3"/>
        <v>0</v>
      </c>
      <c r="BA19" s="116">
        <f t="shared" si="3"/>
        <v>24</v>
      </c>
      <c r="BB19" s="117">
        <f t="shared" si="2"/>
        <v>30</v>
      </c>
      <c r="BD19" s="137">
        <v>30</v>
      </c>
    </row>
    <row r="20" spans="2:56" ht="48.95" customHeight="1">
      <c r="B20" s="112">
        <v>12</v>
      </c>
      <c r="C20" s="113">
        <v>52028199</v>
      </c>
      <c r="D20" s="114" t="s">
        <v>825</v>
      </c>
      <c r="E20" s="134" t="s">
        <v>792</v>
      </c>
      <c r="F20" s="78" t="s">
        <v>506</v>
      </c>
      <c r="G20" s="260" t="s">
        <v>476</v>
      </c>
      <c r="H20" s="114" t="s">
        <v>826</v>
      </c>
      <c r="I20" s="114" t="s">
        <v>597</v>
      </c>
      <c r="J20" s="97" t="s">
        <v>567</v>
      </c>
      <c r="K20" s="97" t="s">
        <v>567</v>
      </c>
      <c r="L20" s="97" t="s">
        <v>567</v>
      </c>
      <c r="M20" s="97" t="s">
        <v>567</v>
      </c>
      <c r="N20" s="97" t="s">
        <v>557</v>
      </c>
      <c r="O20" s="97" t="s">
        <v>567</v>
      </c>
      <c r="P20" s="97" t="s">
        <v>567</v>
      </c>
      <c r="Q20" s="97" t="s">
        <v>567</v>
      </c>
      <c r="R20" s="97" t="s">
        <v>567</v>
      </c>
      <c r="S20" s="97" t="s">
        <v>567</v>
      </c>
      <c r="T20" s="97" t="s">
        <v>567</v>
      </c>
      <c r="U20" s="97" t="s">
        <v>557</v>
      </c>
      <c r="V20" s="97" t="s">
        <v>557</v>
      </c>
      <c r="W20" s="97" t="s">
        <v>567</v>
      </c>
      <c r="X20" s="97" t="s">
        <v>567</v>
      </c>
      <c r="Y20" s="97" t="s">
        <v>567</v>
      </c>
      <c r="Z20" s="97" t="s">
        <v>567</v>
      </c>
      <c r="AA20" s="97" t="s">
        <v>567</v>
      </c>
      <c r="AB20" s="97" t="s">
        <v>557</v>
      </c>
      <c r="AC20" s="97" t="s">
        <v>557</v>
      </c>
      <c r="AD20" s="97" t="s">
        <v>567</v>
      </c>
      <c r="AE20" s="97" t="s">
        <v>567</v>
      </c>
      <c r="AF20" s="97" t="s">
        <v>567</v>
      </c>
      <c r="AG20" s="97" t="s">
        <v>567</v>
      </c>
      <c r="AH20" s="97" t="s">
        <v>567</v>
      </c>
      <c r="AI20" s="97" t="s">
        <v>567</v>
      </c>
      <c r="AJ20" s="97" t="s">
        <v>557</v>
      </c>
      <c r="AK20" s="97" t="s">
        <v>567</v>
      </c>
      <c r="AL20" s="97" t="s">
        <v>567</v>
      </c>
      <c r="AM20" s="97" t="s">
        <v>567</v>
      </c>
      <c r="AO20" s="116">
        <f t="shared" si="1"/>
        <v>0</v>
      </c>
      <c r="AP20" s="116">
        <f t="shared" si="3"/>
        <v>0</v>
      </c>
      <c r="AQ20" s="116">
        <f t="shared" si="3"/>
        <v>6</v>
      </c>
      <c r="AR20" s="116">
        <f t="shared" si="3"/>
        <v>0</v>
      </c>
      <c r="AS20" s="116">
        <f t="shared" si="3"/>
        <v>0</v>
      </c>
      <c r="AT20" s="116">
        <f t="shared" si="3"/>
        <v>0</v>
      </c>
      <c r="AU20" s="116">
        <f t="shared" si="3"/>
        <v>0</v>
      </c>
      <c r="AV20" s="116">
        <f t="shared" si="3"/>
        <v>0</v>
      </c>
      <c r="AW20" s="116">
        <f t="shared" si="3"/>
        <v>0</v>
      </c>
      <c r="AX20" s="116">
        <f t="shared" si="3"/>
        <v>0</v>
      </c>
      <c r="AY20" s="116">
        <f t="shared" si="3"/>
        <v>0</v>
      </c>
      <c r="AZ20" s="116">
        <f t="shared" si="3"/>
        <v>0</v>
      </c>
      <c r="BA20" s="116">
        <f t="shared" si="3"/>
        <v>24</v>
      </c>
      <c r="BB20" s="117">
        <f t="shared" si="2"/>
        <v>30</v>
      </c>
      <c r="BD20" s="137">
        <v>30</v>
      </c>
    </row>
    <row r="21" spans="2:56" ht="48.95" customHeight="1">
      <c r="B21" s="112">
        <v>13</v>
      </c>
      <c r="C21" s="113">
        <v>1033681788</v>
      </c>
      <c r="D21" s="114" t="s">
        <v>827</v>
      </c>
      <c r="E21" s="134" t="s">
        <v>792</v>
      </c>
      <c r="F21" s="78" t="s">
        <v>506</v>
      </c>
      <c r="G21" s="260" t="s">
        <v>161</v>
      </c>
      <c r="H21" s="114" t="s">
        <v>828</v>
      </c>
      <c r="I21" s="114" t="s">
        <v>597</v>
      </c>
      <c r="J21" s="97" t="s">
        <v>567</v>
      </c>
      <c r="K21" s="97" t="s">
        <v>567</v>
      </c>
      <c r="L21" s="97" t="s">
        <v>567</v>
      </c>
      <c r="M21" s="97" t="s">
        <v>567</v>
      </c>
      <c r="N21" s="97" t="s">
        <v>557</v>
      </c>
      <c r="O21" s="97" t="s">
        <v>567</v>
      </c>
      <c r="P21" s="97" t="s">
        <v>567</v>
      </c>
      <c r="Q21" s="97" t="s">
        <v>567</v>
      </c>
      <c r="R21" s="97" t="s">
        <v>567</v>
      </c>
      <c r="S21" s="97" t="s">
        <v>567</v>
      </c>
      <c r="T21" s="97" t="s">
        <v>567</v>
      </c>
      <c r="U21" s="97" t="s">
        <v>557</v>
      </c>
      <c r="V21" s="97" t="s">
        <v>557</v>
      </c>
      <c r="W21" s="97" t="s">
        <v>567</v>
      </c>
      <c r="X21" s="97" t="s">
        <v>567</v>
      </c>
      <c r="Y21" s="97" t="s">
        <v>567</v>
      </c>
      <c r="Z21" s="97" t="s">
        <v>567</v>
      </c>
      <c r="AA21" s="97" t="s">
        <v>567</v>
      </c>
      <c r="AB21" s="97" t="s">
        <v>557</v>
      </c>
      <c r="AC21" s="97" t="s">
        <v>557</v>
      </c>
      <c r="AD21" s="97" t="s">
        <v>567</v>
      </c>
      <c r="AE21" s="97" t="s">
        <v>567</v>
      </c>
      <c r="AF21" s="97" t="s">
        <v>567</v>
      </c>
      <c r="AG21" s="97" t="s">
        <v>567</v>
      </c>
      <c r="AH21" s="97" t="s">
        <v>567</v>
      </c>
      <c r="AI21" s="97" t="s">
        <v>567</v>
      </c>
      <c r="AJ21" s="97" t="s">
        <v>557</v>
      </c>
      <c r="AK21" s="97" t="s">
        <v>567</v>
      </c>
      <c r="AL21" s="97" t="s">
        <v>567</v>
      </c>
      <c r="AM21" s="97" t="s">
        <v>567</v>
      </c>
      <c r="AO21" s="116">
        <f t="shared" si="1"/>
        <v>0</v>
      </c>
      <c r="AP21" s="116">
        <f t="shared" si="3"/>
        <v>0</v>
      </c>
      <c r="AQ21" s="116">
        <f t="shared" si="3"/>
        <v>6</v>
      </c>
      <c r="AR21" s="116">
        <f t="shared" si="3"/>
        <v>0</v>
      </c>
      <c r="AS21" s="116">
        <f t="shared" si="3"/>
        <v>0</v>
      </c>
      <c r="AT21" s="116">
        <f t="shared" si="3"/>
        <v>0</v>
      </c>
      <c r="AU21" s="116">
        <f t="shared" si="3"/>
        <v>0</v>
      </c>
      <c r="AV21" s="116">
        <f t="shared" si="3"/>
        <v>0</v>
      </c>
      <c r="AW21" s="116">
        <f t="shared" si="3"/>
        <v>0</v>
      </c>
      <c r="AX21" s="116">
        <f t="shared" si="3"/>
        <v>0</v>
      </c>
      <c r="AY21" s="116">
        <f t="shared" si="3"/>
        <v>0</v>
      </c>
      <c r="AZ21" s="116">
        <f t="shared" si="3"/>
        <v>0</v>
      </c>
      <c r="BA21" s="116">
        <f t="shared" si="3"/>
        <v>24</v>
      </c>
      <c r="BB21" s="117">
        <f t="shared" si="2"/>
        <v>30</v>
      </c>
      <c r="BD21" s="137">
        <v>30</v>
      </c>
    </row>
    <row r="22" spans="2:56" ht="48.95" customHeight="1">
      <c r="B22" s="112">
        <v>14</v>
      </c>
      <c r="C22" s="113">
        <v>1063148543</v>
      </c>
      <c r="D22" s="114" t="s">
        <v>829</v>
      </c>
      <c r="E22" s="134" t="s">
        <v>792</v>
      </c>
      <c r="F22" s="78" t="s">
        <v>507</v>
      </c>
      <c r="G22" s="260" t="s">
        <v>161</v>
      </c>
      <c r="H22" s="114" t="s">
        <v>830</v>
      </c>
      <c r="I22" s="114" t="s">
        <v>597</v>
      </c>
      <c r="J22" s="97" t="s">
        <v>567</v>
      </c>
      <c r="K22" s="97" t="s">
        <v>567</v>
      </c>
      <c r="L22" s="97" t="s">
        <v>567</v>
      </c>
      <c r="M22" s="97" t="s">
        <v>567</v>
      </c>
      <c r="N22" s="97" t="s">
        <v>557</v>
      </c>
      <c r="O22" s="97" t="s">
        <v>567</v>
      </c>
      <c r="P22" s="97" t="s">
        <v>567</v>
      </c>
      <c r="Q22" s="97" t="s">
        <v>567</v>
      </c>
      <c r="R22" s="97" t="s">
        <v>567</v>
      </c>
      <c r="S22" s="97" t="s">
        <v>567</v>
      </c>
      <c r="T22" s="97" t="s">
        <v>567</v>
      </c>
      <c r="U22" s="97" t="s">
        <v>557</v>
      </c>
      <c r="V22" s="97" t="s">
        <v>557</v>
      </c>
      <c r="W22" s="97" t="s">
        <v>567</v>
      </c>
      <c r="X22" s="97" t="s">
        <v>567</v>
      </c>
      <c r="Y22" s="97" t="s">
        <v>567</v>
      </c>
      <c r="Z22" s="97" t="s">
        <v>567</v>
      </c>
      <c r="AA22" s="97" t="s">
        <v>567</v>
      </c>
      <c r="AB22" s="97" t="s">
        <v>557</v>
      </c>
      <c r="AC22" s="97" t="s">
        <v>557</v>
      </c>
      <c r="AD22" s="97" t="s">
        <v>567</v>
      </c>
      <c r="AE22" s="97" t="s">
        <v>567</v>
      </c>
      <c r="AF22" s="97" t="s">
        <v>567</v>
      </c>
      <c r="AG22" s="97" t="s">
        <v>567</v>
      </c>
      <c r="AH22" s="97" t="s">
        <v>567</v>
      </c>
      <c r="AI22" s="97" t="s">
        <v>567</v>
      </c>
      <c r="AJ22" s="97" t="s">
        <v>557</v>
      </c>
      <c r="AK22" s="97" t="s">
        <v>567</v>
      </c>
      <c r="AL22" s="97" t="s">
        <v>567</v>
      </c>
      <c r="AM22" s="97" t="s">
        <v>567</v>
      </c>
      <c r="AO22" s="116">
        <f t="shared" si="1"/>
        <v>0</v>
      </c>
      <c r="AP22" s="116">
        <f t="shared" si="3"/>
        <v>0</v>
      </c>
      <c r="AQ22" s="116">
        <f t="shared" si="3"/>
        <v>6</v>
      </c>
      <c r="AR22" s="116">
        <f t="shared" si="3"/>
        <v>0</v>
      </c>
      <c r="AS22" s="116">
        <f t="shared" si="3"/>
        <v>0</v>
      </c>
      <c r="AT22" s="116">
        <f t="shared" si="3"/>
        <v>0</v>
      </c>
      <c r="AU22" s="116">
        <f t="shared" si="3"/>
        <v>0</v>
      </c>
      <c r="AV22" s="116">
        <f t="shared" si="3"/>
        <v>0</v>
      </c>
      <c r="AW22" s="116">
        <f t="shared" si="3"/>
        <v>0</v>
      </c>
      <c r="AX22" s="116">
        <f t="shared" si="3"/>
        <v>0</v>
      </c>
      <c r="AY22" s="116">
        <f t="shared" si="3"/>
        <v>0</v>
      </c>
      <c r="AZ22" s="116">
        <f t="shared" si="3"/>
        <v>0</v>
      </c>
      <c r="BA22" s="116">
        <f t="shared" si="3"/>
        <v>24</v>
      </c>
      <c r="BB22" s="117">
        <f t="shared" si="2"/>
        <v>30</v>
      </c>
      <c r="BD22" s="137">
        <v>30</v>
      </c>
    </row>
    <row r="23" spans="2:56" ht="48.95" customHeight="1">
      <c r="B23" s="112">
        <v>15</v>
      </c>
      <c r="C23" s="113">
        <v>1023016053</v>
      </c>
      <c r="D23" s="114" t="s">
        <v>831</v>
      </c>
      <c r="E23" s="134" t="s">
        <v>792</v>
      </c>
      <c r="F23" s="78" t="s">
        <v>506</v>
      </c>
      <c r="G23" s="260" t="s">
        <v>476</v>
      </c>
      <c r="H23" s="114" t="s">
        <v>832</v>
      </c>
      <c r="I23" s="114" t="s">
        <v>597</v>
      </c>
      <c r="J23" s="97" t="s">
        <v>567</v>
      </c>
      <c r="K23" s="97" t="s">
        <v>567</v>
      </c>
      <c r="L23" s="97" t="s">
        <v>567</v>
      </c>
      <c r="M23" s="97" t="s">
        <v>567</v>
      </c>
      <c r="N23" s="97" t="s">
        <v>557</v>
      </c>
      <c r="O23" s="97" t="s">
        <v>567</v>
      </c>
      <c r="P23" s="97" t="s">
        <v>567</v>
      </c>
      <c r="Q23" s="97" t="s">
        <v>567</v>
      </c>
      <c r="R23" s="97" t="s">
        <v>567</v>
      </c>
      <c r="S23" s="97" t="s">
        <v>567</v>
      </c>
      <c r="T23" s="97" t="s">
        <v>567</v>
      </c>
      <c r="U23" s="97" t="s">
        <v>557</v>
      </c>
      <c r="V23" s="97" t="s">
        <v>557</v>
      </c>
      <c r="W23" s="97" t="s">
        <v>567</v>
      </c>
      <c r="X23" s="97" t="s">
        <v>567</v>
      </c>
      <c r="Y23" s="97" t="s">
        <v>567</v>
      </c>
      <c r="Z23" s="97" t="s">
        <v>567</v>
      </c>
      <c r="AA23" s="97" t="s">
        <v>567</v>
      </c>
      <c r="AB23" s="97" t="s">
        <v>557</v>
      </c>
      <c r="AC23" s="97" t="s">
        <v>557</v>
      </c>
      <c r="AD23" s="97" t="s">
        <v>567</v>
      </c>
      <c r="AE23" s="97" t="s">
        <v>567</v>
      </c>
      <c r="AF23" s="97" t="s">
        <v>567</v>
      </c>
      <c r="AG23" s="97" t="s">
        <v>567</v>
      </c>
      <c r="AH23" s="97" t="s">
        <v>567</v>
      </c>
      <c r="AI23" s="97" t="s">
        <v>567</v>
      </c>
      <c r="AJ23" s="97" t="s">
        <v>557</v>
      </c>
      <c r="AK23" s="97" t="s">
        <v>567</v>
      </c>
      <c r="AL23" s="97" t="s">
        <v>567</v>
      </c>
      <c r="AM23" s="97" t="s">
        <v>567</v>
      </c>
      <c r="AO23" s="116">
        <f t="shared" si="1"/>
        <v>0</v>
      </c>
      <c r="AP23" s="116">
        <f t="shared" si="3"/>
        <v>0</v>
      </c>
      <c r="AQ23" s="116">
        <f t="shared" si="3"/>
        <v>6</v>
      </c>
      <c r="AR23" s="116">
        <f t="shared" si="3"/>
        <v>0</v>
      </c>
      <c r="AS23" s="116">
        <f t="shared" si="3"/>
        <v>0</v>
      </c>
      <c r="AT23" s="116">
        <f t="shared" si="3"/>
        <v>0</v>
      </c>
      <c r="AU23" s="116">
        <f t="shared" si="3"/>
        <v>0</v>
      </c>
      <c r="AV23" s="116">
        <f t="shared" si="3"/>
        <v>0</v>
      </c>
      <c r="AW23" s="116">
        <f t="shared" si="3"/>
        <v>0</v>
      </c>
      <c r="AX23" s="116">
        <f t="shared" si="3"/>
        <v>0</v>
      </c>
      <c r="AY23" s="116">
        <f t="shared" si="3"/>
        <v>0</v>
      </c>
      <c r="AZ23" s="116">
        <f t="shared" si="3"/>
        <v>0</v>
      </c>
      <c r="BA23" s="116">
        <f t="shared" si="3"/>
        <v>24</v>
      </c>
      <c r="BB23" s="117">
        <f t="shared" si="2"/>
        <v>30</v>
      </c>
      <c r="BD23" s="137">
        <v>30</v>
      </c>
    </row>
    <row r="24" spans="2:56" ht="48.95" customHeight="1">
      <c r="B24" s="112">
        <v>16</v>
      </c>
      <c r="C24" s="113">
        <v>52973679</v>
      </c>
      <c r="D24" s="114" t="s">
        <v>833</v>
      </c>
      <c r="E24" s="134" t="s">
        <v>792</v>
      </c>
      <c r="F24" s="78" t="s">
        <v>506</v>
      </c>
      <c r="G24" s="260" t="s">
        <v>161</v>
      </c>
      <c r="H24" s="114" t="s">
        <v>834</v>
      </c>
      <c r="I24" s="114" t="s">
        <v>597</v>
      </c>
      <c r="J24" s="97" t="s">
        <v>567</v>
      </c>
      <c r="K24" s="97" t="s">
        <v>567</v>
      </c>
      <c r="L24" s="97" t="s">
        <v>567</v>
      </c>
      <c r="M24" s="97" t="s">
        <v>567</v>
      </c>
      <c r="N24" s="97" t="s">
        <v>557</v>
      </c>
      <c r="O24" s="97" t="s">
        <v>567</v>
      </c>
      <c r="P24" s="97" t="s">
        <v>567</v>
      </c>
      <c r="Q24" s="97" t="s">
        <v>567</v>
      </c>
      <c r="R24" s="97" t="s">
        <v>567</v>
      </c>
      <c r="S24" s="97" t="s">
        <v>567</v>
      </c>
      <c r="T24" s="97" t="s">
        <v>567</v>
      </c>
      <c r="U24" s="97" t="s">
        <v>557</v>
      </c>
      <c r="V24" s="97" t="s">
        <v>557</v>
      </c>
      <c r="W24" s="97" t="s">
        <v>567</v>
      </c>
      <c r="X24" s="97" t="s">
        <v>567</v>
      </c>
      <c r="Y24" s="97" t="s">
        <v>567</v>
      </c>
      <c r="Z24" s="97" t="s">
        <v>567</v>
      </c>
      <c r="AA24" s="97" t="s">
        <v>567</v>
      </c>
      <c r="AB24" s="97" t="s">
        <v>557</v>
      </c>
      <c r="AC24" s="97" t="s">
        <v>557</v>
      </c>
      <c r="AD24" s="97" t="s">
        <v>567</v>
      </c>
      <c r="AE24" s="97" t="s">
        <v>567</v>
      </c>
      <c r="AF24" s="97" t="s">
        <v>567</v>
      </c>
      <c r="AG24" s="97" t="s">
        <v>567</v>
      </c>
      <c r="AH24" s="97" t="s">
        <v>567</v>
      </c>
      <c r="AI24" s="97" t="s">
        <v>567</v>
      </c>
      <c r="AJ24" s="97" t="s">
        <v>557</v>
      </c>
      <c r="AK24" s="97" t="s">
        <v>567</v>
      </c>
      <c r="AL24" s="97" t="s">
        <v>567</v>
      </c>
      <c r="AM24" s="97" t="s">
        <v>567</v>
      </c>
      <c r="AO24" s="116">
        <f t="shared" si="1"/>
        <v>0</v>
      </c>
      <c r="AP24" s="116">
        <f t="shared" si="3"/>
        <v>0</v>
      </c>
      <c r="AQ24" s="116">
        <f t="shared" si="3"/>
        <v>6</v>
      </c>
      <c r="AR24" s="116">
        <f t="shared" si="3"/>
        <v>0</v>
      </c>
      <c r="AS24" s="116">
        <f t="shared" si="3"/>
        <v>0</v>
      </c>
      <c r="AT24" s="116">
        <f t="shared" si="3"/>
        <v>0</v>
      </c>
      <c r="AU24" s="116">
        <f t="shared" si="3"/>
        <v>0</v>
      </c>
      <c r="AV24" s="116">
        <f t="shared" si="3"/>
        <v>0</v>
      </c>
      <c r="AW24" s="116">
        <f t="shared" si="3"/>
        <v>0</v>
      </c>
      <c r="AX24" s="116">
        <f t="shared" si="3"/>
        <v>0</v>
      </c>
      <c r="AY24" s="116">
        <f t="shared" si="3"/>
        <v>0</v>
      </c>
      <c r="AZ24" s="116">
        <f t="shared" si="3"/>
        <v>0</v>
      </c>
      <c r="BA24" s="116">
        <f t="shared" si="3"/>
        <v>24</v>
      </c>
      <c r="BB24" s="117">
        <f t="shared" si="2"/>
        <v>30</v>
      </c>
      <c r="BD24" s="137">
        <v>30</v>
      </c>
    </row>
    <row r="25" spans="2:56" ht="48.95" customHeight="1">
      <c r="B25" s="112">
        <v>17</v>
      </c>
      <c r="C25" s="113">
        <v>1078689395</v>
      </c>
      <c r="D25" s="114" t="s">
        <v>762</v>
      </c>
      <c r="E25" s="134" t="s">
        <v>792</v>
      </c>
      <c r="F25" s="78" t="s">
        <v>506</v>
      </c>
      <c r="G25" s="260" t="s">
        <v>161</v>
      </c>
      <c r="H25" s="114" t="s">
        <v>763</v>
      </c>
      <c r="I25" s="114" t="s">
        <v>597</v>
      </c>
      <c r="J25" s="97" t="s">
        <v>567</v>
      </c>
      <c r="K25" s="97" t="s">
        <v>567</v>
      </c>
      <c r="L25" s="97" t="s">
        <v>567</v>
      </c>
      <c r="M25" s="97" t="s">
        <v>567</v>
      </c>
      <c r="N25" s="97" t="s">
        <v>557</v>
      </c>
      <c r="O25" s="97" t="s">
        <v>567</v>
      </c>
      <c r="P25" s="97" t="s">
        <v>567</v>
      </c>
      <c r="Q25" s="97" t="s">
        <v>567</v>
      </c>
      <c r="R25" s="97" t="s">
        <v>567</v>
      </c>
      <c r="S25" s="97" t="s">
        <v>567</v>
      </c>
      <c r="T25" s="97" t="s">
        <v>567</v>
      </c>
      <c r="U25" s="97" t="s">
        <v>557</v>
      </c>
      <c r="V25" s="97" t="s">
        <v>557</v>
      </c>
      <c r="W25" s="97" t="s">
        <v>567</v>
      </c>
      <c r="X25" s="97" t="s">
        <v>567</v>
      </c>
      <c r="Y25" s="97" t="s">
        <v>567</v>
      </c>
      <c r="Z25" s="97" t="s">
        <v>567</v>
      </c>
      <c r="AA25" s="97" t="s">
        <v>567</v>
      </c>
      <c r="AB25" s="97" t="s">
        <v>557</v>
      </c>
      <c r="AC25" s="97" t="s">
        <v>557</v>
      </c>
      <c r="AD25" s="97" t="s">
        <v>567</v>
      </c>
      <c r="AE25" s="97" t="s">
        <v>567</v>
      </c>
      <c r="AF25" s="97" t="s">
        <v>567</v>
      </c>
      <c r="AG25" s="97" t="s">
        <v>567</v>
      </c>
      <c r="AH25" s="97" t="s">
        <v>567</v>
      </c>
      <c r="AI25" s="97" t="s">
        <v>567</v>
      </c>
      <c r="AJ25" s="97" t="s">
        <v>557</v>
      </c>
      <c r="AK25" s="97" t="s">
        <v>567</v>
      </c>
      <c r="AL25" s="97" t="s">
        <v>567</v>
      </c>
      <c r="AM25" s="97" t="s">
        <v>567</v>
      </c>
      <c r="AO25" s="116">
        <f t="shared" si="1"/>
        <v>0</v>
      </c>
      <c r="AP25" s="116">
        <f t="shared" si="3"/>
        <v>0</v>
      </c>
      <c r="AQ25" s="116">
        <f t="shared" si="3"/>
        <v>6</v>
      </c>
      <c r="AR25" s="116">
        <f t="shared" si="3"/>
        <v>0</v>
      </c>
      <c r="AS25" s="116">
        <f t="shared" si="3"/>
        <v>0</v>
      </c>
      <c r="AT25" s="116">
        <f t="shared" si="3"/>
        <v>0</v>
      </c>
      <c r="AU25" s="116">
        <f t="shared" si="3"/>
        <v>0</v>
      </c>
      <c r="AV25" s="116">
        <f t="shared" si="3"/>
        <v>0</v>
      </c>
      <c r="AW25" s="116">
        <f t="shared" si="3"/>
        <v>0</v>
      </c>
      <c r="AX25" s="116">
        <f t="shared" si="3"/>
        <v>0</v>
      </c>
      <c r="AY25" s="116">
        <f t="shared" si="3"/>
        <v>0</v>
      </c>
      <c r="AZ25" s="116">
        <f t="shared" si="3"/>
        <v>0</v>
      </c>
      <c r="BA25" s="116">
        <f t="shared" si="3"/>
        <v>24</v>
      </c>
      <c r="BB25" s="117">
        <f t="shared" si="2"/>
        <v>30</v>
      </c>
      <c r="BD25" s="137">
        <v>30</v>
      </c>
    </row>
    <row r="26" spans="2:56" ht="48.95" customHeight="1">
      <c r="B26" s="112">
        <v>18</v>
      </c>
      <c r="C26" s="113">
        <v>52776187</v>
      </c>
      <c r="D26" s="114" t="s">
        <v>835</v>
      </c>
      <c r="E26" s="134" t="s">
        <v>792</v>
      </c>
      <c r="F26" s="78" t="s">
        <v>506</v>
      </c>
      <c r="G26" s="260" t="s">
        <v>161</v>
      </c>
      <c r="H26" s="114" t="s">
        <v>836</v>
      </c>
      <c r="I26" s="114" t="s">
        <v>597</v>
      </c>
      <c r="J26" s="97" t="s">
        <v>567</v>
      </c>
      <c r="K26" s="97" t="s">
        <v>567</v>
      </c>
      <c r="L26" s="97" t="s">
        <v>567</v>
      </c>
      <c r="M26" s="97" t="s">
        <v>567</v>
      </c>
      <c r="N26" s="97" t="s">
        <v>557</v>
      </c>
      <c r="O26" s="97" t="s">
        <v>567</v>
      </c>
      <c r="P26" s="97" t="s">
        <v>567</v>
      </c>
      <c r="Q26" s="97" t="s">
        <v>567</v>
      </c>
      <c r="R26" s="97" t="s">
        <v>567</v>
      </c>
      <c r="S26" s="97" t="s">
        <v>567</v>
      </c>
      <c r="T26" s="97" t="s">
        <v>567</v>
      </c>
      <c r="U26" s="97" t="s">
        <v>557</v>
      </c>
      <c r="V26" s="97" t="s">
        <v>557</v>
      </c>
      <c r="W26" s="97" t="s">
        <v>567</v>
      </c>
      <c r="X26" s="97" t="s">
        <v>567</v>
      </c>
      <c r="Y26" s="97" t="s">
        <v>567</v>
      </c>
      <c r="Z26" s="97" t="s">
        <v>567</v>
      </c>
      <c r="AA26" s="97" t="s">
        <v>567</v>
      </c>
      <c r="AB26" s="97" t="s">
        <v>557</v>
      </c>
      <c r="AC26" s="97" t="s">
        <v>557</v>
      </c>
      <c r="AD26" s="97" t="s">
        <v>567</v>
      </c>
      <c r="AE26" s="97" t="s">
        <v>567</v>
      </c>
      <c r="AF26" s="97" t="s">
        <v>567</v>
      </c>
      <c r="AG26" s="97" t="s">
        <v>567</v>
      </c>
      <c r="AH26" s="97" t="s">
        <v>567</v>
      </c>
      <c r="AI26" s="97" t="s">
        <v>567</v>
      </c>
      <c r="AJ26" s="97" t="s">
        <v>557</v>
      </c>
      <c r="AK26" s="97" t="s">
        <v>567</v>
      </c>
      <c r="AL26" s="97" t="s">
        <v>567</v>
      </c>
      <c r="AM26" s="97" t="s">
        <v>567</v>
      </c>
      <c r="AO26" s="116">
        <f t="shared" si="1"/>
        <v>0</v>
      </c>
      <c r="AP26" s="116">
        <f t="shared" si="3"/>
        <v>0</v>
      </c>
      <c r="AQ26" s="116">
        <f t="shared" si="3"/>
        <v>6</v>
      </c>
      <c r="AR26" s="116">
        <f t="shared" si="3"/>
        <v>0</v>
      </c>
      <c r="AS26" s="116">
        <f t="shared" si="3"/>
        <v>0</v>
      </c>
      <c r="AT26" s="116">
        <f t="shared" si="3"/>
        <v>0</v>
      </c>
      <c r="AU26" s="116">
        <f t="shared" si="3"/>
        <v>0</v>
      </c>
      <c r="AV26" s="116">
        <f t="shared" si="3"/>
        <v>0</v>
      </c>
      <c r="AW26" s="116">
        <f t="shared" si="3"/>
        <v>0</v>
      </c>
      <c r="AX26" s="116">
        <f t="shared" si="3"/>
        <v>0</v>
      </c>
      <c r="AY26" s="116">
        <f t="shared" si="3"/>
        <v>0</v>
      </c>
      <c r="AZ26" s="116">
        <f t="shared" si="3"/>
        <v>0</v>
      </c>
      <c r="BA26" s="116">
        <f t="shared" si="3"/>
        <v>24</v>
      </c>
      <c r="BB26" s="117">
        <f t="shared" si="2"/>
        <v>30</v>
      </c>
      <c r="BD26" s="137">
        <v>30</v>
      </c>
    </row>
    <row r="27" spans="2:56" ht="48.95" customHeight="1">
      <c r="B27" s="112">
        <v>19</v>
      </c>
      <c r="C27" s="113">
        <v>1010053949</v>
      </c>
      <c r="D27" s="114" t="s">
        <v>837</v>
      </c>
      <c r="E27" s="134" t="s">
        <v>792</v>
      </c>
      <c r="F27" s="78" t="s">
        <v>506</v>
      </c>
      <c r="G27" s="260" t="s">
        <v>163</v>
      </c>
      <c r="H27" s="114" t="s">
        <v>838</v>
      </c>
      <c r="I27" s="114" t="s">
        <v>747</v>
      </c>
      <c r="J27" s="97" t="s">
        <v>567</v>
      </c>
      <c r="K27" s="97" t="s">
        <v>567</v>
      </c>
      <c r="L27" s="97" t="s">
        <v>567</v>
      </c>
      <c r="M27" s="97" t="s">
        <v>567</v>
      </c>
      <c r="N27" s="97" t="s">
        <v>557</v>
      </c>
      <c r="O27" s="97" t="s">
        <v>567</v>
      </c>
      <c r="P27" s="97" t="s">
        <v>567</v>
      </c>
      <c r="Q27" s="97" t="s">
        <v>567</v>
      </c>
      <c r="R27" s="97" t="s">
        <v>567</v>
      </c>
      <c r="S27" s="97" t="s">
        <v>567</v>
      </c>
      <c r="T27" s="97" t="s">
        <v>567</v>
      </c>
      <c r="U27" s="97" t="s">
        <v>557</v>
      </c>
      <c r="V27" s="97" t="s">
        <v>557</v>
      </c>
      <c r="W27" s="97" t="s">
        <v>567</v>
      </c>
      <c r="X27" s="97" t="s">
        <v>567</v>
      </c>
      <c r="Y27" s="97" t="s">
        <v>567</v>
      </c>
      <c r="Z27" s="97" t="s">
        <v>567</v>
      </c>
      <c r="AA27" s="97" t="s">
        <v>567</v>
      </c>
      <c r="AB27" s="97" t="s">
        <v>557</v>
      </c>
      <c r="AC27" s="97" t="s">
        <v>557</v>
      </c>
      <c r="AD27" s="97" t="s">
        <v>567</v>
      </c>
      <c r="AE27" s="97" t="s">
        <v>567</v>
      </c>
      <c r="AF27" s="97" t="s">
        <v>567</v>
      </c>
      <c r="AG27" s="97" t="s">
        <v>567</v>
      </c>
      <c r="AH27" s="97" t="s">
        <v>567</v>
      </c>
      <c r="AI27" s="97" t="s">
        <v>567</v>
      </c>
      <c r="AJ27" s="97" t="s">
        <v>557</v>
      </c>
      <c r="AK27" s="97" t="s">
        <v>567</v>
      </c>
      <c r="AL27" s="97" t="s">
        <v>567</v>
      </c>
      <c r="AM27" s="97" t="s">
        <v>567</v>
      </c>
      <c r="AO27" s="116">
        <f t="shared" si="1"/>
        <v>0</v>
      </c>
      <c r="AP27" s="116">
        <f t="shared" si="3"/>
        <v>0</v>
      </c>
      <c r="AQ27" s="116">
        <f t="shared" si="3"/>
        <v>6</v>
      </c>
      <c r="AR27" s="116">
        <f t="shared" si="3"/>
        <v>0</v>
      </c>
      <c r="AS27" s="116">
        <f t="shared" si="3"/>
        <v>0</v>
      </c>
      <c r="AT27" s="116">
        <f t="shared" si="3"/>
        <v>0</v>
      </c>
      <c r="AU27" s="116">
        <f t="shared" si="3"/>
        <v>0</v>
      </c>
      <c r="AV27" s="116">
        <f t="shared" si="3"/>
        <v>0</v>
      </c>
      <c r="AW27" s="116">
        <f t="shared" si="3"/>
        <v>0</v>
      </c>
      <c r="AX27" s="116">
        <f t="shared" si="3"/>
        <v>0</v>
      </c>
      <c r="AY27" s="116">
        <f t="shared" si="3"/>
        <v>0</v>
      </c>
      <c r="AZ27" s="116">
        <f t="shared" si="3"/>
        <v>0</v>
      </c>
      <c r="BA27" s="116">
        <f t="shared" si="3"/>
        <v>24</v>
      </c>
      <c r="BB27" s="117">
        <f t="shared" si="2"/>
        <v>30</v>
      </c>
      <c r="BD27" s="137">
        <v>30</v>
      </c>
    </row>
    <row r="28" spans="2:56" ht="48.95" customHeight="1">
      <c r="B28" s="112">
        <v>20</v>
      </c>
      <c r="C28" s="113">
        <v>73185010</v>
      </c>
      <c r="D28" s="114" t="s">
        <v>839</v>
      </c>
      <c r="E28" s="134" t="s">
        <v>792</v>
      </c>
      <c r="F28" s="78" t="s">
        <v>507</v>
      </c>
      <c r="G28" s="260" t="s">
        <v>163</v>
      </c>
      <c r="H28" s="114" t="s">
        <v>840</v>
      </c>
      <c r="I28" s="114" t="s">
        <v>604</v>
      </c>
      <c r="J28" s="97" t="s">
        <v>567</v>
      </c>
      <c r="K28" s="97" t="s">
        <v>567</v>
      </c>
      <c r="L28" s="97" t="s">
        <v>567</v>
      </c>
      <c r="M28" s="97" t="s">
        <v>567</v>
      </c>
      <c r="N28" s="97" t="s">
        <v>557</v>
      </c>
      <c r="O28" s="97" t="s">
        <v>567</v>
      </c>
      <c r="P28" s="97" t="s">
        <v>567</v>
      </c>
      <c r="Q28" s="97" t="s">
        <v>567</v>
      </c>
      <c r="R28" s="97" t="s">
        <v>567</v>
      </c>
      <c r="S28" s="97" t="s">
        <v>567</v>
      </c>
      <c r="T28" s="97" t="s">
        <v>567</v>
      </c>
      <c r="U28" s="97" t="s">
        <v>557</v>
      </c>
      <c r="V28" s="97" t="s">
        <v>557</v>
      </c>
      <c r="W28" s="97" t="s">
        <v>567</v>
      </c>
      <c r="X28" s="97" t="s">
        <v>567</v>
      </c>
      <c r="Y28" s="97" t="s">
        <v>567</v>
      </c>
      <c r="Z28" s="97" t="s">
        <v>567</v>
      </c>
      <c r="AA28" s="97" t="s">
        <v>567</v>
      </c>
      <c r="AB28" s="97" t="s">
        <v>557</v>
      </c>
      <c r="AC28" s="97" t="s">
        <v>557</v>
      </c>
      <c r="AD28" s="97" t="s">
        <v>567</v>
      </c>
      <c r="AE28" s="97" t="s">
        <v>567</v>
      </c>
      <c r="AF28" s="97" t="s">
        <v>567</v>
      </c>
      <c r="AG28" s="97" t="s">
        <v>567</v>
      </c>
      <c r="AH28" s="97" t="s">
        <v>567</v>
      </c>
      <c r="AI28" s="97" t="s">
        <v>567</v>
      </c>
      <c r="AJ28" s="97" t="s">
        <v>557</v>
      </c>
      <c r="AK28" s="97" t="s">
        <v>567</v>
      </c>
      <c r="AL28" s="97" t="s">
        <v>567</v>
      </c>
      <c r="AM28" s="97" t="s">
        <v>567</v>
      </c>
      <c r="AO28" s="116">
        <f t="shared" si="1"/>
        <v>0</v>
      </c>
      <c r="AP28" s="116">
        <f t="shared" si="3"/>
        <v>0</v>
      </c>
      <c r="AQ28" s="116">
        <f t="shared" si="3"/>
        <v>6</v>
      </c>
      <c r="AR28" s="116">
        <f t="shared" si="3"/>
        <v>0</v>
      </c>
      <c r="AS28" s="116">
        <f t="shared" si="3"/>
        <v>0</v>
      </c>
      <c r="AT28" s="116">
        <f t="shared" si="3"/>
        <v>0</v>
      </c>
      <c r="AU28" s="116">
        <f t="shared" si="3"/>
        <v>0</v>
      </c>
      <c r="AV28" s="116">
        <f t="shared" si="3"/>
        <v>0</v>
      </c>
      <c r="AW28" s="116">
        <f t="shared" si="3"/>
        <v>0</v>
      </c>
      <c r="AX28" s="116">
        <f t="shared" si="3"/>
        <v>0</v>
      </c>
      <c r="AY28" s="116">
        <f t="shared" si="3"/>
        <v>0</v>
      </c>
      <c r="AZ28" s="116">
        <f t="shared" si="3"/>
        <v>0</v>
      </c>
      <c r="BA28" s="116">
        <f t="shared" si="3"/>
        <v>24</v>
      </c>
      <c r="BB28" s="117">
        <f t="shared" si="2"/>
        <v>30</v>
      </c>
      <c r="BD28" s="137">
        <v>30</v>
      </c>
    </row>
    <row r="29" spans="2:56" ht="48.95" customHeight="1">
      <c r="B29" s="112">
        <v>21</v>
      </c>
      <c r="C29" s="113">
        <v>79960184</v>
      </c>
      <c r="D29" s="114" t="s">
        <v>726</v>
      </c>
      <c r="E29" s="134" t="s">
        <v>792</v>
      </c>
      <c r="F29" s="78" t="s">
        <v>508</v>
      </c>
      <c r="G29" s="260" t="s">
        <v>476</v>
      </c>
      <c r="H29" s="114" t="s">
        <v>727</v>
      </c>
      <c r="I29" s="114" t="s">
        <v>597</v>
      </c>
      <c r="J29" s="97" t="s">
        <v>567</v>
      </c>
      <c r="K29" s="97" t="s">
        <v>567</v>
      </c>
      <c r="L29" s="97" t="s">
        <v>567</v>
      </c>
      <c r="M29" s="97" t="s">
        <v>567</v>
      </c>
      <c r="N29" s="97" t="s">
        <v>557</v>
      </c>
      <c r="O29" s="97" t="s">
        <v>567</v>
      </c>
      <c r="P29" s="97" t="s">
        <v>567</v>
      </c>
      <c r="Q29" s="97" t="s">
        <v>567</v>
      </c>
      <c r="R29" s="97" t="s">
        <v>567</v>
      </c>
      <c r="S29" s="97" t="s">
        <v>567</v>
      </c>
      <c r="T29" s="97" t="s">
        <v>567</v>
      </c>
      <c r="U29" s="97" t="s">
        <v>557</v>
      </c>
      <c r="V29" s="97" t="s">
        <v>557</v>
      </c>
      <c r="W29" s="97" t="s">
        <v>567</v>
      </c>
      <c r="X29" s="97" t="s">
        <v>567</v>
      </c>
      <c r="Y29" s="97" t="s">
        <v>567</v>
      </c>
      <c r="Z29" s="97" t="s">
        <v>567</v>
      </c>
      <c r="AA29" s="97" t="s">
        <v>567</v>
      </c>
      <c r="AB29" s="97" t="s">
        <v>557</v>
      </c>
      <c r="AC29" s="97" t="s">
        <v>557</v>
      </c>
      <c r="AD29" s="97" t="s">
        <v>567</v>
      </c>
      <c r="AE29" s="97" t="s">
        <v>567</v>
      </c>
      <c r="AF29" s="97" t="s">
        <v>567</v>
      </c>
      <c r="AG29" s="97" t="s">
        <v>567</v>
      </c>
      <c r="AH29" s="97" t="s">
        <v>567</v>
      </c>
      <c r="AI29" s="97" t="s">
        <v>567</v>
      </c>
      <c r="AJ29" s="97" t="s">
        <v>557</v>
      </c>
      <c r="AK29" s="97" t="s">
        <v>567</v>
      </c>
      <c r="AL29" s="97" t="s">
        <v>567</v>
      </c>
      <c r="AM29" s="97" t="s">
        <v>567</v>
      </c>
      <c r="AO29" s="116">
        <f t="shared" si="1"/>
        <v>0</v>
      </c>
      <c r="AP29" s="116">
        <f t="shared" si="3"/>
        <v>0</v>
      </c>
      <c r="AQ29" s="116">
        <f t="shared" si="3"/>
        <v>6</v>
      </c>
      <c r="AR29" s="116">
        <f t="shared" si="3"/>
        <v>0</v>
      </c>
      <c r="AS29" s="116">
        <f t="shared" si="3"/>
        <v>0</v>
      </c>
      <c r="AT29" s="116">
        <f t="shared" si="3"/>
        <v>0</v>
      </c>
      <c r="AU29" s="116">
        <f t="shared" si="3"/>
        <v>0</v>
      </c>
      <c r="AV29" s="116">
        <f t="shared" si="3"/>
        <v>0</v>
      </c>
      <c r="AW29" s="116">
        <f t="shared" si="3"/>
        <v>0</v>
      </c>
      <c r="AX29" s="116">
        <f t="shared" si="3"/>
        <v>0</v>
      </c>
      <c r="AY29" s="116">
        <f t="shared" si="3"/>
        <v>0</v>
      </c>
      <c r="AZ29" s="116">
        <f t="shared" si="3"/>
        <v>0</v>
      </c>
      <c r="BA29" s="116">
        <f t="shared" si="3"/>
        <v>24</v>
      </c>
      <c r="BB29" s="117">
        <f t="shared" si="2"/>
        <v>30</v>
      </c>
      <c r="BD29" s="137">
        <v>30</v>
      </c>
    </row>
    <row r="30" spans="2:56" ht="48.95" customHeight="1">
      <c r="B30" s="112">
        <v>22</v>
      </c>
      <c r="C30" s="113">
        <v>52038209</v>
      </c>
      <c r="D30" s="114" t="s">
        <v>841</v>
      </c>
      <c r="E30" s="134" t="s">
        <v>792</v>
      </c>
      <c r="F30" s="78" t="s">
        <v>506</v>
      </c>
      <c r="G30" s="260" t="s">
        <v>476</v>
      </c>
      <c r="H30" s="114" t="s">
        <v>842</v>
      </c>
      <c r="I30" s="114" t="s">
        <v>597</v>
      </c>
      <c r="J30" s="97" t="s">
        <v>567</v>
      </c>
      <c r="K30" s="97" t="s">
        <v>567</v>
      </c>
      <c r="L30" s="97" t="s">
        <v>567</v>
      </c>
      <c r="M30" s="97" t="s">
        <v>567</v>
      </c>
      <c r="N30" s="97" t="s">
        <v>557</v>
      </c>
      <c r="O30" s="97" t="s">
        <v>567</v>
      </c>
      <c r="P30" s="97" t="s">
        <v>567</v>
      </c>
      <c r="Q30" s="97" t="s">
        <v>567</v>
      </c>
      <c r="R30" s="97" t="s">
        <v>567</v>
      </c>
      <c r="S30" s="97" t="s">
        <v>567</v>
      </c>
      <c r="T30" s="97" t="s">
        <v>567</v>
      </c>
      <c r="U30" s="97" t="s">
        <v>557</v>
      </c>
      <c r="V30" s="97" t="s">
        <v>557</v>
      </c>
      <c r="W30" s="97" t="s">
        <v>567</v>
      </c>
      <c r="X30" s="97" t="s">
        <v>567</v>
      </c>
      <c r="Y30" s="97" t="s">
        <v>567</v>
      </c>
      <c r="Z30" s="97" t="s">
        <v>567</v>
      </c>
      <c r="AA30" s="97" t="s">
        <v>567</v>
      </c>
      <c r="AB30" s="97" t="s">
        <v>557</v>
      </c>
      <c r="AC30" s="97" t="s">
        <v>557</v>
      </c>
      <c r="AD30" s="97" t="s">
        <v>567</v>
      </c>
      <c r="AE30" s="97" t="s">
        <v>567</v>
      </c>
      <c r="AF30" s="97" t="s">
        <v>567</v>
      </c>
      <c r="AG30" s="97" t="s">
        <v>567</v>
      </c>
      <c r="AH30" s="97" t="s">
        <v>567</v>
      </c>
      <c r="AI30" s="97" t="s">
        <v>567</v>
      </c>
      <c r="AJ30" s="97" t="s">
        <v>557</v>
      </c>
      <c r="AK30" s="97" t="s">
        <v>567</v>
      </c>
      <c r="AL30" s="97" t="s">
        <v>567</v>
      </c>
      <c r="AM30" s="97" t="s">
        <v>567</v>
      </c>
      <c r="AO30" s="116">
        <f t="shared" si="1"/>
        <v>0</v>
      </c>
      <c r="AP30" s="116">
        <f t="shared" si="3"/>
        <v>0</v>
      </c>
      <c r="AQ30" s="116">
        <f t="shared" si="3"/>
        <v>6</v>
      </c>
      <c r="AR30" s="116">
        <f t="shared" si="3"/>
        <v>0</v>
      </c>
      <c r="AS30" s="116">
        <f t="shared" si="3"/>
        <v>0</v>
      </c>
      <c r="AT30" s="116">
        <f t="shared" si="3"/>
        <v>0</v>
      </c>
      <c r="AU30" s="116">
        <f t="shared" si="3"/>
        <v>0</v>
      </c>
      <c r="AV30" s="116">
        <f t="shared" si="3"/>
        <v>0</v>
      </c>
      <c r="AW30" s="116">
        <f t="shared" si="3"/>
        <v>0</v>
      </c>
      <c r="AX30" s="116">
        <f t="shared" si="3"/>
        <v>0</v>
      </c>
      <c r="AY30" s="116">
        <f t="shared" si="3"/>
        <v>0</v>
      </c>
      <c r="AZ30" s="116">
        <f t="shared" si="3"/>
        <v>0</v>
      </c>
      <c r="BA30" s="116">
        <f t="shared" si="3"/>
        <v>24</v>
      </c>
      <c r="BB30" s="117">
        <f t="shared" si="2"/>
        <v>30</v>
      </c>
      <c r="BD30" s="137">
        <v>30</v>
      </c>
    </row>
    <row r="31" spans="2:56" ht="48.95" customHeight="1">
      <c r="B31" s="112">
        <v>23</v>
      </c>
      <c r="C31" s="113">
        <v>1022344041</v>
      </c>
      <c r="D31" s="114" t="s">
        <v>843</v>
      </c>
      <c r="E31" s="134" t="s">
        <v>792</v>
      </c>
      <c r="F31" s="78" t="s">
        <v>506</v>
      </c>
      <c r="G31" s="260" t="s">
        <v>476</v>
      </c>
      <c r="H31" s="114" t="s">
        <v>844</v>
      </c>
      <c r="I31" s="114" t="s">
        <v>597</v>
      </c>
      <c r="J31" s="97" t="s">
        <v>567</v>
      </c>
      <c r="K31" s="97" t="s">
        <v>567</v>
      </c>
      <c r="L31" s="97" t="s">
        <v>567</v>
      </c>
      <c r="M31" s="97" t="s">
        <v>567</v>
      </c>
      <c r="N31" s="97" t="s">
        <v>557</v>
      </c>
      <c r="O31" s="97" t="s">
        <v>567</v>
      </c>
      <c r="P31" s="97" t="s">
        <v>567</v>
      </c>
      <c r="Q31" s="97" t="s">
        <v>567</v>
      </c>
      <c r="R31" s="97" t="s">
        <v>567</v>
      </c>
      <c r="S31" s="97" t="s">
        <v>567</v>
      </c>
      <c r="T31" s="97" t="s">
        <v>567</v>
      </c>
      <c r="U31" s="97" t="s">
        <v>557</v>
      </c>
      <c r="V31" s="97" t="s">
        <v>557</v>
      </c>
      <c r="W31" s="97" t="s">
        <v>567</v>
      </c>
      <c r="X31" s="97" t="s">
        <v>567</v>
      </c>
      <c r="Y31" s="97" t="s">
        <v>567</v>
      </c>
      <c r="Z31" s="97" t="s">
        <v>567</v>
      </c>
      <c r="AA31" s="97" t="s">
        <v>567</v>
      </c>
      <c r="AB31" s="97" t="s">
        <v>557</v>
      </c>
      <c r="AC31" s="97" t="s">
        <v>557</v>
      </c>
      <c r="AD31" s="97" t="s">
        <v>567</v>
      </c>
      <c r="AE31" s="97" t="s">
        <v>567</v>
      </c>
      <c r="AF31" s="97" t="s">
        <v>567</v>
      </c>
      <c r="AG31" s="97" t="s">
        <v>567</v>
      </c>
      <c r="AH31" s="97" t="s">
        <v>567</v>
      </c>
      <c r="AI31" s="97" t="s">
        <v>567</v>
      </c>
      <c r="AJ31" s="97" t="s">
        <v>557</v>
      </c>
      <c r="AK31" s="97" t="s">
        <v>567</v>
      </c>
      <c r="AL31" s="97" t="s">
        <v>567</v>
      </c>
      <c r="AM31" s="97" t="s">
        <v>567</v>
      </c>
      <c r="AO31" s="116">
        <f t="shared" si="1"/>
        <v>0</v>
      </c>
      <c r="AP31" s="116">
        <f t="shared" si="3"/>
        <v>0</v>
      </c>
      <c r="AQ31" s="116">
        <f t="shared" si="3"/>
        <v>6</v>
      </c>
      <c r="AR31" s="116">
        <f t="shared" si="3"/>
        <v>0</v>
      </c>
      <c r="AS31" s="116">
        <f t="shared" si="3"/>
        <v>0</v>
      </c>
      <c r="AT31" s="116">
        <f t="shared" si="3"/>
        <v>0</v>
      </c>
      <c r="AU31" s="116">
        <f t="shared" si="3"/>
        <v>0</v>
      </c>
      <c r="AV31" s="116">
        <f t="shared" si="3"/>
        <v>0</v>
      </c>
      <c r="AW31" s="116">
        <f t="shared" si="3"/>
        <v>0</v>
      </c>
      <c r="AX31" s="116">
        <f t="shared" si="3"/>
        <v>0</v>
      </c>
      <c r="AY31" s="116">
        <f t="shared" si="3"/>
        <v>0</v>
      </c>
      <c r="AZ31" s="116">
        <f t="shared" si="3"/>
        <v>0</v>
      </c>
      <c r="BA31" s="116">
        <f t="shared" si="3"/>
        <v>24</v>
      </c>
      <c r="BB31" s="117">
        <f t="shared" si="2"/>
        <v>30</v>
      </c>
      <c r="BD31" s="137">
        <v>30</v>
      </c>
    </row>
    <row r="32" spans="2:56" ht="48.95" customHeight="1">
      <c r="B32" s="112">
        <v>24</v>
      </c>
      <c r="C32" s="113">
        <v>30225706</v>
      </c>
      <c r="D32" s="114" t="s">
        <v>845</v>
      </c>
      <c r="E32" s="134" t="s">
        <v>792</v>
      </c>
      <c r="F32" s="78" t="s">
        <v>506</v>
      </c>
      <c r="G32" s="260" t="s">
        <v>161</v>
      </c>
      <c r="H32" s="114" t="s">
        <v>846</v>
      </c>
      <c r="I32" s="114" t="s">
        <v>597</v>
      </c>
      <c r="J32" s="97" t="s">
        <v>567</v>
      </c>
      <c r="K32" s="97" t="s">
        <v>567</v>
      </c>
      <c r="L32" s="97" t="s">
        <v>567</v>
      </c>
      <c r="M32" s="97" t="s">
        <v>567</v>
      </c>
      <c r="N32" s="97" t="s">
        <v>557</v>
      </c>
      <c r="O32" s="97" t="s">
        <v>567</v>
      </c>
      <c r="P32" s="97" t="s">
        <v>567</v>
      </c>
      <c r="Q32" s="97" t="s">
        <v>567</v>
      </c>
      <c r="R32" s="97" t="s">
        <v>567</v>
      </c>
      <c r="S32" s="97" t="s">
        <v>567</v>
      </c>
      <c r="T32" s="97" t="s">
        <v>567</v>
      </c>
      <c r="U32" s="97" t="s">
        <v>557</v>
      </c>
      <c r="V32" s="97" t="s">
        <v>557</v>
      </c>
      <c r="W32" s="97" t="s">
        <v>567</v>
      </c>
      <c r="X32" s="97" t="s">
        <v>567</v>
      </c>
      <c r="Y32" s="97" t="s">
        <v>567</v>
      </c>
      <c r="Z32" s="97" t="s">
        <v>567</v>
      </c>
      <c r="AA32" s="97" t="s">
        <v>567</v>
      </c>
      <c r="AB32" s="97" t="s">
        <v>557</v>
      </c>
      <c r="AC32" s="97" t="s">
        <v>557</v>
      </c>
      <c r="AD32" s="97" t="s">
        <v>567</v>
      </c>
      <c r="AE32" s="97" t="s">
        <v>567</v>
      </c>
      <c r="AF32" s="97" t="s">
        <v>567</v>
      </c>
      <c r="AG32" s="97" t="s">
        <v>567</v>
      </c>
      <c r="AH32" s="97" t="s">
        <v>567</v>
      </c>
      <c r="AI32" s="97" t="s">
        <v>567</v>
      </c>
      <c r="AJ32" s="97" t="s">
        <v>557</v>
      </c>
      <c r="AK32" s="97" t="s">
        <v>567</v>
      </c>
      <c r="AL32" s="97" t="s">
        <v>567</v>
      </c>
      <c r="AM32" s="97" t="s">
        <v>567</v>
      </c>
      <c r="AO32" s="116">
        <f t="shared" si="1"/>
        <v>0</v>
      </c>
      <c r="AP32" s="116">
        <f t="shared" si="3"/>
        <v>0</v>
      </c>
      <c r="AQ32" s="116">
        <f t="shared" si="3"/>
        <v>6</v>
      </c>
      <c r="AR32" s="116">
        <f t="shared" si="3"/>
        <v>0</v>
      </c>
      <c r="AS32" s="116">
        <f t="shared" si="3"/>
        <v>0</v>
      </c>
      <c r="AT32" s="116">
        <f t="shared" si="3"/>
        <v>0</v>
      </c>
      <c r="AU32" s="116">
        <f t="shared" si="3"/>
        <v>0</v>
      </c>
      <c r="AV32" s="116">
        <f t="shared" si="3"/>
        <v>0</v>
      </c>
      <c r="AW32" s="116">
        <f t="shared" si="3"/>
        <v>0</v>
      </c>
      <c r="AX32" s="116">
        <f t="shared" si="3"/>
        <v>0</v>
      </c>
      <c r="AY32" s="116">
        <f t="shared" si="3"/>
        <v>0</v>
      </c>
      <c r="AZ32" s="116">
        <f t="shared" si="3"/>
        <v>0</v>
      </c>
      <c r="BA32" s="116">
        <f t="shared" si="3"/>
        <v>24</v>
      </c>
      <c r="BB32" s="117">
        <f t="shared" si="2"/>
        <v>30</v>
      </c>
      <c r="BD32" s="137">
        <v>30</v>
      </c>
    </row>
    <row r="33" spans="1:56" ht="48.95" customHeight="1">
      <c r="B33" s="112">
        <v>25</v>
      </c>
      <c r="C33" s="113">
        <v>1002269813</v>
      </c>
      <c r="D33" s="114" t="s">
        <v>847</v>
      </c>
      <c r="E33" s="134" t="s">
        <v>792</v>
      </c>
      <c r="F33" s="78" t="s">
        <v>506</v>
      </c>
      <c r="G33" s="260" t="s">
        <v>476</v>
      </c>
      <c r="H33" s="114" t="s">
        <v>848</v>
      </c>
      <c r="I33" s="114" t="s">
        <v>597</v>
      </c>
      <c r="J33" s="97" t="s">
        <v>567</v>
      </c>
      <c r="K33" s="97" t="s">
        <v>567</v>
      </c>
      <c r="L33" s="97" t="s">
        <v>567</v>
      </c>
      <c r="M33" s="97" t="s">
        <v>567</v>
      </c>
      <c r="N33" s="97" t="s">
        <v>557</v>
      </c>
      <c r="O33" s="97" t="s">
        <v>567</v>
      </c>
      <c r="P33" s="97" t="s">
        <v>567</v>
      </c>
      <c r="Q33" s="97" t="s">
        <v>567</v>
      </c>
      <c r="R33" s="97" t="s">
        <v>567</v>
      </c>
      <c r="S33" s="97" t="s">
        <v>567</v>
      </c>
      <c r="T33" s="97" t="s">
        <v>567</v>
      </c>
      <c r="U33" s="97" t="s">
        <v>557</v>
      </c>
      <c r="V33" s="97" t="s">
        <v>557</v>
      </c>
      <c r="W33" s="97" t="s">
        <v>567</v>
      </c>
      <c r="X33" s="97" t="s">
        <v>567</v>
      </c>
      <c r="Y33" s="97" t="s">
        <v>567</v>
      </c>
      <c r="Z33" s="97" t="s">
        <v>567</v>
      </c>
      <c r="AA33" s="97" t="s">
        <v>567</v>
      </c>
      <c r="AB33" s="97" t="s">
        <v>557</v>
      </c>
      <c r="AC33" s="97" t="s">
        <v>557</v>
      </c>
      <c r="AD33" s="97" t="s">
        <v>567</v>
      </c>
      <c r="AE33" s="97" t="s">
        <v>567</v>
      </c>
      <c r="AF33" s="97" t="s">
        <v>567</v>
      </c>
      <c r="AG33" s="97" t="s">
        <v>567</v>
      </c>
      <c r="AH33" s="97" t="s">
        <v>567</v>
      </c>
      <c r="AI33" s="97" t="s">
        <v>567</v>
      </c>
      <c r="AJ33" s="97" t="s">
        <v>557</v>
      </c>
      <c r="AK33" s="97" t="s">
        <v>567</v>
      </c>
      <c r="AL33" s="97" t="s">
        <v>567</v>
      </c>
      <c r="AM33" s="97" t="s">
        <v>567</v>
      </c>
      <c r="AO33" s="116">
        <f t="shared" si="1"/>
        <v>0</v>
      </c>
      <c r="AP33" s="116">
        <f t="shared" si="3"/>
        <v>0</v>
      </c>
      <c r="AQ33" s="116">
        <f t="shared" si="3"/>
        <v>6</v>
      </c>
      <c r="AR33" s="116">
        <f t="shared" si="3"/>
        <v>0</v>
      </c>
      <c r="AS33" s="116">
        <f t="shared" si="3"/>
        <v>0</v>
      </c>
      <c r="AT33" s="116">
        <f t="shared" si="3"/>
        <v>0</v>
      </c>
      <c r="AU33" s="116">
        <f t="shared" si="3"/>
        <v>0</v>
      </c>
      <c r="AV33" s="116">
        <f t="shared" si="3"/>
        <v>0</v>
      </c>
      <c r="AW33" s="116">
        <f t="shared" si="3"/>
        <v>0</v>
      </c>
      <c r="AX33" s="116">
        <f t="shared" si="3"/>
        <v>0</v>
      </c>
      <c r="AY33" s="116">
        <f t="shared" si="3"/>
        <v>0</v>
      </c>
      <c r="AZ33" s="116">
        <f t="shared" si="3"/>
        <v>0</v>
      </c>
      <c r="BA33" s="116">
        <f t="shared" si="3"/>
        <v>24</v>
      </c>
      <c r="BB33" s="117">
        <f t="shared" si="2"/>
        <v>30</v>
      </c>
      <c r="BD33" s="137">
        <v>30</v>
      </c>
    </row>
    <row r="34" spans="1:56" ht="48.95" customHeight="1">
      <c r="B34" s="112">
        <v>26</v>
      </c>
      <c r="C34" s="113">
        <v>79633497</v>
      </c>
      <c r="D34" s="114" t="s">
        <v>849</v>
      </c>
      <c r="E34" s="134" t="s">
        <v>792</v>
      </c>
      <c r="F34" s="78" t="s">
        <v>507</v>
      </c>
      <c r="G34" s="260" t="s">
        <v>476</v>
      </c>
      <c r="H34" s="114" t="s">
        <v>850</v>
      </c>
      <c r="I34" s="114" t="s">
        <v>602</v>
      </c>
      <c r="J34" s="97" t="s">
        <v>567</v>
      </c>
      <c r="K34" s="97" t="s">
        <v>567</v>
      </c>
      <c r="L34" s="97" t="s">
        <v>567</v>
      </c>
      <c r="M34" s="97" t="s">
        <v>567</v>
      </c>
      <c r="N34" s="97" t="s">
        <v>557</v>
      </c>
      <c r="O34" s="97" t="s">
        <v>567</v>
      </c>
      <c r="P34" s="97" t="s">
        <v>567</v>
      </c>
      <c r="Q34" s="97" t="s">
        <v>558</v>
      </c>
      <c r="R34" s="97" t="s">
        <v>558</v>
      </c>
      <c r="S34" s="97" t="s">
        <v>567</v>
      </c>
      <c r="T34" s="97" t="s">
        <v>567</v>
      </c>
      <c r="U34" s="97" t="s">
        <v>557</v>
      </c>
      <c r="V34" s="97" t="s">
        <v>557</v>
      </c>
      <c r="W34" s="97" t="s">
        <v>567</v>
      </c>
      <c r="X34" s="97" t="s">
        <v>567</v>
      </c>
      <c r="Y34" s="97" t="s">
        <v>567</v>
      </c>
      <c r="Z34" s="97" t="s">
        <v>567</v>
      </c>
      <c r="AA34" s="97" t="s">
        <v>567</v>
      </c>
      <c r="AB34" s="97" t="s">
        <v>557</v>
      </c>
      <c r="AC34" s="97" t="s">
        <v>557</v>
      </c>
      <c r="AD34" s="97" t="s">
        <v>567</v>
      </c>
      <c r="AE34" s="97" t="s">
        <v>567</v>
      </c>
      <c r="AF34" s="97" t="s">
        <v>567</v>
      </c>
      <c r="AG34" s="97" t="s">
        <v>567</v>
      </c>
      <c r="AH34" s="97" t="s">
        <v>567</v>
      </c>
      <c r="AI34" s="97" t="s">
        <v>567</v>
      </c>
      <c r="AJ34" s="97" t="s">
        <v>557</v>
      </c>
      <c r="AK34" s="97" t="s">
        <v>567</v>
      </c>
      <c r="AL34" s="97" t="s">
        <v>567</v>
      </c>
      <c r="AM34" s="97" t="s">
        <v>567</v>
      </c>
      <c r="AO34" s="116">
        <f t="shared" si="1"/>
        <v>0</v>
      </c>
      <c r="AP34" s="116">
        <f t="shared" si="3"/>
        <v>0</v>
      </c>
      <c r="AQ34" s="116">
        <f t="shared" si="3"/>
        <v>6</v>
      </c>
      <c r="AR34" s="116">
        <f t="shared" si="3"/>
        <v>2</v>
      </c>
      <c r="AS34" s="116">
        <f t="shared" si="3"/>
        <v>0</v>
      </c>
      <c r="AT34" s="116">
        <f t="shared" si="3"/>
        <v>0</v>
      </c>
      <c r="AU34" s="116">
        <f t="shared" si="3"/>
        <v>0</v>
      </c>
      <c r="AV34" s="116">
        <f t="shared" si="3"/>
        <v>0</v>
      </c>
      <c r="AW34" s="116">
        <f t="shared" si="3"/>
        <v>0</v>
      </c>
      <c r="AX34" s="116">
        <f t="shared" si="3"/>
        <v>0</v>
      </c>
      <c r="AY34" s="116">
        <f t="shared" si="3"/>
        <v>0</v>
      </c>
      <c r="AZ34" s="116">
        <f t="shared" si="3"/>
        <v>0</v>
      </c>
      <c r="BA34" s="116">
        <f t="shared" si="3"/>
        <v>22</v>
      </c>
      <c r="BB34" s="117">
        <f t="shared" si="2"/>
        <v>28</v>
      </c>
      <c r="BD34" s="137">
        <v>30</v>
      </c>
    </row>
    <row r="35" spans="1:56" ht="48.95" customHeight="1">
      <c r="A35" s="141"/>
      <c r="B35" s="112">
        <v>27</v>
      </c>
      <c r="C35" s="113">
        <v>1007186304</v>
      </c>
      <c r="D35" s="114" t="s">
        <v>851</v>
      </c>
      <c r="E35" s="134" t="s">
        <v>792</v>
      </c>
      <c r="F35" s="78" t="s">
        <v>506</v>
      </c>
      <c r="G35" s="260" t="s">
        <v>161</v>
      </c>
      <c r="H35" s="114" t="s">
        <v>852</v>
      </c>
      <c r="I35" s="114" t="s">
        <v>597</v>
      </c>
      <c r="J35" s="97" t="s">
        <v>567</v>
      </c>
      <c r="K35" s="97" t="s">
        <v>567</v>
      </c>
      <c r="L35" s="97" t="s">
        <v>567</v>
      </c>
      <c r="M35" s="97" t="s">
        <v>567</v>
      </c>
      <c r="N35" s="97" t="s">
        <v>557</v>
      </c>
      <c r="O35" s="97" t="s">
        <v>567</v>
      </c>
      <c r="P35" s="97" t="s">
        <v>567</v>
      </c>
      <c r="Q35" s="97" t="s">
        <v>567</v>
      </c>
      <c r="R35" s="97" t="s">
        <v>567</v>
      </c>
      <c r="S35" s="97" t="s">
        <v>567</v>
      </c>
      <c r="T35" s="97" t="s">
        <v>567</v>
      </c>
      <c r="U35" s="97" t="s">
        <v>557</v>
      </c>
      <c r="V35" s="97" t="s">
        <v>557</v>
      </c>
      <c r="W35" s="97" t="s">
        <v>567</v>
      </c>
      <c r="X35" s="97" t="s">
        <v>567</v>
      </c>
      <c r="Y35" s="97" t="s">
        <v>567</v>
      </c>
      <c r="Z35" s="97" t="s">
        <v>567</v>
      </c>
      <c r="AA35" s="97" t="s">
        <v>567</v>
      </c>
      <c r="AB35" s="97" t="s">
        <v>557</v>
      </c>
      <c r="AC35" s="97" t="s">
        <v>557</v>
      </c>
      <c r="AD35" s="97" t="s">
        <v>567</v>
      </c>
      <c r="AE35" s="97" t="s">
        <v>567</v>
      </c>
      <c r="AF35" s="97" t="s">
        <v>567</v>
      </c>
      <c r="AG35" s="97" t="s">
        <v>567</v>
      </c>
      <c r="AH35" s="97" t="s">
        <v>567</v>
      </c>
      <c r="AI35" s="97" t="s">
        <v>567</v>
      </c>
      <c r="AJ35" s="97" t="s">
        <v>557</v>
      </c>
      <c r="AK35" s="97" t="s">
        <v>567</v>
      </c>
      <c r="AL35" s="97" t="s">
        <v>567</v>
      </c>
      <c r="AM35" s="97" t="s">
        <v>567</v>
      </c>
      <c r="AO35" s="116">
        <f t="shared" si="1"/>
        <v>0</v>
      </c>
      <c r="AP35" s="116">
        <f t="shared" si="3"/>
        <v>0</v>
      </c>
      <c r="AQ35" s="116">
        <f t="shared" si="3"/>
        <v>6</v>
      </c>
      <c r="AR35" s="116">
        <f t="shared" si="3"/>
        <v>0</v>
      </c>
      <c r="AS35" s="116">
        <f t="shared" si="3"/>
        <v>0</v>
      </c>
      <c r="AT35" s="116">
        <f t="shared" si="3"/>
        <v>0</v>
      </c>
      <c r="AU35" s="116">
        <f t="shared" si="3"/>
        <v>0</v>
      </c>
      <c r="AV35" s="116">
        <f t="shared" si="3"/>
        <v>0</v>
      </c>
      <c r="AW35" s="116">
        <f t="shared" si="3"/>
        <v>0</v>
      </c>
      <c r="AX35" s="116">
        <f t="shared" si="3"/>
        <v>0</v>
      </c>
      <c r="AY35" s="116">
        <f t="shared" si="3"/>
        <v>0</v>
      </c>
      <c r="AZ35" s="116">
        <f t="shared" si="3"/>
        <v>0</v>
      </c>
      <c r="BA35" s="116">
        <f t="shared" si="3"/>
        <v>24</v>
      </c>
      <c r="BB35" s="117">
        <f t="shared" si="2"/>
        <v>30</v>
      </c>
      <c r="BD35" s="137">
        <v>30</v>
      </c>
    </row>
    <row r="36" spans="1:56" ht="48.95" customHeight="1">
      <c r="B36" s="112">
        <v>28</v>
      </c>
      <c r="C36" s="113">
        <v>39655719</v>
      </c>
      <c r="D36" s="114" t="s">
        <v>853</v>
      </c>
      <c r="E36" s="134" t="s">
        <v>792</v>
      </c>
      <c r="F36" s="78" t="s">
        <v>506</v>
      </c>
      <c r="G36" s="260" t="s">
        <v>477</v>
      </c>
      <c r="H36" s="114" t="s">
        <v>854</v>
      </c>
      <c r="I36" s="114" t="s">
        <v>597</v>
      </c>
      <c r="J36" s="97" t="s">
        <v>567</v>
      </c>
      <c r="K36" s="97" t="s">
        <v>567</v>
      </c>
      <c r="L36" s="97" t="s">
        <v>567</v>
      </c>
      <c r="M36" s="97" t="s">
        <v>567</v>
      </c>
      <c r="N36" s="97" t="s">
        <v>557</v>
      </c>
      <c r="O36" s="97" t="s">
        <v>567</v>
      </c>
      <c r="P36" s="97" t="s">
        <v>567</v>
      </c>
      <c r="Q36" s="97" t="s">
        <v>567</v>
      </c>
      <c r="R36" s="97" t="s">
        <v>567</v>
      </c>
      <c r="S36" s="97" t="s">
        <v>567</v>
      </c>
      <c r="T36" s="97" t="s">
        <v>567</v>
      </c>
      <c r="U36" s="97" t="s">
        <v>557</v>
      </c>
      <c r="V36" s="97" t="s">
        <v>557</v>
      </c>
      <c r="W36" s="97" t="s">
        <v>567</v>
      </c>
      <c r="X36" s="97" t="s">
        <v>567</v>
      </c>
      <c r="Y36" s="97" t="s">
        <v>567</v>
      </c>
      <c r="Z36" s="97" t="s">
        <v>567</v>
      </c>
      <c r="AA36" s="97" t="s">
        <v>567</v>
      </c>
      <c r="AB36" s="97" t="s">
        <v>557</v>
      </c>
      <c r="AC36" s="97" t="s">
        <v>557</v>
      </c>
      <c r="AD36" s="97" t="s">
        <v>567</v>
      </c>
      <c r="AE36" s="97" t="s">
        <v>567</v>
      </c>
      <c r="AF36" s="97" t="s">
        <v>567</v>
      </c>
      <c r="AG36" s="97" t="s">
        <v>567</v>
      </c>
      <c r="AH36" s="97" t="s">
        <v>567</v>
      </c>
      <c r="AI36" s="97" t="s">
        <v>567</v>
      </c>
      <c r="AJ36" s="97" t="s">
        <v>557</v>
      </c>
      <c r="AK36" s="97" t="s">
        <v>567</v>
      </c>
      <c r="AL36" s="97" t="s">
        <v>567</v>
      </c>
      <c r="AM36" s="97" t="s">
        <v>567</v>
      </c>
      <c r="AO36" s="116">
        <f t="shared" si="1"/>
        <v>0</v>
      </c>
      <c r="AP36" s="116">
        <f t="shared" si="3"/>
        <v>0</v>
      </c>
      <c r="AQ36" s="116">
        <f t="shared" si="3"/>
        <v>6</v>
      </c>
      <c r="AR36" s="116">
        <f t="shared" si="3"/>
        <v>0</v>
      </c>
      <c r="AS36" s="116">
        <f t="shared" si="3"/>
        <v>0</v>
      </c>
      <c r="AT36" s="116">
        <f t="shared" si="3"/>
        <v>0</v>
      </c>
      <c r="AU36" s="116">
        <f t="shared" si="3"/>
        <v>0</v>
      </c>
      <c r="AV36" s="116">
        <f t="shared" ref="AP36:BA57" si="4">COUNTIF($J36:$AM36,AV$7)</f>
        <v>0</v>
      </c>
      <c r="AW36" s="116">
        <f t="shared" si="4"/>
        <v>0</v>
      </c>
      <c r="AX36" s="116">
        <f t="shared" si="4"/>
        <v>0</v>
      </c>
      <c r="AY36" s="116">
        <f t="shared" si="4"/>
        <v>0</v>
      </c>
      <c r="AZ36" s="116">
        <f t="shared" si="4"/>
        <v>0</v>
      </c>
      <c r="BA36" s="116">
        <f t="shared" si="4"/>
        <v>24</v>
      </c>
      <c r="BB36" s="117">
        <f t="shared" si="2"/>
        <v>30</v>
      </c>
      <c r="BD36" s="137">
        <v>30</v>
      </c>
    </row>
    <row r="37" spans="1:56" ht="48.95" customHeight="1">
      <c r="B37" s="112">
        <v>29</v>
      </c>
      <c r="C37" s="113">
        <v>1049454439</v>
      </c>
      <c r="D37" s="114" t="s">
        <v>855</v>
      </c>
      <c r="E37" s="134" t="s">
        <v>792</v>
      </c>
      <c r="F37" s="78" t="s">
        <v>507</v>
      </c>
      <c r="G37" s="260" t="s">
        <v>161</v>
      </c>
      <c r="H37" s="114" t="s">
        <v>856</v>
      </c>
      <c r="I37" s="114" t="s">
        <v>597</v>
      </c>
      <c r="J37" s="97" t="s">
        <v>567</v>
      </c>
      <c r="K37" s="97" t="s">
        <v>567</v>
      </c>
      <c r="L37" s="97" t="s">
        <v>567</v>
      </c>
      <c r="M37" s="97" t="s">
        <v>567</v>
      </c>
      <c r="N37" s="97" t="s">
        <v>557</v>
      </c>
      <c r="O37" s="97" t="s">
        <v>567</v>
      </c>
      <c r="P37" s="97" t="s">
        <v>567</v>
      </c>
      <c r="Q37" s="97" t="s">
        <v>567</v>
      </c>
      <c r="R37" s="97" t="s">
        <v>567</v>
      </c>
      <c r="S37" s="97" t="s">
        <v>567</v>
      </c>
      <c r="T37" s="97" t="s">
        <v>567</v>
      </c>
      <c r="U37" s="97" t="s">
        <v>557</v>
      </c>
      <c r="V37" s="97" t="s">
        <v>557</v>
      </c>
      <c r="W37" s="97" t="s">
        <v>567</v>
      </c>
      <c r="X37" s="97" t="s">
        <v>567</v>
      </c>
      <c r="Y37" s="97" t="s">
        <v>567</v>
      </c>
      <c r="Z37" s="97" t="s">
        <v>567</v>
      </c>
      <c r="AA37" s="97" t="s">
        <v>567</v>
      </c>
      <c r="AB37" s="97" t="s">
        <v>557</v>
      </c>
      <c r="AC37" s="97" t="s">
        <v>557</v>
      </c>
      <c r="AD37" s="97" t="s">
        <v>567</v>
      </c>
      <c r="AE37" s="97" t="s">
        <v>567</v>
      </c>
      <c r="AF37" s="97" t="s">
        <v>567</v>
      </c>
      <c r="AG37" s="97" t="s">
        <v>567</v>
      </c>
      <c r="AH37" s="97" t="s">
        <v>567</v>
      </c>
      <c r="AI37" s="97" t="s">
        <v>567</v>
      </c>
      <c r="AJ37" s="97" t="s">
        <v>557</v>
      </c>
      <c r="AK37" s="97" t="s">
        <v>567</v>
      </c>
      <c r="AL37" s="97" t="s">
        <v>567</v>
      </c>
      <c r="AM37" s="97" t="s">
        <v>567</v>
      </c>
      <c r="AO37" s="116">
        <f t="shared" si="1"/>
        <v>0</v>
      </c>
      <c r="AP37" s="116">
        <f t="shared" si="4"/>
        <v>0</v>
      </c>
      <c r="AQ37" s="116">
        <f t="shared" si="4"/>
        <v>6</v>
      </c>
      <c r="AR37" s="116">
        <f t="shared" si="4"/>
        <v>0</v>
      </c>
      <c r="AS37" s="116">
        <f t="shared" si="4"/>
        <v>0</v>
      </c>
      <c r="AT37" s="116">
        <f t="shared" si="4"/>
        <v>0</v>
      </c>
      <c r="AU37" s="116">
        <f t="shared" si="4"/>
        <v>0</v>
      </c>
      <c r="AV37" s="116">
        <f t="shared" si="4"/>
        <v>0</v>
      </c>
      <c r="AW37" s="116">
        <f t="shared" si="4"/>
        <v>0</v>
      </c>
      <c r="AX37" s="116">
        <f t="shared" si="4"/>
        <v>0</v>
      </c>
      <c r="AY37" s="116">
        <f t="shared" si="4"/>
        <v>0</v>
      </c>
      <c r="AZ37" s="116">
        <f t="shared" si="4"/>
        <v>0</v>
      </c>
      <c r="BA37" s="116">
        <f t="shared" si="4"/>
        <v>24</v>
      </c>
      <c r="BB37" s="117">
        <f t="shared" si="2"/>
        <v>30</v>
      </c>
      <c r="BD37" s="137">
        <v>30</v>
      </c>
    </row>
    <row r="38" spans="1:56" ht="48.95" customHeight="1">
      <c r="A38" s="216"/>
      <c r="B38" s="112">
        <v>30</v>
      </c>
      <c r="C38" s="113">
        <v>52292687</v>
      </c>
      <c r="D38" s="114" t="s">
        <v>857</v>
      </c>
      <c r="E38" s="134" t="s">
        <v>792</v>
      </c>
      <c r="F38" s="78" t="s">
        <v>506</v>
      </c>
      <c r="G38" s="260" t="s">
        <v>161</v>
      </c>
      <c r="H38" s="114" t="s">
        <v>858</v>
      </c>
      <c r="I38" s="114" t="s">
        <v>597</v>
      </c>
      <c r="J38" s="97" t="s">
        <v>567</v>
      </c>
      <c r="K38" s="97" t="s">
        <v>567</v>
      </c>
      <c r="L38" s="97" t="s">
        <v>567</v>
      </c>
      <c r="M38" s="97" t="s">
        <v>567</v>
      </c>
      <c r="N38" s="97" t="s">
        <v>557</v>
      </c>
      <c r="O38" s="97" t="s">
        <v>567</v>
      </c>
      <c r="P38" s="97" t="s">
        <v>567</v>
      </c>
      <c r="Q38" s="97" t="s">
        <v>567</v>
      </c>
      <c r="R38" s="97" t="s">
        <v>567</v>
      </c>
      <c r="S38" s="97" t="s">
        <v>567</v>
      </c>
      <c r="T38" s="97" t="s">
        <v>567</v>
      </c>
      <c r="U38" s="97" t="s">
        <v>557</v>
      </c>
      <c r="V38" s="97" t="s">
        <v>557</v>
      </c>
      <c r="W38" s="97" t="s">
        <v>567</v>
      </c>
      <c r="X38" s="97" t="s">
        <v>567</v>
      </c>
      <c r="Y38" s="97" t="s">
        <v>567</v>
      </c>
      <c r="Z38" s="97" t="s">
        <v>567</v>
      </c>
      <c r="AA38" s="97" t="s">
        <v>567</v>
      </c>
      <c r="AB38" s="97" t="s">
        <v>557</v>
      </c>
      <c r="AC38" s="97" t="s">
        <v>557</v>
      </c>
      <c r="AD38" s="97" t="s">
        <v>567</v>
      </c>
      <c r="AE38" s="97" t="s">
        <v>567</v>
      </c>
      <c r="AF38" s="97" t="s">
        <v>567</v>
      </c>
      <c r="AG38" s="97" t="s">
        <v>567</v>
      </c>
      <c r="AH38" s="97" t="s">
        <v>567</v>
      </c>
      <c r="AI38" s="97" t="s">
        <v>567</v>
      </c>
      <c r="AJ38" s="97" t="s">
        <v>557</v>
      </c>
      <c r="AK38" s="97" t="s">
        <v>567</v>
      </c>
      <c r="AL38" s="97" t="s">
        <v>567</v>
      </c>
      <c r="AM38" s="97" t="s">
        <v>567</v>
      </c>
      <c r="AO38" s="116">
        <f t="shared" si="1"/>
        <v>0</v>
      </c>
      <c r="AP38" s="116">
        <f t="shared" si="4"/>
        <v>0</v>
      </c>
      <c r="AQ38" s="116">
        <f t="shared" si="4"/>
        <v>6</v>
      </c>
      <c r="AR38" s="116">
        <f t="shared" si="4"/>
        <v>0</v>
      </c>
      <c r="AS38" s="116">
        <f t="shared" si="4"/>
        <v>0</v>
      </c>
      <c r="AT38" s="116">
        <f t="shared" si="4"/>
        <v>0</v>
      </c>
      <c r="AU38" s="116">
        <f t="shared" si="4"/>
        <v>0</v>
      </c>
      <c r="AV38" s="116">
        <f t="shared" si="4"/>
        <v>0</v>
      </c>
      <c r="AW38" s="116">
        <f t="shared" si="4"/>
        <v>0</v>
      </c>
      <c r="AX38" s="116">
        <f t="shared" si="4"/>
        <v>0</v>
      </c>
      <c r="AY38" s="116">
        <f t="shared" si="4"/>
        <v>0</v>
      </c>
      <c r="AZ38" s="116">
        <f t="shared" si="4"/>
        <v>0</v>
      </c>
      <c r="BA38" s="116">
        <f t="shared" si="4"/>
        <v>24</v>
      </c>
      <c r="BB38" s="117">
        <f t="shared" si="2"/>
        <v>30</v>
      </c>
      <c r="BD38" s="137">
        <v>30</v>
      </c>
    </row>
    <row r="39" spans="1:56" ht="48.95" customHeight="1">
      <c r="B39" s="112">
        <v>31</v>
      </c>
      <c r="C39" s="113">
        <v>37650172</v>
      </c>
      <c r="D39" s="114" t="s">
        <v>859</v>
      </c>
      <c r="E39" s="134" t="s">
        <v>792</v>
      </c>
      <c r="F39" s="78" t="s">
        <v>506</v>
      </c>
      <c r="G39" s="260" t="s">
        <v>161</v>
      </c>
      <c r="H39" s="114" t="s">
        <v>860</v>
      </c>
      <c r="I39" s="114" t="s">
        <v>597</v>
      </c>
      <c r="J39" s="97" t="s">
        <v>567</v>
      </c>
      <c r="K39" s="97" t="s">
        <v>567</v>
      </c>
      <c r="L39" s="97" t="s">
        <v>567</v>
      </c>
      <c r="M39" s="97" t="s">
        <v>567</v>
      </c>
      <c r="N39" s="97" t="s">
        <v>557</v>
      </c>
      <c r="O39" s="97" t="s">
        <v>567</v>
      </c>
      <c r="P39" s="97" t="s">
        <v>567</v>
      </c>
      <c r="Q39" s="97" t="s">
        <v>567</v>
      </c>
      <c r="R39" s="97" t="s">
        <v>567</v>
      </c>
      <c r="S39" s="97" t="s">
        <v>567</v>
      </c>
      <c r="T39" s="97" t="s">
        <v>567</v>
      </c>
      <c r="U39" s="97" t="s">
        <v>557</v>
      </c>
      <c r="V39" s="97" t="s">
        <v>557</v>
      </c>
      <c r="W39" s="97" t="s">
        <v>567</v>
      </c>
      <c r="X39" s="97" t="s">
        <v>567</v>
      </c>
      <c r="Y39" s="97" t="s">
        <v>567</v>
      </c>
      <c r="Z39" s="97" t="s">
        <v>567</v>
      </c>
      <c r="AA39" s="97" t="s">
        <v>567</v>
      </c>
      <c r="AB39" s="97" t="s">
        <v>557</v>
      </c>
      <c r="AC39" s="97" t="s">
        <v>557</v>
      </c>
      <c r="AD39" s="97" t="s">
        <v>567</v>
      </c>
      <c r="AE39" s="97" t="s">
        <v>567</v>
      </c>
      <c r="AF39" s="97" t="s">
        <v>567</v>
      </c>
      <c r="AG39" s="97" t="s">
        <v>567</v>
      </c>
      <c r="AH39" s="97" t="s">
        <v>567</v>
      </c>
      <c r="AI39" s="97" t="s">
        <v>567</v>
      </c>
      <c r="AJ39" s="97" t="s">
        <v>557</v>
      </c>
      <c r="AK39" s="97" t="s">
        <v>567</v>
      </c>
      <c r="AL39" s="97" t="s">
        <v>567</v>
      </c>
      <c r="AM39" s="97" t="s">
        <v>567</v>
      </c>
      <c r="AO39" s="116">
        <f t="shared" si="1"/>
        <v>0</v>
      </c>
      <c r="AP39" s="116">
        <f t="shared" si="4"/>
        <v>0</v>
      </c>
      <c r="AQ39" s="116">
        <f t="shared" si="4"/>
        <v>6</v>
      </c>
      <c r="AR39" s="116">
        <f t="shared" si="4"/>
        <v>0</v>
      </c>
      <c r="AS39" s="116">
        <f t="shared" si="4"/>
        <v>0</v>
      </c>
      <c r="AT39" s="116">
        <f t="shared" si="4"/>
        <v>0</v>
      </c>
      <c r="AU39" s="116">
        <f t="shared" si="4"/>
        <v>0</v>
      </c>
      <c r="AV39" s="116">
        <f t="shared" si="4"/>
        <v>0</v>
      </c>
      <c r="AW39" s="116">
        <f t="shared" si="4"/>
        <v>0</v>
      </c>
      <c r="AX39" s="116">
        <f t="shared" si="4"/>
        <v>0</v>
      </c>
      <c r="AY39" s="116">
        <f t="shared" si="4"/>
        <v>0</v>
      </c>
      <c r="AZ39" s="116">
        <f t="shared" si="4"/>
        <v>0</v>
      </c>
      <c r="BA39" s="116">
        <f t="shared" si="4"/>
        <v>24</v>
      </c>
      <c r="BB39" s="117">
        <f t="shared" si="2"/>
        <v>30</v>
      </c>
      <c r="BD39" s="137">
        <v>30</v>
      </c>
    </row>
    <row r="40" spans="1:56" ht="48.95" customHeight="1">
      <c r="B40" s="112">
        <v>32</v>
      </c>
      <c r="C40" s="113">
        <v>1012441690</v>
      </c>
      <c r="D40" s="114" t="s">
        <v>861</v>
      </c>
      <c r="E40" s="134" t="s">
        <v>792</v>
      </c>
      <c r="F40" s="78" t="s">
        <v>507</v>
      </c>
      <c r="G40" s="260" t="s">
        <v>161</v>
      </c>
      <c r="H40" s="114" t="s">
        <v>862</v>
      </c>
      <c r="I40" s="114" t="s">
        <v>597</v>
      </c>
      <c r="J40" s="97" t="s">
        <v>567</v>
      </c>
      <c r="K40" s="97" t="s">
        <v>567</v>
      </c>
      <c r="L40" s="97" t="s">
        <v>567</v>
      </c>
      <c r="M40" s="97" t="s">
        <v>567</v>
      </c>
      <c r="N40" s="97" t="s">
        <v>557</v>
      </c>
      <c r="O40" s="97" t="s">
        <v>567</v>
      </c>
      <c r="P40" s="97" t="s">
        <v>567</v>
      </c>
      <c r="Q40" s="97" t="s">
        <v>567</v>
      </c>
      <c r="R40" s="97" t="s">
        <v>567</v>
      </c>
      <c r="S40" s="97" t="s">
        <v>567</v>
      </c>
      <c r="T40" s="97" t="s">
        <v>567</v>
      </c>
      <c r="U40" s="97" t="s">
        <v>557</v>
      </c>
      <c r="V40" s="97" t="s">
        <v>557</v>
      </c>
      <c r="W40" s="97" t="s">
        <v>567</v>
      </c>
      <c r="X40" s="97" t="s">
        <v>567</v>
      </c>
      <c r="Y40" s="97" t="s">
        <v>567</v>
      </c>
      <c r="Z40" s="97" t="s">
        <v>567</v>
      </c>
      <c r="AA40" s="97" t="s">
        <v>567</v>
      </c>
      <c r="AB40" s="97" t="s">
        <v>557</v>
      </c>
      <c r="AC40" s="97" t="s">
        <v>557</v>
      </c>
      <c r="AD40" s="97" t="s">
        <v>567</v>
      </c>
      <c r="AE40" s="97" t="s">
        <v>567</v>
      </c>
      <c r="AF40" s="97" t="s">
        <v>567</v>
      </c>
      <c r="AG40" s="97" t="s">
        <v>567</v>
      </c>
      <c r="AH40" s="97" t="s">
        <v>567</v>
      </c>
      <c r="AI40" s="97" t="s">
        <v>567</v>
      </c>
      <c r="AJ40" s="97" t="s">
        <v>557</v>
      </c>
      <c r="AK40" s="97" t="s">
        <v>567</v>
      </c>
      <c r="AL40" s="97" t="s">
        <v>567</v>
      </c>
      <c r="AM40" s="97" t="s">
        <v>567</v>
      </c>
      <c r="AO40" s="116">
        <f t="shared" si="1"/>
        <v>0</v>
      </c>
      <c r="AP40" s="116">
        <f t="shared" si="4"/>
        <v>0</v>
      </c>
      <c r="AQ40" s="116">
        <f t="shared" si="4"/>
        <v>6</v>
      </c>
      <c r="AR40" s="116">
        <f t="shared" si="4"/>
        <v>0</v>
      </c>
      <c r="AS40" s="116">
        <f t="shared" si="4"/>
        <v>0</v>
      </c>
      <c r="AT40" s="116">
        <f t="shared" si="4"/>
        <v>0</v>
      </c>
      <c r="AU40" s="116">
        <f t="shared" si="4"/>
        <v>0</v>
      </c>
      <c r="AV40" s="116">
        <f t="shared" si="4"/>
        <v>0</v>
      </c>
      <c r="AW40" s="116">
        <f t="shared" si="4"/>
        <v>0</v>
      </c>
      <c r="AX40" s="116">
        <f t="shared" si="4"/>
        <v>0</v>
      </c>
      <c r="AY40" s="116">
        <f t="shared" si="4"/>
        <v>0</v>
      </c>
      <c r="AZ40" s="116">
        <f t="shared" si="4"/>
        <v>0</v>
      </c>
      <c r="BA40" s="116">
        <f t="shared" si="4"/>
        <v>24</v>
      </c>
      <c r="BB40" s="117">
        <f t="shared" si="2"/>
        <v>30</v>
      </c>
      <c r="BD40" s="137">
        <v>30</v>
      </c>
    </row>
    <row r="41" spans="1:56" ht="48.95" customHeight="1">
      <c r="B41" s="112">
        <v>33</v>
      </c>
      <c r="C41" s="113">
        <v>52951248</v>
      </c>
      <c r="D41" s="114" t="s">
        <v>863</v>
      </c>
      <c r="E41" s="134" t="s">
        <v>792</v>
      </c>
      <c r="F41" s="78" t="s">
        <v>506</v>
      </c>
      <c r="G41" s="260" t="s">
        <v>476</v>
      </c>
      <c r="H41" s="114" t="s">
        <v>864</v>
      </c>
      <c r="I41" s="114" t="s">
        <v>597</v>
      </c>
      <c r="J41" s="97" t="s">
        <v>567</v>
      </c>
      <c r="K41" s="97" t="s">
        <v>567</v>
      </c>
      <c r="L41" s="97" t="s">
        <v>567</v>
      </c>
      <c r="M41" s="97" t="s">
        <v>567</v>
      </c>
      <c r="N41" s="97" t="s">
        <v>557</v>
      </c>
      <c r="O41" s="97" t="s">
        <v>567</v>
      </c>
      <c r="P41" s="97" t="s">
        <v>567</v>
      </c>
      <c r="Q41" s="97" t="s">
        <v>567</v>
      </c>
      <c r="R41" s="97" t="s">
        <v>567</v>
      </c>
      <c r="S41" s="97" t="s">
        <v>567</v>
      </c>
      <c r="T41" s="97" t="s">
        <v>567</v>
      </c>
      <c r="U41" s="97" t="s">
        <v>557</v>
      </c>
      <c r="V41" s="97" t="s">
        <v>557</v>
      </c>
      <c r="W41" s="97" t="s">
        <v>567</v>
      </c>
      <c r="X41" s="97" t="s">
        <v>567</v>
      </c>
      <c r="Y41" s="97" t="s">
        <v>567</v>
      </c>
      <c r="Z41" s="97" t="s">
        <v>567</v>
      </c>
      <c r="AA41" s="97" t="s">
        <v>567</v>
      </c>
      <c r="AB41" s="97" t="s">
        <v>557</v>
      </c>
      <c r="AC41" s="97" t="s">
        <v>557</v>
      </c>
      <c r="AD41" s="97" t="s">
        <v>567</v>
      </c>
      <c r="AE41" s="97" t="s">
        <v>567</v>
      </c>
      <c r="AF41" s="97" t="s">
        <v>567</v>
      </c>
      <c r="AG41" s="97" t="s">
        <v>567</v>
      </c>
      <c r="AH41" s="97" t="s">
        <v>567</v>
      </c>
      <c r="AI41" s="97" t="s">
        <v>567</v>
      </c>
      <c r="AJ41" s="97" t="s">
        <v>557</v>
      </c>
      <c r="AK41" s="97" t="s">
        <v>567</v>
      </c>
      <c r="AL41" s="97" t="s">
        <v>567</v>
      </c>
      <c r="AM41" s="97" t="s">
        <v>567</v>
      </c>
      <c r="AO41" s="116">
        <f t="shared" si="1"/>
        <v>0</v>
      </c>
      <c r="AP41" s="116">
        <f t="shared" si="4"/>
        <v>0</v>
      </c>
      <c r="AQ41" s="116">
        <f t="shared" si="4"/>
        <v>6</v>
      </c>
      <c r="AR41" s="116">
        <f t="shared" si="4"/>
        <v>0</v>
      </c>
      <c r="AS41" s="116">
        <f t="shared" si="4"/>
        <v>0</v>
      </c>
      <c r="AT41" s="116">
        <f t="shared" si="4"/>
        <v>0</v>
      </c>
      <c r="AU41" s="116">
        <f t="shared" si="4"/>
        <v>0</v>
      </c>
      <c r="AV41" s="116">
        <f t="shared" si="4"/>
        <v>0</v>
      </c>
      <c r="AW41" s="116">
        <f t="shared" si="4"/>
        <v>0</v>
      </c>
      <c r="AX41" s="116">
        <f t="shared" si="4"/>
        <v>0</v>
      </c>
      <c r="AY41" s="116">
        <f t="shared" si="4"/>
        <v>0</v>
      </c>
      <c r="AZ41" s="116">
        <f t="shared" si="4"/>
        <v>0</v>
      </c>
      <c r="BA41" s="116">
        <f t="shared" si="4"/>
        <v>24</v>
      </c>
      <c r="BB41" s="117">
        <f t="shared" si="2"/>
        <v>30</v>
      </c>
      <c r="BD41" s="137">
        <v>30</v>
      </c>
    </row>
    <row r="42" spans="1:56" ht="48.95" customHeight="1">
      <c r="A42" s="216"/>
      <c r="B42" s="112">
        <v>34</v>
      </c>
      <c r="C42" s="113">
        <v>52746420</v>
      </c>
      <c r="D42" s="114" t="s">
        <v>865</v>
      </c>
      <c r="E42" s="134" t="s">
        <v>792</v>
      </c>
      <c r="F42" s="78" t="s">
        <v>506</v>
      </c>
      <c r="G42" s="260" t="s">
        <v>476</v>
      </c>
      <c r="H42" s="114" t="s">
        <v>866</v>
      </c>
      <c r="I42" s="114" t="s">
        <v>597</v>
      </c>
      <c r="J42" s="97" t="s">
        <v>567</v>
      </c>
      <c r="K42" s="97" t="s">
        <v>567</v>
      </c>
      <c r="L42" s="97" t="s">
        <v>567</v>
      </c>
      <c r="M42" s="97" t="s">
        <v>567</v>
      </c>
      <c r="N42" s="97" t="s">
        <v>557</v>
      </c>
      <c r="O42" s="97" t="s">
        <v>567</v>
      </c>
      <c r="P42" s="97" t="s">
        <v>567</v>
      </c>
      <c r="Q42" s="97" t="s">
        <v>567</v>
      </c>
      <c r="R42" s="97" t="s">
        <v>567</v>
      </c>
      <c r="S42" s="97" t="s">
        <v>567</v>
      </c>
      <c r="T42" s="97" t="s">
        <v>567</v>
      </c>
      <c r="U42" s="97" t="s">
        <v>557</v>
      </c>
      <c r="V42" s="97" t="s">
        <v>557</v>
      </c>
      <c r="W42" s="97" t="s">
        <v>567</v>
      </c>
      <c r="X42" s="97" t="s">
        <v>567</v>
      </c>
      <c r="Y42" s="97" t="s">
        <v>567</v>
      </c>
      <c r="Z42" s="97" t="s">
        <v>567</v>
      </c>
      <c r="AA42" s="97" t="s">
        <v>567</v>
      </c>
      <c r="AB42" s="97" t="s">
        <v>557</v>
      </c>
      <c r="AC42" s="97" t="s">
        <v>557</v>
      </c>
      <c r="AD42" s="97" t="s">
        <v>567</v>
      </c>
      <c r="AE42" s="97" t="s">
        <v>567</v>
      </c>
      <c r="AF42" s="97" t="s">
        <v>567</v>
      </c>
      <c r="AG42" s="97" t="s">
        <v>567</v>
      </c>
      <c r="AH42" s="97" t="s">
        <v>567</v>
      </c>
      <c r="AI42" s="97" t="s">
        <v>567</v>
      </c>
      <c r="AJ42" s="97" t="s">
        <v>557</v>
      </c>
      <c r="AK42" s="97" t="s">
        <v>567</v>
      </c>
      <c r="AL42" s="97" t="s">
        <v>567</v>
      </c>
      <c r="AM42" s="97" t="s">
        <v>567</v>
      </c>
      <c r="AO42" s="116">
        <f t="shared" si="1"/>
        <v>0</v>
      </c>
      <c r="AP42" s="116">
        <f t="shared" si="4"/>
        <v>0</v>
      </c>
      <c r="AQ42" s="116">
        <f t="shared" si="4"/>
        <v>6</v>
      </c>
      <c r="AR42" s="116">
        <f t="shared" si="4"/>
        <v>0</v>
      </c>
      <c r="AS42" s="116">
        <f t="shared" si="4"/>
        <v>0</v>
      </c>
      <c r="AT42" s="116">
        <f t="shared" si="4"/>
        <v>0</v>
      </c>
      <c r="AU42" s="116">
        <f t="shared" si="4"/>
        <v>0</v>
      </c>
      <c r="AV42" s="116">
        <f t="shared" si="4"/>
        <v>0</v>
      </c>
      <c r="AW42" s="116">
        <f t="shared" si="4"/>
        <v>0</v>
      </c>
      <c r="AX42" s="116">
        <f t="shared" si="4"/>
        <v>0</v>
      </c>
      <c r="AY42" s="116">
        <f t="shared" si="4"/>
        <v>0</v>
      </c>
      <c r="AZ42" s="116">
        <f t="shared" si="4"/>
        <v>0</v>
      </c>
      <c r="BA42" s="116">
        <f t="shared" si="4"/>
        <v>24</v>
      </c>
      <c r="BB42" s="117">
        <f t="shared" si="2"/>
        <v>30</v>
      </c>
      <c r="BD42" s="137">
        <v>30</v>
      </c>
    </row>
    <row r="43" spans="1:56" ht="48.95" customHeight="1">
      <c r="B43" s="112">
        <v>35</v>
      </c>
      <c r="C43" s="113">
        <v>1073668951</v>
      </c>
      <c r="D43" s="114" t="s">
        <v>867</v>
      </c>
      <c r="E43" s="134" t="s">
        <v>792</v>
      </c>
      <c r="F43" s="78" t="s">
        <v>506</v>
      </c>
      <c r="G43" s="260" t="s">
        <v>161</v>
      </c>
      <c r="H43" s="114" t="s">
        <v>868</v>
      </c>
      <c r="I43" s="114" t="s">
        <v>597</v>
      </c>
      <c r="J43" s="97" t="s">
        <v>567</v>
      </c>
      <c r="K43" s="97" t="s">
        <v>567</v>
      </c>
      <c r="L43" s="97" t="s">
        <v>567</v>
      </c>
      <c r="M43" s="97" t="s">
        <v>567</v>
      </c>
      <c r="N43" s="97" t="s">
        <v>557</v>
      </c>
      <c r="O43" s="97" t="s">
        <v>567</v>
      </c>
      <c r="P43" s="97" t="s">
        <v>567</v>
      </c>
      <c r="Q43" s="97" t="s">
        <v>558</v>
      </c>
      <c r="R43" s="97" t="s">
        <v>558</v>
      </c>
      <c r="S43" s="97" t="s">
        <v>567</v>
      </c>
      <c r="T43" s="97" t="s">
        <v>567</v>
      </c>
      <c r="U43" s="97" t="s">
        <v>557</v>
      </c>
      <c r="V43" s="97" t="s">
        <v>557</v>
      </c>
      <c r="W43" s="97" t="s">
        <v>567</v>
      </c>
      <c r="X43" s="97" t="s">
        <v>567</v>
      </c>
      <c r="Y43" s="97" t="s">
        <v>567</v>
      </c>
      <c r="Z43" s="97" t="s">
        <v>567</v>
      </c>
      <c r="AA43" s="97" t="s">
        <v>567</v>
      </c>
      <c r="AB43" s="97" t="s">
        <v>557</v>
      </c>
      <c r="AC43" s="97" t="s">
        <v>557</v>
      </c>
      <c r="AD43" s="97" t="s">
        <v>567</v>
      </c>
      <c r="AE43" s="97" t="s">
        <v>567</v>
      </c>
      <c r="AF43" s="97" t="s">
        <v>567</v>
      </c>
      <c r="AG43" s="97" t="s">
        <v>567</v>
      </c>
      <c r="AH43" s="97" t="s">
        <v>567</v>
      </c>
      <c r="AI43" s="97" t="s">
        <v>567</v>
      </c>
      <c r="AJ43" s="97" t="s">
        <v>557</v>
      </c>
      <c r="AK43" s="97" t="s">
        <v>567</v>
      </c>
      <c r="AL43" s="97" t="s">
        <v>567</v>
      </c>
      <c r="AM43" s="97" t="s">
        <v>567</v>
      </c>
      <c r="AO43" s="116">
        <f t="shared" si="1"/>
        <v>0</v>
      </c>
      <c r="AP43" s="116">
        <f t="shared" si="4"/>
        <v>0</v>
      </c>
      <c r="AQ43" s="116">
        <f t="shared" si="4"/>
        <v>6</v>
      </c>
      <c r="AR43" s="116">
        <f t="shared" si="4"/>
        <v>2</v>
      </c>
      <c r="AS43" s="116">
        <f t="shared" si="4"/>
        <v>0</v>
      </c>
      <c r="AT43" s="116">
        <f t="shared" si="4"/>
        <v>0</v>
      </c>
      <c r="AU43" s="116">
        <f t="shared" si="4"/>
        <v>0</v>
      </c>
      <c r="AV43" s="116">
        <f t="shared" si="4"/>
        <v>0</v>
      </c>
      <c r="AW43" s="116">
        <f t="shared" si="4"/>
        <v>0</v>
      </c>
      <c r="AX43" s="116">
        <f t="shared" si="4"/>
        <v>0</v>
      </c>
      <c r="AY43" s="116">
        <f t="shared" si="4"/>
        <v>0</v>
      </c>
      <c r="AZ43" s="116">
        <f t="shared" si="4"/>
        <v>0</v>
      </c>
      <c r="BA43" s="116">
        <f t="shared" si="4"/>
        <v>22</v>
      </c>
      <c r="BB43" s="117">
        <f t="shared" si="2"/>
        <v>28</v>
      </c>
      <c r="BD43" s="137">
        <v>30</v>
      </c>
    </row>
    <row r="44" spans="1:56" ht="48.95" customHeight="1">
      <c r="B44" s="112">
        <v>36</v>
      </c>
      <c r="C44" s="113">
        <v>35602050</v>
      </c>
      <c r="D44" s="114" t="s">
        <v>869</v>
      </c>
      <c r="E44" s="134" t="s">
        <v>792</v>
      </c>
      <c r="F44" s="78" t="s">
        <v>506</v>
      </c>
      <c r="G44" s="260" t="s">
        <v>161</v>
      </c>
      <c r="H44" s="114" t="s">
        <v>870</v>
      </c>
      <c r="I44" s="114" t="s">
        <v>600</v>
      </c>
      <c r="J44" s="97" t="s">
        <v>567</v>
      </c>
      <c r="K44" s="97" t="s">
        <v>567</v>
      </c>
      <c r="L44" s="97" t="s">
        <v>567</v>
      </c>
      <c r="M44" s="97" t="s">
        <v>567</v>
      </c>
      <c r="N44" s="97" t="s">
        <v>557</v>
      </c>
      <c r="O44" s="97" t="s">
        <v>567</v>
      </c>
      <c r="P44" s="97" t="s">
        <v>567</v>
      </c>
      <c r="Q44" s="97" t="s">
        <v>567</v>
      </c>
      <c r="R44" s="97" t="s">
        <v>567</v>
      </c>
      <c r="S44" s="97" t="s">
        <v>567</v>
      </c>
      <c r="T44" s="97" t="s">
        <v>567</v>
      </c>
      <c r="U44" s="97" t="s">
        <v>557</v>
      </c>
      <c r="V44" s="97" t="s">
        <v>557</v>
      </c>
      <c r="W44" s="97" t="s">
        <v>567</v>
      </c>
      <c r="X44" s="97" t="s">
        <v>567</v>
      </c>
      <c r="Y44" s="97" t="s">
        <v>567</v>
      </c>
      <c r="Z44" s="97" t="s">
        <v>567</v>
      </c>
      <c r="AA44" s="97" t="s">
        <v>567</v>
      </c>
      <c r="AB44" s="97" t="s">
        <v>557</v>
      </c>
      <c r="AC44" s="97" t="s">
        <v>557</v>
      </c>
      <c r="AD44" s="97" t="s">
        <v>567</v>
      </c>
      <c r="AE44" s="97" t="s">
        <v>567</v>
      </c>
      <c r="AF44" s="97" t="s">
        <v>567</v>
      </c>
      <c r="AG44" s="97" t="s">
        <v>567</v>
      </c>
      <c r="AH44" s="97" t="s">
        <v>567</v>
      </c>
      <c r="AI44" s="97" t="s">
        <v>567</v>
      </c>
      <c r="AJ44" s="97" t="s">
        <v>557</v>
      </c>
      <c r="AK44" s="97" t="s">
        <v>567</v>
      </c>
      <c r="AL44" s="97" t="s">
        <v>567</v>
      </c>
      <c r="AM44" s="97" t="s">
        <v>567</v>
      </c>
      <c r="AO44" s="116">
        <f t="shared" si="1"/>
        <v>0</v>
      </c>
      <c r="AP44" s="116">
        <f t="shared" si="4"/>
        <v>0</v>
      </c>
      <c r="AQ44" s="116">
        <f t="shared" si="4"/>
        <v>6</v>
      </c>
      <c r="AR44" s="116">
        <f t="shared" si="4"/>
        <v>0</v>
      </c>
      <c r="AS44" s="116">
        <f t="shared" si="4"/>
        <v>0</v>
      </c>
      <c r="AT44" s="116">
        <f t="shared" si="4"/>
        <v>0</v>
      </c>
      <c r="AU44" s="116">
        <f t="shared" si="4"/>
        <v>0</v>
      </c>
      <c r="AV44" s="116">
        <f t="shared" si="4"/>
        <v>0</v>
      </c>
      <c r="AW44" s="116">
        <f t="shared" si="4"/>
        <v>0</v>
      </c>
      <c r="AX44" s="116">
        <f t="shared" si="4"/>
        <v>0</v>
      </c>
      <c r="AY44" s="116">
        <f t="shared" si="4"/>
        <v>0</v>
      </c>
      <c r="AZ44" s="116">
        <f t="shared" si="4"/>
        <v>0</v>
      </c>
      <c r="BA44" s="116">
        <f t="shared" si="4"/>
        <v>24</v>
      </c>
      <c r="BB44" s="117">
        <f t="shared" si="2"/>
        <v>30</v>
      </c>
      <c r="BD44" s="137">
        <v>30</v>
      </c>
    </row>
    <row r="45" spans="1:56" ht="48.95" customHeight="1">
      <c r="B45" s="112">
        <v>37</v>
      </c>
      <c r="C45" s="113">
        <v>1127668946</v>
      </c>
      <c r="D45" s="114" t="s">
        <v>730</v>
      </c>
      <c r="E45" s="134" t="s">
        <v>792</v>
      </c>
      <c r="F45" s="78" t="s">
        <v>506</v>
      </c>
      <c r="G45" s="260" t="s">
        <v>161</v>
      </c>
      <c r="H45" s="114" t="s">
        <v>601</v>
      </c>
      <c r="I45" s="114" t="s">
        <v>600</v>
      </c>
      <c r="J45" s="97" t="s">
        <v>567</v>
      </c>
      <c r="K45" s="97" t="s">
        <v>567</v>
      </c>
      <c r="L45" s="97" t="s">
        <v>567</v>
      </c>
      <c r="M45" s="97" t="s">
        <v>567</v>
      </c>
      <c r="N45" s="97" t="s">
        <v>557</v>
      </c>
      <c r="O45" s="97" t="s">
        <v>567</v>
      </c>
      <c r="P45" s="97" t="s">
        <v>567</v>
      </c>
      <c r="Q45" s="97" t="s">
        <v>567</v>
      </c>
      <c r="R45" s="97" t="s">
        <v>567</v>
      </c>
      <c r="S45" s="97" t="s">
        <v>567</v>
      </c>
      <c r="T45" s="97" t="s">
        <v>567</v>
      </c>
      <c r="U45" s="97" t="s">
        <v>557</v>
      </c>
      <c r="V45" s="97" t="s">
        <v>557</v>
      </c>
      <c r="W45" s="97" t="s">
        <v>567</v>
      </c>
      <c r="X45" s="97" t="s">
        <v>567</v>
      </c>
      <c r="Y45" s="97" t="s">
        <v>567</v>
      </c>
      <c r="Z45" s="97" t="s">
        <v>567</v>
      </c>
      <c r="AA45" s="97" t="s">
        <v>567</v>
      </c>
      <c r="AB45" s="97" t="s">
        <v>557</v>
      </c>
      <c r="AC45" s="97" t="s">
        <v>557</v>
      </c>
      <c r="AD45" s="97" t="s">
        <v>567</v>
      </c>
      <c r="AE45" s="97" t="s">
        <v>567</v>
      </c>
      <c r="AF45" s="97" t="s">
        <v>567</v>
      </c>
      <c r="AG45" s="97" t="s">
        <v>567</v>
      </c>
      <c r="AH45" s="97" t="s">
        <v>567</v>
      </c>
      <c r="AI45" s="97" t="s">
        <v>567</v>
      </c>
      <c r="AJ45" s="97" t="s">
        <v>557</v>
      </c>
      <c r="AK45" s="97" t="s">
        <v>567</v>
      </c>
      <c r="AL45" s="97" t="s">
        <v>558</v>
      </c>
      <c r="AM45" s="97" t="s">
        <v>558</v>
      </c>
      <c r="AO45" s="116">
        <f t="shared" si="1"/>
        <v>0</v>
      </c>
      <c r="AP45" s="116">
        <f t="shared" si="4"/>
        <v>0</v>
      </c>
      <c r="AQ45" s="116">
        <f t="shared" si="4"/>
        <v>6</v>
      </c>
      <c r="AR45" s="116">
        <f t="shared" si="4"/>
        <v>2</v>
      </c>
      <c r="AS45" s="116">
        <f t="shared" si="4"/>
        <v>0</v>
      </c>
      <c r="AT45" s="116">
        <f t="shared" si="4"/>
        <v>0</v>
      </c>
      <c r="AU45" s="116">
        <f t="shared" si="4"/>
        <v>0</v>
      </c>
      <c r="AV45" s="116">
        <f t="shared" si="4"/>
        <v>0</v>
      </c>
      <c r="AW45" s="116">
        <f t="shared" si="4"/>
        <v>0</v>
      </c>
      <c r="AX45" s="116">
        <f t="shared" si="4"/>
        <v>0</v>
      </c>
      <c r="AY45" s="116">
        <f t="shared" si="4"/>
        <v>0</v>
      </c>
      <c r="AZ45" s="116">
        <f t="shared" si="4"/>
        <v>0</v>
      </c>
      <c r="BA45" s="116">
        <f t="shared" si="4"/>
        <v>22</v>
      </c>
      <c r="BB45" s="117">
        <f t="shared" si="2"/>
        <v>28</v>
      </c>
      <c r="BD45" s="137">
        <v>30</v>
      </c>
    </row>
    <row r="46" spans="1:56" ht="48.95" customHeight="1">
      <c r="B46" s="112">
        <v>38</v>
      </c>
      <c r="C46" s="113">
        <v>1023963907</v>
      </c>
      <c r="D46" s="114" t="s">
        <v>871</v>
      </c>
      <c r="E46" s="134" t="s">
        <v>792</v>
      </c>
      <c r="F46" s="78" t="s">
        <v>506</v>
      </c>
      <c r="G46" s="260" t="s">
        <v>161</v>
      </c>
      <c r="H46" s="114" t="s">
        <v>872</v>
      </c>
      <c r="I46" s="114" t="s">
        <v>603</v>
      </c>
      <c r="J46" s="97" t="s">
        <v>567</v>
      </c>
      <c r="K46" s="97" t="s">
        <v>567</v>
      </c>
      <c r="L46" s="97" t="s">
        <v>567</v>
      </c>
      <c r="M46" s="97" t="s">
        <v>567</v>
      </c>
      <c r="N46" s="97" t="s">
        <v>557</v>
      </c>
      <c r="O46" s="97" t="s">
        <v>567</v>
      </c>
      <c r="P46" s="97" t="s">
        <v>567</v>
      </c>
      <c r="Q46" s="97" t="s">
        <v>567</v>
      </c>
      <c r="R46" s="97" t="s">
        <v>567</v>
      </c>
      <c r="S46" s="97" t="s">
        <v>567</v>
      </c>
      <c r="T46" s="97" t="s">
        <v>567</v>
      </c>
      <c r="U46" s="97" t="s">
        <v>557</v>
      </c>
      <c r="V46" s="97" t="s">
        <v>557</v>
      </c>
      <c r="W46" s="97" t="s">
        <v>567</v>
      </c>
      <c r="X46" s="97" t="s">
        <v>567</v>
      </c>
      <c r="Y46" s="97" t="s">
        <v>567</v>
      </c>
      <c r="Z46" s="97" t="s">
        <v>567</v>
      </c>
      <c r="AA46" s="97" t="s">
        <v>567</v>
      </c>
      <c r="AB46" s="97" t="s">
        <v>557</v>
      </c>
      <c r="AC46" s="97" t="s">
        <v>557</v>
      </c>
      <c r="AD46" s="97" t="s">
        <v>567</v>
      </c>
      <c r="AE46" s="97" t="s">
        <v>567</v>
      </c>
      <c r="AF46" s="97" t="s">
        <v>567</v>
      </c>
      <c r="AG46" s="97" t="s">
        <v>567</v>
      </c>
      <c r="AH46" s="97" t="s">
        <v>567</v>
      </c>
      <c r="AI46" s="97" t="s">
        <v>567</v>
      </c>
      <c r="AJ46" s="97" t="s">
        <v>557</v>
      </c>
      <c r="AK46" s="97" t="s">
        <v>567</v>
      </c>
      <c r="AL46" s="97" t="s">
        <v>567</v>
      </c>
      <c r="AM46" s="97" t="s">
        <v>567</v>
      </c>
      <c r="AO46" s="116">
        <f t="shared" si="1"/>
        <v>0</v>
      </c>
      <c r="AP46" s="116">
        <f t="shared" si="4"/>
        <v>0</v>
      </c>
      <c r="AQ46" s="116">
        <f t="shared" si="4"/>
        <v>6</v>
      </c>
      <c r="AR46" s="116">
        <f t="shared" si="4"/>
        <v>0</v>
      </c>
      <c r="AS46" s="116">
        <f t="shared" si="4"/>
        <v>0</v>
      </c>
      <c r="AT46" s="116">
        <f t="shared" si="4"/>
        <v>0</v>
      </c>
      <c r="AU46" s="116">
        <f t="shared" si="4"/>
        <v>0</v>
      </c>
      <c r="AV46" s="116">
        <f t="shared" si="4"/>
        <v>0</v>
      </c>
      <c r="AW46" s="116">
        <f t="shared" si="4"/>
        <v>0</v>
      </c>
      <c r="AX46" s="116">
        <f t="shared" si="4"/>
        <v>0</v>
      </c>
      <c r="AY46" s="116">
        <f t="shared" si="4"/>
        <v>0</v>
      </c>
      <c r="AZ46" s="116">
        <f t="shared" si="4"/>
        <v>0</v>
      </c>
      <c r="BA46" s="116">
        <f t="shared" si="4"/>
        <v>24</v>
      </c>
      <c r="BB46" s="117">
        <f t="shared" si="2"/>
        <v>30</v>
      </c>
      <c r="BD46" s="137">
        <v>30</v>
      </c>
    </row>
    <row r="47" spans="1:56" ht="48.95" customHeight="1">
      <c r="A47" s="216"/>
      <c r="B47" s="112">
        <v>39</v>
      </c>
      <c r="C47" s="113">
        <v>39629193</v>
      </c>
      <c r="D47" s="114" t="s">
        <v>873</v>
      </c>
      <c r="E47" s="134" t="s">
        <v>792</v>
      </c>
      <c r="F47" s="78" t="s">
        <v>506</v>
      </c>
      <c r="G47" s="260" t="s">
        <v>161</v>
      </c>
      <c r="H47" s="114" t="s">
        <v>874</v>
      </c>
      <c r="I47" s="114" t="s">
        <v>875</v>
      </c>
      <c r="J47" s="97" t="s">
        <v>567</v>
      </c>
      <c r="K47" s="97" t="s">
        <v>567</v>
      </c>
      <c r="L47" s="97" t="s">
        <v>567</v>
      </c>
      <c r="M47" s="97" t="s">
        <v>567</v>
      </c>
      <c r="N47" s="97" t="s">
        <v>557</v>
      </c>
      <c r="O47" s="97" t="s">
        <v>567</v>
      </c>
      <c r="P47" s="97" t="s">
        <v>567</v>
      </c>
      <c r="Q47" s="97" t="s">
        <v>558</v>
      </c>
      <c r="R47" s="97" t="s">
        <v>558</v>
      </c>
      <c r="S47" s="97" t="s">
        <v>558</v>
      </c>
      <c r="T47" s="97" t="s">
        <v>567</v>
      </c>
      <c r="U47" s="97" t="s">
        <v>557</v>
      </c>
      <c r="V47" s="97" t="s">
        <v>557</v>
      </c>
      <c r="W47" s="97" t="s">
        <v>567</v>
      </c>
      <c r="X47" s="97" t="s">
        <v>567</v>
      </c>
      <c r="Y47" s="97" t="s">
        <v>567</v>
      </c>
      <c r="Z47" s="97" t="s">
        <v>567</v>
      </c>
      <c r="AA47" s="97" t="s">
        <v>567</v>
      </c>
      <c r="AB47" s="97" t="s">
        <v>557</v>
      </c>
      <c r="AC47" s="97" t="s">
        <v>557</v>
      </c>
      <c r="AD47" s="97" t="s">
        <v>567</v>
      </c>
      <c r="AE47" s="97" t="s">
        <v>567</v>
      </c>
      <c r="AF47" s="97" t="s">
        <v>567</v>
      </c>
      <c r="AG47" s="97" t="s">
        <v>567</v>
      </c>
      <c r="AH47" s="97" t="s">
        <v>567</v>
      </c>
      <c r="AI47" s="97" t="s">
        <v>567</v>
      </c>
      <c r="AJ47" s="97" t="s">
        <v>557</v>
      </c>
      <c r="AK47" s="97" t="s">
        <v>567</v>
      </c>
      <c r="AL47" s="97" t="s">
        <v>567</v>
      </c>
      <c r="AM47" s="97" t="s">
        <v>567</v>
      </c>
      <c r="AO47" s="116">
        <f t="shared" si="1"/>
        <v>0</v>
      </c>
      <c r="AP47" s="116">
        <f t="shared" si="4"/>
        <v>0</v>
      </c>
      <c r="AQ47" s="116">
        <f t="shared" si="4"/>
        <v>6</v>
      </c>
      <c r="AR47" s="116">
        <f t="shared" si="4"/>
        <v>3</v>
      </c>
      <c r="AS47" s="116">
        <f t="shared" si="4"/>
        <v>0</v>
      </c>
      <c r="AT47" s="116">
        <f t="shared" si="4"/>
        <v>0</v>
      </c>
      <c r="AU47" s="116">
        <f t="shared" si="4"/>
        <v>0</v>
      </c>
      <c r="AV47" s="116">
        <f t="shared" si="4"/>
        <v>0</v>
      </c>
      <c r="AW47" s="116">
        <f t="shared" si="4"/>
        <v>0</v>
      </c>
      <c r="AX47" s="116">
        <f t="shared" si="4"/>
        <v>0</v>
      </c>
      <c r="AY47" s="116">
        <f t="shared" si="4"/>
        <v>0</v>
      </c>
      <c r="AZ47" s="116">
        <f t="shared" si="4"/>
        <v>0</v>
      </c>
      <c r="BA47" s="116">
        <f t="shared" si="4"/>
        <v>21</v>
      </c>
      <c r="BB47" s="117">
        <f t="shared" si="2"/>
        <v>27</v>
      </c>
      <c r="BD47" s="137">
        <v>30</v>
      </c>
    </row>
    <row r="48" spans="1:56" ht="48.95" customHeight="1">
      <c r="A48" s="216"/>
      <c r="B48" s="112">
        <v>40</v>
      </c>
      <c r="C48" s="113">
        <v>1007538618</v>
      </c>
      <c r="D48" s="114" t="s">
        <v>768</v>
      </c>
      <c r="E48" s="134" t="s">
        <v>792</v>
      </c>
      <c r="F48" s="78" t="s">
        <v>506</v>
      </c>
      <c r="G48" s="260" t="s">
        <v>161</v>
      </c>
      <c r="H48" s="114" t="s">
        <v>769</v>
      </c>
      <c r="I48" s="114" t="s">
        <v>770</v>
      </c>
      <c r="J48" s="97" t="s">
        <v>567</v>
      </c>
      <c r="K48" s="97" t="s">
        <v>567</v>
      </c>
      <c r="L48" s="97" t="s">
        <v>567</v>
      </c>
      <c r="M48" s="97" t="s">
        <v>567</v>
      </c>
      <c r="N48" s="97" t="s">
        <v>557</v>
      </c>
      <c r="O48" s="97" t="s">
        <v>555</v>
      </c>
      <c r="P48" s="97" t="s">
        <v>567</v>
      </c>
      <c r="Q48" s="97" t="s">
        <v>567</v>
      </c>
      <c r="R48" s="97" t="s">
        <v>567</v>
      </c>
      <c r="S48" s="97" t="s">
        <v>567</v>
      </c>
      <c r="T48" s="97" t="s">
        <v>567</v>
      </c>
      <c r="U48" s="97" t="s">
        <v>557</v>
      </c>
      <c r="V48" s="97" t="s">
        <v>557</v>
      </c>
      <c r="W48" s="97" t="s">
        <v>567</v>
      </c>
      <c r="X48" s="97" t="s">
        <v>567</v>
      </c>
      <c r="Y48" s="97" t="s">
        <v>567</v>
      </c>
      <c r="Z48" s="97" t="s">
        <v>567</v>
      </c>
      <c r="AA48" s="97" t="s">
        <v>567</v>
      </c>
      <c r="AB48" s="97" t="s">
        <v>557</v>
      </c>
      <c r="AC48" s="97" t="s">
        <v>557</v>
      </c>
      <c r="AD48" s="97" t="s">
        <v>567</v>
      </c>
      <c r="AE48" s="97" t="s">
        <v>567</v>
      </c>
      <c r="AF48" s="97" t="s">
        <v>567</v>
      </c>
      <c r="AG48" s="97" t="s">
        <v>567</v>
      </c>
      <c r="AH48" s="97" t="s">
        <v>567</v>
      </c>
      <c r="AI48" s="97" t="s">
        <v>567</v>
      </c>
      <c r="AJ48" s="97" t="s">
        <v>557</v>
      </c>
      <c r="AK48" s="97" t="s">
        <v>567</v>
      </c>
      <c r="AL48" s="97" t="s">
        <v>567</v>
      </c>
      <c r="AM48" s="97" t="s">
        <v>567</v>
      </c>
      <c r="AO48" s="116">
        <f t="shared" si="1"/>
        <v>1</v>
      </c>
      <c r="AP48" s="116">
        <f t="shared" si="4"/>
        <v>0</v>
      </c>
      <c r="AQ48" s="116">
        <f t="shared" si="4"/>
        <v>6</v>
      </c>
      <c r="AR48" s="116">
        <f t="shared" si="4"/>
        <v>0</v>
      </c>
      <c r="AS48" s="116">
        <f t="shared" si="4"/>
        <v>0</v>
      </c>
      <c r="AT48" s="116">
        <f t="shared" si="4"/>
        <v>0</v>
      </c>
      <c r="AU48" s="116">
        <f t="shared" si="4"/>
        <v>0</v>
      </c>
      <c r="AV48" s="116">
        <f t="shared" si="4"/>
        <v>0</v>
      </c>
      <c r="AW48" s="116">
        <f t="shared" si="4"/>
        <v>0</v>
      </c>
      <c r="AX48" s="116">
        <f t="shared" si="4"/>
        <v>0</v>
      </c>
      <c r="AY48" s="116">
        <f t="shared" si="4"/>
        <v>0</v>
      </c>
      <c r="AZ48" s="116">
        <f t="shared" si="4"/>
        <v>0</v>
      </c>
      <c r="BA48" s="116">
        <f t="shared" si="4"/>
        <v>23</v>
      </c>
      <c r="BB48" s="117">
        <f t="shared" si="2"/>
        <v>29</v>
      </c>
      <c r="BD48" s="137">
        <v>30</v>
      </c>
    </row>
    <row r="49" spans="1:56" ht="48.95" customHeight="1">
      <c r="B49" s="112">
        <v>41</v>
      </c>
      <c r="C49" s="113">
        <v>52064995</v>
      </c>
      <c r="D49" s="114" t="s">
        <v>876</v>
      </c>
      <c r="E49" s="134" t="s">
        <v>792</v>
      </c>
      <c r="F49" s="78" t="s">
        <v>506</v>
      </c>
      <c r="G49" s="260" t="s">
        <v>476</v>
      </c>
      <c r="H49" s="114" t="s">
        <v>877</v>
      </c>
      <c r="I49" s="114" t="s">
        <v>602</v>
      </c>
      <c r="J49" s="97" t="s">
        <v>567</v>
      </c>
      <c r="K49" s="97" t="s">
        <v>558</v>
      </c>
      <c r="L49" s="97" t="s">
        <v>558</v>
      </c>
      <c r="M49" s="97" t="s">
        <v>558</v>
      </c>
      <c r="N49" s="97" t="s">
        <v>557</v>
      </c>
      <c r="O49" s="97" t="s">
        <v>567</v>
      </c>
      <c r="P49" s="97" t="s">
        <v>567</v>
      </c>
      <c r="Q49" s="97" t="s">
        <v>567</v>
      </c>
      <c r="R49" s="97" t="s">
        <v>567</v>
      </c>
      <c r="S49" s="97" t="s">
        <v>567</v>
      </c>
      <c r="T49" s="97" t="s">
        <v>567</v>
      </c>
      <c r="U49" s="97" t="s">
        <v>557</v>
      </c>
      <c r="V49" s="97" t="s">
        <v>557</v>
      </c>
      <c r="W49" s="97" t="s">
        <v>567</v>
      </c>
      <c r="X49" s="97" t="s">
        <v>567</v>
      </c>
      <c r="Y49" s="97" t="s">
        <v>567</v>
      </c>
      <c r="Z49" s="97" t="s">
        <v>567</v>
      </c>
      <c r="AA49" s="97" t="s">
        <v>567</v>
      </c>
      <c r="AB49" s="97" t="s">
        <v>557</v>
      </c>
      <c r="AC49" s="97" t="s">
        <v>557</v>
      </c>
      <c r="AD49" s="97" t="s">
        <v>567</v>
      </c>
      <c r="AE49" s="97" t="s">
        <v>567</v>
      </c>
      <c r="AF49" s="97" t="s">
        <v>567</v>
      </c>
      <c r="AG49" s="97" t="s">
        <v>567</v>
      </c>
      <c r="AH49" s="97" t="s">
        <v>567</v>
      </c>
      <c r="AI49" s="97" t="s">
        <v>567</v>
      </c>
      <c r="AJ49" s="97" t="s">
        <v>557</v>
      </c>
      <c r="AK49" s="97" t="s">
        <v>567</v>
      </c>
      <c r="AL49" s="97" t="s">
        <v>567</v>
      </c>
      <c r="AM49" s="97" t="s">
        <v>567</v>
      </c>
      <c r="AO49" s="116">
        <f t="shared" si="1"/>
        <v>0</v>
      </c>
      <c r="AP49" s="116">
        <f t="shared" si="4"/>
        <v>0</v>
      </c>
      <c r="AQ49" s="116">
        <f t="shared" si="4"/>
        <v>6</v>
      </c>
      <c r="AR49" s="116">
        <f t="shared" si="4"/>
        <v>3</v>
      </c>
      <c r="AS49" s="116">
        <f t="shared" si="4"/>
        <v>0</v>
      </c>
      <c r="AT49" s="116">
        <f t="shared" si="4"/>
        <v>0</v>
      </c>
      <c r="AU49" s="116">
        <f t="shared" si="4"/>
        <v>0</v>
      </c>
      <c r="AV49" s="116">
        <f t="shared" si="4"/>
        <v>0</v>
      </c>
      <c r="AW49" s="116">
        <f t="shared" si="4"/>
        <v>0</v>
      </c>
      <c r="AX49" s="116">
        <f t="shared" si="4"/>
        <v>0</v>
      </c>
      <c r="AY49" s="116">
        <f t="shared" si="4"/>
        <v>0</v>
      </c>
      <c r="AZ49" s="116">
        <f t="shared" si="4"/>
        <v>0</v>
      </c>
      <c r="BA49" s="116">
        <f t="shared" si="4"/>
        <v>21</v>
      </c>
      <c r="BB49" s="117">
        <f t="shared" si="2"/>
        <v>27</v>
      </c>
      <c r="BD49" s="137">
        <v>30</v>
      </c>
    </row>
    <row r="50" spans="1:56" ht="48.95" customHeight="1">
      <c r="B50" s="112">
        <v>42</v>
      </c>
      <c r="C50" s="113">
        <v>52776596</v>
      </c>
      <c r="D50" s="114" t="s">
        <v>878</v>
      </c>
      <c r="E50" s="134" t="s">
        <v>792</v>
      </c>
      <c r="F50" s="78" t="s">
        <v>506</v>
      </c>
      <c r="G50" s="260" t="s">
        <v>163</v>
      </c>
      <c r="H50" s="114" t="s">
        <v>879</v>
      </c>
      <c r="I50" s="114" t="s">
        <v>875</v>
      </c>
      <c r="J50" s="97" t="s">
        <v>567</v>
      </c>
      <c r="K50" s="97" t="s">
        <v>567</v>
      </c>
      <c r="L50" s="97" t="s">
        <v>567</v>
      </c>
      <c r="M50" s="97" t="s">
        <v>567</v>
      </c>
      <c r="N50" s="97" t="s">
        <v>557</v>
      </c>
      <c r="O50" s="97" t="s">
        <v>567</v>
      </c>
      <c r="P50" s="97" t="s">
        <v>567</v>
      </c>
      <c r="Q50" s="97" t="s">
        <v>567</v>
      </c>
      <c r="R50" s="97" t="s">
        <v>567</v>
      </c>
      <c r="S50" s="97" t="s">
        <v>567</v>
      </c>
      <c r="T50" s="97" t="s">
        <v>567</v>
      </c>
      <c r="U50" s="97" t="s">
        <v>557</v>
      </c>
      <c r="V50" s="97" t="s">
        <v>557</v>
      </c>
      <c r="W50" s="97" t="s">
        <v>567</v>
      </c>
      <c r="X50" s="97" t="s">
        <v>567</v>
      </c>
      <c r="Y50" s="97" t="s">
        <v>567</v>
      </c>
      <c r="Z50" s="97" t="s">
        <v>567</v>
      </c>
      <c r="AA50" s="97" t="s">
        <v>567</v>
      </c>
      <c r="AB50" s="97" t="s">
        <v>557</v>
      </c>
      <c r="AC50" s="97" t="s">
        <v>557</v>
      </c>
      <c r="AD50" s="97" t="s">
        <v>567</v>
      </c>
      <c r="AE50" s="97" t="s">
        <v>567</v>
      </c>
      <c r="AF50" s="97" t="s">
        <v>567</v>
      </c>
      <c r="AG50" s="97" t="s">
        <v>567</v>
      </c>
      <c r="AH50" s="97" t="s">
        <v>567</v>
      </c>
      <c r="AI50" s="97" t="s">
        <v>567</v>
      </c>
      <c r="AJ50" s="97" t="s">
        <v>557</v>
      </c>
      <c r="AK50" s="97" t="s">
        <v>567</v>
      </c>
      <c r="AL50" s="97" t="s">
        <v>567</v>
      </c>
      <c r="AM50" s="97" t="s">
        <v>567</v>
      </c>
      <c r="AO50" s="116">
        <f t="shared" si="1"/>
        <v>0</v>
      </c>
      <c r="AP50" s="116">
        <f t="shared" si="4"/>
        <v>0</v>
      </c>
      <c r="AQ50" s="116">
        <f t="shared" si="4"/>
        <v>6</v>
      </c>
      <c r="AR50" s="116">
        <f t="shared" si="4"/>
        <v>0</v>
      </c>
      <c r="AS50" s="116">
        <f t="shared" si="4"/>
        <v>0</v>
      </c>
      <c r="AT50" s="116">
        <f t="shared" si="4"/>
        <v>0</v>
      </c>
      <c r="AU50" s="116">
        <f t="shared" si="4"/>
        <v>0</v>
      </c>
      <c r="AV50" s="116">
        <f t="shared" si="4"/>
        <v>0</v>
      </c>
      <c r="AW50" s="116">
        <f t="shared" si="4"/>
        <v>0</v>
      </c>
      <c r="AX50" s="116">
        <f t="shared" si="4"/>
        <v>0</v>
      </c>
      <c r="AY50" s="116">
        <f t="shared" si="4"/>
        <v>0</v>
      </c>
      <c r="AZ50" s="116">
        <f t="shared" si="4"/>
        <v>0</v>
      </c>
      <c r="BA50" s="116">
        <f t="shared" si="4"/>
        <v>24</v>
      </c>
      <c r="BB50" s="117">
        <f t="shared" si="2"/>
        <v>30</v>
      </c>
      <c r="BD50" s="137">
        <v>30</v>
      </c>
    </row>
    <row r="51" spans="1:56" ht="48.95" customHeight="1">
      <c r="B51" s="112">
        <v>43</v>
      </c>
      <c r="C51" s="113">
        <v>1073510783</v>
      </c>
      <c r="D51" s="114" t="s">
        <v>880</v>
      </c>
      <c r="E51" s="134" t="s">
        <v>792</v>
      </c>
      <c r="F51" s="78" t="s">
        <v>507</v>
      </c>
      <c r="G51" s="260" t="s">
        <v>476</v>
      </c>
      <c r="H51" s="114" t="s">
        <v>881</v>
      </c>
      <c r="I51" s="114" t="s">
        <v>882</v>
      </c>
      <c r="J51" s="97" t="s">
        <v>567</v>
      </c>
      <c r="K51" s="97" t="s">
        <v>567</v>
      </c>
      <c r="L51" s="97" t="s">
        <v>567</v>
      </c>
      <c r="M51" s="97" t="s">
        <v>567</v>
      </c>
      <c r="N51" s="97" t="s">
        <v>557</v>
      </c>
      <c r="O51" s="97" t="s">
        <v>567</v>
      </c>
      <c r="P51" s="97" t="s">
        <v>567</v>
      </c>
      <c r="Q51" s="97" t="s">
        <v>567</v>
      </c>
      <c r="R51" s="97" t="s">
        <v>567</v>
      </c>
      <c r="S51" s="97" t="s">
        <v>567</v>
      </c>
      <c r="T51" s="97" t="s">
        <v>567</v>
      </c>
      <c r="U51" s="97" t="s">
        <v>557</v>
      </c>
      <c r="V51" s="97" t="s">
        <v>557</v>
      </c>
      <c r="W51" s="97" t="s">
        <v>567</v>
      </c>
      <c r="X51" s="97" t="s">
        <v>567</v>
      </c>
      <c r="Y51" s="97" t="s">
        <v>567</v>
      </c>
      <c r="Z51" s="97" t="s">
        <v>567</v>
      </c>
      <c r="AA51" s="97" t="s">
        <v>567</v>
      </c>
      <c r="AB51" s="97" t="s">
        <v>557</v>
      </c>
      <c r="AC51" s="97" t="s">
        <v>557</v>
      </c>
      <c r="AD51" s="97" t="s">
        <v>567</v>
      </c>
      <c r="AE51" s="97" t="s">
        <v>567</v>
      </c>
      <c r="AF51" s="97" t="s">
        <v>567</v>
      </c>
      <c r="AG51" s="97" t="s">
        <v>567</v>
      </c>
      <c r="AH51" s="97" t="s">
        <v>567</v>
      </c>
      <c r="AI51" s="97" t="s">
        <v>567</v>
      </c>
      <c r="AJ51" s="97" t="s">
        <v>557</v>
      </c>
      <c r="AK51" s="97" t="s">
        <v>567</v>
      </c>
      <c r="AL51" s="97" t="s">
        <v>567</v>
      </c>
      <c r="AM51" s="97" t="s">
        <v>567</v>
      </c>
      <c r="AO51" s="116">
        <f t="shared" si="1"/>
        <v>0</v>
      </c>
      <c r="AP51" s="116">
        <f t="shared" si="4"/>
        <v>0</v>
      </c>
      <c r="AQ51" s="116">
        <f t="shared" si="4"/>
        <v>6</v>
      </c>
      <c r="AR51" s="116">
        <f t="shared" si="4"/>
        <v>0</v>
      </c>
      <c r="AS51" s="116">
        <f t="shared" si="4"/>
        <v>0</v>
      </c>
      <c r="AT51" s="116">
        <f t="shared" si="4"/>
        <v>0</v>
      </c>
      <c r="AU51" s="116">
        <f t="shared" si="4"/>
        <v>0</v>
      </c>
      <c r="AV51" s="116">
        <f t="shared" si="4"/>
        <v>0</v>
      </c>
      <c r="AW51" s="116">
        <f t="shared" si="4"/>
        <v>0</v>
      </c>
      <c r="AX51" s="116">
        <f t="shared" si="4"/>
        <v>0</v>
      </c>
      <c r="AY51" s="116">
        <f t="shared" si="4"/>
        <v>0</v>
      </c>
      <c r="AZ51" s="116">
        <f t="shared" si="4"/>
        <v>0</v>
      </c>
      <c r="BA51" s="116">
        <f t="shared" si="4"/>
        <v>24</v>
      </c>
      <c r="BB51" s="117">
        <f t="shared" si="2"/>
        <v>30</v>
      </c>
      <c r="BD51" s="137">
        <v>30</v>
      </c>
    </row>
    <row r="52" spans="1:56" ht="48.95" customHeight="1">
      <c r="B52" s="112">
        <v>44</v>
      </c>
      <c r="C52" s="113">
        <v>52431371</v>
      </c>
      <c r="D52" s="114" t="s">
        <v>883</v>
      </c>
      <c r="E52" s="134" t="s">
        <v>792</v>
      </c>
      <c r="F52" s="78" t="s">
        <v>506</v>
      </c>
      <c r="G52" s="260" t="s">
        <v>476</v>
      </c>
      <c r="H52" s="114" t="s">
        <v>884</v>
      </c>
      <c r="I52" s="114" t="s">
        <v>747</v>
      </c>
      <c r="J52" s="97" t="s">
        <v>567</v>
      </c>
      <c r="K52" s="97" t="s">
        <v>567</v>
      </c>
      <c r="L52" s="97" t="s">
        <v>567</v>
      </c>
      <c r="M52" s="97" t="s">
        <v>567</v>
      </c>
      <c r="N52" s="97" t="s">
        <v>557</v>
      </c>
      <c r="O52" s="97" t="s">
        <v>567</v>
      </c>
      <c r="P52" s="97" t="s">
        <v>567</v>
      </c>
      <c r="Q52" s="97" t="s">
        <v>567</v>
      </c>
      <c r="R52" s="97" t="s">
        <v>567</v>
      </c>
      <c r="S52" s="97" t="s">
        <v>567</v>
      </c>
      <c r="T52" s="97" t="s">
        <v>567</v>
      </c>
      <c r="U52" s="97" t="s">
        <v>557</v>
      </c>
      <c r="V52" s="97" t="s">
        <v>557</v>
      </c>
      <c r="W52" s="97" t="s">
        <v>567</v>
      </c>
      <c r="X52" s="97" t="s">
        <v>567</v>
      </c>
      <c r="Y52" s="97" t="s">
        <v>567</v>
      </c>
      <c r="Z52" s="97" t="s">
        <v>567</v>
      </c>
      <c r="AA52" s="97" t="s">
        <v>567</v>
      </c>
      <c r="AB52" s="97" t="s">
        <v>557</v>
      </c>
      <c r="AC52" s="97" t="s">
        <v>557</v>
      </c>
      <c r="AD52" s="97" t="s">
        <v>567</v>
      </c>
      <c r="AE52" s="97" t="s">
        <v>567</v>
      </c>
      <c r="AF52" s="97" t="s">
        <v>567</v>
      </c>
      <c r="AG52" s="97" t="s">
        <v>567</v>
      </c>
      <c r="AH52" s="97" t="s">
        <v>567</v>
      </c>
      <c r="AI52" s="97" t="s">
        <v>567</v>
      </c>
      <c r="AJ52" s="97" t="s">
        <v>557</v>
      </c>
      <c r="AK52" s="97" t="s">
        <v>567</v>
      </c>
      <c r="AL52" s="97" t="s">
        <v>567</v>
      </c>
      <c r="AM52" s="97" t="s">
        <v>567</v>
      </c>
      <c r="AO52" s="116">
        <f t="shared" si="1"/>
        <v>0</v>
      </c>
      <c r="AP52" s="116">
        <f t="shared" si="4"/>
        <v>0</v>
      </c>
      <c r="AQ52" s="116">
        <f t="shared" si="4"/>
        <v>6</v>
      </c>
      <c r="AR52" s="116">
        <f t="shared" si="4"/>
        <v>0</v>
      </c>
      <c r="AS52" s="116">
        <f t="shared" si="4"/>
        <v>0</v>
      </c>
      <c r="AT52" s="116">
        <f t="shared" si="4"/>
        <v>0</v>
      </c>
      <c r="AU52" s="116">
        <f t="shared" si="4"/>
        <v>0</v>
      </c>
      <c r="AV52" s="116">
        <f t="shared" si="4"/>
        <v>0</v>
      </c>
      <c r="AW52" s="116">
        <f t="shared" si="4"/>
        <v>0</v>
      </c>
      <c r="AX52" s="116">
        <f t="shared" si="4"/>
        <v>0</v>
      </c>
      <c r="AY52" s="116">
        <f t="shared" si="4"/>
        <v>0</v>
      </c>
      <c r="AZ52" s="116">
        <f t="shared" si="4"/>
        <v>0</v>
      </c>
      <c r="BA52" s="116">
        <f t="shared" si="4"/>
        <v>24</v>
      </c>
      <c r="BB52" s="117">
        <f t="shared" si="2"/>
        <v>30</v>
      </c>
      <c r="BD52" s="137">
        <v>30</v>
      </c>
    </row>
    <row r="53" spans="1:56" ht="48.95" customHeight="1">
      <c r="B53" s="112">
        <v>45</v>
      </c>
      <c r="C53" s="113">
        <v>51893138</v>
      </c>
      <c r="D53" s="114" t="s">
        <v>885</v>
      </c>
      <c r="E53" s="134" t="s">
        <v>792</v>
      </c>
      <c r="F53" s="78" t="s">
        <v>506</v>
      </c>
      <c r="G53" s="260" t="s">
        <v>161</v>
      </c>
      <c r="H53" s="114" t="s">
        <v>886</v>
      </c>
      <c r="I53" s="114" t="s">
        <v>597</v>
      </c>
      <c r="J53" s="97" t="s">
        <v>567</v>
      </c>
      <c r="K53" s="97" t="s">
        <v>567</v>
      </c>
      <c r="L53" s="97" t="s">
        <v>567</v>
      </c>
      <c r="M53" s="97" t="s">
        <v>567</v>
      </c>
      <c r="N53" s="97" t="s">
        <v>557</v>
      </c>
      <c r="O53" s="97" t="s">
        <v>567</v>
      </c>
      <c r="P53" s="97" t="s">
        <v>567</v>
      </c>
      <c r="Q53" s="97" t="s">
        <v>567</v>
      </c>
      <c r="R53" s="97" t="s">
        <v>567</v>
      </c>
      <c r="S53" s="97" t="s">
        <v>567</v>
      </c>
      <c r="T53" s="97" t="s">
        <v>567</v>
      </c>
      <c r="U53" s="97" t="s">
        <v>557</v>
      </c>
      <c r="V53" s="97" t="s">
        <v>557</v>
      </c>
      <c r="W53" s="97" t="s">
        <v>567</v>
      </c>
      <c r="X53" s="97" t="s">
        <v>567</v>
      </c>
      <c r="Y53" s="97" t="s">
        <v>567</v>
      </c>
      <c r="Z53" s="97" t="s">
        <v>567</v>
      </c>
      <c r="AA53" s="97" t="s">
        <v>567</v>
      </c>
      <c r="AB53" s="97" t="s">
        <v>557</v>
      </c>
      <c r="AC53" s="97" t="s">
        <v>557</v>
      </c>
      <c r="AD53" s="97" t="s">
        <v>567</v>
      </c>
      <c r="AE53" s="97" t="s">
        <v>567</v>
      </c>
      <c r="AF53" s="97" t="s">
        <v>567</v>
      </c>
      <c r="AG53" s="97" t="s">
        <v>567</v>
      </c>
      <c r="AH53" s="97" t="s">
        <v>567</v>
      </c>
      <c r="AI53" s="97" t="s">
        <v>567</v>
      </c>
      <c r="AJ53" s="97" t="s">
        <v>557</v>
      </c>
      <c r="AK53" s="97" t="s">
        <v>567</v>
      </c>
      <c r="AL53" s="97" t="s">
        <v>567</v>
      </c>
      <c r="AM53" s="97" t="s">
        <v>567</v>
      </c>
      <c r="AO53" s="116">
        <f t="shared" si="1"/>
        <v>0</v>
      </c>
      <c r="AP53" s="116">
        <f t="shared" si="4"/>
        <v>0</v>
      </c>
      <c r="AQ53" s="116">
        <f t="shared" si="4"/>
        <v>6</v>
      </c>
      <c r="AR53" s="116">
        <f t="shared" si="4"/>
        <v>0</v>
      </c>
      <c r="AS53" s="116">
        <f t="shared" si="4"/>
        <v>0</v>
      </c>
      <c r="AT53" s="116">
        <f t="shared" si="4"/>
        <v>0</v>
      </c>
      <c r="AU53" s="116">
        <f t="shared" si="4"/>
        <v>0</v>
      </c>
      <c r="AV53" s="116">
        <f t="shared" si="4"/>
        <v>0</v>
      </c>
      <c r="AW53" s="116">
        <f t="shared" si="4"/>
        <v>0</v>
      </c>
      <c r="AX53" s="116">
        <f t="shared" si="4"/>
        <v>0</v>
      </c>
      <c r="AY53" s="116">
        <f t="shared" si="4"/>
        <v>0</v>
      </c>
      <c r="AZ53" s="116">
        <f t="shared" si="4"/>
        <v>0</v>
      </c>
      <c r="BA53" s="116">
        <f t="shared" si="4"/>
        <v>24</v>
      </c>
      <c r="BB53" s="117">
        <f t="shared" si="2"/>
        <v>30</v>
      </c>
      <c r="BD53" s="137">
        <v>30</v>
      </c>
    </row>
    <row r="54" spans="1:56" ht="48.95" customHeight="1">
      <c r="B54" s="112">
        <v>46</v>
      </c>
      <c r="C54" s="113">
        <v>91438948</v>
      </c>
      <c r="D54" s="114" t="s">
        <v>766</v>
      </c>
      <c r="E54" s="134" t="s">
        <v>792</v>
      </c>
      <c r="F54" s="78" t="s">
        <v>507</v>
      </c>
      <c r="G54" s="260" t="s">
        <v>476</v>
      </c>
      <c r="H54" s="114" t="s">
        <v>767</v>
      </c>
      <c r="I54" s="114" t="s">
        <v>603</v>
      </c>
      <c r="J54" s="97" t="s">
        <v>567</v>
      </c>
      <c r="K54" s="97" t="s">
        <v>567</v>
      </c>
      <c r="L54" s="97" t="s">
        <v>567</v>
      </c>
      <c r="M54" s="97" t="s">
        <v>567</v>
      </c>
      <c r="N54" s="97" t="s">
        <v>557</v>
      </c>
      <c r="O54" s="97" t="s">
        <v>567</v>
      </c>
      <c r="P54" s="97" t="s">
        <v>567</v>
      </c>
      <c r="Q54" s="97" t="s">
        <v>567</v>
      </c>
      <c r="R54" s="97" t="s">
        <v>567</v>
      </c>
      <c r="S54" s="97" t="s">
        <v>567</v>
      </c>
      <c r="T54" s="97" t="s">
        <v>567</v>
      </c>
      <c r="U54" s="97" t="s">
        <v>557</v>
      </c>
      <c r="V54" s="97" t="s">
        <v>557</v>
      </c>
      <c r="W54" s="97" t="s">
        <v>567</v>
      </c>
      <c r="X54" s="97" t="s">
        <v>567</v>
      </c>
      <c r="Y54" s="97" t="s">
        <v>567</v>
      </c>
      <c r="Z54" s="97" t="s">
        <v>567</v>
      </c>
      <c r="AA54" s="97" t="s">
        <v>567</v>
      </c>
      <c r="AB54" s="97" t="s">
        <v>557</v>
      </c>
      <c r="AC54" s="97" t="s">
        <v>557</v>
      </c>
      <c r="AD54" s="97" t="s">
        <v>567</v>
      </c>
      <c r="AE54" s="97" t="s">
        <v>567</v>
      </c>
      <c r="AF54" s="97" t="s">
        <v>567</v>
      </c>
      <c r="AG54" s="97" t="s">
        <v>567</v>
      </c>
      <c r="AH54" s="97" t="s">
        <v>567</v>
      </c>
      <c r="AI54" s="97" t="s">
        <v>567</v>
      </c>
      <c r="AJ54" s="97" t="s">
        <v>557</v>
      </c>
      <c r="AK54" s="97" t="s">
        <v>567</v>
      </c>
      <c r="AL54" s="97" t="s">
        <v>567</v>
      </c>
      <c r="AM54" s="97" t="s">
        <v>567</v>
      </c>
      <c r="AO54" s="116">
        <f t="shared" si="1"/>
        <v>0</v>
      </c>
      <c r="AP54" s="116">
        <f t="shared" si="4"/>
        <v>0</v>
      </c>
      <c r="AQ54" s="116">
        <f t="shared" si="4"/>
        <v>6</v>
      </c>
      <c r="AR54" s="116">
        <f t="shared" si="4"/>
        <v>0</v>
      </c>
      <c r="AS54" s="116">
        <f t="shared" si="4"/>
        <v>0</v>
      </c>
      <c r="AT54" s="116">
        <f t="shared" si="4"/>
        <v>0</v>
      </c>
      <c r="AU54" s="116">
        <f t="shared" si="4"/>
        <v>0</v>
      </c>
      <c r="AV54" s="116">
        <f t="shared" si="4"/>
        <v>0</v>
      </c>
      <c r="AW54" s="116">
        <f t="shared" si="4"/>
        <v>0</v>
      </c>
      <c r="AX54" s="116">
        <f t="shared" si="4"/>
        <v>0</v>
      </c>
      <c r="AY54" s="116">
        <f t="shared" si="4"/>
        <v>0</v>
      </c>
      <c r="AZ54" s="116">
        <f t="shared" si="4"/>
        <v>0</v>
      </c>
      <c r="BA54" s="116">
        <f t="shared" si="4"/>
        <v>24</v>
      </c>
      <c r="BB54" s="117">
        <f t="shared" si="2"/>
        <v>30</v>
      </c>
      <c r="BD54" s="137">
        <v>30</v>
      </c>
    </row>
    <row r="55" spans="1:56" ht="48.95" customHeight="1">
      <c r="B55" s="112">
        <v>47</v>
      </c>
      <c r="C55" s="113">
        <v>1023934402</v>
      </c>
      <c r="D55" s="114" t="s">
        <v>887</v>
      </c>
      <c r="E55" s="134" t="s">
        <v>792</v>
      </c>
      <c r="F55" s="78" t="s">
        <v>506</v>
      </c>
      <c r="G55" s="260" t="s">
        <v>476</v>
      </c>
      <c r="H55" s="114" t="s">
        <v>888</v>
      </c>
      <c r="I55" s="114" t="s">
        <v>603</v>
      </c>
      <c r="J55" s="97" t="s">
        <v>567</v>
      </c>
      <c r="K55" s="97" t="s">
        <v>567</v>
      </c>
      <c r="L55" s="97" t="s">
        <v>567</v>
      </c>
      <c r="M55" s="97" t="s">
        <v>567</v>
      </c>
      <c r="N55" s="97" t="s">
        <v>557</v>
      </c>
      <c r="O55" s="97" t="s">
        <v>567</v>
      </c>
      <c r="P55" s="97" t="s">
        <v>567</v>
      </c>
      <c r="Q55" s="97" t="s">
        <v>567</v>
      </c>
      <c r="R55" s="97" t="s">
        <v>567</v>
      </c>
      <c r="S55" s="97" t="s">
        <v>567</v>
      </c>
      <c r="T55" s="97" t="s">
        <v>567</v>
      </c>
      <c r="U55" s="97" t="s">
        <v>557</v>
      </c>
      <c r="V55" s="97" t="s">
        <v>557</v>
      </c>
      <c r="W55" s="97" t="s">
        <v>567</v>
      </c>
      <c r="X55" s="97" t="s">
        <v>567</v>
      </c>
      <c r="Y55" s="97" t="s">
        <v>567</v>
      </c>
      <c r="Z55" s="97" t="s">
        <v>567</v>
      </c>
      <c r="AA55" s="97" t="s">
        <v>567</v>
      </c>
      <c r="AB55" s="97" t="s">
        <v>557</v>
      </c>
      <c r="AC55" s="97" t="s">
        <v>557</v>
      </c>
      <c r="AD55" s="97" t="s">
        <v>567</v>
      </c>
      <c r="AE55" s="97" t="s">
        <v>567</v>
      </c>
      <c r="AF55" s="97" t="s">
        <v>567</v>
      </c>
      <c r="AG55" s="97" t="s">
        <v>567</v>
      </c>
      <c r="AH55" s="97" t="s">
        <v>567</v>
      </c>
      <c r="AI55" s="97" t="s">
        <v>567</v>
      </c>
      <c r="AJ55" s="97" t="s">
        <v>557</v>
      </c>
      <c r="AK55" s="97" t="s">
        <v>567</v>
      </c>
      <c r="AL55" s="97" t="s">
        <v>567</v>
      </c>
      <c r="AM55" s="97" t="s">
        <v>567</v>
      </c>
      <c r="AO55" s="116">
        <f t="shared" si="1"/>
        <v>0</v>
      </c>
      <c r="AP55" s="116">
        <f t="shared" si="4"/>
        <v>0</v>
      </c>
      <c r="AQ55" s="116">
        <f t="shared" si="4"/>
        <v>6</v>
      </c>
      <c r="AR55" s="116">
        <f t="shared" si="4"/>
        <v>0</v>
      </c>
      <c r="AS55" s="116">
        <f t="shared" si="4"/>
        <v>0</v>
      </c>
      <c r="AT55" s="116">
        <f t="shared" si="4"/>
        <v>0</v>
      </c>
      <c r="AU55" s="116">
        <f t="shared" si="4"/>
        <v>0</v>
      </c>
      <c r="AV55" s="116">
        <f t="shared" si="4"/>
        <v>0</v>
      </c>
      <c r="AW55" s="116">
        <f t="shared" si="4"/>
        <v>0</v>
      </c>
      <c r="AX55" s="116">
        <f t="shared" si="4"/>
        <v>0</v>
      </c>
      <c r="AY55" s="116">
        <f t="shared" si="4"/>
        <v>0</v>
      </c>
      <c r="AZ55" s="116">
        <f t="shared" si="4"/>
        <v>0</v>
      </c>
      <c r="BA55" s="116">
        <f t="shared" si="4"/>
        <v>24</v>
      </c>
      <c r="BB55" s="117">
        <f t="shared" si="2"/>
        <v>30</v>
      </c>
      <c r="BD55" s="137">
        <v>30</v>
      </c>
    </row>
    <row r="56" spans="1:56" ht="48.95" customHeight="1">
      <c r="B56" s="112">
        <v>48</v>
      </c>
      <c r="C56" s="113">
        <v>53892166</v>
      </c>
      <c r="D56" s="114" t="s">
        <v>889</v>
      </c>
      <c r="E56" s="134" t="s">
        <v>792</v>
      </c>
      <c r="F56" s="78" t="s">
        <v>506</v>
      </c>
      <c r="G56" s="260" t="s">
        <v>161</v>
      </c>
      <c r="H56" s="114" t="s">
        <v>890</v>
      </c>
      <c r="I56" s="114" t="s">
        <v>891</v>
      </c>
      <c r="J56" s="97" t="s">
        <v>567</v>
      </c>
      <c r="K56" s="97" t="s">
        <v>567</v>
      </c>
      <c r="L56" s="97" t="s">
        <v>567</v>
      </c>
      <c r="M56" s="97" t="s">
        <v>567</v>
      </c>
      <c r="N56" s="97" t="s">
        <v>557</v>
      </c>
      <c r="O56" s="97" t="s">
        <v>567</v>
      </c>
      <c r="P56" s="97" t="s">
        <v>567</v>
      </c>
      <c r="Q56" s="97" t="s">
        <v>567</v>
      </c>
      <c r="R56" s="97" t="s">
        <v>567</v>
      </c>
      <c r="S56" s="97" t="s">
        <v>567</v>
      </c>
      <c r="T56" s="97" t="s">
        <v>567</v>
      </c>
      <c r="U56" s="97" t="s">
        <v>557</v>
      </c>
      <c r="V56" s="97" t="s">
        <v>557</v>
      </c>
      <c r="W56" s="97" t="s">
        <v>567</v>
      </c>
      <c r="X56" s="97" t="s">
        <v>567</v>
      </c>
      <c r="Y56" s="97" t="s">
        <v>567</v>
      </c>
      <c r="Z56" s="97" t="s">
        <v>567</v>
      </c>
      <c r="AA56" s="97" t="s">
        <v>567</v>
      </c>
      <c r="AB56" s="97" t="s">
        <v>557</v>
      </c>
      <c r="AC56" s="97" t="s">
        <v>557</v>
      </c>
      <c r="AD56" s="97" t="s">
        <v>567</v>
      </c>
      <c r="AE56" s="97" t="s">
        <v>567</v>
      </c>
      <c r="AF56" s="97" t="s">
        <v>567</v>
      </c>
      <c r="AG56" s="97" t="s">
        <v>567</v>
      </c>
      <c r="AH56" s="97" t="s">
        <v>567</v>
      </c>
      <c r="AI56" s="97" t="s">
        <v>567</v>
      </c>
      <c r="AJ56" s="97" t="s">
        <v>557</v>
      </c>
      <c r="AK56" s="97" t="s">
        <v>567</v>
      </c>
      <c r="AL56" s="97" t="s">
        <v>567</v>
      </c>
      <c r="AM56" s="97" t="s">
        <v>567</v>
      </c>
      <c r="AO56" s="116">
        <f t="shared" si="1"/>
        <v>0</v>
      </c>
      <c r="AP56" s="116">
        <f t="shared" si="4"/>
        <v>0</v>
      </c>
      <c r="AQ56" s="116">
        <f t="shared" si="4"/>
        <v>6</v>
      </c>
      <c r="AR56" s="116">
        <f t="shared" si="4"/>
        <v>0</v>
      </c>
      <c r="AS56" s="116">
        <f t="shared" si="4"/>
        <v>0</v>
      </c>
      <c r="AT56" s="116">
        <f t="shared" si="4"/>
        <v>0</v>
      </c>
      <c r="AU56" s="116">
        <f t="shared" si="4"/>
        <v>0</v>
      </c>
      <c r="AV56" s="116">
        <f t="shared" si="4"/>
        <v>0</v>
      </c>
      <c r="AW56" s="116">
        <f t="shared" si="4"/>
        <v>0</v>
      </c>
      <c r="AX56" s="116">
        <f t="shared" si="4"/>
        <v>0</v>
      </c>
      <c r="AY56" s="116">
        <f t="shared" si="4"/>
        <v>0</v>
      </c>
      <c r="AZ56" s="116">
        <f t="shared" si="4"/>
        <v>0</v>
      </c>
      <c r="BA56" s="116">
        <f t="shared" si="4"/>
        <v>24</v>
      </c>
      <c r="BB56" s="117">
        <f t="shared" si="2"/>
        <v>30</v>
      </c>
      <c r="BD56" s="137">
        <v>30</v>
      </c>
    </row>
    <row r="57" spans="1:56" ht="48.95" customHeight="1">
      <c r="B57" s="112">
        <v>49</v>
      </c>
      <c r="C57" s="113">
        <v>1033773795</v>
      </c>
      <c r="D57" s="114" t="s">
        <v>731</v>
      </c>
      <c r="E57" s="134" t="s">
        <v>792</v>
      </c>
      <c r="F57" s="78" t="s">
        <v>506</v>
      </c>
      <c r="G57" s="260" t="s">
        <v>161</v>
      </c>
      <c r="H57" s="114" t="s">
        <v>732</v>
      </c>
      <c r="I57" s="114" t="s">
        <v>724</v>
      </c>
      <c r="J57" s="97" t="s">
        <v>567</v>
      </c>
      <c r="K57" s="97" t="s">
        <v>567</v>
      </c>
      <c r="L57" s="97" t="s">
        <v>567</v>
      </c>
      <c r="M57" s="97" t="s">
        <v>567</v>
      </c>
      <c r="N57" s="97" t="s">
        <v>557</v>
      </c>
      <c r="O57" s="97" t="s">
        <v>567</v>
      </c>
      <c r="P57" s="97" t="s">
        <v>567</v>
      </c>
      <c r="Q57" s="97" t="s">
        <v>567</v>
      </c>
      <c r="R57" s="97" t="s">
        <v>567</v>
      </c>
      <c r="S57" s="97" t="s">
        <v>567</v>
      </c>
      <c r="T57" s="97" t="s">
        <v>567</v>
      </c>
      <c r="U57" s="97" t="s">
        <v>557</v>
      </c>
      <c r="V57" s="97" t="s">
        <v>557</v>
      </c>
      <c r="W57" s="97" t="s">
        <v>567</v>
      </c>
      <c r="X57" s="97" t="s">
        <v>567</v>
      </c>
      <c r="Y57" s="97" t="s">
        <v>567</v>
      </c>
      <c r="Z57" s="97" t="s">
        <v>558</v>
      </c>
      <c r="AA57" s="97" t="s">
        <v>558</v>
      </c>
      <c r="AB57" s="97" t="s">
        <v>557</v>
      </c>
      <c r="AC57" s="97" t="s">
        <v>557</v>
      </c>
      <c r="AD57" s="97" t="s">
        <v>562</v>
      </c>
      <c r="AE57" s="97" t="s">
        <v>567</v>
      </c>
      <c r="AF57" s="97" t="s">
        <v>567</v>
      </c>
      <c r="AG57" s="97" t="s">
        <v>567</v>
      </c>
      <c r="AH57" s="97" t="s">
        <v>567</v>
      </c>
      <c r="AI57" s="97" t="s">
        <v>567</v>
      </c>
      <c r="AJ57" s="97" t="s">
        <v>557</v>
      </c>
      <c r="AK57" s="97" t="s">
        <v>567</v>
      </c>
      <c r="AL57" s="97" t="s">
        <v>567</v>
      </c>
      <c r="AM57" s="97" t="s">
        <v>567</v>
      </c>
      <c r="AO57" s="116">
        <f t="shared" si="1"/>
        <v>0</v>
      </c>
      <c r="AP57" s="116">
        <f t="shared" si="4"/>
        <v>0</v>
      </c>
      <c r="AQ57" s="116">
        <f t="shared" si="4"/>
        <v>6</v>
      </c>
      <c r="AR57" s="116">
        <f t="shared" si="4"/>
        <v>2</v>
      </c>
      <c r="AS57" s="116">
        <f t="shared" si="4"/>
        <v>0</v>
      </c>
      <c r="AT57" s="116">
        <f t="shared" si="4"/>
        <v>0</v>
      </c>
      <c r="AU57" s="116">
        <f t="shared" si="4"/>
        <v>0</v>
      </c>
      <c r="AV57" s="116">
        <f t="shared" si="4"/>
        <v>1</v>
      </c>
      <c r="AW57" s="116">
        <f t="shared" si="4"/>
        <v>0</v>
      </c>
      <c r="AX57" s="116">
        <f t="shared" si="4"/>
        <v>0</v>
      </c>
      <c r="AY57" s="116">
        <f t="shared" ref="AP57:BA78" si="5">COUNTIF($J57:$AM57,AY$7)</f>
        <v>0</v>
      </c>
      <c r="AZ57" s="116">
        <f t="shared" si="5"/>
        <v>0</v>
      </c>
      <c r="BA57" s="116">
        <f t="shared" si="5"/>
        <v>21</v>
      </c>
      <c r="BB57" s="117">
        <f t="shared" si="2"/>
        <v>27</v>
      </c>
      <c r="BD57" s="137">
        <v>30</v>
      </c>
    </row>
    <row r="58" spans="1:56" ht="48.95" customHeight="1">
      <c r="A58" s="216"/>
      <c r="B58" s="112">
        <v>50</v>
      </c>
      <c r="C58" s="113">
        <v>1023941323</v>
      </c>
      <c r="D58" s="114" t="s">
        <v>892</v>
      </c>
      <c r="E58" s="134" t="s">
        <v>792</v>
      </c>
      <c r="F58" s="78" t="s">
        <v>506</v>
      </c>
      <c r="G58" s="260" t="s">
        <v>161</v>
      </c>
      <c r="H58" s="114" t="s">
        <v>893</v>
      </c>
      <c r="I58" s="255" t="s">
        <v>894</v>
      </c>
      <c r="J58" s="97">
        <v>0</v>
      </c>
      <c r="K58" s="97">
        <v>0</v>
      </c>
      <c r="L58" s="97">
        <v>0</v>
      </c>
      <c r="M58" s="97">
        <v>0</v>
      </c>
      <c r="N58" s="97">
        <v>0</v>
      </c>
      <c r="O58" s="97">
        <v>0</v>
      </c>
      <c r="P58" s="97" t="s">
        <v>567</v>
      </c>
      <c r="Q58" s="97" t="s">
        <v>567</v>
      </c>
      <c r="R58" s="97" t="s">
        <v>567</v>
      </c>
      <c r="S58" s="97" t="s">
        <v>567</v>
      </c>
      <c r="T58" s="97" t="s">
        <v>567</v>
      </c>
      <c r="U58" s="97" t="s">
        <v>557</v>
      </c>
      <c r="V58" s="97" t="s">
        <v>557</v>
      </c>
      <c r="W58" s="97" t="s">
        <v>567</v>
      </c>
      <c r="X58" s="97" t="s">
        <v>567</v>
      </c>
      <c r="Y58" s="97" t="s">
        <v>567</v>
      </c>
      <c r="Z58" s="97" t="s">
        <v>567</v>
      </c>
      <c r="AA58" s="97" t="s">
        <v>567</v>
      </c>
      <c r="AB58" s="97" t="s">
        <v>557</v>
      </c>
      <c r="AC58" s="97" t="s">
        <v>557</v>
      </c>
      <c r="AD58" s="97" t="s">
        <v>567</v>
      </c>
      <c r="AE58" s="97" t="s">
        <v>567</v>
      </c>
      <c r="AF58" s="97" t="s">
        <v>567</v>
      </c>
      <c r="AG58" s="97" t="s">
        <v>567</v>
      </c>
      <c r="AH58" s="97" t="s">
        <v>567</v>
      </c>
      <c r="AI58" s="97" t="s">
        <v>567</v>
      </c>
      <c r="AJ58" s="97" t="s">
        <v>557</v>
      </c>
      <c r="AK58" s="97" t="s">
        <v>567</v>
      </c>
      <c r="AL58" s="97" t="s">
        <v>567</v>
      </c>
      <c r="AM58" s="97" t="s">
        <v>567</v>
      </c>
      <c r="AO58" s="116">
        <f t="shared" si="1"/>
        <v>0</v>
      </c>
      <c r="AP58" s="116">
        <f t="shared" si="5"/>
        <v>0</v>
      </c>
      <c r="AQ58" s="116">
        <f t="shared" si="5"/>
        <v>5</v>
      </c>
      <c r="AR58" s="116">
        <f t="shared" si="5"/>
        <v>0</v>
      </c>
      <c r="AS58" s="116">
        <f t="shared" si="5"/>
        <v>0</v>
      </c>
      <c r="AT58" s="116">
        <f t="shared" si="5"/>
        <v>0</v>
      </c>
      <c r="AU58" s="116">
        <f t="shared" si="5"/>
        <v>0</v>
      </c>
      <c r="AV58" s="116">
        <f t="shared" si="5"/>
        <v>0</v>
      </c>
      <c r="AW58" s="116">
        <f t="shared" si="5"/>
        <v>0</v>
      </c>
      <c r="AX58" s="116">
        <f t="shared" si="5"/>
        <v>0</v>
      </c>
      <c r="AY58" s="116">
        <f t="shared" si="5"/>
        <v>0</v>
      </c>
      <c r="AZ58" s="116">
        <f t="shared" si="5"/>
        <v>0</v>
      </c>
      <c r="BA58" s="116">
        <f t="shared" si="5"/>
        <v>19</v>
      </c>
      <c r="BB58" s="117">
        <f t="shared" si="2"/>
        <v>24</v>
      </c>
      <c r="BD58" s="137">
        <v>24</v>
      </c>
    </row>
    <row r="59" spans="1:56" ht="48.95" customHeight="1">
      <c r="B59" s="112">
        <v>51</v>
      </c>
      <c r="C59" s="113">
        <v>53891891</v>
      </c>
      <c r="D59" s="114" t="s">
        <v>895</v>
      </c>
      <c r="E59" s="134" t="s">
        <v>792</v>
      </c>
      <c r="F59" s="78" t="s">
        <v>506</v>
      </c>
      <c r="G59" s="260" t="s">
        <v>161</v>
      </c>
      <c r="H59" s="114" t="s">
        <v>896</v>
      </c>
      <c r="I59" s="255" t="s">
        <v>894</v>
      </c>
      <c r="J59" s="97">
        <v>0</v>
      </c>
      <c r="K59" s="97">
        <v>0</v>
      </c>
      <c r="L59" s="97">
        <v>0</v>
      </c>
      <c r="M59" s="97">
        <v>0</v>
      </c>
      <c r="N59" s="97">
        <v>0</v>
      </c>
      <c r="O59" s="97">
        <v>0</v>
      </c>
      <c r="P59" s="97" t="s">
        <v>567</v>
      </c>
      <c r="Q59" s="97" t="s">
        <v>567</v>
      </c>
      <c r="R59" s="97" t="s">
        <v>567</v>
      </c>
      <c r="S59" s="97" t="s">
        <v>567</v>
      </c>
      <c r="T59" s="97" t="s">
        <v>567</v>
      </c>
      <c r="U59" s="97" t="s">
        <v>557</v>
      </c>
      <c r="V59" s="97" t="s">
        <v>557</v>
      </c>
      <c r="W59" s="97" t="s">
        <v>567</v>
      </c>
      <c r="X59" s="97" t="s">
        <v>567</v>
      </c>
      <c r="Y59" s="97" t="s">
        <v>567</v>
      </c>
      <c r="Z59" s="97" t="s">
        <v>567</v>
      </c>
      <c r="AA59" s="97" t="s">
        <v>567</v>
      </c>
      <c r="AB59" s="97" t="s">
        <v>557</v>
      </c>
      <c r="AC59" s="97" t="s">
        <v>557</v>
      </c>
      <c r="AD59" s="97" t="s">
        <v>567</v>
      </c>
      <c r="AE59" s="97" t="s">
        <v>567</v>
      </c>
      <c r="AF59" s="97" t="s">
        <v>567</v>
      </c>
      <c r="AG59" s="97" t="s">
        <v>567</v>
      </c>
      <c r="AH59" s="97" t="s">
        <v>567</v>
      </c>
      <c r="AI59" s="97" t="s">
        <v>567</v>
      </c>
      <c r="AJ59" s="97" t="s">
        <v>557</v>
      </c>
      <c r="AK59" s="97" t="s">
        <v>567</v>
      </c>
      <c r="AL59" s="97" t="s">
        <v>567</v>
      </c>
      <c r="AM59" s="97" t="s">
        <v>567</v>
      </c>
      <c r="AO59" s="116">
        <f t="shared" si="1"/>
        <v>0</v>
      </c>
      <c r="AP59" s="116">
        <f t="shared" si="5"/>
        <v>0</v>
      </c>
      <c r="AQ59" s="116">
        <f t="shared" si="5"/>
        <v>5</v>
      </c>
      <c r="AR59" s="116">
        <f t="shared" si="5"/>
        <v>0</v>
      </c>
      <c r="AS59" s="116">
        <f t="shared" si="5"/>
        <v>0</v>
      </c>
      <c r="AT59" s="116">
        <f t="shared" si="5"/>
        <v>0</v>
      </c>
      <c r="AU59" s="116">
        <f t="shared" si="5"/>
        <v>0</v>
      </c>
      <c r="AV59" s="116">
        <f t="shared" si="5"/>
        <v>0</v>
      </c>
      <c r="AW59" s="116">
        <f t="shared" si="5"/>
        <v>0</v>
      </c>
      <c r="AX59" s="116">
        <f t="shared" si="5"/>
        <v>0</v>
      </c>
      <c r="AY59" s="116">
        <f t="shared" si="5"/>
        <v>0</v>
      </c>
      <c r="AZ59" s="116">
        <f t="shared" si="5"/>
        <v>0</v>
      </c>
      <c r="BA59" s="116">
        <f t="shared" si="5"/>
        <v>19</v>
      </c>
      <c r="BB59" s="117">
        <f t="shared" si="2"/>
        <v>24</v>
      </c>
      <c r="BD59" s="137">
        <v>24</v>
      </c>
    </row>
    <row r="60" spans="1:56" ht="48.95" customHeight="1">
      <c r="B60" s="112">
        <v>52</v>
      </c>
      <c r="C60" s="113">
        <v>52197407</v>
      </c>
      <c r="D60" s="114" t="s">
        <v>897</v>
      </c>
      <c r="E60" s="134" t="s">
        <v>792</v>
      </c>
      <c r="F60" s="78" t="s">
        <v>506</v>
      </c>
      <c r="G60" s="260" t="s">
        <v>161</v>
      </c>
      <c r="H60" s="114" t="s">
        <v>898</v>
      </c>
      <c r="I60" s="255" t="s">
        <v>894</v>
      </c>
      <c r="J60" s="97">
        <v>0</v>
      </c>
      <c r="K60" s="97">
        <v>0</v>
      </c>
      <c r="L60" s="97">
        <v>0</v>
      </c>
      <c r="M60" s="97">
        <v>0</v>
      </c>
      <c r="N60" s="97">
        <v>0</v>
      </c>
      <c r="O60" s="97">
        <v>0</v>
      </c>
      <c r="P60" s="97" t="s">
        <v>567</v>
      </c>
      <c r="Q60" s="97" t="s">
        <v>567</v>
      </c>
      <c r="R60" s="97" t="s">
        <v>567</v>
      </c>
      <c r="S60" s="97" t="s">
        <v>567</v>
      </c>
      <c r="T60" s="97" t="s">
        <v>567</v>
      </c>
      <c r="U60" s="97" t="s">
        <v>557</v>
      </c>
      <c r="V60" s="97" t="s">
        <v>557</v>
      </c>
      <c r="W60" s="97" t="s">
        <v>567</v>
      </c>
      <c r="X60" s="97" t="s">
        <v>567</v>
      </c>
      <c r="Y60" s="97" t="s">
        <v>567</v>
      </c>
      <c r="Z60" s="97" t="s">
        <v>567</v>
      </c>
      <c r="AA60" s="97" t="s">
        <v>567</v>
      </c>
      <c r="AB60" s="97" t="s">
        <v>557</v>
      </c>
      <c r="AC60" s="97" t="s">
        <v>557</v>
      </c>
      <c r="AD60" s="97" t="s">
        <v>567</v>
      </c>
      <c r="AE60" s="97" t="s">
        <v>567</v>
      </c>
      <c r="AF60" s="97" t="s">
        <v>567</v>
      </c>
      <c r="AG60" s="97" t="s">
        <v>567</v>
      </c>
      <c r="AH60" s="97" t="s">
        <v>567</v>
      </c>
      <c r="AI60" s="97" t="s">
        <v>567</v>
      </c>
      <c r="AJ60" s="97" t="s">
        <v>557</v>
      </c>
      <c r="AK60" s="97" t="s">
        <v>567</v>
      </c>
      <c r="AL60" s="97" t="s">
        <v>567</v>
      </c>
      <c r="AM60" s="97" t="s">
        <v>567</v>
      </c>
      <c r="AO60" s="116">
        <f t="shared" si="1"/>
        <v>0</v>
      </c>
      <c r="AP60" s="116">
        <f t="shared" si="5"/>
        <v>0</v>
      </c>
      <c r="AQ60" s="116">
        <f t="shared" si="5"/>
        <v>5</v>
      </c>
      <c r="AR60" s="116">
        <f t="shared" si="5"/>
        <v>0</v>
      </c>
      <c r="AS60" s="116">
        <f t="shared" si="5"/>
        <v>0</v>
      </c>
      <c r="AT60" s="116">
        <f t="shared" si="5"/>
        <v>0</v>
      </c>
      <c r="AU60" s="116">
        <f t="shared" si="5"/>
        <v>0</v>
      </c>
      <c r="AV60" s="116">
        <f t="shared" si="5"/>
        <v>0</v>
      </c>
      <c r="AW60" s="116">
        <f t="shared" si="5"/>
        <v>0</v>
      </c>
      <c r="AX60" s="116">
        <f t="shared" si="5"/>
        <v>0</v>
      </c>
      <c r="AY60" s="116">
        <f t="shared" si="5"/>
        <v>0</v>
      </c>
      <c r="AZ60" s="116">
        <f t="shared" si="5"/>
        <v>0</v>
      </c>
      <c r="BA60" s="116">
        <f t="shared" si="5"/>
        <v>19</v>
      </c>
      <c r="BB60" s="117">
        <f t="shared" si="2"/>
        <v>24</v>
      </c>
      <c r="BD60" s="137">
        <v>24</v>
      </c>
    </row>
    <row r="61" spans="1:56" ht="48.95" customHeight="1">
      <c r="B61" s="112">
        <v>53</v>
      </c>
      <c r="C61" s="113">
        <v>53128765</v>
      </c>
      <c r="D61" s="114" t="s">
        <v>899</v>
      </c>
      <c r="E61" s="134" t="s">
        <v>792</v>
      </c>
      <c r="F61" s="78" t="s">
        <v>506</v>
      </c>
      <c r="G61" s="260" t="s">
        <v>161</v>
      </c>
      <c r="H61" s="114" t="s">
        <v>900</v>
      </c>
      <c r="I61" s="114" t="s">
        <v>724</v>
      </c>
      <c r="J61" s="97" t="s">
        <v>567</v>
      </c>
      <c r="K61" s="97" t="s">
        <v>567</v>
      </c>
      <c r="L61" s="97" t="s">
        <v>567</v>
      </c>
      <c r="M61" s="97" t="s">
        <v>567</v>
      </c>
      <c r="N61" s="97" t="s">
        <v>557</v>
      </c>
      <c r="O61" s="97" t="s">
        <v>567</v>
      </c>
      <c r="P61" s="97" t="s">
        <v>567</v>
      </c>
      <c r="Q61" s="97" t="s">
        <v>567</v>
      </c>
      <c r="R61" s="97" t="s">
        <v>567</v>
      </c>
      <c r="S61" s="97" t="s">
        <v>567</v>
      </c>
      <c r="T61" s="97" t="s">
        <v>567</v>
      </c>
      <c r="U61" s="97" t="s">
        <v>557</v>
      </c>
      <c r="V61" s="97" t="s">
        <v>557</v>
      </c>
      <c r="W61" s="97" t="s">
        <v>567</v>
      </c>
      <c r="X61" s="97" t="s">
        <v>567</v>
      </c>
      <c r="Y61" s="97" t="s">
        <v>567</v>
      </c>
      <c r="Z61" s="97" t="s">
        <v>567</v>
      </c>
      <c r="AA61" s="97" t="s">
        <v>567</v>
      </c>
      <c r="AB61" s="97" t="s">
        <v>557</v>
      </c>
      <c r="AC61" s="97" t="s">
        <v>557</v>
      </c>
      <c r="AD61" s="97" t="s">
        <v>567</v>
      </c>
      <c r="AE61" s="97" t="s">
        <v>567</v>
      </c>
      <c r="AF61" s="97" t="s">
        <v>567</v>
      </c>
      <c r="AG61" s="97" t="s">
        <v>567</v>
      </c>
      <c r="AH61" s="97" t="s">
        <v>567</v>
      </c>
      <c r="AI61" s="97" t="s">
        <v>567</v>
      </c>
      <c r="AJ61" s="97" t="s">
        <v>557</v>
      </c>
      <c r="AK61" s="97" t="s">
        <v>567</v>
      </c>
      <c r="AL61" s="97" t="s">
        <v>567</v>
      </c>
      <c r="AM61" s="97" t="s">
        <v>567</v>
      </c>
      <c r="AO61" s="116">
        <f t="shared" si="1"/>
        <v>0</v>
      </c>
      <c r="AP61" s="116">
        <f t="shared" si="5"/>
        <v>0</v>
      </c>
      <c r="AQ61" s="116">
        <f t="shared" si="5"/>
        <v>6</v>
      </c>
      <c r="AR61" s="116">
        <f t="shared" si="5"/>
        <v>0</v>
      </c>
      <c r="AS61" s="116">
        <f t="shared" si="5"/>
        <v>0</v>
      </c>
      <c r="AT61" s="116">
        <f t="shared" si="5"/>
        <v>0</v>
      </c>
      <c r="AU61" s="116">
        <f t="shared" si="5"/>
        <v>0</v>
      </c>
      <c r="AV61" s="116">
        <f t="shared" si="5"/>
        <v>0</v>
      </c>
      <c r="AW61" s="116">
        <f t="shared" si="5"/>
        <v>0</v>
      </c>
      <c r="AX61" s="116">
        <f t="shared" si="5"/>
        <v>0</v>
      </c>
      <c r="AY61" s="116">
        <f t="shared" si="5"/>
        <v>0</v>
      </c>
      <c r="AZ61" s="116">
        <f t="shared" si="5"/>
        <v>0</v>
      </c>
      <c r="BA61" s="116">
        <f t="shared" si="5"/>
        <v>24</v>
      </c>
      <c r="BB61" s="117">
        <f t="shared" si="2"/>
        <v>30</v>
      </c>
      <c r="BD61" s="137">
        <v>30</v>
      </c>
    </row>
    <row r="62" spans="1:56" ht="48.95" customHeight="1">
      <c r="B62" s="112">
        <v>54</v>
      </c>
      <c r="C62" s="113">
        <v>80802120</v>
      </c>
      <c r="D62" s="114" t="s">
        <v>716</v>
      </c>
      <c r="E62" s="134" t="s">
        <v>792</v>
      </c>
      <c r="F62" s="78" t="s">
        <v>507</v>
      </c>
      <c r="G62" s="260" t="s">
        <v>161</v>
      </c>
      <c r="H62" s="114" t="s">
        <v>717</v>
      </c>
      <c r="I62" s="114" t="s">
        <v>718</v>
      </c>
      <c r="J62" s="97" t="s">
        <v>567</v>
      </c>
      <c r="K62" s="97" t="s">
        <v>567</v>
      </c>
      <c r="L62" s="97" t="s">
        <v>567</v>
      </c>
      <c r="M62" s="97" t="s">
        <v>567</v>
      </c>
      <c r="N62" s="97" t="s">
        <v>557</v>
      </c>
      <c r="O62" s="97" t="s">
        <v>567</v>
      </c>
      <c r="P62" s="97" t="s">
        <v>558</v>
      </c>
      <c r="Q62" s="97" t="s">
        <v>558</v>
      </c>
      <c r="R62" s="97" t="s">
        <v>567</v>
      </c>
      <c r="S62" s="97" t="s">
        <v>567</v>
      </c>
      <c r="T62" s="97" t="s">
        <v>567</v>
      </c>
      <c r="U62" s="97" t="s">
        <v>557</v>
      </c>
      <c r="V62" s="97" t="s">
        <v>557</v>
      </c>
      <c r="W62" s="97" t="s">
        <v>567</v>
      </c>
      <c r="X62" s="97" t="s">
        <v>567</v>
      </c>
      <c r="Y62" s="97" t="s">
        <v>567</v>
      </c>
      <c r="Z62" s="97" t="s">
        <v>567</v>
      </c>
      <c r="AA62" s="97" t="s">
        <v>567</v>
      </c>
      <c r="AB62" s="97" t="s">
        <v>557</v>
      </c>
      <c r="AC62" s="97" t="s">
        <v>557</v>
      </c>
      <c r="AD62" s="97" t="s">
        <v>567</v>
      </c>
      <c r="AE62" s="97" t="s">
        <v>567</v>
      </c>
      <c r="AF62" s="97" t="s">
        <v>567</v>
      </c>
      <c r="AG62" s="97" t="s">
        <v>567</v>
      </c>
      <c r="AH62" s="97" t="s">
        <v>567</v>
      </c>
      <c r="AI62" s="97" t="s">
        <v>567</v>
      </c>
      <c r="AJ62" s="97" t="s">
        <v>557</v>
      </c>
      <c r="AK62" s="97" t="s">
        <v>567</v>
      </c>
      <c r="AL62" s="97" t="s">
        <v>567</v>
      </c>
      <c r="AM62" s="97" t="s">
        <v>567</v>
      </c>
      <c r="AO62" s="116">
        <f t="shared" si="1"/>
        <v>0</v>
      </c>
      <c r="AP62" s="116">
        <f t="shared" si="5"/>
        <v>0</v>
      </c>
      <c r="AQ62" s="116">
        <f t="shared" si="5"/>
        <v>6</v>
      </c>
      <c r="AR62" s="116">
        <f t="shared" si="5"/>
        <v>2</v>
      </c>
      <c r="AS62" s="116">
        <f t="shared" si="5"/>
        <v>0</v>
      </c>
      <c r="AT62" s="116">
        <f t="shared" si="5"/>
        <v>0</v>
      </c>
      <c r="AU62" s="116">
        <f t="shared" si="5"/>
        <v>0</v>
      </c>
      <c r="AV62" s="116">
        <f t="shared" si="5"/>
        <v>0</v>
      </c>
      <c r="AW62" s="116">
        <f t="shared" si="5"/>
        <v>0</v>
      </c>
      <c r="AX62" s="116">
        <f t="shared" si="5"/>
        <v>0</v>
      </c>
      <c r="AY62" s="116">
        <f t="shared" si="5"/>
        <v>0</v>
      </c>
      <c r="AZ62" s="116">
        <f t="shared" si="5"/>
        <v>0</v>
      </c>
      <c r="BA62" s="116">
        <f t="shared" si="5"/>
        <v>22</v>
      </c>
      <c r="BB62" s="117">
        <f t="shared" si="2"/>
        <v>28</v>
      </c>
      <c r="BD62" s="137">
        <v>30</v>
      </c>
    </row>
    <row r="63" spans="1:56" s="131" customFormat="1" ht="48.95" customHeight="1">
      <c r="A63" s="90"/>
      <c r="B63" s="112">
        <v>55</v>
      </c>
      <c r="C63" s="113">
        <v>1028860401</v>
      </c>
      <c r="D63" s="114" t="s">
        <v>901</v>
      </c>
      <c r="E63" s="134" t="s">
        <v>792</v>
      </c>
      <c r="F63" s="78" t="s">
        <v>508</v>
      </c>
      <c r="G63" s="260" t="s">
        <v>163</v>
      </c>
      <c r="H63" s="114" t="s">
        <v>902</v>
      </c>
      <c r="I63" s="114" t="s">
        <v>597</v>
      </c>
      <c r="J63" s="97" t="s">
        <v>567</v>
      </c>
      <c r="K63" s="97" t="s">
        <v>567</v>
      </c>
      <c r="L63" s="97" t="s">
        <v>567</v>
      </c>
      <c r="M63" s="97" t="s">
        <v>567</v>
      </c>
      <c r="N63" s="97" t="s">
        <v>557</v>
      </c>
      <c r="O63" s="97" t="s">
        <v>567</v>
      </c>
      <c r="P63" s="97" t="s">
        <v>567</v>
      </c>
      <c r="Q63" s="97" t="s">
        <v>567</v>
      </c>
      <c r="R63" s="97" t="s">
        <v>567</v>
      </c>
      <c r="S63" s="97" t="s">
        <v>567</v>
      </c>
      <c r="T63" s="97" t="s">
        <v>567</v>
      </c>
      <c r="U63" s="97" t="s">
        <v>557</v>
      </c>
      <c r="V63" s="97" t="s">
        <v>557</v>
      </c>
      <c r="W63" s="97" t="s">
        <v>567</v>
      </c>
      <c r="X63" s="97" t="s">
        <v>567</v>
      </c>
      <c r="Y63" s="97" t="s">
        <v>567</v>
      </c>
      <c r="Z63" s="97" t="s">
        <v>567</v>
      </c>
      <c r="AA63" s="97" t="s">
        <v>567</v>
      </c>
      <c r="AB63" s="97" t="s">
        <v>557</v>
      </c>
      <c r="AC63" s="97" t="s">
        <v>557</v>
      </c>
      <c r="AD63" s="97" t="s">
        <v>567</v>
      </c>
      <c r="AE63" s="97" t="s">
        <v>567</v>
      </c>
      <c r="AF63" s="97" t="s">
        <v>567</v>
      </c>
      <c r="AG63" s="97" t="s">
        <v>567</v>
      </c>
      <c r="AH63" s="97" t="s">
        <v>567</v>
      </c>
      <c r="AI63" s="97" t="s">
        <v>567</v>
      </c>
      <c r="AJ63" s="97" t="s">
        <v>557</v>
      </c>
      <c r="AK63" s="97" t="s">
        <v>567</v>
      </c>
      <c r="AL63" s="97" t="s">
        <v>567</v>
      </c>
      <c r="AM63" s="97" t="s">
        <v>567</v>
      </c>
      <c r="AO63" s="116">
        <f t="shared" si="1"/>
        <v>0</v>
      </c>
      <c r="AP63" s="116">
        <f t="shared" si="5"/>
        <v>0</v>
      </c>
      <c r="AQ63" s="116">
        <f t="shared" si="5"/>
        <v>6</v>
      </c>
      <c r="AR63" s="116">
        <f t="shared" si="5"/>
        <v>0</v>
      </c>
      <c r="AS63" s="116">
        <f t="shared" si="5"/>
        <v>0</v>
      </c>
      <c r="AT63" s="116">
        <f t="shared" si="5"/>
        <v>0</v>
      </c>
      <c r="AU63" s="116">
        <f t="shared" si="5"/>
        <v>0</v>
      </c>
      <c r="AV63" s="116">
        <f t="shared" si="5"/>
        <v>0</v>
      </c>
      <c r="AW63" s="116">
        <f t="shared" si="5"/>
        <v>0</v>
      </c>
      <c r="AX63" s="116">
        <f t="shared" si="5"/>
        <v>0</v>
      </c>
      <c r="AY63" s="116">
        <f t="shared" si="5"/>
        <v>0</v>
      </c>
      <c r="AZ63" s="116">
        <f t="shared" si="5"/>
        <v>0</v>
      </c>
      <c r="BA63" s="116">
        <f t="shared" si="5"/>
        <v>24</v>
      </c>
      <c r="BB63" s="117">
        <f t="shared" si="2"/>
        <v>30</v>
      </c>
      <c r="BD63" s="137">
        <v>30</v>
      </c>
    </row>
    <row r="64" spans="1:56" ht="48.95" customHeight="1">
      <c r="B64" s="112">
        <v>56</v>
      </c>
      <c r="C64" s="113">
        <v>1015392867</v>
      </c>
      <c r="D64" s="114" t="s">
        <v>771</v>
      </c>
      <c r="E64" s="134" t="s">
        <v>792</v>
      </c>
      <c r="F64" s="78" t="s">
        <v>507</v>
      </c>
      <c r="G64" s="260" t="s">
        <v>161</v>
      </c>
      <c r="H64" s="114" t="s">
        <v>772</v>
      </c>
      <c r="I64" s="114" t="s">
        <v>773</v>
      </c>
      <c r="J64" s="97" t="s">
        <v>567</v>
      </c>
      <c r="K64" s="97" t="s">
        <v>567</v>
      </c>
      <c r="L64" s="97" t="s">
        <v>567</v>
      </c>
      <c r="M64" s="97" t="s">
        <v>567</v>
      </c>
      <c r="N64" s="97" t="s">
        <v>557</v>
      </c>
      <c r="O64" s="97" t="s">
        <v>567</v>
      </c>
      <c r="P64" s="97" t="s">
        <v>567</v>
      </c>
      <c r="Q64" s="97" t="s">
        <v>567</v>
      </c>
      <c r="R64" s="97" t="s">
        <v>567</v>
      </c>
      <c r="S64" s="97" t="s">
        <v>567</v>
      </c>
      <c r="T64" s="97" t="s">
        <v>567</v>
      </c>
      <c r="U64" s="97" t="s">
        <v>557</v>
      </c>
      <c r="V64" s="97" t="s">
        <v>557</v>
      </c>
      <c r="W64" s="97" t="s">
        <v>567</v>
      </c>
      <c r="X64" s="97" t="s">
        <v>567</v>
      </c>
      <c r="Y64" s="97" t="s">
        <v>567</v>
      </c>
      <c r="Z64" s="97" t="s">
        <v>567</v>
      </c>
      <c r="AA64" s="97" t="s">
        <v>567</v>
      </c>
      <c r="AB64" s="97" t="s">
        <v>557</v>
      </c>
      <c r="AC64" s="97" t="s">
        <v>557</v>
      </c>
      <c r="AD64" s="97" t="s">
        <v>567</v>
      </c>
      <c r="AE64" s="97" t="s">
        <v>567</v>
      </c>
      <c r="AF64" s="97" t="s">
        <v>567</v>
      </c>
      <c r="AG64" s="97" t="s">
        <v>567</v>
      </c>
      <c r="AH64" s="97" t="s">
        <v>567</v>
      </c>
      <c r="AI64" s="97" t="s">
        <v>567</v>
      </c>
      <c r="AJ64" s="97" t="s">
        <v>557</v>
      </c>
      <c r="AK64" s="97" t="s">
        <v>567</v>
      </c>
      <c r="AL64" s="97" t="s">
        <v>567</v>
      </c>
      <c r="AM64" s="97" t="s">
        <v>567</v>
      </c>
      <c r="AO64" s="116">
        <f t="shared" si="1"/>
        <v>0</v>
      </c>
      <c r="AP64" s="116">
        <f t="shared" si="5"/>
        <v>0</v>
      </c>
      <c r="AQ64" s="116">
        <f t="shared" si="5"/>
        <v>6</v>
      </c>
      <c r="AR64" s="116">
        <f t="shared" si="5"/>
        <v>0</v>
      </c>
      <c r="AS64" s="116">
        <f t="shared" si="5"/>
        <v>0</v>
      </c>
      <c r="AT64" s="116">
        <f t="shared" si="5"/>
        <v>0</v>
      </c>
      <c r="AU64" s="116">
        <f t="shared" si="5"/>
        <v>0</v>
      </c>
      <c r="AV64" s="116">
        <f t="shared" si="5"/>
        <v>0</v>
      </c>
      <c r="AW64" s="116">
        <f t="shared" si="5"/>
        <v>0</v>
      </c>
      <c r="AX64" s="116">
        <f t="shared" si="5"/>
        <v>0</v>
      </c>
      <c r="AY64" s="116">
        <f t="shared" si="5"/>
        <v>0</v>
      </c>
      <c r="AZ64" s="116">
        <f t="shared" si="5"/>
        <v>0</v>
      </c>
      <c r="BA64" s="116">
        <f t="shared" si="5"/>
        <v>24</v>
      </c>
      <c r="BB64" s="117">
        <f t="shared" si="2"/>
        <v>30</v>
      </c>
      <c r="BD64" s="137">
        <v>30</v>
      </c>
    </row>
    <row r="65" spans="1:56" ht="48.95" customHeight="1">
      <c r="B65" s="112">
        <v>57</v>
      </c>
      <c r="C65" s="113">
        <v>1010219099</v>
      </c>
      <c r="D65" s="114" t="s">
        <v>774</v>
      </c>
      <c r="E65" s="134" t="s">
        <v>792</v>
      </c>
      <c r="F65" s="78" t="s">
        <v>506</v>
      </c>
      <c r="G65" s="260" t="s">
        <v>477</v>
      </c>
      <c r="H65" s="114" t="s">
        <v>775</v>
      </c>
      <c r="I65" s="114" t="s">
        <v>597</v>
      </c>
      <c r="J65" s="97" t="s">
        <v>567</v>
      </c>
      <c r="K65" s="97" t="s">
        <v>567</v>
      </c>
      <c r="L65" s="97" t="s">
        <v>567</v>
      </c>
      <c r="M65" s="97" t="s">
        <v>567</v>
      </c>
      <c r="N65" s="97" t="s">
        <v>557</v>
      </c>
      <c r="O65" s="97" t="s">
        <v>567</v>
      </c>
      <c r="P65" s="97" t="s">
        <v>567</v>
      </c>
      <c r="Q65" s="97" t="s">
        <v>567</v>
      </c>
      <c r="R65" s="97" t="s">
        <v>567</v>
      </c>
      <c r="S65" s="97" t="s">
        <v>567</v>
      </c>
      <c r="T65" s="97" t="s">
        <v>567</v>
      </c>
      <c r="U65" s="97" t="s">
        <v>557</v>
      </c>
      <c r="V65" s="97" t="s">
        <v>557</v>
      </c>
      <c r="W65" s="97" t="s">
        <v>567</v>
      </c>
      <c r="X65" s="97" t="s">
        <v>567</v>
      </c>
      <c r="Y65" s="97" t="s">
        <v>567</v>
      </c>
      <c r="Z65" s="97" t="s">
        <v>567</v>
      </c>
      <c r="AA65" s="97" t="s">
        <v>567</v>
      </c>
      <c r="AB65" s="97" t="s">
        <v>557</v>
      </c>
      <c r="AC65" s="97" t="s">
        <v>557</v>
      </c>
      <c r="AD65" s="97" t="s">
        <v>567</v>
      </c>
      <c r="AE65" s="97" t="s">
        <v>567</v>
      </c>
      <c r="AF65" s="97" t="s">
        <v>567</v>
      </c>
      <c r="AG65" s="97" t="s">
        <v>567</v>
      </c>
      <c r="AH65" s="97" t="s">
        <v>567</v>
      </c>
      <c r="AI65" s="97" t="s">
        <v>567</v>
      </c>
      <c r="AJ65" s="97" t="s">
        <v>557</v>
      </c>
      <c r="AK65" s="97" t="s">
        <v>567</v>
      </c>
      <c r="AL65" s="97" t="s">
        <v>567</v>
      </c>
      <c r="AM65" s="97" t="s">
        <v>567</v>
      </c>
      <c r="AO65" s="116">
        <f t="shared" si="1"/>
        <v>0</v>
      </c>
      <c r="AP65" s="116">
        <f t="shared" si="5"/>
        <v>0</v>
      </c>
      <c r="AQ65" s="116">
        <f t="shared" si="5"/>
        <v>6</v>
      </c>
      <c r="AR65" s="116">
        <f t="shared" si="5"/>
        <v>0</v>
      </c>
      <c r="AS65" s="116">
        <f t="shared" si="5"/>
        <v>0</v>
      </c>
      <c r="AT65" s="116">
        <f t="shared" si="5"/>
        <v>0</v>
      </c>
      <c r="AU65" s="116">
        <f t="shared" si="5"/>
        <v>0</v>
      </c>
      <c r="AV65" s="116">
        <f t="shared" si="5"/>
        <v>0</v>
      </c>
      <c r="AW65" s="116">
        <f t="shared" si="5"/>
        <v>0</v>
      </c>
      <c r="AX65" s="116">
        <f t="shared" si="5"/>
        <v>0</v>
      </c>
      <c r="AY65" s="116">
        <f t="shared" si="5"/>
        <v>0</v>
      </c>
      <c r="AZ65" s="116">
        <f t="shared" si="5"/>
        <v>0</v>
      </c>
      <c r="BA65" s="116">
        <f t="shared" si="5"/>
        <v>24</v>
      </c>
      <c r="BB65" s="117">
        <f t="shared" si="2"/>
        <v>30</v>
      </c>
      <c r="BD65" s="137">
        <v>30</v>
      </c>
    </row>
    <row r="66" spans="1:56" ht="48.95" customHeight="1">
      <c r="B66" s="112">
        <v>58</v>
      </c>
      <c r="C66" s="113">
        <v>51990667</v>
      </c>
      <c r="D66" s="114" t="s">
        <v>745</v>
      </c>
      <c r="E66" s="134" t="s">
        <v>792</v>
      </c>
      <c r="F66" s="78" t="s">
        <v>506</v>
      </c>
      <c r="G66" s="260" t="s">
        <v>161</v>
      </c>
      <c r="H66" s="114" t="s">
        <v>746</v>
      </c>
      <c r="I66" s="114" t="s">
        <v>747</v>
      </c>
      <c r="J66" s="97" t="s">
        <v>567</v>
      </c>
      <c r="K66" s="97" t="s">
        <v>567</v>
      </c>
      <c r="L66" s="97" t="s">
        <v>567</v>
      </c>
      <c r="M66" s="97" t="s">
        <v>567</v>
      </c>
      <c r="N66" s="97" t="s">
        <v>557</v>
      </c>
      <c r="O66" s="97" t="s">
        <v>567</v>
      </c>
      <c r="P66" s="97" t="s">
        <v>567</v>
      </c>
      <c r="Q66" s="97" t="s">
        <v>567</v>
      </c>
      <c r="R66" s="97" t="s">
        <v>567</v>
      </c>
      <c r="S66" s="97" t="s">
        <v>567</v>
      </c>
      <c r="T66" s="97" t="s">
        <v>567</v>
      </c>
      <c r="U66" s="97" t="s">
        <v>557</v>
      </c>
      <c r="V66" s="97" t="s">
        <v>557</v>
      </c>
      <c r="W66" s="97" t="s">
        <v>567</v>
      </c>
      <c r="X66" s="97" t="s">
        <v>567</v>
      </c>
      <c r="Y66" s="97" t="s">
        <v>567</v>
      </c>
      <c r="Z66" s="97" t="s">
        <v>567</v>
      </c>
      <c r="AA66" s="97" t="s">
        <v>567</v>
      </c>
      <c r="AB66" s="97" t="s">
        <v>557</v>
      </c>
      <c r="AC66" s="97" t="s">
        <v>557</v>
      </c>
      <c r="AD66" s="97" t="s">
        <v>567</v>
      </c>
      <c r="AE66" s="97" t="s">
        <v>567</v>
      </c>
      <c r="AF66" s="97" t="s">
        <v>567</v>
      </c>
      <c r="AG66" s="97" t="s">
        <v>567</v>
      </c>
      <c r="AH66" s="97" t="s">
        <v>567</v>
      </c>
      <c r="AI66" s="97" t="s">
        <v>567</v>
      </c>
      <c r="AJ66" s="97" t="s">
        <v>557</v>
      </c>
      <c r="AK66" s="97" t="s">
        <v>567</v>
      </c>
      <c r="AL66" s="97" t="s">
        <v>567</v>
      </c>
      <c r="AM66" s="97" t="s">
        <v>567</v>
      </c>
      <c r="AO66" s="116">
        <f t="shared" si="1"/>
        <v>0</v>
      </c>
      <c r="AP66" s="116">
        <f t="shared" si="5"/>
        <v>0</v>
      </c>
      <c r="AQ66" s="116">
        <f t="shared" si="5"/>
        <v>6</v>
      </c>
      <c r="AR66" s="116">
        <f t="shared" si="5"/>
        <v>0</v>
      </c>
      <c r="AS66" s="116">
        <f t="shared" si="5"/>
        <v>0</v>
      </c>
      <c r="AT66" s="116">
        <f t="shared" si="5"/>
        <v>0</v>
      </c>
      <c r="AU66" s="116">
        <f t="shared" si="5"/>
        <v>0</v>
      </c>
      <c r="AV66" s="116">
        <f t="shared" si="5"/>
        <v>0</v>
      </c>
      <c r="AW66" s="116">
        <f t="shared" si="5"/>
        <v>0</v>
      </c>
      <c r="AX66" s="116">
        <f t="shared" si="5"/>
        <v>0</v>
      </c>
      <c r="AY66" s="116">
        <f t="shared" si="5"/>
        <v>0</v>
      </c>
      <c r="AZ66" s="116">
        <f t="shared" si="5"/>
        <v>0</v>
      </c>
      <c r="BA66" s="116">
        <f t="shared" si="5"/>
        <v>24</v>
      </c>
      <c r="BB66" s="117">
        <f t="shared" si="2"/>
        <v>30</v>
      </c>
      <c r="BD66" s="137">
        <v>30</v>
      </c>
    </row>
    <row r="67" spans="1:56" ht="48.95" customHeight="1">
      <c r="B67" s="112">
        <v>59</v>
      </c>
      <c r="C67" s="113">
        <v>52120222</v>
      </c>
      <c r="D67" s="114" t="s">
        <v>903</v>
      </c>
      <c r="E67" s="134" t="s">
        <v>792</v>
      </c>
      <c r="F67" s="78" t="s">
        <v>506</v>
      </c>
      <c r="G67" s="260" t="s">
        <v>161</v>
      </c>
      <c r="H67" s="114" t="s">
        <v>904</v>
      </c>
      <c r="I67" s="114" t="s">
        <v>905</v>
      </c>
      <c r="J67" s="97" t="s">
        <v>567</v>
      </c>
      <c r="K67" s="97" t="s">
        <v>567</v>
      </c>
      <c r="L67" s="97" t="s">
        <v>567</v>
      </c>
      <c r="M67" s="97" t="s">
        <v>567</v>
      </c>
      <c r="N67" s="97" t="s">
        <v>557</v>
      </c>
      <c r="O67" s="97" t="s">
        <v>567</v>
      </c>
      <c r="P67" s="97" t="s">
        <v>567</v>
      </c>
      <c r="Q67" s="97" t="s">
        <v>567</v>
      </c>
      <c r="R67" s="97" t="s">
        <v>567</v>
      </c>
      <c r="S67" s="97" t="s">
        <v>567</v>
      </c>
      <c r="T67" s="97" t="s">
        <v>567</v>
      </c>
      <c r="U67" s="97" t="s">
        <v>557</v>
      </c>
      <c r="V67" s="97" t="s">
        <v>557</v>
      </c>
      <c r="W67" s="97" t="s">
        <v>567</v>
      </c>
      <c r="X67" s="97" t="s">
        <v>567</v>
      </c>
      <c r="Y67" s="97" t="s">
        <v>567</v>
      </c>
      <c r="Z67" s="97" t="s">
        <v>567</v>
      </c>
      <c r="AA67" s="97" t="s">
        <v>567</v>
      </c>
      <c r="AB67" s="97" t="s">
        <v>557</v>
      </c>
      <c r="AC67" s="97" t="s">
        <v>557</v>
      </c>
      <c r="AD67" s="97" t="s">
        <v>567</v>
      </c>
      <c r="AE67" s="97" t="s">
        <v>567</v>
      </c>
      <c r="AF67" s="97" t="s">
        <v>567</v>
      </c>
      <c r="AG67" s="97" t="s">
        <v>567</v>
      </c>
      <c r="AH67" s="97" t="s">
        <v>567</v>
      </c>
      <c r="AI67" s="97" t="s">
        <v>567</v>
      </c>
      <c r="AJ67" s="97" t="s">
        <v>557</v>
      </c>
      <c r="AK67" s="97" t="s">
        <v>567</v>
      </c>
      <c r="AL67" s="97" t="s">
        <v>567</v>
      </c>
      <c r="AM67" s="97" t="s">
        <v>567</v>
      </c>
      <c r="AO67" s="116">
        <f t="shared" si="1"/>
        <v>0</v>
      </c>
      <c r="AP67" s="116">
        <f t="shared" si="5"/>
        <v>0</v>
      </c>
      <c r="AQ67" s="116">
        <f t="shared" si="5"/>
        <v>6</v>
      </c>
      <c r="AR67" s="116">
        <f t="shared" si="5"/>
        <v>0</v>
      </c>
      <c r="AS67" s="116">
        <f t="shared" si="5"/>
        <v>0</v>
      </c>
      <c r="AT67" s="116">
        <f t="shared" si="5"/>
        <v>0</v>
      </c>
      <c r="AU67" s="116">
        <f t="shared" si="5"/>
        <v>0</v>
      </c>
      <c r="AV67" s="116">
        <f t="shared" si="5"/>
        <v>0</v>
      </c>
      <c r="AW67" s="116">
        <f t="shared" si="5"/>
        <v>0</v>
      </c>
      <c r="AX67" s="116">
        <f t="shared" si="5"/>
        <v>0</v>
      </c>
      <c r="AY67" s="116">
        <f t="shared" si="5"/>
        <v>0</v>
      </c>
      <c r="AZ67" s="116">
        <f t="shared" si="5"/>
        <v>0</v>
      </c>
      <c r="BA67" s="116">
        <f t="shared" si="5"/>
        <v>24</v>
      </c>
      <c r="BB67" s="117">
        <f t="shared" si="2"/>
        <v>30</v>
      </c>
      <c r="BD67" s="137">
        <v>30</v>
      </c>
    </row>
    <row r="68" spans="1:56" ht="48.95" customHeight="1">
      <c r="B68" s="112">
        <v>60</v>
      </c>
      <c r="C68" s="113">
        <v>1023882611</v>
      </c>
      <c r="D68" s="114" t="s">
        <v>906</v>
      </c>
      <c r="E68" s="134" t="s">
        <v>792</v>
      </c>
      <c r="F68" s="78" t="s">
        <v>506</v>
      </c>
      <c r="G68" s="260" t="s">
        <v>476</v>
      </c>
      <c r="H68" s="114" t="s">
        <v>907</v>
      </c>
      <c r="I68" s="114" t="s">
        <v>597</v>
      </c>
      <c r="J68" s="97" t="s">
        <v>567</v>
      </c>
      <c r="K68" s="97" t="s">
        <v>567</v>
      </c>
      <c r="L68" s="97" t="s">
        <v>567</v>
      </c>
      <c r="M68" s="97" t="s">
        <v>567</v>
      </c>
      <c r="N68" s="97" t="s">
        <v>557</v>
      </c>
      <c r="O68" s="97" t="s">
        <v>567</v>
      </c>
      <c r="P68" s="97" t="s">
        <v>567</v>
      </c>
      <c r="Q68" s="97" t="s">
        <v>567</v>
      </c>
      <c r="R68" s="97" t="s">
        <v>567</v>
      </c>
      <c r="S68" s="97" t="s">
        <v>567</v>
      </c>
      <c r="T68" s="97" t="s">
        <v>567</v>
      </c>
      <c r="U68" s="97" t="s">
        <v>557</v>
      </c>
      <c r="V68" s="97" t="s">
        <v>557</v>
      </c>
      <c r="W68" s="97" t="s">
        <v>567</v>
      </c>
      <c r="X68" s="97" t="s">
        <v>567</v>
      </c>
      <c r="Y68" s="97" t="s">
        <v>567</v>
      </c>
      <c r="Z68" s="97" t="s">
        <v>567</v>
      </c>
      <c r="AA68" s="97" t="s">
        <v>567</v>
      </c>
      <c r="AB68" s="97" t="s">
        <v>557</v>
      </c>
      <c r="AC68" s="97" t="s">
        <v>557</v>
      </c>
      <c r="AD68" s="97" t="s">
        <v>567</v>
      </c>
      <c r="AE68" s="97" t="s">
        <v>567</v>
      </c>
      <c r="AF68" s="97" t="s">
        <v>567</v>
      </c>
      <c r="AG68" s="97" t="s">
        <v>567</v>
      </c>
      <c r="AH68" s="97" t="s">
        <v>567</v>
      </c>
      <c r="AI68" s="97" t="s">
        <v>567</v>
      </c>
      <c r="AJ68" s="97" t="s">
        <v>557</v>
      </c>
      <c r="AK68" s="97" t="s">
        <v>567</v>
      </c>
      <c r="AL68" s="97" t="s">
        <v>567</v>
      </c>
      <c r="AM68" s="97" t="s">
        <v>567</v>
      </c>
      <c r="AO68" s="116">
        <f t="shared" si="1"/>
        <v>0</v>
      </c>
      <c r="AP68" s="116">
        <f t="shared" si="5"/>
        <v>0</v>
      </c>
      <c r="AQ68" s="116">
        <f t="shared" si="5"/>
        <v>6</v>
      </c>
      <c r="AR68" s="116">
        <f t="shared" si="5"/>
        <v>0</v>
      </c>
      <c r="AS68" s="116">
        <f t="shared" si="5"/>
        <v>0</v>
      </c>
      <c r="AT68" s="116">
        <f t="shared" si="5"/>
        <v>0</v>
      </c>
      <c r="AU68" s="116">
        <f t="shared" si="5"/>
        <v>0</v>
      </c>
      <c r="AV68" s="116">
        <f t="shared" si="5"/>
        <v>0</v>
      </c>
      <c r="AW68" s="116">
        <f t="shared" si="5"/>
        <v>0</v>
      </c>
      <c r="AX68" s="116">
        <f t="shared" si="5"/>
        <v>0</v>
      </c>
      <c r="AY68" s="116">
        <f t="shared" si="5"/>
        <v>0</v>
      </c>
      <c r="AZ68" s="116">
        <f t="shared" si="5"/>
        <v>0</v>
      </c>
      <c r="BA68" s="116">
        <f t="shared" si="5"/>
        <v>24</v>
      </c>
      <c r="BB68" s="117">
        <f t="shared" si="2"/>
        <v>30</v>
      </c>
      <c r="BD68" s="137">
        <v>30</v>
      </c>
    </row>
    <row r="69" spans="1:56" ht="48.95" customHeight="1">
      <c r="B69" s="112">
        <v>61</v>
      </c>
      <c r="C69" s="113">
        <v>52339253</v>
      </c>
      <c r="D69" s="114" t="s">
        <v>908</v>
      </c>
      <c r="E69" s="134" t="s">
        <v>792</v>
      </c>
      <c r="F69" s="78" t="s">
        <v>506</v>
      </c>
      <c r="G69" s="260" t="s">
        <v>161</v>
      </c>
      <c r="H69" s="114" t="s">
        <v>909</v>
      </c>
      <c r="I69" s="114" t="s">
        <v>597</v>
      </c>
      <c r="J69" s="97" t="s">
        <v>567</v>
      </c>
      <c r="K69" s="97" t="s">
        <v>567</v>
      </c>
      <c r="L69" s="97" t="s">
        <v>567</v>
      </c>
      <c r="M69" s="97" t="s">
        <v>567</v>
      </c>
      <c r="N69" s="97" t="s">
        <v>557</v>
      </c>
      <c r="O69" s="97" t="s">
        <v>567</v>
      </c>
      <c r="P69" s="97" t="s">
        <v>567</v>
      </c>
      <c r="Q69" s="97" t="s">
        <v>567</v>
      </c>
      <c r="R69" s="97" t="s">
        <v>567</v>
      </c>
      <c r="S69" s="97" t="s">
        <v>567</v>
      </c>
      <c r="T69" s="97" t="s">
        <v>567</v>
      </c>
      <c r="U69" s="97" t="s">
        <v>557</v>
      </c>
      <c r="V69" s="97" t="s">
        <v>557</v>
      </c>
      <c r="W69" s="97" t="s">
        <v>567</v>
      </c>
      <c r="X69" s="97" t="s">
        <v>567</v>
      </c>
      <c r="Y69" s="97" t="s">
        <v>567</v>
      </c>
      <c r="Z69" s="97" t="s">
        <v>567</v>
      </c>
      <c r="AA69" s="97" t="s">
        <v>567</v>
      </c>
      <c r="AB69" s="97" t="s">
        <v>557</v>
      </c>
      <c r="AC69" s="97" t="s">
        <v>557</v>
      </c>
      <c r="AD69" s="97" t="s">
        <v>567</v>
      </c>
      <c r="AE69" s="97" t="s">
        <v>567</v>
      </c>
      <c r="AF69" s="97" t="s">
        <v>567</v>
      </c>
      <c r="AG69" s="97" t="s">
        <v>567</v>
      </c>
      <c r="AH69" s="97" t="s">
        <v>567</v>
      </c>
      <c r="AI69" s="97" t="s">
        <v>567</v>
      </c>
      <c r="AJ69" s="97" t="s">
        <v>557</v>
      </c>
      <c r="AK69" s="97" t="s">
        <v>567</v>
      </c>
      <c r="AL69" s="97" t="s">
        <v>567</v>
      </c>
      <c r="AM69" s="97" t="s">
        <v>567</v>
      </c>
      <c r="AO69" s="116">
        <f t="shared" si="1"/>
        <v>0</v>
      </c>
      <c r="AP69" s="116">
        <f t="shared" si="5"/>
        <v>0</v>
      </c>
      <c r="AQ69" s="116">
        <f t="shared" si="5"/>
        <v>6</v>
      </c>
      <c r="AR69" s="116">
        <f t="shared" si="5"/>
        <v>0</v>
      </c>
      <c r="AS69" s="116">
        <f t="shared" si="5"/>
        <v>0</v>
      </c>
      <c r="AT69" s="116">
        <f t="shared" si="5"/>
        <v>0</v>
      </c>
      <c r="AU69" s="116">
        <f t="shared" si="5"/>
        <v>0</v>
      </c>
      <c r="AV69" s="116">
        <f t="shared" si="5"/>
        <v>0</v>
      </c>
      <c r="AW69" s="116">
        <f t="shared" si="5"/>
        <v>0</v>
      </c>
      <c r="AX69" s="116">
        <f t="shared" si="5"/>
        <v>0</v>
      </c>
      <c r="AY69" s="116">
        <f t="shared" si="5"/>
        <v>0</v>
      </c>
      <c r="AZ69" s="116">
        <f t="shared" si="5"/>
        <v>0</v>
      </c>
      <c r="BA69" s="116">
        <f t="shared" si="5"/>
        <v>24</v>
      </c>
      <c r="BB69" s="117">
        <f t="shared" si="2"/>
        <v>30</v>
      </c>
      <c r="BD69" s="137">
        <v>30</v>
      </c>
    </row>
    <row r="70" spans="1:56" ht="48.95" customHeight="1">
      <c r="B70" s="112">
        <v>62</v>
      </c>
      <c r="C70" s="113">
        <v>79771060</v>
      </c>
      <c r="D70" s="114" t="s">
        <v>910</v>
      </c>
      <c r="E70" s="134" t="s">
        <v>792</v>
      </c>
      <c r="F70" s="78" t="s">
        <v>508</v>
      </c>
      <c r="G70" s="260" t="s">
        <v>161</v>
      </c>
      <c r="H70" s="114" t="s">
        <v>911</v>
      </c>
      <c r="I70" s="114" t="s">
        <v>597</v>
      </c>
      <c r="J70" s="97" t="s">
        <v>567</v>
      </c>
      <c r="K70" s="97" t="s">
        <v>567</v>
      </c>
      <c r="L70" s="97" t="s">
        <v>567</v>
      </c>
      <c r="M70" s="97" t="s">
        <v>567</v>
      </c>
      <c r="N70" s="97" t="s">
        <v>557</v>
      </c>
      <c r="O70" s="97" t="s">
        <v>567</v>
      </c>
      <c r="P70" s="97" t="s">
        <v>567</v>
      </c>
      <c r="Q70" s="97" t="s">
        <v>567</v>
      </c>
      <c r="R70" s="97" t="s">
        <v>567</v>
      </c>
      <c r="S70" s="97" t="s">
        <v>567</v>
      </c>
      <c r="T70" s="97" t="s">
        <v>567</v>
      </c>
      <c r="U70" s="97" t="s">
        <v>557</v>
      </c>
      <c r="V70" s="97" t="s">
        <v>557</v>
      </c>
      <c r="W70" s="97" t="s">
        <v>567</v>
      </c>
      <c r="X70" s="97" t="s">
        <v>567</v>
      </c>
      <c r="Y70" s="97" t="s">
        <v>567</v>
      </c>
      <c r="Z70" s="97" t="s">
        <v>567</v>
      </c>
      <c r="AA70" s="97" t="s">
        <v>567</v>
      </c>
      <c r="AB70" s="97" t="s">
        <v>557</v>
      </c>
      <c r="AC70" s="97" t="s">
        <v>557</v>
      </c>
      <c r="AD70" s="97" t="s">
        <v>567</v>
      </c>
      <c r="AE70" s="97" t="s">
        <v>567</v>
      </c>
      <c r="AF70" s="97" t="s">
        <v>567</v>
      </c>
      <c r="AG70" s="97" t="s">
        <v>567</v>
      </c>
      <c r="AH70" s="97" t="s">
        <v>567</v>
      </c>
      <c r="AI70" s="97" t="s">
        <v>567</v>
      </c>
      <c r="AJ70" s="97" t="s">
        <v>557</v>
      </c>
      <c r="AK70" s="97" t="s">
        <v>567</v>
      </c>
      <c r="AL70" s="97" t="s">
        <v>567</v>
      </c>
      <c r="AM70" s="97" t="s">
        <v>567</v>
      </c>
      <c r="AO70" s="116">
        <f t="shared" si="1"/>
        <v>0</v>
      </c>
      <c r="AP70" s="116">
        <f t="shared" si="5"/>
        <v>0</v>
      </c>
      <c r="AQ70" s="116">
        <f t="shared" si="5"/>
        <v>6</v>
      </c>
      <c r="AR70" s="116">
        <f t="shared" si="5"/>
        <v>0</v>
      </c>
      <c r="AS70" s="116">
        <f t="shared" si="5"/>
        <v>0</v>
      </c>
      <c r="AT70" s="116">
        <f t="shared" si="5"/>
        <v>0</v>
      </c>
      <c r="AU70" s="116">
        <f t="shared" si="5"/>
        <v>0</v>
      </c>
      <c r="AV70" s="116">
        <f t="shared" si="5"/>
        <v>0</v>
      </c>
      <c r="AW70" s="116">
        <f t="shared" si="5"/>
        <v>0</v>
      </c>
      <c r="AX70" s="116">
        <f t="shared" si="5"/>
        <v>0</v>
      </c>
      <c r="AY70" s="116">
        <f t="shared" si="5"/>
        <v>0</v>
      </c>
      <c r="AZ70" s="116">
        <f t="shared" si="5"/>
        <v>0</v>
      </c>
      <c r="BA70" s="116">
        <f t="shared" si="5"/>
        <v>24</v>
      </c>
      <c r="BB70" s="117">
        <f t="shared" si="2"/>
        <v>30</v>
      </c>
      <c r="BD70" s="137">
        <v>30</v>
      </c>
    </row>
    <row r="71" spans="1:56" ht="48.95" customHeight="1">
      <c r="A71" s="256" t="s">
        <v>713</v>
      </c>
      <c r="B71" s="112">
        <v>63</v>
      </c>
      <c r="C71" s="113">
        <v>52973150</v>
      </c>
      <c r="D71" s="253" t="s">
        <v>912</v>
      </c>
      <c r="E71" s="134" t="s">
        <v>792</v>
      </c>
      <c r="F71" s="78" t="s">
        <v>506</v>
      </c>
      <c r="G71" s="260" t="s">
        <v>161</v>
      </c>
      <c r="H71" s="114" t="s">
        <v>913</v>
      </c>
      <c r="I71" s="114" t="s">
        <v>600</v>
      </c>
      <c r="J71" s="97" t="s">
        <v>566</v>
      </c>
      <c r="K71" s="97" t="s">
        <v>566</v>
      </c>
      <c r="L71" s="97" t="s">
        <v>566</v>
      </c>
      <c r="M71" s="97" t="s">
        <v>566</v>
      </c>
      <c r="N71" s="97" t="s">
        <v>566</v>
      </c>
      <c r="O71" s="97" t="s">
        <v>566</v>
      </c>
      <c r="P71" s="97" t="s">
        <v>567</v>
      </c>
      <c r="Q71" s="97" t="s">
        <v>567</v>
      </c>
      <c r="R71" s="97" t="s">
        <v>567</v>
      </c>
      <c r="S71" s="97" t="s">
        <v>567</v>
      </c>
      <c r="T71" s="97" t="s">
        <v>567</v>
      </c>
      <c r="U71" s="97" t="s">
        <v>557</v>
      </c>
      <c r="V71" s="97" t="s">
        <v>557</v>
      </c>
      <c r="W71" s="97" t="s">
        <v>567</v>
      </c>
      <c r="X71" s="97" t="s">
        <v>567</v>
      </c>
      <c r="Y71" s="97" t="s">
        <v>567</v>
      </c>
      <c r="Z71" s="97" t="s">
        <v>567</v>
      </c>
      <c r="AA71" s="97" t="s">
        <v>567</v>
      </c>
      <c r="AB71" s="97" t="s">
        <v>557</v>
      </c>
      <c r="AC71" s="97" t="s">
        <v>557</v>
      </c>
      <c r="AD71" s="97" t="s">
        <v>567</v>
      </c>
      <c r="AE71" s="97" t="s">
        <v>567</v>
      </c>
      <c r="AF71" s="97" t="s">
        <v>567</v>
      </c>
      <c r="AG71" s="97" t="s">
        <v>567</v>
      </c>
      <c r="AH71" s="97" t="s">
        <v>567</v>
      </c>
      <c r="AI71" s="97" t="s">
        <v>567</v>
      </c>
      <c r="AJ71" s="97" t="s">
        <v>557</v>
      </c>
      <c r="AK71" s="97" t="s">
        <v>567</v>
      </c>
      <c r="AL71" s="97" t="s">
        <v>567</v>
      </c>
      <c r="AM71" s="97" t="s">
        <v>567</v>
      </c>
      <c r="AO71" s="116">
        <f t="shared" si="1"/>
        <v>0</v>
      </c>
      <c r="AP71" s="116">
        <f t="shared" si="5"/>
        <v>0</v>
      </c>
      <c r="AQ71" s="116">
        <f t="shared" si="5"/>
        <v>5</v>
      </c>
      <c r="AR71" s="116">
        <f t="shared" si="5"/>
        <v>0</v>
      </c>
      <c r="AS71" s="116">
        <f t="shared" si="5"/>
        <v>0</v>
      </c>
      <c r="AT71" s="116">
        <f t="shared" si="5"/>
        <v>0</v>
      </c>
      <c r="AU71" s="116">
        <f t="shared" si="5"/>
        <v>0</v>
      </c>
      <c r="AV71" s="116">
        <f t="shared" si="5"/>
        <v>0</v>
      </c>
      <c r="AW71" s="116">
        <f t="shared" si="5"/>
        <v>0</v>
      </c>
      <c r="AX71" s="116">
        <f t="shared" si="5"/>
        <v>0</v>
      </c>
      <c r="AY71" s="116">
        <f t="shared" si="5"/>
        <v>0</v>
      </c>
      <c r="AZ71" s="116">
        <f t="shared" si="5"/>
        <v>6</v>
      </c>
      <c r="BA71" s="116">
        <f t="shared" si="5"/>
        <v>19</v>
      </c>
      <c r="BB71" s="117">
        <f t="shared" si="2"/>
        <v>24</v>
      </c>
      <c r="BD71" s="137">
        <v>30</v>
      </c>
    </row>
    <row r="72" spans="1:56" ht="48.95" customHeight="1">
      <c r="B72" s="112">
        <v>64</v>
      </c>
      <c r="C72" s="113">
        <v>1128053736</v>
      </c>
      <c r="D72" s="114" t="s">
        <v>914</v>
      </c>
      <c r="E72" s="134" t="s">
        <v>792</v>
      </c>
      <c r="F72" s="78" t="s">
        <v>506</v>
      </c>
      <c r="G72" s="260" t="s">
        <v>161</v>
      </c>
      <c r="H72" s="114" t="s">
        <v>915</v>
      </c>
      <c r="I72" s="114" t="s">
        <v>597</v>
      </c>
      <c r="J72" s="97" t="s">
        <v>567</v>
      </c>
      <c r="K72" s="97" t="s">
        <v>567</v>
      </c>
      <c r="L72" s="97" t="s">
        <v>567</v>
      </c>
      <c r="M72" s="97" t="s">
        <v>567</v>
      </c>
      <c r="N72" s="97" t="s">
        <v>557</v>
      </c>
      <c r="O72" s="97" t="s">
        <v>567</v>
      </c>
      <c r="P72" s="97" t="s">
        <v>567</v>
      </c>
      <c r="Q72" s="97" t="s">
        <v>567</v>
      </c>
      <c r="R72" s="97" t="s">
        <v>567</v>
      </c>
      <c r="S72" s="97" t="s">
        <v>567</v>
      </c>
      <c r="T72" s="97" t="s">
        <v>567</v>
      </c>
      <c r="U72" s="97" t="s">
        <v>557</v>
      </c>
      <c r="V72" s="97" t="s">
        <v>557</v>
      </c>
      <c r="W72" s="97" t="s">
        <v>567</v>
      </c>
      <c r="X72" s="97" t="s">
        <v>567</v>
      </c>
      <c r="Y72" s="97" t="s">
        <v>567</v>
      </c>
      <c r="Z72" s="97" t="s">
        <v>567</v>
      </c>
      <c r="AA72" s="97" t="s">
        <v>567</v>
      </c>
      <c r="AB72" s="97" t="s">
        <v>557</v>
      </c>
      <c r="AC72" s="97" t="s">
        <v>557</v>
      </c>
      <c r="AD72" s="97" t="s">
        <v>567</v>
      </c>
      <c r="AE72" s="97" t="s">
        <v>567</v>
      </c>
      <c r="AF72" s="97" t="s">
        <v>567</v>
      </c>
      <c r="AG72" s="97" t="s">
        <v>567</v>
      </c>
      <c r="AH72" s="97" t="s">
        <v>567</v>
      </c>
      <c r="AI72" s="97" t="s">
        <v>567</v>
      </c>
      <c r="AJ72" s="97" t="s">
        <v>557</v>
      </c>
      <c r="AK72" s="97" t="s">
        <v>567</v>
      </c>
      <c r="AL72" s="97" t="s">
        <v>567</v>
      </c>
      <c r="AM72" s="97" t="s">
        <v>567</v>
      </c>
      <c r="AO72" s="116">
        <f t="shared" si="1"/>
        <v>0</v>
      </c>
      <c r="AP72" s="116">
        <f t="shared" si="5"/>
        <v>0</v>
      </c>
      <c r="AQ72" s="116">
        <f t="shared" si="5"/>
        <v>6</v>
      </c>
      <c r="AR72" s="116">
        <f t="shared" si="5"/>
        <v>0</v>
      </c>
      <c r="AS72" s="116">
        <f t="shared" si="5"/>
        <v>0</v>
      </c>
      <c r="AT72" s="116">
        <f t="shared" si="5"/>
        <v>0</v>
      </c>
      <c r="AU72" s="116">
        <f t="shared" si="5"/>
        <v>0</v>
      </c>
      <c r="AV72" s="116">
        <f t="shared" si="5"/>
        <v>0</v>
      </c>
      <c r="AW72" s="116">
        <f t="shared" si="5"/>
        <v>0</v>
      </c>
      <c r="AX72" s="116">
        <f t="shared" si="5"/>
        <v>0</v>
      </c>
      <c r="AY72" s="116">
        <f t="shared" si="5"/>
        <v>0</v>
      </c>
      <c r="AZ72" s="116">
        <f t="shared" si="5"/>
        <v>0</v>
      </c>
      <c r="BA72" s="116">
        <f t="shared" si="5"/>
        <v>24</v>
      </c>
      <c r="BB72" s="117">
        <f t="shared" si="2"/>
        <v>30</v>
      </c>
      <c r="BD72" s="137">
        <v>30</v>
      </c>
    </row>
    <row r="73" spans="1:56" ht="48.95" customHeight="1">
      <c r="B73" s="112">
        <v>65</v>
      </c>
      <c r="C73" s="113">
        <v>52033728</v>
      </c>
      <c r="D73" s="114" t="s">
        <v>715</v>
      </c>
      <c r="E73" s="134" t="s">
        <v>792</v>
      </c>
      <c r="F73" s="214" t="s">
        <v>712</v>
      </c>
      <c r="G73" s="262" t="s">
        <v>161</v>
      </c>
      <c r="H73" s="114" t="s">
        <v>605</v>
      </c>
      <c r="I73" s="114" t="s">
        <v>606</v>
      </c>
      <c r="J73" s="97" t="s">
        <v>567</v>
      </c>
      <c r="K73" s="97" t="s">
        <v>567</v>
      </c>
      <c r="L73" s="97" t="s">
        <v>567</v>
      </c>
      <c r="M73" s="97" t="s">
        <v>567</v>
      </c>
      <c r="N73" s="97" t="s">
        <v>557</v>
      </c>
      <c r="O73" s="97" t="s">
        <v>567</v>
      </c>
      <c r="P73" s="97" t="s">
        <v>567</v>
      </c>
      <c r="Q73" s="97" t="s">
        <v>567</v>
      </c>
      <c r="R73" s="97" t="s">
        <v>567</v>
      </c>
      <c r="S73" s="97" t="s">
        <v>567</v>
      </c>
      <c r="T73" s="97" t="s">
        <v>567</v>
      </c>
      <c r="U73" s="97" t="s">
        <v>557</v>
      </c>
      <c r="V73" s="97" t="s">
        <v>557</v>
      </c>
      <c r="W73" s="97" t="s">
        <v>567</v>
      </c>
      <c r="X73" s="97" t="s">
        <v>567</v>
      </c>
      <c r="Y73" s="97" t="s">
        <v>567</v>
      </c>
      <c r="Z73" s="97" t="s">
        <v>567</v>
      </c>
      <c r="AA73" s="97" t="s">
        <v>567</v>
      </c>
      <c r="AB73" s="97" t="s">
        <v>557</v>
      </c>
      <c r="AC73" s="97" t="s">
        <v>557</v>
      </c>
      <c r="AD73" s="97" t="s">
        <v>567</v>
      </c>
      <c r="AE73" s="97" t="s">
        <v>567</v>
      </c>
      <c r="AF73" s="97" t="s">
        <v>567</v>
      </c>
      <c r="AG73" s="97" t="s">
        <v>567</v>
      </c>
      <c r="AH73" s="97" t="s">
        <v>567</v>
      </c>
      <c r="AI73" s="97" t="s">
        <v>567</v>
      </c>
      <c r="AJ73" s="97" t="s">
        <v>557</v>
      </c>
      <c r="AK73" s="97" t="s">
        <v>567</v>
      </c>
      <c r="AL73" s="97" t="s">
        <v>567</v>
      </c>
      <c r="AM73" s="97" t="s">
        <v>567</v>
      </c>
      <c r="AO73" s="116">
        <f t="shared" si="1"/>
        <v>0</v>
      </c>
      <c r="AP73" s="116">
        <f t="shared" si="5"/>
        <v>0</v>
      </c>
      <c r="AQ73" s="116">
        <f t="shared" si="5"/>
        <v>6</v>
      </c>
      <c r="AR73" s="116">
        <f t="shared" si="5"/>
        <v>0</v>
      </c>
      <c r="AS73" s="116">
        <f t="shared" si="5"/>
        <v>0</v>
      </c>
      <c r="AT73" s="116">
        <f t="shared" si="5"/>
        <v>0</v>
      </c>
      <c r="AU73" s="116">
        <f t="shared" si="5"/>
        <v>0</v>
      </c>
      <c r="AV73" s="116">
        <f t="shared" si="5"/>
        <v>0</v>
      </c>
      <c r="AW73" s="116">
        <f t="shared" si="5"/>
        <v>0</v>
      </c>
      <c r="AX73" s="116">
        <f t="shared" si="5"/>
        <v>0</v>
      </c>
      <c r="AY73" s="116">
        <f t="shared" si="5"/>
        <v>0</v>
      </c>
      <c r="AZ73" s="116">
        <f t="shared" si="5"/>
        <v>0</v>
      </c>
      <c r="BA73" s="116">
        <f t="shared" si="5"/>
        <v>24</v>
      </c>
      <c r="BB73" s="117">
        <f t="shared" si="2"/>
        <v>30</v>
      </c>
      <c r="BD73" s="137">
        <v>30</v>
      </c>
    </row>
    <row r="74" spans="1:56" ht="48.95" customHeight="1">
      <c r="B74" s="112">
        <v>66</v>
      </c>
      <c r="C74" s="113">
        <v>79667853</v>
      </c>
      <c r="D74" s="114" t="s">
        <v>916</v>
      </c>
      <c r="E74" s="134" t="s">
        <v>792</v>
      </c>
      <c r="F74" s="78" t="s">
        <v>507</v>
      </c>
      <c r="G74" s="260" t="s">
        <v>161</v>
      </c>
      <c r="H74" s="114" t="s">
        <v>917</v>
      </c>
      <c r="I74" s="114" t="s">
        <v>597</v>
      </c>
      <c r="J74" s="97" t="s">
        <v>567</v>
      </c>
      <c r="K74" s="97" t="s">
        <v>567</v>
      </c>
      <c r="L74" s="97" t="s">
        <v>567</v>
      </c>
      <c r="M74" s="97" t="s">
        <v>567</v>
      </c>
      <c r="N74" s="97" t="s">
        <v>557</v>
      </c>
      <c r="O74" s="97" t="s">
        <v>567</v>
      </c>
      <c r="P74" s="97" t="s">
        <v>567</v>
      </c>
      <c r="Q74" s="97" t="s">
        <v>567</v>
      </c>
      <c r="R74" s="97" t="s">
        <v>567</v>
      </c>
      <c r="S74" s="97" t="s">
        <v>567</v>
      </c>
      <c r="T74" s="97" t="s">
        <v>567</v>
      </c>
      <c r="U74" s="97" t="s">
        <v>557</v>
      </c>
      <c r="V74" s="97" t="s">
        <v>557</v>
      </c>
      <c r="W74" s="97" t="s">
        <v>567</v>
      </c>
      <c r="X74" s="97" t="s">
        <v>567</v>
      </c>
      <c r="Y74" s="97" t="s">
        <v>567</v>
      </c>
      <c r="Z74" s="97" t="s">
        <v>567</v>
      </c>
      <c r="AA74" s="97" t="s">
        <v>567</v>
      </c>
      <c r="AB74" s="97" t="s">
        <v>557</v>
      </c>
      <c r="AC74" s="97" t="s">
        <v>557</v>
      </c>
      <c r="AD74" s="97" t="s">
        <v>567</v>
      </c>
      <c r="AE74" s="97" t="s">
        <v>567</v>
      </c>
      <c r="AF74" s="97" t="s">
        <v>567</v>
      </c>
      <c r="AG74" s="97" t="s">
        <v>567</v>
      </c>
      <c r="AH74" s="97" t="s">
        <v>567</v>
      </c>
      <c r="AI74" s="97" t="s">
        <v>567</v>
      </c>
      <c r="AJ74" s="97" t="s">
        <v>557</v>
      </c>
      <c r="AK74" s="97" t="s">
        <v>567</v>
      </c>
      <c r="AL74" s="97" t="s">
        <v>567</v>
      </c>
      <c r="AM74" s="97" t="s">
        <v>567</v>
      </c>
      <c r="AO74" s="116">
        <f t="shared" ref="AO74:BA98" si="6">COUNTIF($J74:$AM74,AO$7)</f>
        <v>0</v>
      </c>
      <c r="AP74" s="116">
        <f t="shared" si="5"/>
        <v>0</v>
      </c>
      <c r="AQ74" s="116">
        <f t="shared" si="5"/>
        <v>6</v>
      </c>
      <c r="AR74" s="116">
        <f t="shared" si="5"/>
        <v>0</v>
      </c>
      <c r="AS74" s="116">
        <f t="shared" si="5"/>
        <v>0</v>
      </c>
      <c r="AT74" s="116">
        <f t="shared" si="5"/>
        <v>0</v>
      </c>
      <c r="AU74" s="116">
        <f t="shared" si="5"/>
        <v>0</v>
      </c>
      <c r="AV74" s="116">
        <f t="shared" si="5"/>
        <v>0</v>
      </c>
      <c r="AW74" s="116">
        <f t="shared" si="5"/>
        <v>0</v>
      </c>
      <c r="AX74" s="116">
        <f t="shared" si="5"/>
        <v>0</v>
      </c>
      <c r="AY74" s="116">
        <f t="shared" si="5"/>
        <v>0</v>
      </c>
      <c r="AZ74" s="116">
        <f t="shared" si="5"/>
        <v>0</v>
      </c>
      <c r="BA74" s="116">
        <f t="shared" si="5"/>
        <v>24</v>
      </c>
      <c r="BB74" s="117">
        <f t="shared" ref="BB74:BB137" si="7">+BA74+AQ74</f>
        <v>30</v>
      </c>
      <c r="BD74" s="137">
        <v>30</v>
      </c>
    </row>
    <row r="75" spans="1:56" ht="48.95" customHeight="1">
      <c r="B75" s="112">
        <v>67</v>
      </c>
      <c r="C75" s="113">
        <v>79670360</v>
      </c>
      <c r="D75" s="114" t="s">
        <v>918</v>
      </c>
      <c r="E75" s="134" t="s">
        <v>792</v>
      </c>
      <c r="F75" s="78" t="s">
        <v>506</v>
      </c>
      <c r="G75" s="260" t="s">
        <v>161</v>
      </c>
      <c r="H75" s="114" t="s">
        <v>919</v>
      </c>
      <c r="I75" s="255" t="s">
        <v>920</v>
      </c>
      <c r="J75" s="97">
        <v>0</v>
      </c>
      <c r="K75" s="97">
        <v>0</v>
      </c>
      <c r="L75" s="97">
        <v>0</v>
      </c>
      <c r="M75" s="97">
        <v>0</v>
      </c>
      <c r="N75" s="97">
        <v>0</v>
      </c>
      <c r="O75" s="97">
        <v>0</v>
      </c>
      <c r="P75" s="97">
        <v>0</v>
      </c>
      <c r="Q75" s="97">
        <v>0</v>
      </c>
      <c r="R75" s="97">
        <v>0</v>
      </c>
      <c r="S75" s="97">
        <v>0</v>
      </c>
      <c r="T75" s="97">
        <v>0</v>
      </c>
      <c r="U75" s="97">
        <v>0</v>
      </c>
      <c r="V75" s="97">
        <v>0</v>
      </c>
      <c r="W75" s="97">
        <v>0</v>
      </c>
      <c r="X75" s="97">
        <v>0</v>
      </c>
      <c r="Y75" s="97">
        <v>0</v>
      </c>
      <c r="Z75" s="97">
        <v>0</v>
      </c>
      <c r="AA75" s="97">
        <v>0</v>
      </c>
      <c r="AB75" s="97">
        <v>0</v>
      </c>
      <c r="AC75" s="97">
        <v>0</v>
      </c>
      <c r="AD75" s="97">
        <v>0</v>
      </c>
      <c r="AE75" s="97">
        <v>0</v>
      </c>
      <c r="AF75" s="97">
        <v>0</v>
      </c>
      <c r="AG75" s="97">
        <v>0</v>
      </c>
      <c r="AH75" s="97">
        <v>0</v>
      </c>
      <c r="AI75" s="97" t="s">
        <v>567</v>
      </c>
      <c r="AJ75" s="97" t="s">
        <v>557</v>
      </c>
      <c r="AK75" s="97" t="s">
        <v>567</v>
      </c>
      <c r="AL75" s="97" t="s">
        <v>567</v>
      </c>
      <c r="AM75" s="97" t="s">
        <v>567</v>
      </c>
      <c r="AO75" s="116">
        <f t="shared" si="6"/>
        <v>0</v>
      </c>
      <c r="AP75" s="116">
        <f t="shared" si="5"/>
        <v>0</v>
      </c>
      <c r="AQ75" s="116">
        <f t="shared" si="5"/>
        <v>1</v>
      </c>
      <c r="AR75" s="116">
        <f t="shared" si="5"/>
        <v>0</v>
      </c>
      <c r="AS75" s="116">
        <f t="shared" si="5"/>
        <v>0</v>
      </c>
      <c r="AT75" s="116">
        <f t="shared" si="5"/>
        <v>0</v>
      </c>
      <c r="AU75" s="116">
        <f t="shared" si="5"/>
        <v>0</v>
      </c>
      <c r="AV75" s="116">
        <f t="shared" si="5"/>
        <v>0</v>
      </c>
      <c r="AW75" s="116">
        <f t="shared" si="5"/>
        <v>0</v>
      </c>
      <c r="AX75" s="116">
        <f t="shared" si="5"/>
        <v>0</v>
      </c>
      <c r="AY75" s="116">
        <f t="shared" si="5"/>
        <v>0</v>
      </c>
      <c r="AZ75" s="116">
        <f t="shared" si="5"/>
        <v>0</v>
      </c>
      <c r="BA75" s="116">
        <f t="shared" si="5"/>
        <v>4</v>
      </c>
      <c r="BB75" s="117">
        <f t="shared" si="7"/>
        <v>5</v>
      </c>
      <c r="BD75" s="137">
        <v>5</v>
      </c>
    </row>
    <row r="76" spans="1:56" ht="48.95" customHeight="1">
      <c r="B76" s="112">
        <v>68</v>
      </c>
      <c r="C76" s="113">
        <v>1126122552</v>
      </c>
      <c r="D76" s="114" t="s">
        <v>921</v>
      </c>
      <c r="E76" s="134" t="s">
        <v>792</v>
      </c>
      <c r="F76" s="78" t="s">
        <v>507</v>
      </c>
      <c r="G76" s="260" t="s">
        <v>161</v>
      </c>
      <c r="H76" s="114" t="s">
        <v>922</v>
      </c>
      <c r="I76" s="114" t="s">
        <v>597</v>
      </c>
      <c r="J76" s="97" t="s">
        <v>567</v>
      </c>
      <c r="K76" s="97" t="s">
        <v>567</v>
      </c>
      <c r="L76" s="97" t="s">
        <v>567</v>
      </c>
      <c r="M76" s="97" t="s">
        <v>567</v>
      </c>
      <c r="N76" s="97" t="s">
        <v>557</v>
      </c>
      <c r="O76" s="97" t="s">
        <v>567</v>
      </c>
      <c r="P76" s="97" t="s">
        <v>567</v>
      </c>
      <c r="Q76" s="97" t="s">
        <v>567</v>
      </c>
      <c r="R76" s="97" t="s">
        <v>567</v>
      </c>
      <c r="S76" s="97" t="s">
        <v>567</v>
      </c>
      <c r="T76" s="97" t="s">
        <v>567</v>
      </c>
      <c r="U76" s="97" t="s">
        <v>557</v>
      </c>
      <c r="V76" s="97" t="s">
        <v>557</v>
      </c>
      <c r="W76" s="97" t="s">
        <v>567</v>
      </c>
      <c r="X76" s="97" t="s">
        <v>567</v>
      </c>
      <c r="Y76" s="97" t="s">
        <v>567</v>
      </c>
      <c r="Z76" s="97" t="s">
        <v>567</v>
      </c>
      <c r="AA76" s="97" t="s">
        <v>567</v>
      </c>
      <c r="AB76" s="97" t="s">
        <v>557</v>
      </c>
      <c r="AC76" s="97" t="s">
        <v>557</v>
      </c>
      <c r="AD76" s="97" t="s">
        <v>567</v>
      </c>
      <c r="AE76" s="97" t="s">
        <v>567</v>
      </c>
      <c r="AF76" s="97" t="s">
        <v>567</v>
      </c>
      <c r="AG76" s="97" t="s">
        <v>567</v>
      </c>
      <c r="AH76" s="97" t="s">
        <v>558</v>
      </c>
      <c r="AI76" s="97" t="s">
        <v>558</v>
      </c>
      <c r="AJ76" s="97" t="s">
        <v>557</v>
      </c>
      <c r="AK76" s="97" t="s">
        <v>567</v>
      </c>
      <c r="AL76" s="97" t="s">
        <v>567</v>
      </c>
      <c r="AM76" s="97" t="s">
        <v>567</v>
      </c>
      <c r="AO76" s="116">
        <f t="shared" si="6"/>
        <v>0</v>
      </c>
      <c r="AP76" s="116">
        <f t="shared" si="5"/>
        <v>0</v>
      </c>
      <c r="AQ76" s="116">
        <f t="shared" si="5"/>
        <v>6</v>
      </c>
      <c r="AR76" s="116">
        <f t="shared" si="5"/>
        <v>2</v>
      </c>
      <c r="AS76" s="116">
        <f t="shared" si="5"/>
        <v>0</v>
      </c>
      <c r="AT76" s="116">
        <f t="shared" si="5"/>
        <v>0</v>
      </c>
      <c r="AU76" s="116">
        <f t="shared" si="5"/>
        <v>0</v>
      </c>
      <c r="AV76" s="116">
        <f t="shared" si="5"/>
        <v>0</v>
      </c>
      <c r="AW76" s="116">
        <f t="shared" si="5"/>
        <v>0</v>
      </c>
      <c r="AX76" s="116">
        <f t="shared" si="5"/>
        <v>0</v>
      </c>
      <c r="AY76" s="116">
        <f t="shared" si="5"/>
        <v>0</v>
      </c>
      <c r="AZ76" s="116">
        <f t="shared" si="5"/>
        <v>0</v>
      </c>
      <c r="BA76" s="116">
        <f t="shared" si="5"/>
        <v>22</v>
      </c>
      <c r="BB76" s="117">
        <f t="shared" si="7"/>
        <v>28</v>
      </c>
      <c r="BD76" s="137">
        <v>30</v>
      </c>
    </row>
    <row r="77" spans="1:56" ht="48.95" customHeight="1">
      <c r="B77" s="112">
        <v>69</v>
      </c>
      <c r="C77" s="113">
        <v>64577288</v>
      </c>
      <c r="D77" s="114" t="s">
        <v>923</v>
      </c>
      <c r="E77" s="134" t="s">
        <v>792</v>
      </c>
      <c r="F77" s="78" t="s">
        <v>507</v>
      </c>
      <c r="G77" s="260" t="s">
        <v>161</v>
      </c>
      <c r="H77" s="114" t="s">
        <v>924</v>
      </c>
      <c r="I77" s="114" t="s">
        <v>597</v>
      </c>
      <c r="J77" s="97" t="s">
        <v>567</v>
      </c>
      <c r="K77" s="97" t="s">
        <v>567</v>
      </c>
      <c r="L77" s="97" t="s">
        <v>567</v>
      </c>
      <c r="M77" s="97" t="s">
        <v>567</v>
      </c>
      <c r="N77" s="97" t="s">
        <v>557</v>
      </c>
      <c r="O77" s="97" t="s">
        <v>567</v>
      </c>
      <c r="P77" s="97" t="s">
        <v>567</v>
      </c>
      <c r="Q77" s="97" t="s">
        <v>567</v>
      </c>
      <c r="R77" s="97" t="s">
        <v>567</v>
      </c>
      <c r="S77" s="97" t="s">
        <v>567</v>
      </c>
      <c r="T77" s="97" t="s">
        <v>567</v>
      </c>
      <c r="U77" s="97" t="s">
        <v>557</v>
      </c>
      <c r="V77" s="97" t="s">
        <v>557</v>
      </c>
      <c r="W77" s="97" t="s">
        <v>567</v>
      </c>
      <c r="X77" s="97" t="s">
        <v>567</v>
      </c>
      <c r="Y77" s="97" t="s">
        <v>567</v>
      </c>
      <c r="Z77" s="97" t="s">
        <v>567</v>
      </c>
      <c r="AA77" s="97" t="s">
        <v>567</v>
      </c>
      <c r="AB77" s="97" t="s">
        <v>557</v>
      </c>
      <c r="AC77" s="97" t="s">
        <v>557</v>
      </c>
      <c r="AD77" s="97" t="s">
        <v>567</v>
      </c>
      <c r="AE77" s="97" t="s">
        <v>567</v>
      </c>
      <c r="AF77" s="97" t="s">
        <v>567</v>
      </c>
      <c r="AG77" s="97" t="s">
        <v>567</v>
      </c>
      <c r="AH77" s="97" t="s">
        <v>567</v>
      </c>
      <c r="AI77" s="97" t="s">
        <v>567</v>
      </c>
      <c r="AJ77" s="97" t="s">
        <v>557</v>
      </c>
      <c r="AK77" s="97" t="s">
        <v>567</v>
      </c>
      <c r="AL77" s="97" t="s">
        <v>567</v>
      </c>
      <c r="AM77" s="97" t="s">
        <v>567</v>
      </c>
      <c r="AO77" s="116">
        <f t="shared" si="6"/>
        <v>0</v>
      </c>
      <c r="AP77" s="116">
        <f t="shared" si="5"/>
        <v>0</v>
      </c>
      <c r="AQ77" s="116">
        <f t="shared" si="5"/>
        <v>6</v>
      </c>
      <c r="AR77" s="116">
        <f t="shared" si="5"/>
        <v>0</v>
      </c>
      <c r="AS77" s="116">
        <f t="shared" si="5"/>
        <v>0</v>
      </c>
      <c r="AT77" s="116">
        <f t="shared" si="5"/>
        <v>0</v>
      </c>
      <c r="AU77" s="116">
        <f t="shared" si="5"/>
        <v>0</v>
      </c>
      <c r="AV77" s="116">
        <f t="shared" si="5"/>
        <v>0</v>
      </c>
      <c r="AW77" s="116">
        <f t="shared" si="5"/>
        <v>0</v>
      </c>
      <c r="AX77" s="116">
        <f t="shared" si="5"/>
        <v>0</v>
      </c>
      <c r="AY77" s="116">
        <f t="shared" si="5"/>
        <v>0</v>
      </c>
      <c r="AZ77" s="116">
        <f t="shared" si="5"/>
        <v>0</v>
      </c>
      <c r="BA77" s="116">
        <f t="shared" si="5"/>
        <v>24</v>
      </c>
      <c r="BB77" s="117">
        <f t="shared" si="7"/>
        <v>30</v>
      </c>
      <c r="BD77" s="137">
        <v>30</v>
      </c>
    </row>
    <row r="78" spans="1:56" ht="48.95" customHeight="1">
      <c r="A78" s="90" t="s">
        <v>511</v>
      </c>
      <c r="B78" s="112">
        <v>70</v>
      </c>
      <c r="C78" s="113">
        <v>52295887</v>
      </c>
      <c r="D78" s="114" t="s">
        <v>925</v>
      </c>
      <c r="E78" s="134" t="s">
        <v>792</v>
      </c>
      <c r="F78" s="78" t="s">
        <v>509</v>
      </c>
      <c r="G78" s="260" t="s">
        <v>161</v>
      </c>
      <c r="H78" s="114" t="s">
        <v>926</v>
      </c>
      <c r="I78" s="114" t="s">
        <v>724</v>
      </c>
      <c r="J78" s="97" t="s">
        <v>567</v>
      </c>
      <c r="K78" s="97" t="s">
        <v>567</v>
      </c>
      <c r="L78" s="97" t="s">
        <v>567</v>
      </c>
      <c r="M78" s="97" t="s">
        <v>567</v>
      </c>
      <c r="N78" s="97" t="s">
        <v>557</v>
      </c>
      <c r="O78" s="97" t="s">
        <v>567</v>
      </c>
      <c r="P78" s="97" t="s">
        <v>567</v>
      </c>
      <c r="Q78" s="97" t="s">
        <v>567</v>
      </c>
      <c r="R78" s="97" t="s">
        <v>567</v>
      </c>
      <c r="S78" s="97" t="s">
        <v>567</v>
      </c>
      <c r="T78" s="97" t="s">
        <v>567</v>
      </c>
      <c r="U78" s="97" t="s">
        <v>557</v>
      </c>
      <c r="V78" s="97" t="s">
        <v>557</v>
      </c>
      <c r="W78" s="97" t="s">
        <v>567</v>
      </c>
      <c r="X78" s="97" t="s">
        <v>567</v>
      </c>
      <c r="Y78" s="97" t="s">
        <v>567</v>
      </c>
      <c r="Z78" s="97" t="s">
        <v>567</v>
      </c>
      <c r="AA78" s="97" t="s">
        <v>567</v>
      </c>
      <c r="AB78" s="97" t="s">
        <v>557</v>
      </c>
      <c r="AC78" s="97" t="s">
        <v>557</v>
      </c>
      <c r="AD78" s="97" t="s">
        <v>567</v>
      </c>
      <c r="AE78" s="97" t="s">
        <v>567</v>
      </c>
      <c r="AF78" s="97" t="s">
        <v>567</v>
      </c>
      <c r="AG78" s="97" t="s">
        <v>567</v>
      </c>
      <c r="AH78" s="97" t="s">
        <v>567</v>
      </c>
      <c r="AI78" s="97" t="s">
        <v>567</v>
      </c>
      <c r="AJ78" s="97" t="s">
        <v>557</v>
      </c>
      <c r="AK78" s="97" t="s">
        <v>567</v>
      </c>
      <c r="AL78" s="97" t="s">
        <v>567</v>
      </c>
      <c r="AM78" s="97" t="s">
        <v>567</v>
      </c>
      <c r="AO78" s="116">
        <f t="shared" si="6"/>
        <v>0</v>
      </c>
      <c r="AP78" s="116">
        <f t="shared" si="5"/>
        <v>0</v>
      </c>
      <c r="AQ78" s="116">
        <f t="shared" si="5"/>
        <v>6</v>
      </c>
      <c r="AR78" s="116">
        <f t="shared" si="5"/>
        <v>0</v>
      </c>
      <c r="AS78" s="116">
        <f t="shared" si="5"/>
        <v>0</v>
      </c>
      <c r="AT78" s="116">
        <f t="shared" si="5"/>
        <v>0</v>
      </c>
      <c r="AU78" s="116">
        <f t="shared" si="5"/>
        <v>0</v>
      </c>
      <c r="AV78" s="116">
        <f t="shared" si="5"/>
        <v>0</v>
      </c>
      <c r="AW78" s="116">
        <f t="shared" si="5"/>
        <v>0</v>
      </c>
      <c r="AX78" s="116">
        <f t="shared" si="5"/>
        <v>0</v>
      </c>
      <c r="AY78" s="116">
        <f t="shared" si="5"/>
        <v>0</v>
      </c>
      <c r="AZ78" s="116">
        <f t="shared" si="5"/>
        <v>0</v>
      </c>
      <c r="BA78" s="116">
        <f t="shared" si="5"/>
        <v>24</v>
      </c>
      <c r="BB78" s="117">
        <f t="shared" si="7"/>
        <v>30</v>
      </c>
      <c r="BD78" s="137">
        <v>30</v>
      </c>
    </row>
    <row r="79" spans="1:56" ht="48.95" customHeight="1">
      <c r="B79" s="112">
        <v>71</v>
      </c>
      <c r="C79" s="113">
        <v>1073715044</v>
      </c>
      <c r="D79" s="114" t="s">
        <v>927</v>
      </c>
      <c r="E79" s="134" t="s">
        <v>792</v>
      </c>
      <c r="F79" s="78" t="s">
        <v>509</v>
      </c>
      <c r="G79" s="260" t="s">
        <v>161</v>
      </c>
      <c r="H79" s="114"/>
      <c r="I79" s="255" t="s">
        <v>928</v>
      </c>
      <c r="J79" s="97">
        <v>0</v>
      </c>
      <c r="K79" s="97">
        <v>0</v>
      </c>
      <c r="L79" s="97">
        <v>0</v>
      </c>
      <c r="M79" s="97">
        <v>0</v>
      </c>
      <c r="N79" s="97">
        <v>0</v>
      </c>
      <c r="O79" s="97">
        <v>0</v>
      </c>
      <c r="P79" s="97">
        <v>0</v>
      </c>
      <c r="Q79" s="97">
        <v>0</v>
      </c>
      <c r="R79" s="97">
        <v>0</v>
      </c>
      <c r="S79" s="97">
        <v>0</v>
      </c>
      <c r="T79" s="97">
        <v>0</v>
      </c>
      <c r="U79" s="97">
        <v>0</v>
      </c>
      <c r="V79" s="97">
        <v>0</v>
      </c>
      <c r="W79" s="97">
        <v>0</v>
      </c>
      <c r="X79" s="97">
        <v>0</v>
      </c>
      <c r="Y79" s="97" t="s">
        <v>567</v>
      </c>
      <c r="Z79" s="97" t="s">
        <v>567</v>
      </c>
      <c r="AA79" s="97" t="s">
        <v>567</v>
      </c>
      <c r="AB79" s="97" t="s">
        <v>557</v>
      </c>
      <c r="AC79" s="97" t="s">
        <v>557</v>
      </c>
      <c r="AD79" s="97" t="s">
        <v>567</v>
      </c>
      <c r="AE79" s="97" t="s">
        <v>567</v>
      </c>
      <c r="AF79" s="97" t="s">
        <v>567</v>
      </c>
      <c r="AG79" s="97" t="s">
        <v>567</v>
      </c>
      <c r="AH79" s="97" t="s">
        <v>567</v>
      </c>
      <c r="AI79" s="97" t="s">
        <v>567</v>
      </c>
      <c r="AJ79" s="97" t="s">
        <v>557</v>
      </c>
      <c r="AK79" s="97" t="s">
        <v>567</v>
      </c>
      <c r="AL79" s="97" t="s">
        <v>567</v>
      </c>
      <c r="AM79" s="97" t="s">
        <v>567</v>
      </c>
      <c r="AO79" s="116">
        <f t="shared" si="6"/>
        <v>0</v>
      </c>
      <c r="AP79" s="116">
        <f t="shared" si="6"/>
        <v>0</v>
      </c>
      <c r="AQ79" s="116">
        <f t="shared" si="6"/>
        <v>3</v>
      </c>
      <c r="AR79" s="116">
        <f t="shared" si="6"/>
        <v>0</v>
      </c>
      <c r="AS79" s="116">
        <f t="shared" si="6"/>
        <v>0</v>
      </c>
      <c r="AT79" s="116">
        <f t="shared" si="6"/>
        <v>0</v>
      </c>
      <c r="AU79" s="116">
        <f t="shared" si="6"/>
        <v>0</v>
      </c>
      <c r="AV79" s="116">
        <f t="shared" si="6"/>
        <v>0</v>
      </c>
      <c r="AW79" s="116">
        <f t="shared" si="6"/>
        <v>0</v>
      </c>
      <c r="AX79" s="116">
        <f t="shared" si="6"/>
        <v>0</v>
      </c>
      <c r="AY79" s="116">
        <f t="shared" si="6"/>
        <v>0</v>
      </c>
      <c r="AZ79" s="116">
        <f t="shared" si="6"/>
        <v>0</v>
      </c>
      <c r="BA79" s="116">
        <f t="shared" si="6"/>
        <v>12</v>
      </c>
      <c r="BB79" s="117">
        <f t="shared" si="7"/>
        <v>15</v>
      </c>
      <c r="BD79" s="137">
        <v>15</v>
      </c>
    </row>
    <row r="80" spans="1:56" ht="48.95" customHeight="1">
      <c r="B80" s="112">
        <v>72</v>
      </c>
      <c r="C80" s="113">
        <v>52762197</v>
      </c>
      <c r="D80" s="114" t="s">
        <v>929</v>
      </c>
      <c r="E80" s="134" t="s">
        <v>792</v>
      </c>
      <c r="F80" s="78" t="s">
        <v>509</v>
      </c>
      <c r="G80" s="260" t="s">
        <v>161</v>
      </c>
      <c r="H80" s="114" t="s">
        <v>930</v>
      </c>
      <c r="I80" s="114" t="s">
        <v>597</v>
      </c>
      <c r="J80" s="97" t="s">
        <v>567</v>
      </c>
      <c r="K80" s="97" t="s">
        <v>567</v>
      </c>
      <c r="L80" s="97" t="s">
        <v>567</v>
      </c>
      <c r="M80" s="97" t="s">
        <v>567</v>
      </c>
      <c r="N80" s="97" t="s">
        <v>557</v>
      </c>
      <c r="O80" s="97" t="s">
        <v>567</v>
      </c>
      <c r="P80" s="97" t="s">
        <v>567</v>
      </c>
      <c r="Q80" s="97" t="s">
        <v>567</v>
      </c>
      <c r="R80" s="97" t="s">
        <v>567</v>
      </c>
      <c r="S80" s="97" t="s">
        <v>567</v>
      </c>
      <c r="T80" s="97" t="s">
        <v>567</v>
      </c>
      <c r="U80" s="97" t="s">
        <v>557</v>
      </c>
      <c r="V80" s="97" t="s">
        <v>557</v>
      </c>
      <c r="W80" s="97" t="s">
        <v>567</v>
      </c>
      <c r="X80" s="97" t="s">
        <v>567</v>
      </c>
      <c r="Y80" s="97" t="s">
        <v>567</v>
      </c>
      <c r="Z80" s="97" t="s">
        <v>567</v>
      </c>
      <c r="AA80" s="97" t="s">
        <v>567</v>
      </c>
      <c r="AB80" s="97" t="s">
        <v>557</v>
      </c>
      <c r="AC80" s="97" t="s">
        <v>557</v>
      </c>
      <c r="AD80" s="97" t="s">
        <v>567</v>
      </c>
      <c r="AE80" s="97" t="s">
        <v>567</v>
      </c>
      <c r="AF80" s="97" t="s">
        <v>564</v>
      </c>
      <c r="AG80" s="97" t="s">
        <v>564</v>
      </c>
      <c r="AH80" s="97" t="s">
        <v>564</v>
      </c>
      <c r="AI80" s="97" t="s">
        <v>567</v>
      </c>
      <c r="AJ80" s="97" t="s">
        <v>564</v>
      </c>
      <c r="AK80" s="97" t="s">
        <v>564</v>
      </c>
      <c r="AL80" s="97" t="s">
        <v>564</v>
      </c>
      <c r="AM80" s="97" t="s">
        <v>564</v>
      </c>
      <c r="AO80" s="116">
        <f t="shared" si="6"/>
        <v>0</v>
      </c>
      <c r="AP80" s="116">
        <f t="shared" si="6"/>
        <v>0</v>
      </c>
      <c r="AQ80" s="116">
        <f t="shared" si="6"/>
        <v>5</v>
      </c>
      <c r="AR80" s="116">
        <f t="shared" si="6"/>
        <v>0</v>
      </c>
      <c r="AS80" s="116">
        <f t="shared" si="6"/>
        <v>0</v>
      </c>
      <c r="AT80" s="116">
        <f t="shared" si="6"/>
        <v>0</v>
      </c>
      <c r="AU80" s="116">
        <f t="shared" si="6"/>
        <v>0</v>
      </c>
      <c r="AV80" s="116">
        <f t="shared" si="6"/>
        <v>0</v>
      </c>
      <c r="AW80" s="116">
        <f t="shared" si="6"/>
        <v>0</v>
      </c>
      <c r="AX80" s="116">
        <f t="shared" si="6"/>
        <v>7</v>
      </c>
      <c r="AY80" s="116">
        <f t="shared" si="6"/>
        <v>0</v>
      </c>
      <c r="AZ80" s="116">
        <f t="shared" si="6"/>
        <v>0</v>
      </c>
      <c r="BA80" s="116">
        <f t="shared" si="6"/>
        <v>18</v>
      </c>
      <c r="BB80" s="117">
        <f t="shared" si="7"/>
        <v>23</v>
      </c>
      <c r="BD80" s="137">
        <v>30</v>
      </c>
    </row>
    <row r="81" spans="1:56" ht="48.95" customHeight="1">
      <c r="A81" s="256" t="s">
        <v>713</v>
      </c>
      <c r="B81" s="112">
        <v>73</v>
      </c>
      <c r="C81" s="113">
        <v>28115434</v>
      </c>
      <c r="D81" s="257" t="s">
        <v>931</v>
      </c>
      <c r="E81" s="134" t="s">
        <v>792</v>
      </c>
      <c r="F81" s="78" t="s">
        <v>506</v>
      </c>
      <c r="G81" s="260" t="s">
        <v>476</v>
      </c>
      <c r="H81" s="114" t="s">
        <v>932</v>
      </c>
      <c r="I81" s="114" t="s">
        <v>597</v>
      </c>
      <c r="J81" s="97" t="s">
        <v>566</v>
      </c>
      <c r="K81" s="97" t="s">
        <v>566</v>
      </c>
      <c r="L81" s="97" t="s">
        <v>566</v>
      </c>
      <c r="M81" s="97" t="s">
        <v>566</v>
      </c>
      <c r="N81" s="97" t="s">
        <v>566</v>
      </c>
      <c r="O81" s="97" t="s">
        <v>566</v>
      </c>
      <c r="P81" s="97" t="s">
        <v>566</v>
      </c>
      <c r="Q81" s="97" t="s">
        <v>566</v>
      </c>
      <c r="R81" s="97" t="s">
        <v>566</v>
      </c>
      <c r="S81" s="97" t="s">
        <v>566</v>
      </c>
      <c r="T81" s="97" t="s">
        <v>566</v>
      </c>
      <c r="U81" s="97" t="s">
        <v>557</v>
      </c>
      <c r="V81" s="97" t="s">
        <v>557</v>
      </c>
      <c r="W81" s="97" t="s">
        <v>567</v>
      </c>
      <c r="X81" s="97" t="s">
        <v>567</v>
      </c>
      <c r="Y81" s="97" t="s">
        <v>567</v>
      </c>
      <c r="Z81" s="97" t="s">
        <v>567</v>
      </c>
      <c r="AA81" s="97" t="s">
        <v>567</v>
      </c>
      <c r="AB81" s="97" t="s">
        <v>557</v>
      </c>
      <c r="AC81" s="97" t="s">
        <v>557</v>
      </c>
      <c r="AD81" s="97" t="s">
        <v>567</v>
      </c>
      <c r="AE81" s="97" t="s">
        <v>567</v>
      </c>
      <c r="AF81" s="97" t="s">
        <v>567</v>
      </c>
      <c r="AG81" s="97" t="s">
        <v>567</v>
      </c>
      <c r="AH81" s="97" t="s">
        <v>567</v>
      </c>
      <c r="AI81" s="97" t="s">
        <v>567</v>
      </c>
      <c r="AJ81" s="97" t="s">
        <v>557</v>
      </c>
      <c r="AK81" s="97" t="s">
        <v>567</v>
      </c>
      <c r="AL81" s="97" t="s">
        <v>567</v>
      </c>
      <c r="AM81" s="97" t="s">
        <v>567</v>
      </c>
      <c r="AO81" s="116">
        <f t="shared" si="6"/>
        <v>0</v>
      </c>
      <c r="AP81" s="116">
        <f t="shared" si="6"/>
        <v>0</v>
      </c>
      <c r="AQ81" s="116">
        <f t="shared" si="6"/>
        <v>5</v>
      </c>
      <c r="AR81" s="116">
        <f t="shared" si="6"/>
        <v>0</v>
      </c>
      <c r="AS81" s="116">
        <f t="shared" si="6"/>
        <v>0</v>
      </c>
      <c r="AT81" s="116">
        <f t="shared" si="6"/>
        <v>0</v>
      </c>
      <c r="AU81" s="116">
        <f t="shared" si="6"/>
        <v>0</v>
      </c>
      <c r="AV81" s="116">
        <f t="shared" si="6"/>
        <v>0</v>
      </c>
      <c r="AW81" s="116">
        <f t="shared" si="6"/>
        <v>0</v>
      </c>
      <c r="AX81" s="116">
        <f t="shared" si="6"/>
        <v>0</v>
      </c>
      <c r="AY81" s="116">
        <f t="shared" si="6"/>
        <v>0</v>
      </c>
      <c r="AZ81" s="116">
        <f t="shared" si="6"/>
        <v>11</v>
      </c>
      <c r="BA81" s="116">
        <f t="shared" si="6"/>
        <v>14</v>
      </c>
      <c r="BB81" s="117">
        <f t="shared" si="7"/>
        <v>19</v>
      </c>
      <c r="BD81" s="137">
        <v>30</v>
      </c>
    </row>
    <row r="82" spans="1:56" ht="48.95" customHeight="1">
      <c r="B82" s="112">
        <v>74</v>
      </c>
      <c r="C82" s="113">
        <v>1007186042</v>
      </c>
      <c r="D82" s="114" t="s">
        <v>933</v>
      </c>
      <c r="E82" s="115" t="s">
        <v>793</v>
      </c>
      <c r="F82" s="78" t="s">
        <v>506</v>
      </c>
      <c r="G82" s="77" t="s">
        <v>483</v>
      </c>
      <c r="H82" s="114" t="s">
        <v>934</v>
      </c>
      <c r="I82" s="114" t="s">
        <v>597</v>
      </c>
      <c r="J82" s="97" t="s">
        <v>567</v>
      </c>
      <c r="K82" s="97" t="s">
        <v>567</v>
      </c>
      <c r="L82" s="97" t="s">
        <v>567</v>
      </c>
      <c r="M82" s="97" t="s">
        <v>567</v>
      </c>
      <c r="N82" s="97" t="s">
        <v>557</v>
      </c>
      <c r="O82" s="97" t="s">
        <v>567</v>
      </c>
      <c r="P82" s="97" t="s">
        <v>567</v>
      </c>
      <c r="Q82" s="97" t="s">
        <v>567</v>
      </c>
      <c r="R82" s="97" t="s">
        <v>567</v>
      </c>
      <c r="S82" s="97" t="s">
        <v>567</v>
      </c>
      <c r="T82" s="97" t="s">
        <v>567</v>
      </c>
      <c r="U82" s="97" t="s">
        <v>557</v>
      </c>
      <c r="V82" s="97" t="s">
        <v>557</v>
      </c>
      <c r="W82" s="97" t="s">
        <v>567</v>
      </c>
      <c r="X82" s="97" t="s">
        <v>567</v>
      </c>
      <c r="Y82" s="97" t="s">
        <v>567</v>
      </c>
      <c r="Z82" s="97" t="s">
        <v>567</v>
      </c>
      <c r="AA82" s="97" t="s">
        <v>567</v>
      </c>
      <c r="AB82" s="97" t="s">
        <v>557</v>
      </c>
      <c r="AC82" s="97" t="s">
        <v>557</v>
      </c>
      <c r="AD82" s="97" t="s">
        <v>567</v>
      </c>
      <c r="AE82" s="97" t="s">
        <v>567</v>
      </c>
      <c r="AF82" s="97" t="s">
        <v>567</v>
      </c>
      <c r="AG82" s="97" t="s">
        <v>567</v>
      </c>
      <c r="AH82" s="97" t="s">
        <v>567</v>
      </c>
      <c r="AI82" s="97" t="s">
        <v>557</v>
      </c>
      <c r="AJ82" s="97" t="s">
        <v>567</v>
      </c>
      <c r="AK82" s="97" t="s">
        <v>567</v>
      </c>
      <c r="AL82" s="97" t="s">
        <v>567</v>
      </c>
      <c r="AM82" s="97" t="s">
        <v>567</v>
      </c>
      <c r="AO82" s="116">
        <f t="shared" si="6"/>
        <v>0</v>
      </c>
      <c r="AP82" s="116">
        <f t="shared" si="6"/>
        <v>0</v>
      </c>
      <c r="AQ82" s="116">
        <f t="shared" si="6"/>
        <v>6</v>
      </c>
      <c r="AR82" s="116">
        <f t="shared" si="6"/>
        <v>0</v>
      </c>
      <c r="AS82" s="116">
        <f t="shared" si="6"/>
        <v>0</v>
      </c>
      <c r="AT82" s="116">
        <f t="shared" si="6"/>
        <v>0</v>
      </c>
      <c r="AU82" s="116">
        <f t="shared" si="6"/>
        <v>0</v>
      </c>
      <c r="AV82" s="116">
        <f t="shared" si="6"/>
        <v>0</v>
      </c>
      <c r="AW82" s="116">
        <f t="shared" si="6"/>
        <v>0</v>
      </c>
      <c r="AX82" s="116">
        <f t="shared" si="6"/>
        <v>0</v>
      </c>
      <c r="AY82" s="116">
        <f t="shared" si="6"/>
        <v>0</v>
      </c>
      <c r="AZ82" s="116">
        <f t="shared" si="6"/>
        <v>0</v>
      </c>
      <c r="BA82" s="116">
        <f t="shared" si="6"/>
        <v>24</v>
      </c>
      <c r="BB82" s="117">
        <f t="shared" si="7"/>
        <v>30</v>
      </c>
      <c r="BD82" s="137">
        <v>30</v>
      </c>
    </row>
    <row r="83" spans="1:56" ht="48.95" customHeight="1">
      <c r="B83" s="112">
        <v>75</v>
      </c>
      <c r="C83" s="113">
        <v>80369946</v>
      </c>
      <c r="D83" s="114" t="s">
        <v>935</v>
      </c>
      <c r="E83" s="115" t="s">
        <v>793</v>
      </c>
      <c r="F83" s="78" t="s">
        <v>507</v>
      </c>
      <c r="G83" s="124" t="s">
        <v>480</v>
      </c>
      <c r="H83" s="114" t="s">
        <v>936</v>
      </c>
      <c r="I83" s="114" t="s">
        <v>597</v>
      </c>
      <c r="J83" s="97" t="s">
        <v>567</v>
      </c>
      <c r="K83" s="97" t="s">
        <v>567</v>
      </c>
      <c r="L83" s="97" t="s">
        <v>567</v>
      </c>
      <c r="M83" s="97" t="s">
        <v>567</v>
      </c>
      <c r="N83" s="97" t="s">
        <v>557</v>
      </c>
      <c r="O83" s="97" t="s">
        <v>567</v>
      </c>
      <c r="P83" s="97" t="s">
        <v>567</v>
      </c>
      <c r="Q83" s="97" t="s">
        <v>567</v>
      </c>
      <c r="R83" s="97" t="s">
        <v>567</v>
      </c>
      <c r="S83" s="97" t="s">
        <v>567</v>
      </c>
      <c r="T83" s="97" t="s">
        <v>567</v>
      </c>
      <c r="U83" s="97" t="s">
        <v>557</v>
      </c>
      <c r="V83" s="97" t="s">
        <v>557</v>
      </c>
      <c r="W83" s="97" t="s">
        <v>567</v>
      </c>
      <c r="X83" s="97" t="s">
        <v>567</v>
      </c>
      <c r="Y83" s="97" t="s">
        <v>567</v>
      </c>
      <c r="Z83" s="97" t="s">
        <v>567</v>
      </c>
      <c r="AA83" s="97" t="s">
        <v>567</v>
      </c>
      <c r="AB83" s="97" t="s">
        <v>557</v>
      </c>
      <c r="AC83" s="97" t="s">
        <v>557</v>
      </c>
      <c r="AD83" s="97" t="s">
        <v>567</v>
      </c>
      <c r="AE83" s="97" t="s">
        <v>567</v>
      </c>
      <c r="AF83" s="97" t="s">
        <v>567</v>
      </c>
      <c r="AG83" s="97" t="s">
        <v>567</v>
      </c>
      <c r="AH83" s="97" t="s">
        <v>567</v>
      </c>
      <c r="AI83" s="97" t="s">
        <v>557</v>
      </c>
      <c r="AJ83" s="97" t="s">
        <v>567</v>
      </c>
      <c r="AK83" s="97" t="s">
        <v>567</v>
      </c>
      <c r="AL83" s="97" t="s">
        <v>567</v>
      </c>
      <c r="AM83" s="97" t="s">
        <v>567</v>
      </c>
      <c r="AO83" s="116">
        <f t="shared" si="6"/>
        <v>0</v>
      </c>
      <c r="AP83" s="116">
        <f t="shared" si="6"/>
        <v>0</v>
      </c>
      <c r="AQ83" s="116">
        <f t="shared" si="6"/>
        <v>6</v>
      </c>
      <c r="AR83" s="116">
        <f t="shared" si="6"/>
        <v>0</v>
      </c>
      <c r="AS83" s="116">
        <f t="shared" si="6"/>
        <v>0</v>
      </c>
      <c r="AT83" s="116">
        <f t="shared" si="6"/>
        <v>0</v>
      </c>
      <c r="AU83" s="116">
        <f t="shared" si="6"/>
        <v>0</v>
      </c>
      <c r="AV83" s="116">
        <f t="shared" si="6"/>
        <v>0</v>
      </c>
      <c r="AW83" s="116">
        <f t="shared" si="6"/>
        <v>0</v>
      </c>
      <c r="AX83" s="116">
        <f t="shared" si="6"/>
        <v>0</v>
      </c>
      <c r="AY83" s="116">
        <f t="shared" si="6"/>
        <v>0</v>
      </c>
      <c r="AZ83" s="116">
        <f t="shared" si="6"/>
        <v>0</v>
      </c>
      <c r="BA83" s="116">
        <f t="shared" si="6"/>
        <v>24</v>
      </c>
      <c r="BB83" s="117">
        <f t="shared" si="7"/>
        <v>30</v>
      </c>
      <c r="BD83" s="137">
        <v>30</v>
      </c>
    </row>
    <row r="84" spans="1:56" ht="48.95" customHeight="1">
      <c r="B84" s="112">
        <v>76</v>
      </c>
      <c r="C84" s="113">
        <v>55305195</v>
      </c>
      <c r="D84" s="114" t="s">
        <v>743</v>
      </c>
      <c r="E84" s="115" t="s">
        <v>793</v>
      </c>
      <c r="F84" s="78" t="s">
        <v>506</v>
      </c>
      <c r="G84" s="77" t="s">
        <v>483</v>
      </c>
      <c r="H84" s="114" t="s">
        <v>744</v>
      </c>
      <c r="I84" s="114" t="s">
        <v>602</v>
      </c>
      <c r="J84" s="97" t="s">
        <v>567</v>
      </c>
      <c r="K84" s="97" t="s">
        <v>567</v>
      </c>
      <c r="L84" s="97" t="s">
        <v>567</v>
      </c>
      <c r="M84" s="97" t="s">
        <v>567</v>
      </c>
      <c r="N84" s="97" t="s">
        <v>557</v>
      </c>
      <c r="O84" s="97" t="s">
        <v>567</v>
      </c>
      <c r="P84" s="97" t="s">
        <v>567</v>
      </c>
      <c r="Q84" s="97" t="s">
        <v>567</v>
      </c>
      <c r="R84" s="97" t="s">
        <v>567</v>
      </c>
      <c r="S84" s="97" t="s">
        <v>567</v>
      </c>
      <c r="T84" s="97" t="s">
        <v>567</v>
      </c>
      <c r="U84" s="97" t="s">
        <v>557</v>
      </c>
      <c r="V84" s="97" t="s">
        <v>557</v>
      </c>
      <c r="W84" s="97" t="s">
        <v>567</v>
      </c>
      <c r="X84" s="97" t="s">
        <v>567</v>
      </c>
      <c r="Y84" s="97" t="s">
        <v>567</v>
      </c>
      <c r="Z84" s="97" t="s">
        <v>567</v>
      </c>
      <c r="AA84" s="97" t="s">
        <v>567</v>
      </c>
      <c r="AB84" s="97" t="s">
        <v>557</v>
      </c>
      <c r="AC84" s="97" t="s">
        <v>557</v>
      </c>
      <c r="AD84" s="97" t="s">
        <v>567</v>
      </c>
      <c r="AE84" s="97" t="s">
        <v>567</v>
      </c>
      <c r="AF84" s="97" t="s">
        <v>567</v>
      </c>
      <c r="AG84" s="97" t="s">
        <v>567</v>
      </c>
      <c r="AH84" s="97" t="s">
        <v>567</v>
      </c>
      <c r="AI84" s="97" t="s">
        <v>557</v>
      </c>
      <c r="AJ84" s="97" t="s">
        <v>567</v>
      </c>
      <c r="AK84" s="97" t="s">
        <v>567</v>
      </c>
      <c r="AL84" s="97" t="s">
        <v>567</v>
      </c>
      <c r="AM84" s="97" t="s">
        <v>567</v>
      </c>
      <c r="AO84" s="116">
        <f t="shared" si="6"/>
        <v>0</v>
      </c>
      <c r="AP84" s="116">
        <f t="shared" si="6"/>
        <v>0</v>
      </c>
      <c r="AQ84" s="116">
        <f t="shared" si="6"/>
        <v>6</v>
      </c>
      <c r="AR84" s="116">
        <f t="shared" si="6"/>
        <v>0</v>
      </c>
      <c r="AS84" s="116">
        <f t="shared" si="6"/>
        <v>0</v>
      </c>
      <c r="AT84" s="116">
        <f t="shared" si="6"/>
        <v>0</v>
      </c>
      <c r="AU84" s="116">
        <f t="shared" si="6"/>
        <v>0</v>
      </c>
      <c r="AV84" s="116">
        <f t="shared" si="6"/>
        <v>0</v>
      </c>
      <c r="AW84" s="116">
        <f t="shared" si="6"/>
        <v>0</v>
      </c>
      <c r="AX84" s="116">
        <f t="shared" si="6"/>
        <v>0</v>
      </c>
      <c r="AY84" s="116">
        <f t="shared" si="6"/>
        <v>0</v>
      </c>
      <c r="AZ84" s="116">
        <f t="shared" si="6"/>
        <v>0</v>
      </c>
      <c r="BA84" s="116">
        <f t="shared" si="6"/>
        <v>24</v>
      </c>
      <c r="BB84" s="117">
        <f t="shared" si="7"/>
        <v>30</v>
      </c>
      <c r="BD84" s="137">
        <v>30</v>
      </c>
    </row>
    <row r="85" spans="1:56" ht="48.95" customHeight="1">
      <c r="B85" s="112">
        <v>77</v>
      </c>
      <c r="C85" s="113">
        <v>1007105867</v>
      </c>
      <c r="D85" s="114" t="s">
        <v>937</v>
      </c>
      <c r="E85" s="115" t="s">
        <v>793</v>
      </c>
      <c r="F85" s="78" t="s">
        <v>506</v>
      </c>
      <c r="G85" s="77" t="s">
        <v>483</v>
      </c>
      <c r="H85" s="114" t="s">
        <v>938</v>
      </c>
      <c r="I85" s="114" t="s">
        <v>597</v>
      </c>
      <c r="J85" s="97" t="s">
        <v>567</v>
      </c>
      <c r="K85" s="97" t="s">
        <v>567</v>
      </c>
      <c r="L85" s="97" t="s">
        <v>567</v>
      </c>
      <c r="M85" s="97" t="s">
        <v>567</v>
      </c>
      <c r="N85" s="97" t="s">
        <v>557</v>
      </c>
      <c r="O85" s="97" t="s">
        <v>567</v>
      </c>
      <c r="P85" s="97" t="s">
        <v>567</v>
      </c>
      <c r="Q85" s="97" t="s">
        <v>567</v>
      </c>
      <c r="R85" s="97" t="s">
        <v>567</v>
      </c>
      <c r="S85" s="97" t="s">
        <v>567</v>
      </c>
      <c r="T85" s="97" t="s">
        <v>567</v>
      </c>
      <c r="U85" s="97" t="s">
        <v>557</v>
      </c>
      <c r="V85" s="97" t="s">
        <v>557</v>
      </c>
      <c r="W85" s="97" t="s">
        <v>567</v>
      </c>
      <c r="X85" s="97" t="s">
        <v>567</v>
      </c>
      <c r="Y85" s="97" t="s">
        <v>567</v>
      </c>
      <c r="Z85" s="97" t="s">
        <v>567</v>
      </c>
      <c r="AA85" s="97" t="s">
        <v>567</v>
      </c>
      <c r="AB85" s="97" t="s">
        <v>557</v>
      </c>
      <c r="AC85" s="97" t="s">
        <v>557</v>
      </c>
      <c r="AD85" s="97" t="s">
        <v>567</v>
      </c>
      <c r="AE85" s="97" t="s">
        <v>567</v>
      </c>
      <c r="AF85" s="97" t="s">
        <v>567</v>
      </c>
      <c r="AG85" s="97" t="s">
        <v>567</v>
      </c>
      <c r="AH85" s="97" t="s">
        <v>567</v>
      </c>
      <c r="AI85" s="97" t="s">
        <v>557</v>
      </c>
      <c r="AJ85" s="97" t="s">
        <v>567</v>
      </c>
      <c r="AK85" s="97" t="s">
        <v>567</v>
      </c>
      <c r="AL85" s="97" t="s">
        <v>567</v>
      </c>
      <c r="AM85" s="97" t="s">
        <v>567</v>
      </c>
      <c r="AO85" s="116">
        <f t="shared" si="6"/>
        <v>0</v>
      </c>
      <c r="AP85" s="116">
        <f t="shared" si="6"/>
        <v>0</v>
      </c>
      <c r="AQ85" s="116">
        <f t="shared" si="6"/>
        <v>6</v>
      </c>
      <c r="AR85" s="116">
        <f t="shared" si="6"/>
        <v>0</v>
      </c>
      <c r="AS85" s="116">
        <f t="shared" si="6"/>
        <v>0</v>
      </c>
      <c r="AT85" s="116">
        <f t="shared" si="6"/>
        <v>0</v>
      </c>
      <c r="AU85" s="116">
        <f t="shared" si="6"/>
        <v>0</v>
      </c>
      <c r="AV85" s="116">
        <f t="shared" si="6"/>
        <v>0</v>
      </c>
      <c r="AW85" s="116">
        <f t="shared" si="6"/>
        <v>0</v>
      </c>
      <c r="AX85" s="116">
        <f t="shared" si="6"/>
        <v>0</v>
      </c>
      <c r="AY85" s="116">
        <f t="shared" si="6"/>
        <v>0</v>
      </c>
      <c r="AZ85" s="116">
        <f t="shared" si="6"/>
        <v>0</v>
      </c>
      <c r="BA85" s="116">
        <f t="shared" si="6"/>
        <v>24</v>
      </c>
      <c r="BB85" s="117">
        <f t="shared" si="7"/>
        <v>30</v>
      </c>
      <c r="BD85" s="137">
        <v>30</v>
      </c>
    </row>
    <row r="86" spans="1:56" ht="48.95" customHeight="1">
      <c r="B86" s="112">
        <v>78</v>
      </c>
      <c r="C86" s="113">
        <v>42778107</v>
      </c>
      <c r="D86" s="114" t="s">
        <v>939</v>
      </c>
      <c r="E86" s="115" t="s">
        <v>793</v>
      </c>
      <c r="F86" s="78" t="s">
        <v>506</v>
      </c>
      <c r="G86" s="77" t="s">
        <v>483</v>
      </c>
      <c r="H86" s="114" t="s">
        <v>940</v>
      </c>
      <c r="I86" s="114" t="s">
        <v>602</v>
      </c>
      <c r="J86" s="97" t="s">
        <v>567</v>
      </c>
      <c r="K86" s="97" t="s">
        <v>567</v>
      </c>
      <c r="L86" s="97" t="s">
        <v>567</v>
      </c>
      <c r="M86" s="97" t="s">
        <v>567</v>
      </c>
      <c r="N86" s="97" t="s">
        <v>557</v>
      </c>
      <c r="O86" s="97" t="s">
        <v>567</v>
      </c>
      <c r="P86" s="97" t="s">
        <v>567</v>
      </c>
      <c r="Q86" s="97" t="s">
        <v>567</v>
      </c>
      <c r="R86" s="97" t="s">
        <v>567</v>
      </c>
      <c r="S86" s="97" t="s">
        <v>567</v>
      </c>
      <c r="T86" s="97" t="s">
        <v>567</v>
      </c>
      <c r="U86" s="97" t="s">
        <v>557</v>
      </c>
      <c r="V86" s="97" t="s">
        <v>557</v>
      </c>
      <c r="W86" s="97" t="s">
        <v>567</v>
      </c>
      <c r="X86" s="97" t="s">
        <v>567</v>
      </c>
      <c r="Y86" s="97" t="s">
        <v>567</v>
      </c>
      <c r="Z86" s="97" t="s">
        <v>567</v>
      </c>
      <c r="AA86" s="97" t="s">
        <v>567</v>
      </c>
      <c r="AB86" s="97" t="s">
        <v>557</v>
      </c>
      <c r="AC86" s="97" t="s">
        <v>557</v>
      </c>
      <c r="AD86" s="97" t="s">
        <v>558</v>
      </c>
      <c r="AE86" s="97" t="s">
        <v>558</v>
      </c>
      <c r="AF86" s="97" t="s">
        <v>567</v>
      </c>
      <c r="AG86" s="97" t="s">
        <v>567</v>
      </c>
      <c r="AH86" s="97" t="s">
        <v>567</v>
      </c>
      <c r="AI86" s="97" t="s">
        <v>557</v>
      </c>
      <c r="AJ86" s="97" t="s">
        <v>567</v>
      </c>
      <c r="AK86" s="97" t="s">
        <v>567</v>
      </c>
      <c r="AL86" s="97" t="s">
        <v>567</v>
      </c>
      <c r="AM86" s="97" t="s">
        <v>567</v>
      </c>
      <c r="AO86" s="116">
        <f t="shared" si="6"/>
        <v>0</v>
      </c>
      <c r="AP86" s="116">
        <f t="shared" si="6"/>
        <v>0</v>
      </c>
      <c r="AQ86" s="116">
        <f t="shared" si="6"/>
        <v>6</v>
      </c>
      <c r="AR86" s="116">
        <f t="shared" si="6"/>
        <v>2</v>
      </c>
      <c r="AS86" s="116">
        <f t="shared" si="6"/>
        <v>0</v>
      </c>
      <c r="AT86" s="116">
        <f t="shared" si="6"/>
        <v>0</v>
      </c>
      <c r="AU86" s="116">
        <f t="shared" si="6"/>
        <v>0</v>
      </c>
      <c r="AV86" s="116">
        <f t="shared" si="6"/>
        <v>0</v>
      </c>
      <c r="AW86" s="116">
        <f t="shared" si="6"/>
        <v>0</v>
      </c>
      <c r="AX86" s="116">
        <f t="shared" si="6"/>
        <v>0</v>
      </c>
      <c r="AY86" s="116">
        <f t="shared" si="6"/>
        <v>0</v>
      </c>
      <c r="AZ86" s="116">
        <f t="shared" si="6"/>
        <v>0</v>
      </c>
      <c r="BA86" s="116">
        <f t="shared" si="6"/>
        <v>22</v>
      </c>
      <c r="BB86" s="117">
        <f t="shared" si="7"/>
        <v>28</v>
      </c>
      <c r="BD86" s="137">
        <v>30</v>
      </c>
    </row>
    <row r="87" spans="1:56" ht="48.95" customHeight="1">
      <c r="B87" s="112">
        <v>79</v>
      </c>
      <c r="C87" s="113">
        <v>1033743386</v>
      </c>
      <c r="D87" s="114" t="s">
        <v>941</v>
      </c>
      <c r="E87" s="115" t="s">
        <v>793</v>
      </c>
      <c r="F87" s="78" t="s">
        <v>506</v>
      </c>
      <c r="G87" s="77" t="s">
        <v>483</v>
      </c>
      <c r="H87" s="114" t="s">
        <v>942</v>
      </c>
      <c r="I87" s="114" t="s">
        <v>943</v>
      </c>
      <c r="J87" s="97" t="s">
        <v>567</v>
      </c>
      <c r="K87" s="97" t="s">
        <v>567</v>
      </c>
      <c r="L87" s="97" t="s">
        <v>567</v>
      </c>
      <c r="M87" s="97" t="s">
        <v>567</v>
      </c>
      <c r="N87" s="97" t="s">
        <v>557</v>
      </c>
      <c r="O87" s="97" t="s">
        <v>567</v>
      </c>
      <c r="P87" s="97" t="s">
        <v>567</v>
      </c>
      <c r="Q87" s="97" t="s">
        <v>567</v>
      </c>
      <c r="R87" s="97" t="s">
        <v>567</v>
      </c>
      <c r="S87" s="97" t="s">
        <v>567</v>
      </c>
      <c r="T87" s="97" t="s">
        <v>567</v>
      </c>
      <c r="U87" s="97" t="s">
        <v>557</v>
      </c>
      <c r="V87" s="97" t="s">
        <v>557</v>
      </c>
      <c r="W87" s="97" t="s">
        <v>567</v>
      </c>
      <c r="X87" s="97" t="s">
        <v>567</v>
      </c>
      <c r="Y87" s="97" t="s">
        <v>567</v>
      </c>
      <c r="Z87" s="97" t="s">
        <v>567</v>
      </c>
      <c r="AA87" s="97" t="s">
        <v>567</v>
      </c>
      <c r="AB87" s="97" t="s">
        <v>557</v>
      </c>
      <c r="AC87" s="97" t="s">
        <v>557</v>
      </c>
      <c r="AD87" s="97" t="s">
        <v>567</v>
      </c>
      <c r="AE87" s="97" t="s">
        <v>567</v>
      </c>
      <c r="AF87" s="97" t="s">
        <v>567</v>
      </c>
      <c r="AG87" s="97" t="s">
        <v>567</v>
      </c>
      <c r="AH87" s="97" t="s">
        <v>567</v>
      </c>
      <c r="AI87" s="97" t="s">
        <v>557</v>
      </c>
      <c r="AJ87" s="97" t="s">
        <v>567</v>
      </c>
      <c r="AK87" s="97" t="s">
        <v>567</v>
      </c>
      <c r="AL87" s="97" t="s">
        <v>567</v>
      </c>
      <c r="AM87" s="97" t="s">
        <v>567</v>
      </c>
      <c r="AO87" s="116">
        <f t="shared" si="6"/>
        <v>0</v>
      </c>
      <c r="AP87" s="116">
        <f t="shared" si="6"/>
        <v>0</v>
      </c>
      <c r="AQ87" s="116">
        <f t="shared" si="6"/>
        <v>6</v>
      </c>
      <c r="AR87" s="116">
        <f t="shared" si="6"/>
        <v>0</v>
      </c>
      <c r="AS87" s="116">
        <f t="shared" si="6"/>
        <v>0</v>
      </c>
      <c r="AT87" s="116">
        <f t="shared" si="6"/>
        <v>0</v>
      </c>
      <c r="AU87" s="116">
        <f t="shared" si="6"/>
        <v>0</v>
      </c>
      <c r="AV87" s="116">
        <f t="shared" si="6"/>
        <v>0</v>
      </c>
      <c r="AW87" s="116">
        <f t="shared" si="6"/>
        <v>0</v>
      </c>
      <c r="AX87" s="116">
        <f t="shared" si="6"/>
        <v>0</v>
      </c>
      <c r="AY87" s="116">
        <f t="shared" si="6"/>
        <v>0</v>
      </c>
      <c r="AZ87" s="116">
        <f t="shared" si="6"/>
        <v>0</v>
      </c>
      <c r="BA87" s="116">
        <f t="shared" si="6"/>
        <v>24</v>
      </c>
      <c r="BB87" s="117">
        <f t="shared" si="7"/>
        <v>30</v>
      </c>
      <c r="BD87" s="137">
        <v>30</v>
      </c>
    </row>
    <row r="88" spans="1:56" ht="48.95" customHeight="1">
      <c r="B88" s="112">
        <v>80</v>
      </c>
      <c r="C88" s="113">
        <v>52751251</v>
      </c>
      <c r="D88" s="114" t="s">
        <v>944</v>
      </c>
      <c r="E88" s="115" t="s">
        <v>793</v>
      </c>
      <c r="F88" s="78" t="s">
        <v>506</v>
      </c>
      <c r="G88" s="77" t="s">
        <v>483</v>
      </c>
      <c r="H88" s="114" t="s">
        <v>945</v>
      </c>
      <c r="I88" s="114" t="s">
        <v>946</v>
      </c>
      <c r="J88" s="97" t="s">
        <v>567</v>
      </c>
      <c r="K88" s="97" t="s">
        <v>567</v>
      </c>
      <c r="L88" s="97" t="s">
        <v>567</v>
      </c>
      <c r="M88" s="97" t="s">
        <v>567</v>
      </c>
      <c r="N88" s="97" t="s">
        <v>557</v>
      </c>
      <c r="O88" s="97" t="s">
        <v>567</v>
      </c>
      <c r="P88" s="97" t="s">
        <v>567</v>
      </c>
      <c r="Q88" s="97" t="s">
        <v>567</v>
      </c>
      <c r="R88" s="97" t="s">
        <v>567</v>
      </c>
      <c r="S88" s="97" t="s">
        <v>567</v>
      </c>
      <c r="T88" s="97" t="s">
        <v>567</v>
      </c>
      <c r="U88" s="97" t="s">
        <v>557</v>
      </c>
      <c r="V88" s="97" t="s">
        <v>557</v>
      </c>
      <c r="W88" s="97" t="s">
        <v>567</v>
      </c>
      <c r="X88" s="97" t="s">
        <v>567</v>
      </c>
      <c r="Y88" s="97" t="s">
        <v>567</v>
      </c>
      <c r="Z88" s="97" t="s">
        <v>567</v>
      </c>
      <c r="AA88" s="97" t="s">
        <v>567</v>
      </c>
      <c r="AB88" s="97" t="s">
        <v>557</v>
      </c>
      <c r="AC88" s="97" t="s">
        <v>557</v>
      </c>
      <c r="AD88" s="97" t="s">
        <v>567</v>
      </c>
      <c r="AE88" s="97" t="s">
        <v>567</v>
      </c>
      <c r="AF88" s="97" t="s">
        <v>567</v>
      </c>
      <c r="AG88" s="97" t="s">
        <v>567</v>
      </c>
      <c r="AH88" s="97" t="s">
        <v>567</v>
      </c>
      <c r="AI88" s="97" t="s">
        <v>557</v>
      </c>
      <c r="AJ88" s="97" t="s">
        <v>567</v>
      </c>
      <c r="AK88" s="97" t="s">
        <v>567</v>
      </c>
      <c r="AL88" s="97" t="s">
        <v>567</v>
      </c>
      <c r="AM88" s="97" t="s">
        <v>567</v>
      </c>
      <c r="AO88" s="116">
        <f t="shared" si="6"/>
        <v>0</v>
      </c>
      <c r="AP88" s="116">
        <f t="shared" si="6"/>
        <v>0</v>
      </c>
      <c r="AQ88" s="116">
        <f t="shared" si="6"/>
        <v>6</v>
      </c>
      <c r="AR88" s="116">
        <f t="shared" si="6"/>
        <v>0</v>
      </c>
      <c r="AS88" s="116">
        <f t="shared" si="6"/>
        <v>0</v>
      </c>
      <c r="AT88" s="116">
        <f t="shared" si="6"/>
        <v>0</v>
      </c>
      <c r="AU88" s="116">
        <f t="shared" si="6"/>
        <v>0</v>
      </c>
      <c r="AV88" s="116">
        <f t="shared" si="6"/>
        <v>0</v>
      </c>
      <c r="AW88" s="116">
        <f t="shared" si="6"/>
        <v>0</v>
      </c>
      <c r="AX88" s="116">
        <f t="shared" si="6"/>
        <v>0</v>
      </c>
      <c r="AY88" s="116">
        <f t="shared" si="6"/>
        <v>0</v>
      </c>
      <c r="AZ88" s="116">
        <f t="shared" si="6"/>
        <v>0</v>
      </c>
      <c r="BA88" s="116">
        <f t="shared" si="6"/>
        <v>24</v>
      </c>
      <c r="BB88" s="117">
        <f t="shared" si="7"/>
        <v>30</v>
      </c>
      <c r="BD88" s="137">
        <v>30</v>
      </c>
    </row>
    <row r="89" spans="1:56" ht="48.95" customHeight="1">
      <c r="B89" s="112">
        <v>81</v>
      </c>
      <c r="C89" s="113">
        <v>1023881249</v>
      </c>
      <c r="D89" s="114" t="s">
        <v>947</v>
      </c>
      <c r="E89" s="115" t="s">
        <v>793</v>
      </c>
      <c r="F89" s="78" t="s">
        <v>507</v>
      </c>
      <c r="G89" s="82" t="s">
        <v>483</v>
      </c>
      <c r="H89" s="114" t="s">
        <v>948</v>
      </c>
      <c r="I89" s="114" t="s">
        <v>597</v>
      </c>
      <c r="J89" s="97" t="s">
        <v>567</v>
      </c>
      <c r="K89" s="97" t="s">
        <v>567</v>
      </c>
      <c r="L89" s="97" t="s">
        <v>567</v>
      </c>
      <c r="M89" s="97" t="s">
        <v>567</v>
      </c>
      <c r="N89" s="97" t="s">
        <v>557</v>
      </c>
      <c r="O89" s="97" t="s">
        <v>567</v>
      </c>
      <c r="P89" s="97" t="s">
        <v>567</v>
      </c>
      <c r="Q89" s="97" t="s">
        <v>567</v>
      </c>
      <c r="R89" s="97" t="s">
        <v>567</v>
      </c>
      <c r="S89" s="97" t="s">
        <v>567</v>
      </c>
      <c r="T89" s="97" t="s">
        <v>567</v>
      </c>
      <c r="U89" s="97" t="s">
        <v>557</v>
      </c>
      <c r="V89" s="97" t="s">
        <v>557</v>
      </c>
      <c r="W89" s="97" t="s">
        <v>567</v>
      </c>
      <c r="X89" s="97" t="s">
        <v>567</v>
      </c>
      <c r="Y89" s="97" t="s">
        <v>567</v>
      </c>
      <c r="Z89" s="97" t="s">
        <v>567</v>
      </c>
      <c r="AA89" s="97" t="s">
        <v>567</v>
      </c>
      <c r="AB89" s="97" t="s">
        <v>557</v>
      </c>
      <c r="AC89" s="97" t="s">
        <v>557</v>
      </c>
      <c r="AD89" s="97" t="s">
        <v>567</v>
      </c>
      <c r="AE89" s="97" t="s">
        <v>567</v>
      </c>
      <c r="AF89" s="97" t="s">
        <v>567</v>
      </c>
      <c r="AG89" s="97" t="s">
        <v>567</v>
      </c>
      <c r="AH89" s="97" t="s">
        <v>567</v>
      </c>
      <c r="AI89" s="97" t="s">
        <v>557</v>
      </c>
      <c r="AJ89" s="97" t="s">
        <v>567</v>
      </c>
      <c r="AK89" s="97" t="s">
        <v>567</v>
      </c>
      <c r="AL89" s="97" t="s">
        <v>567</v>
      </c>
      <c r="AM89" s="97" t="s">
        <v>567</v>
      </c>
      <c r="AO89" s="116">
        <f t="shared" si="6"/>
        <v>0</v>
      </c>
      <c r="AP89" s="116">
        <f t="shared" si="6"/>
        <v>0</v>
      </c>
      <c r="AQ89" s="116">
        <f t="shared" si="6"/>
        <v>6</v>
      </c>
      <c r="AR89" s="116">
        <f t="shared" si="6"/>
        <v>0</v>
      </c>
      <c r="AS89" s="116">
        <f t="shared" si="6"/>
        <v>0</v>
      </c>
      <c r="AT89" s="116">
        <f t="shared" si="6"/>
        <v>0</v>
      </c>
      <c r="AU89" s="116">
        <f t="shared" si="6"/>
        <v>0</v>
      </c>
      <c r="AV89" s="116">
        <f t="shared" si="6"/>
        <v>0</v>
      </c>
      <c r="AW89" s="116">
        <f t="shared" si="6"/>
        <v>0</v>
      </c>
      <c r="AX89" s="116">
        <f t="shared" si="6"/>
        <v>0</v>
      </c>
      <c r="AY89" s="116">
        <f t="shared" si="6"/>
        <v>0</v>
      </c>
      <c r="AZ89" s="116">
        <f t="shared" si="6"/>
        <v>0</v>
      </c>
      <c r="BA89" s="116">
        <f t="shared" si="6"/>
        <v>24</v>
      </c>
      <c r="BB89" s="117">
        <f t="shared" si="7"/>
        <v>30</v>
      </c>
      <c r="BD89" s="137">
        <v>30</v>
      </c>
    </row>
    <row r="90" spans="1:56" ht="48.95" customHeight="1">
      <c r="B90" s="112">
        <v>82</v>
      </c>
      <c r="C90" s="113">
        <v>1026279093</v>
      </c>
      <c r="D90" s="114" t="s">
        <v>949</v>
      </c>
      <c r="E90" s="115" t="s">
        <v>793</v>
      </c>
      <c r="F90" s="78" t="s">
        <v>506</v>
      </c>
      <c r="G90" s="124" t="s">
        <v>497</v>
      </c>
      <c r="H90" s="114" t="s">
        <v>950</v>
      </c>
      <c r="I90" s="114" t="s">
        <v>597</v>
      </c>
      <c r="J90" s="97" t="s">
        <v>567</v>
      </c>
      <c r="K90" s="97" t="s">
        <v>567</v>
      </c>
      <c r="L90" s="97" t="s">
        <v>567</v>
      </c>
      <c r="M90" s="97" t="s">
        <v>567</v>
      </c>
      <c r="N90" s="97" t="s">
        <v>557</v>
      </c>
      <c r="O90" s="97" t="s">
        <v>567</v>
      </c>
      <c r="P90" s="97" t="s">
        <v>567</v>
      </c>
      <c r="Q90" s="97" t="s">
        <v>567</v>
      </c>
      <c r="R90" s="97" t="s">
        <v>567</v>
      </c>
      <c r="S90" s="97" t="s">
        <v>567</v>
      </c>
      <c r="T90" s="97" t="s">
        <v>567</v>
      </c>
      <c r="U90" s="97" t="s">
        <v>557</v>
      </c>
      <c r="V90" s="97" t="s">
        <v>557</v>
      </c>
      <c r="W90" s="97" t="s">
        <v>567</v>
      </c>
      <c r="X90" s="97" t="s">
        <v>567</v>
      </c>
      <c r="Y90" s="97" t="s">
        <v>567</v>
      </c>
      <c r="Z90" s="97" t="s">
        <v>567</v>
      </c>
      <c r="AA90" s="97" t="s">
        <v>567</v>
      </c>
      <c r="AB90" s="97" t="s">
        <v>557</v>
      </c>
      <c r="AC90" s="97" t="s">
        <v>557</v>
      </c>
      <c r="AD90" s="97" t="s">
        <v>567</v>
      </c>
      <c r="AE90" s="97" t="s">
        <v>567</v>
      </c>
      <c r="AF90" s="97" t="s">
        <v>567</v>
      </c>
      <c r="AG90" s="97" t="s">
        <v>567</v>
      </c>
      <c r="AH90" s="97" t="s">
        <v>567</v>
      </c>
      <c r="AI90" s="97" t="s">
        <v>557</v>
      </c>
      <c r="AJ90" s="97" t="s">
        <v>567</v>
      </c>
      <c r="AK90" s="97" t="s">
        <v>567</v>
      </c>
      <c r="AL90" s="97" t="s">
        <v>567</v>
      </c>
      <c r="AM90" s="97" t="s">
        <v>567</v>
      </c>
      <c r="AO90" s="116">
        <f t="shared" si="6"/>
        <v>0</v>
      </c>
      <c r="AP90" s="116">
        <f t="shared" si="6"/>
        <v>0</v>
      </c>
      <c r="AQ90" s="116">
        <f t="shared" si="6"/>
        <v>6</v>
      </c>
      <c r="AR90" s="116">
        <f t="shared" si="6"/>
        <v>0</v>
      </c>
      <c r="AS90" s="116">
        <f t="shared" si="6"/>
        <v>0</v>
      </c>
      <c r="AT90" s="116">
        <f t="shared" si="6"/>
        <v>0</v>
      </c>
      <c r="AU90" s="116">
        <f t="shared" si="6"/>
        <v>0</v>
      </c>
      <c r="AV90" s="116">
        <f t="shared" si="6"/>
        <v>0</v>
      </c>
      <c r="AW90" s="116">
        <f t="shared" si="6"/>
        <v>0</v>
      </c>
      <c r="AX90" s="116">
        <f t="shared" si="6"/>
        <v>0</v>
      </c>
      <c r="AY90" s="116">
        <f t="shared" si="6"/>
        <v>0</v>
      </c>
      <c r="AZ90" s="116">
        <f t="shared" si="6"/>
        <v>0</v>
      </c>
      <c r="BA90" s="116">
        <f t="shared" si="6"/>
        <v>24</v>
      </c>
      <c r="BB90" s="117">
        <f t="shared" si="7"/>
        <v>30</v>
      </c>
      <c r="BD90" s="137">
        <v>30</v>
      </c>
    </row>
    <row r="91" spans="1:56" ht="48.95" customHeight="1">
      <c r="B91" s="112">
        <v>83</v>
      </c>
      <c r="C91" s="113">
        <v>39802794</v>
      </c>
      <c r="D91" s="114" t="s">
        <v>951</v>
      </c>
      <c r="E91" s="115" t="s">
        <v>793</v>
      </c>
      <c r="F91" s="78" t="s">
        <v>506</v>
      </c>
      <c r="G91" s="124" t="s">
        <v>714</v>
      </c>
      <c r="H91" s="114" t="s">
        <v>952</v>
      </c>
      <c r="I91" s="114" t="s">
        <v>597</v>
      </c>
      <c r="J91" s="97" t="s">
        <v>567</v>
      </c>
      <c r="K91" s="97" t="s">
        <v>567</v>
      </c>
      <c r="L91" s="97" t="s">
        <v>567</v>
      </c>
      <c r="M91" s="97" t="s">
        <v>567</v>
      </c>
      <c r="N91" s="97" t="s">
        <v>557</v>
      </c>
      <c r="O91" s="97" t="s">
        <v>567</v>
      </c>
      <c r="P91" s="97" t="s">
        <v>567</v>
      </c>
      <c r="Q91" s="97" t="s">
        <v>567</v>
      </c>
      <c r="R91" s="97" t="s">
        <v>567</v>
      </c>
      <c r="S91" s="97" t="s">
        <v>567</v>
      </c>
      <c r="T91" s="97" t="s">
        <v>567</v>
      </c>
      <c r="U91" s="97" t="s">
        <v>557</v>
      </c>
      <c r="V91" s="97" t="s">
        <v>557</v>
      </c>
      <c r="W91" s="97" t="s">
        <v>567</v>
      </c>
      <c r="X91" s="97" t="s">
        <v>567</v>
      </c>
      <c r="Y91" s="97" t="s">
        <v>567</v>
      </c>
      <c r="Z91" s="97" t="s">
        <v>567</v>
      </c>
      <c r="AA91" s="97" t="s">
        <v>567</v>
      </c>
      <c r="AB91" s="97" t="s">
        <v>557</v>
      </c>
      <c r="AC91" s="97" t="s">
        <v>557</v>
      </c>
      <c r="AD91" s="97" t="s">
        <v>567</v>
      </c>
      <c r="AE91" s="97" t="s">
        <v>567</v>
      </c>
      <c r="AF91" s="97" t="s">
        <v>567</v>
      </c>
      <c r="AG91" s="97" t="s">
        <v>567</v>
      </c>
      <c r="AH91" s="97" t="s">
        <v>567</v>
      </c>
      <c r="AI91" s="97" t="s">
        <v>557</v>
      </c>
      <c r="AJ91" s="97" t="s">
        <v>567</v>
      </c>
      <c r="AK91" s="97" t="s">
        <v>567</v>
      </c>
      <c r="AL91" s="97" t="s">
        <v>567</v>
      </c>
      <c r="AM91" s="97" t="s">
        <v>567</v>
      </c>
      <c r="AO91" s="116">
        <f t="shared" si="6"/>
        <v>0</v>
      </c>
      <c r="AP91" s="116">
        <f t="shared" si="6"/>
        <v>0</v>
      </c>
      <c r="AQ91" s="116">
        <f t="shared" si="6"/>
        <v>6</v>
      </c>
      <c r="AR91" s="116">
        <f t="shared" si="6"/>
        <v>0</v>
      </c>
      <c r="AS91" s="116">
        <f t="shared" si="6"/>
        <v>0</v>
      </c>
      <c r="AT91" s="116">
        <f t="shared" si="6"/>
        <v>0</v>
      </c>
      <c r="AU91" s="116">
        <f t="shared" si="6"/>
        <v>0</v>
      </c>
      <c r="AV91" s="116">
        <f t="shared" si="6"/>
        <v>0</v>
      </c>
      <c r="AW91" s="116">
        <f t="shared" si="6"/>
        <v>0</v>
      </c>
      <c r="AX91" s="116">
        <f t="shared" si="6"/>
        <v>0</v>
      </c>
      <c r="AY91" s="116">
        <f t="shared" si="6"/>
        <v>0</v>
      </c>
      <c r="AZ91" s="116">
        <f t="shared" si="6"/>
        <v>0</v>
      </c>
      <c r="BA91" s="116">
        <f t="shared" si="6"/>
        <v>24</v>
      </c>
      <c r="BB91" s="117">
        <f t="shared" si="7"/>
        <v>30</v>
      </c>
      <c r="BD91" s="137">
        <v>30</v>
      </c>
    </row>
    <row r="92" spans="1:56" ht="48.95" customHeight="1">
      <c r="B92" s="112">
        <v>84</v>
      </c>
      <c r="C92" s="113">
        <v>52742012</v>
      </c>
      <c r="D92" s="114" t="s">
        <v>953</v>
      </c>
      <c r="E92" s="115" t="s">
        <v>793</v>
      </c>
      <c r="F92" s="78" t="s">
        <v>506</v>
      </c>
      <c r="G92" s="124" t="s">
        <v>480</v>
      </c>
      <c r="H92" s="114" t="s">
        <v>954</v>
      </c>
      <c r="I92" s="114" t="s">
        <v>597</v>
      </c>
      <c r="J92" s="97" t="s">
        <v>567</v>
      </c>
      <c r="K92" s="97" t="s">
        <v>567</v>
      </c>
      <c r="L92" s="97" t="s">
        <v>567</v>
      </c>
      <c r="M92" s="97" t="s">
        <v>567</v>
      </c>
      <c r="N92" s="97" t="s">
        <v>557</v>
      </c>
      <c r="O92" s="97" t="s">
        <v>567</v>
      </c>
      <c r="P92" s="97" t="s">
        <v>567</v>
      </c>
      <c r="Q92" s="97" t="s">
        <v>567</v>
      </c>
      <c r="R92" s="97" t="s">
        <v>567</v>
      </c>
      <c r="S92" s="97" t="s">
        <v>567</v>
      </c>
      <c r="T92" s="97" t="s">
        <v>567</v>
      </c>
      <c r="U92" s="97" t="s">
        <v>557</v>
      </c>
      <c r="V92" s="97" t="s">
        <v>557</v>
      </c>
      <c r="W92" s="97" t="s">
        <v>567</v>
      </c>
      <c r="X92" s="97" t="s">
        <v>567</v>
      </c>
      <c r="Y92" s="97" t="s">
        <v>567</v>
      </c>
      <c r="Z92" s="97" t="s">
        <v>567</v>
      </c>
      <c r="AA92" s="97" t="s">
        <v>567</v>
      </c>
      <c r="AB92" s="97" t="s">
        <v>557</v>
      </c>
      <c r="AC92" s="97" t="s">
        <v>557</v>
      </c>
      <c r="AD92" s="97" t="s">
        <v>567</v>
      </c>
      <c r="AE92" s="97" t="s">
        <v>567</v>
      </c>
      <c r="AF92" s="97" t="s">
        <v>567</v>
      </c>
      <c r="AG92" s="97" t="s">
        <v>567</v>
      </c>
      <c r="AH92" s="97" t="s">
        <v>567</v>
      </c>
      <c r="AI92" s="97" t="s">
        <v>557</v>
      </c>
      <c r="AJ92" s="97" t="s">
        <v>567</v>
      </c>
      <c r="AK92" s="97" t="s">
        <v>567</v>
      </c>
      <c r="AL92" s="97" t="s">
        <v>567</v>
      </c>
      <c r="AM92" s="97" t="s">
        <v>567</v>
      </c>
      <c r="AO92" s="116">
        <f t="shared" si="6"/>
        <v>0</v>
      </c>
      <c r="AP92" s="116">
        <f t="shared" si="6"/>
        <v>0</v>
      </c>
      <c r="AQ92" s="116">
        <f t="shared" si="6"/>
        <v>6</v>
      </c>
      <c r="AR92" s="116">
        <f t="shared" si="6"/>
        <v>0</v>
      </c>
      <c r="AS92" s="116">
        <f t="shared" si="6"/>
        <v>0</v>
      </c>
      <c r="AT92" s="116">
        <f t="shared" si="6"/>
        <v>0</v>
      </c>
      <c r="AU92" s="116">
        <f t="shared" si="6"/>
        <v>0</v>
      </c>
      <c r="AV92" s="116">
        <f t="shared" si="6"/>
        <v>0</v>
      </c>
      <c r="AW92" s="116">
        <f t="shared" si="6"/>
        <v>0</v>
      </c>
      <c r="AX92" s="116">
        <f t="shared" si="6"/>
        <v>0</v>
      </c>
      <c r="AY92" s="116">
        <f t="shared" si="6"/>
        <v>0</v>
      </c>
      <c r="AZ92" s="116">
        <f t="shared" si="6"/>
        <v>0</v>
      </c>
      <c r="BA92" s="116">
        <f t="shared" si="6"/>
        <v>24</v>
      </c>
      <c r="BB92" s="117">
        <f t="shared" si="7"/>
        <v>30</v>
      </c>
      <c r="BD92" s="137">
        <v>30</v>
      </c>
    </row>
    <row r="93" spans="1:56" ht="48.95" customHeight="1">
      <c r="B93" s="112">
        <v>85</v>
      </c>
      <c r="C93" s="113">
        <v>52017874</v>
      </c>
      <c r="D93" s="114" t="s">
        <v>955</v>
      </c>
      <c r="E93" s="115" t="s">
        <v>793</v>
      </c>
      <c r="F93" s="78" t="s">
        <v>506</v>
      </c>
      <c r="G93" s="124" t="s">
        <v>480</v>
      </c>
      <c r="H93" s="114" t="s">
        <v>956</v>
      </c>
      <c r="I93" s="114" t="s">
        <v>597</v>
      </c>
      <c r="J93" s="97" t="s">
        <v>567</v>
      </c>
      <c r="K93" s="97" t="s">
        <v>567</v>
      </c>
      <c r="L93" s="97" t="s">
        <v>567</v>
      </c>
      <c r="M93" s="97" t="s">
        <v>567</v>
      </c>
      <c r="N93" s="97" t="s">
        <v>557</v>
      </c>
      <c r="O93" s="97" t="s">
        <v>567</v>
      </c>
      <c r="P93" s="97" t="s">
        <v>567</v>
      </c>
      <c r="Q93" s="97" t="s">
        <v>567</v>
      </c>
      <c r="R93" s="97" t="s">
        <v>567</v>
      </c>
      <c r="S93" s="97" t="s">
        <v>567</v>
      </c>
      <c r="T93" s="97" t="s">
        <v>567</v>
      </c>
      <c r="U93" s="97" t="s">
        <v>557</v>
      </c>
      <c r="V93" s="97" t="s">
        <v>557</v>
      </c>
      <c r="W93" s="97" t="s">
        <v>567</v>
      </c>
      <c r="X93" s="97" t="s">
        <v>567</v>
      </c>
      <c r="Y93" s="97" t="s">
        <v>567</v>
      </c>
      <c r="Z93" s="97" t="s">
        <v>567</v>
      </c>
      <c r="AA93" s="97" t="s">
        <v>567</v>
      </c>
      <c r="AB93" s="97" t="s">
        <v>557</v>
      </c>
      <c r="AC93" s="97" t="s">
        <v>557</v>
      </c>
      <c r="AD93" s="97" t="s">
        <v>567</v>
      </c>
      <c r="AE93" s="97" t="s">
        <v>567</v>
      </c>
      <c r="AF93" s="97" t="s">
        <v>567</v>
      </c>
      <c r="AG93" s="97" t="s">
        <v>567</v>
      </c>
      <c r="AH93" s="97" t="s">
        <v>567</v>
      </c>
      <c r="AI93" s="97" t="s">
        <v>557</v>
      </c>
      <c r="AJ93" s="97" t="s">
        <v>567</v>
      </c>
      <c r="AK93" s="97" t="s">
        <v>567</v>
      </c>
      <c r="AL93" s="97" t="s">
        <v>567</v>
      </c>
      <c r="AM93" s="97" t="s">
        <v>567</v>
      </c>
      <c r="AO93" s="116">
        <f t="shared" si="6"/>
        <v>0</v>
      </c>
      <c r="AP93" s="116">
        <f t="shared" si="6"/>
        <v>0</v>
      </c>
      <c r="AQ93" s="116">
        <f t="shared" si="6"/>
        <v>6</v>
      </c>
      <c r="AR93" s="116">
        <f t="shared" si="6"/>
        <v>0</v>
      </c>
      <c r="AS93" s="116">
        <f t="shared" si="6"/>
        <v>0</v>
      </c>
      <c r="AT93" s="116">
        <f t="shared" si="6"/>
        <v>0</v>
      </c>
      <c r="AU93" s="116">
        <f t="shared" si="6"/>
        <v>0</v>
      </c>
      <c r="AV93" s="116">
        <f t="shared" si="6"/>
        <v>0</v>
      </c>
      <c r="AW93" s="116">
        <f t="shared" si="6"/>
        <v>0</v>
      </c>
      <c r="AX93" s="116">
        <f t="shared" si="6"/>
        <v>0</v>
      </c>
      <c r="AY93" s="116">
        <f t="shared" si="6"/>
        <v>0</v>
      </c>
      <c r="AZ93" s="116">
        <f t="shared" si="6"/>
        <v>0</v>
      </c>
      <c r="BA93" s="116">
        <f t="shared" si="6"/>
        <v>24</v>
      </c>
      <c r="BB93" s="117">
        <f t="shared" si="7"/>
        <v>30</v>
      </c>
      <c r="BD93" s="137">
        <v>30</v>
      </c>
    </row>
    <row r="94" spans="1:56" ht="48.95" customHeight="1">
      <c r="B94" s="112">
        <v>86</v>
      </c>
      <c r="C94" s="113">
        <v>52704600</v>
      </c>
      <c r="D94" s="114" t="s">
        <v>957</v>
      </c>
      <c r="E94" s="115" t="s">
        <v>793</v>
      </c>
      <c r="F94" s="78" t="s">
        <v>506</v>
      </c>
      <c r="G94" s="77" t="s">
        <v>483</v>
      </c>
      <c r="H94" s="114" t="s">
        <v>958</v>
      </c>
      <c r="I94" s="114" t="s">
        <v>597</v>
      </c>
      <c r="J94" s="97" t="s">
        <v>567</v>
      </c>
      <c r="K94" s="97" t="s">
        <v>567</v>
      </c>
      <c r="L94" s="97" t="s">
        <v>567</v>
      </c>
      <c r="M94" s="97" t="s">
        <v>567</v>
      </c>
      <c r="N94" s="97" t="s">
        <v>557</v>
      </c>
      <c r="O94" s="97" t="s">
        <v>567</v>
      </c>
      <c r="P94" s="97" t="s">
        <v>567</v>
      </c>
      <c r="Q94" s="97" t="s">
        <v>567</v>
      </c>
      <c r="R94" s="97" t="s">
        <v>567</v>
      </c>
      <c r="S94" s="97" t="s">
        <v>567</v>
      </c>
      <c r="T94" s="97" t="s">
        <v>567</v>
      </c>
      <c r="U94" s="97" t="s">
        <v>557</v>
      </c>
      <c r="V94" s="97" t="s">
        <v>557</v>
      </c>
      <c r="W94" s="97" t="s">
        <v>567</v>
      </c>
      <c r="X94" s="97" t="s">
        <v>567</v>
      </c>
      <c r="Y94" s="97" t="s">
        <v>567</v>
      </c>
      <c r="Z94" s="97" t="s">
        <v>567</v>
      </c>
      <c r="AA94" s="97" t="s">
        <v>567</v>
      </c>
      <c r="AB94" s="97" t="s">
        <v>557</v>
      </c>
      <c r="AC94" s="97" t="s">
        <v>557</v>
      </c>
      <c r="AD94" s="97" t="s">
        <v>567</v>
      </c>
      <c r="AE94" s="97" t="s">
        <v>567</v>
      </c>
      <c r="AF94" s="97" t="s">
        <v>567</v>
      </c>
      <c r="AG94" s="97" t="s">
        <v>567</v>
      </c>
      <c r="AH94" s="97" t="s">
        <v>567</v>
      </c>
      <c r="AI94" s="97" t="s">
        <v>557</v>
      </c>
      <c r="AJ94" s="97" t="s">
        <v>567</v>
      </c>
      <c r="AK94" s="97" t="s">
        <v>567</v>
      </c>
      <c r="AL94" s="97" t="s">
        <v>567</v>
      </c>
      <c r="AM94" s="97" t="s">
        <v>567</v>
      </c>
      <c r="AO94" s="116">
        <f t="shared" si="6"/>
        <v>0</v>
      </c>
      <c r="AP94" s="116">
        <f t="shared" si="6"/>
        <v>0</v>
      </c>
      <c r="AQ94" s="116">
        <f t="shared" si="6"/>
        <v>6</v>
      </c>
      <c r="AR94" s="116">
        <f t="shared" si="6"/>
        <v>0</v>
      </c>
      <c r="AS94" s="116">
        <f t="shared" si="6"/>
        <v>0</v>
      </c>
      <c r="AT94" s="116">
        <f t="shared" si="6"/>
        <v>0</v>
      </c>
      <c r="AU94" s="116">
        <f t="shared" si="6"/>
        <v>0</v>
      </c>
      <c r="AV94" s="116">
        <f t="shared" si="6"/>
        <v>0</v>
      </c>
      <c r="AW94" s="116">
        <f t="shared" si="6"/>
        <v>0</v>
      </c>
      <c r="AX94" s="116">
        <f t="shared" si="6"/>
        <v>0</v>
      </c>
      <c r="AY94" s="116">
        <f t="shared" si="6"/>
        <v>0</v>
      </c>
      <c r="AZ94" s="116">
        <f t="shared" si="6"/>
        <v>0</v>
      </c>
      <c r="BA94" s="116">
        <f t="shared" si="6"/>
        <v>24</v>
      </c>
      <c r="BB94" s="117">
        <f t="shared" si="7"/>
        <v>30</v>
      </c>
      <c r="BD94" s="137">
        <v>30</v>
      </c>
    </row>
    <row r="95" spans="1:56" ht="48.95" customHeight="1">
      <c r="B95" s="112">
        <v>87</v>
      </c>
      <c r="C95" s="113">
        <v>5483580</v>
      </c>
      <c r="D95" s="114" t="s">
        <v>959</v>
      </c>
      <c r="E95" s="115" t="s">
        <v>793</v>
      </c>
      <c r="F95" s="78" t="s">
        <v>506</v>
      </c>
      <c r="G95" s="77" t="s">
        <v>483</v>
      </c>
      <c r="H95" s="114" t="s">
        <v>960</v>
      </c>
      <c r="I95" s="114" t="s">
        <v>597</v>
      </c>
      <c r="J95" s="97" t="s">
        <v>567</v>
      </c>
      <c r="K95" s="97" t="s">
        <v>567</v>
      </c>
      <c r="L95" s="97" t="s">
        <v>567</v>
      </c>
      <c r="M95" s="97" t="s">
        <v>567</v>
      </c>
      <c r="N95" s="97" t="s">
        <v>557</v>
      </c>
      <c r="O95" s="97" t="s">
        <v>567</v>
      </c>
      <c r="P95" s="97" t="s">
        <v>567</v>
      </c>
      <c r="Q95" s="97" t="s">
        <v>567</v>
      </c>
      <c r="R95" s="97" t="s">
        <v>567</v>
      </c>
      <c r="S95" s="97" t="s">
        <v>567</v>
      </c>
      <c r="T95" s="97" t="s">
        <v>567</v>
      </c>
      <c r="U95" s="97" t="s">
        <v>557</v>
      </c>
      <c r="V95" s="97" t="s">
        <v>557</v>
      </c>
      <c r="W95" s="97" t="s">
        <v>567</v>
      </c>
      <c r="X95" s="97" t="s">
        <v>567</v>
      </c>
      <c r="Y95" s="97" t="s">
        <v>567</v>
      </c>
      <c r="Z95" s="97" t="s">
        <v>567</v>
      </c>
      <c r="AA95" s="97" t="s">
        <v>567</v>
      </c>
      <c r="AB95" s="97" t="s">
        <v>557</v>
      </c>
      <c r="AC95" s="97" t="s">
        <v>557</v>
      </c>
      <c r="AD95" s="97" t="s">
        <v>567</v>
      </c>
      <c r="AE95" s="97" t="s">
        <v>567</v>
      </c>
      <c r="AF95" s="97" t="s">
        <v>567</v>
      </c>
      <c r="AG95" s="97" t="s">
        <v>567</v>
      </c>
      <c r="AH95" s="97" t="s">
        <v>567</v>
      </c>
      <c r="AI95" s="97" t="s">
        <v>557</v>
      </c>
      <c r="AJ95" s="97" t="s">
        <v>567</v>
      </c>
      <c r="AK95" s="97" t="s">
        <v>567</v>
      </c>
      <c r="AL95" s="97" t="s">
        <v>567</v>
      </c>
      <c r="AM95" s="97" t="s">
        <v>567</v>
      </c>
      <c r="AO95" s="116">
        <f t="shared" si="6"/>
        <v>0</v>
      </c>
      <c r="AP95" s="116">
        <f t="shared" si="6"/>
        <v>0</v>
      </c>
      <c r="AQ95" s="116">
        <f t="shared" si="6"/>
        <v>6</v>
      </c>
      <c r="AR95" s="116">
        <f t="shared" si="6"/>
        <v>0</v>
      </c>
      <c r="AS95" s="116">
        <f t="shared" si="6"/>
        <v>0</v>
      </c>
      <c r="AT95" s="116">
        <f t="shared" si="6"/>
        <v>0</v>
      </c>
      <c r="AU95" s="116">
        <f t="shared" si="6"/>
        <v>0</v>
      </c>
      <c r="AV95" s="116">
        <f t="shared" si="6"/>
        <v>0</v>
      </c>
      <c r="AW95" s="116">
        <f t="shared" si="6"/>
        <v>0</v>
      </c>
      <c r="AX95" s="116">
        <f t="shared" si="6"/>
        <v>0</v>
      </c>
      <c r="AY95" s="116">
        <f t="shared" si="6"/>
        <v>0</v>
      </c>
      <c r="AZ95" s="116">
        <f t="shared" si="6"/>
        <v>0</v>
      </c>
      <c r="BA95" s="116">
        <f t="shared" si="6"/>
        <v>24</v>
      </c>
      <c r="BB95" s="117">
        <f t="shared" si="7"/>
        <v>30</v>
      </c>
      <c r="BD95" s="137">
        <v>30</v>
      </c>
    </row>
    <row r="96" spans="1:56" ht="48.95" customHeight="1">
      <c r="B96" s="112">
        <v>88</v>
      </c>
      <c r="C96" s="113">
        <v>1024487831</v>
      </c>
      <c r="D96" s="114" t="s">
        <v>748</v>
      </c>
      <c r="E96" s="115" t="s">
        <v>793</v>
      </c>
      <c r="F96" s="78" t="s">
        <v>507</v>
      </c>
      <c r="G96" s="124" t="s">
        <v>480</v>
      </c>
      <c r="H96" s="114" t="s">
        <v>749</v>
      </c>
      <c r="I96" s="114" t="s">
        <v>747</v>
      </c>
      <c r="J96" s="97" t="s">
        <v>567</v>
      </c>
      <c r="K96" s="97" t="s">
        <v>567</v>
      </c>
      <c r="L96" s="97" t="s">
        <v>567</v>
      </c>
      <c r="M96" s="97" t="s">
        <v>567</v>
      </c>
      <c r="N96" s="97" t="s">
        <v>557</v>
      </c>
      <c r="O96" s="97" t="s">
        <v>567</v>
      </c>
      <c r="P96" s="97" t="s">
        <v>567</v>
      </c>
      <c r="Q96" s="97" t="s">
        <v>567</v>
      </c>
      <c r="R96" s="97" t="s">
        <v>567</v>
      </c>
      <c r="S96" s="97" t="s">
        <v>567</v>
      </c>
      <c r="T96" s="97" t="s">
        <v>567</v>
      </c>
      <c r="U96" s="97" t="s">
        <v>557</v>
      </c>
      <c r="V96" s="97" t="s">
        <v>557</v>
      </c>
      <c r="W96" s="97" t="s">
        <v>567</v>
      </c>
      <c r="X96" s="97" t="s">
        <v>567</v>
      </c>
      <c r="Y96" s="97" t="s">
        <v>567</v>
      </c>
      <c r="Z96" s="97" t="s">
        <v>567</v>
      </c>
      <c r="AA96" s="97" t="s">
        <v>567</v>
      </c>
      <c r="AB96" s="97" t="s">
        <v>557</v>
      </c>
      <c r="AC96" s="97" t="s">
        <v>557</v>
      </c>
      <c r="AD96" s="97" t="s">
        <v>555</v>
      </c>
      <c r="AE96" s="97" t="s">
        <v>567</v>
      </c>
      <c r="AF96" s="97" t="s">
        <v>567</v>
      </c>
      <c r="AG96" s="97" t="s">
        <v>555</v>
      </c>
      <c r="AH96" s="97" t="s">
        <v>567</v>
      </c>
      <c r="AI96" s="97" t="s">
        <v>557</v>
      </c>
      <c r="AJ96" s="97" t="s">
        <v>567</v>
      </c>
      <c r="AK96" s="97" t="s">
        <v>567</v>
      </c>
      <c r="AL96" s="97" t="s">
        <v>567</v>
      </c>
      <c r="AM96" s="97" t="s">
        <v>567</v>
      </c>
      <c r="AO96" s="116">
        <f t="shared" si="6"/>
        <v>2</v>
      </c>
      <c r="AP96" s="116">
        <f t="shared" si="6"/>
        <v>0</v>
      </c>
      <c r="AQ96" s="116">
        <f t="shared" si="6"/>
        <v>6</v>
      </c>
      <c r="AR96" s="116">
        <f t="shared" si="6"/>
        <v>0</v>
      </c>
      <c r="AS96" s="116">
        <f t="shared" si="6"/>
        <v>0</v>
      </c>
      <c r="AT96" s="116">
        <f t="shared" si="6"/>
        <v>0</v>
      </c>
      <c r="AU96" s="116">
        <f t="shared" si="6"/>
        <v>0</v>
      </c>
      <c r="AV96" s="116">
        <f t="shared" si="6"/>
        <v>0</v>
      </c>
      <c r="AW96" s="116">
        <f t="shared" si="6"/>
        <v>0</v>
      </c>
      <c r="AX96" s="116">
        <f t="shared" si="6"/>
        <v>0</v>
      </c>
      <c r="AY96" s="116">
        <f t="shared" si="6"/>
        <v>0</v>
      </c>
      <c r="AZ96" s="116">
        <f t="shared" si="6"/>
        <v>0</v>
      </c>
      <c r="BA96" s="116">
        <f t="shared" si="6"/>
        <v>22</v>
      </c>
      <c r="BB96" s="117">
        <f t="shared" si="7"/>
        <v>28</v>
      </c>
      <c r="BD96" s="137">
        <v>30</v>
      </c>
    </row>
    <row r="97" spans="2:56" ht="48.95" customHeight="1">
      <c r="B97" s="112">
        <v>89</v>
      </c>
      <c r="C97" s="113">
        <v>5090615</v>
      </c>
      <c r="D97" s="114" t="s">
        <v>961</v>
      </c>
      <c r="E97" s="115" t="s">
        <v>793</v>
      </c>
      <c r="F97" s="78" t="s">
        <v>507</v>
      </c>
      <c r="G97" s="82" t="s">
        <v>483</v>
      </c>
      <c r="H97" s="114" t="s">
        <v>962</v>
      </c>
      <c r="I97" s="114" t="s">
        <v>747</v>
      </c>
      <c r="J97" s="97" t="s">
        <v>567</v>
      </c>
      <c r="K97" s="97" t="s">
        <v>567</v>
      </c>
      <c r="L97" s="97" t="s">
        <v>567</v>
      </c>
      <c r="M97" s="97" t="s">
        <v>567</v>
      </c>
      <c r="N97" s="97" t="s">
        <v>557</v>
      </c>
      <c r="O97" s="97" t="s">
        <v>567</v>
      </c>
      <c r="P97" s="97" t="s">
        <v>567</v>
      </c>
      <c r="Q97" s="97" t="s">
        <v>567</v>
      </c>
      <c r="R97" s="97" t="s">
        <v>567</v>
      </c>
      <c r="S97" s="97" t="s">
        <v>567</v>
      </c>
      <c r="T97" s="97" t="s">
        <v>567</v>
      </c>
      <c r="U97" s="97" t="s">
        <v>557</v>
      </c>
      <c r="V97" s="97" t="s">
        <v>557</v>
      </c>
      <c r="W97" s="97" t="s">
        <v>567</v>
      </c>
      <c r="X97" s="97" t="s">
        <v>567</v>
      </c>
      <c r="Y97" s="97" t="s">
        <v>567</v>
      </c>
      <c r="Z97" s="97" t="s">
        <v>567</v>
      </c>
      <c r="AA97" s="97" t="s">
        <v>567</v>
      </c>
      <c r="AB97" s="97" t="s">
        <v>557</v>
      </c>
      <c r="AC97" s="97" t="s">
        <v>557</v>
      </c>
      <c r="AD97" s="97" t="s">
        <v>567</v>
      </c>
      <c r="AE97" s="97" t="s">
        <v>567</v>
      </c>
      <c r="AF97" s="97" t="s">
        <v>567</v>
      </c>
      <c r="AG97" s="97" t="s">
        <v>567</v>
      </c>
      <c r="AH97" s="97" t="s">
        <v>567</v>
      </c>
      <c r="AI97" s="97" t="s">
        <v>557</v>
      </c>
      <c r="AJ97" s="97" t="s">
        <v>567</v>
      </c>
      <c r="AK97" s="97" t="s">
        <v>567</v>
      </c>
      <c r="AL97" s="97" t="s">
        <v>567</v>
      </c>
      <c r="AM97" s="97" t="s">
        <v>567</v>
      </c>
      <c r="AO97" s="116">
        <f t="shared" si="6"/>
        <v>0</v>
      </c>
      <c r="AP97" s="116">
        <f t="shared" si="6"/>
        <v>0</v>
      </c>
      <c r="AQ97" s="116">
        <f t="shared" si="6"/>
        <v>6</v>
      </c>
      <c r="AR97" s="116">
        <f t="shared" si="6"/>
        <v>0</v>
      </c>
      <c r="AS97" s="116">
        <f t="shared" si="6"/>
        <v>0</v>
      </c>
      <c r="AT97" s="116">
        <f t="shared" si="6"/>
        <v>0</v>
      </c>
      <c r="AU97" s="116">
        <f t="shared" si="6"/>
        <v>0</v>
      </c>
      <c r="AV97" s="116">
        <f t="shared" si="6"/>
        <v>0</v>
      </c>
      <c r="AW97" s="116">
        <f t="shared" si="6"/>
        <v>0</v>
      </c>
      <c r="AX97" s="116">
        <f t="shared" si="6"/>
        <v>0</v>
      </c>
      <c r="AY97" s="116">
        <f t="shared" si="6"/>
        <v>0</v>
      </c>
      <c r="AZ97" s="116">
        <f t="shared" si="6"/>
        <v>0</v>
      </c>
      <c r="BA97" s="116">
        <f t="shared" si="6"/>
        <v>24</v>
      </c>
      <c r="BB97" s="117">
        <f t="shared" si="7"/>
        <v>30</v>
      </c>
      <c r="BD97" s="137">
        <v>30</v>
      </c>
    </row>
    <row r="98" spans="2:56" ht="48.95" customHeight="1">
      <c r="B98" s="112">
        <v>90</v>
      </c>
      <c r="C98" s="113">
        <v>1004536224</v>
      </c>
      <c r="D98" s="114" t="s">
        <v>963</v>
      </c>
      <c r="E98" s="115" t="s">
        <v>793</v>
      </c>
      <c r="F98" s="78" t="s">
        <v>506</v>
      </c>
      <c r="G98" s="124" t="s">
        <v>480</v>
      </c>
      <c r="H98" s="114" t="s">
        <v>964</v>
      </c>
      <c r="I98" s="114" t="s">
        <v>603</v>
      </c>
      <c r="J98" s="97" t="s">
        <v>567</v>
      </c>
      <c r="K98" s="97" t="s">
        <v>567</v>
      </c>
      <c r="L98" s="97" t="s">
        <v>567</v>
      </c>
      <c r="M98" s="97" t="s">
        <v>567</v>
      </c>
      <c r="N98" s="97" t="s">
        <v>557</v>
      </c>
      <c r="O98" s="97" t="s">
        <v>567</v>
      </c>
      <c r="P98" s="97" t="s">
        <v>567</v>
      </c>
      <c r="Q98" s="97" t="s">
        <v>567</v>
      </c>
      <c r="R98" s="97" t="s">
        <v>567</v>
      </c>
      <c r="S98" s="97" t="s">
        <v>567</v>
      </c>
      <c r="T98" s="97" t="s">
        <v>567</v>
      </c>
      <c r="U98" s="97" t="s">
        <v>557</v>
      </c>
      <c r="V98" s="97" t="s">
        <v>557</v>
      </c>
      <c r="W98" s="97" t="s">
        <v>567</v>
      </c>
      <c r="X98" s="97" t="s">
        <v>567</v>
      </c>
      <c r="Y98" s="97" t="s">
        <v>567</v>
      </c>
      <c r="Z98" s="97" t="s">
        <v>567</v>
      </c>
      <c r="AA98" s="97" t="s">
        <v>567</v>
      </c>
      <c r="AB98" s="97" t="s">
        <v>557</v>
      </c>
      <c r="AC98" s="97" t="s">
        <v>557</v>
      </c>
      <c r="AD98" s="97" t="s">
        <v>558</v>
      </c>
      <c r="AE98" s="97" t="s">
        <v>558</v>
      </c>
      <c r="AF98" s="97" t="s">
        <v>558</v>
      </c>
      <c r="AG98" s="97" t="s">
        <v>567</v>
      </c>
      <c r="AH98" s="97" t="s">
        <v>567</v>
      </c>
      <c r="AI98" s="97" t="s">
        <v>557</v>
      </c>
      <c r="AJ98" s="97" t="s">
        <v>567</v>
      </c>
      <c r="AK98" s="97" t="s">
        <v>567</v>
      </c>
      <c r="AL98" s="97" t="s">
        <v>567</v>
      </c>
      <c r="AM98" s="97" t="s">
        <v>567</v>
      </c>
      <c r="AO98" s="116">
        <f t="shared" si="6"/>
        <v>0</v>
      </c>
      <c r="AP98" s="116">
        <f t="shared" si="6"/>
        <v>0</v>
      </c>
      <c r="AQ98" s="116">
        <f t="shared" si="6"/>
        <v>6</v>
      </c>
      <c r="AR98" s="116">
        <f t="shared" ref="AP98:BA119" si="8">COUNTIF($J98:$AM98,AR$7)</f>
        <v>3</v>
      </c>
      <c r="AS98" s="116">
        <f t="shared" si="8"/>
        <v>0</v>
      </c>
      <c r="AT98" s="116">
        <f t="shared" si="8"/>
        <v>0</v>
      </c>
      <c r="AU98" s="116">
        <f t="shared" si="8"/>
        <v>0</v>
      </c>
      <c r="AV98" s="116">
        <f t="shared" si="8"/>
        <v>0</v>
      </c>
      <c r="AW98" s="116">
        <f t="shared" si="8"/>
        <v>0</v>
      </c>
      <c r="AX98" s="116">
        <f t="shared" si="8"/>
        <v>0</v>
      </c>
      <c r="AY98" s="116">
        <f t="shared" si="8"/>
        <v>0</v>
      </c>
      <c r="AZ98" s="116">
        <f t="shared" si="8"/>
        <v>0</v>
      </c>
      <c r="BA98" s="116">
        <f t="shared" si="8"/>
        <v>21</v>
      </c>
      <c r="BB98" s="117">
        <f t="shared" si="7"/>
        <v>27</v>
      </c>
      <c r="BD98" s="137">
        <v>30</v>
      </c>
    </row>
    <row r="99" spans="2:56" ht="48.95" customHeight="1">
      <c r="B99" s="112">
        <v>91</v>
      </c>
      <c r="C99" s="113">
        <v>52164364</v>
      </c>
      <c r="D99" s="114" t="s">
        <v>965</v>
      </c>
      <c r="E99" s="115" t="s">
        <v>793</v>
      </c>
      <c r="F99" s="78" t="s">
        <v>506</v>
      </c>
      <c r="G99" s="124" t="s">
        <v>480</v>
      </c>
      <c r="H99" s="114" t="s">
        <v>966</v>
      </c>
      <c r="I99" s="114" t="s">
        <v>597</v>
      </c>
      <c r="J99" s="97" t="s">
        <v>567</v>
      </c>
      <c r="K99" s="97" t="s">
        <v>567</v>
      </c>
      <c r="L99" s="97" t="s">
        <v>567</v>
      </c>
      <c r="M99" s="97" t="s">
        <v>567</v>
      </c>
      <c r="N99" s="97" t="s">
        <v>557</v>
      </c>
      <c r="O99" s="97" t="s">
        <v>567</v>
      </c>
      <c r="P99" s="97" t="s">
        <v>567</v>
      </c>
      <c r="Q99" s="97" t="s">
        <v>567</v>
      </c>
      <c r="R99" s="97" t="s">
        <v>567</v>
      </c>
      <c r="S99" s="97" t="s">
        <v>567</v>
      </c>
      <c r="T99" s="97" t="s">
        <v>567</v>
      </c>
      <c r="U99" s="97" t="s">
        <v>557</v>
      </c>
      <c r="V99" s="97" t="s">
        <v>557</v>
      </c>
      <c r="W99" s="97" t="s">
        <v>567</v>
      </c>
      <c r="X99" s="97" t="s">
        <v>567</v>
      </c>
      <c r="Y99" s="97" t="s">
        <v>567</v>
      </c>
      <c r="Z99" s="97" t="s">
        <v>567</v>
      </c>
      <c r="AA99" s="97" t="s">
        <v>567</v>
      </c>
      <c r="AB99" s="97" t="s">
        <v>557</v>
      </c>
      <c r="AC99" s="97" t="s">
        <v>557</v>
      </c>
      <c r="AD99" s="97" t="s">
        <v>567</v>
      </c>
      <c r="AE99" s="97" t="s">
        <v>567</v>
      </c>
      <c r="AF99" s="97" t="s">
        <v>567</v>
      </c>
      <c r="AG99" s="97" t="s">
        <v>567</v>
      </c>
      <c r="AH99" s="97" t="s">
        <v>567</v>
      </c>
      <c r="AI99" s="97" t="s">
        <v>557</v>
      </c>
      <c r="AJ99" s="97" t="s">
        <v>567</v>
      </c>
      <c r="AK99" s="97" t="s">
        <v>567</v>
      </c>
      <c r="AL99" s="97" t="s">
        <v>567</v>
      </c>
      <c r="AM99" s="97" t="s">
        <v>567</v>
      </c>
      <c r="AO99" s="116">
        <f t="shared" ref="AO99:AO162" si="9">COUNTIF($J99:$AM99,AO$7)</f>
        <v>0</v>
      </c>
      <c r="AP99" s="116">
        <f t="shared" si="8"/>
        <v>0</v>
      </c>
      <c r="AQ99" s="116">
        <f t="shared" si="8"/>
        <v>6</v>
      </c>
      <c r="AR99" s="116">
        <f t="shared" si="8"/>
        <v>0</v>
      </c>
      <c r="AS99" s="116">
        <f t="shared" si="8"/>
        <v>0</v>
      </c>
      <c r="AT99" s="116">
        <f t="shared" si="8"/>
        <v>0</v>
      </c>
      <c r="AU99" s="116">
        <f t="shared" si="8"/>
        <v>0</v>
      </c>
      <c r="AV99" s="116">
        <f t="shared" si="8"/>
        <v>0</v>
      </c>
      <c r="AW99" s="116">
        <f t="shared" si="8"/>
        <v>0</v>
      </c>
      <c r="AX99" s="116">
        <f t="shared" si="8"/>
        <v>0</v>
      </c>
      <c r="AY99" s="116">
        <f t="shared" si="8"/>
        <v>0</v>
      </c>
      <c r="AZ99" s="116">
        <f t="shared" si="8"/>
        <v>0</v>
      </c>
      <c r="BA99" s="116">
        <f t="shared" si="8"/>
        <v>24</v>
      </c>
      <c r="BB99" s="117">
        <f t="shared" si="7"/>
        <v>30</v>
      </c>
      <c r="BD99" s="137">
        <v>30</v>
      </c>
    </row>
    <row r="100" spans="2:56" ht="48.95" customHeight="1">
      <c r="B100" s="112">
        <v>92</v>
      </c>
      <c r="C100" s="113">
        <v>63508533</v>
      </c>
      <c r="D100" s="114" t="s">
        <v>967</v>
      </c>
      <c r="E100" s="115" t="s">
        <v>793</v>
      </c>
      <c r="F100" s="78" t="s">
        <v>506</v>
      </c>
      <c r="G100" s="124" t="s">
        <v>480</v>
      </c>
      <c r="H100" s="114" t="s">
        <v>968</v>
      </c>
      <c r="I100" s="114" t="s">
        <v>600</v>
      </c>
      <c r="J100" s="97" t="s">
        <v>567</v>
      </c>
      <c r="K100" s="97" t="s">
        <v>567</v>
      </c>
      <c r="L100" s="97" t="s">
        <v>567</v>
      </c>
      <c r="M100" s="97" t="s">
        <v>567</v>
      </c>
      <c r="N100" s="97" t="s">
        <v>557</v>
      </c>
      <c r="O100" s="97" t="s">
        <v>567</v>
      </c>
      <c r="P100" s="97" t="s">
        <v>567</v>
      </c>
      <c r="Q100" s="97" t="s">
        <v>567</v>
      </c>
      <c r="R100" s="97" t="s">
        <v>567</v>
      </c>
      <c r="S100" s="97" t="s">
        <v>567</v>
      </c>
      <c r="T100" s="97" t="s">
        <v>567</v>
      </c>
      <c r="U100" s="97" t="s">
        <v>557</v>
      </c>
      <c r="V100" s="97" t="s">
        <v>557</v>
      </c>
      <c r="W100" s="97" t="s">
        <v>567</v>
      </c>
      <c r="X100" s="97" t="s">
        <v>567</v>
      </c>
      <c r="Y100" s="97" t="s">
        <v>567</v>
      </c>
      <c r="Z100" s="97" t="s">
        <v>567</v>
      </c>
      <c r="AA100" s="97" t="s">
        <v>567</v>
      </c>
      <c r="AB100" s="97" t="s">
        <v>557</v>
      </c>
      <c r="AC100" s="97" t="s">
        <v>557</v>
      </c>
      <c r="AD100" s="97" t="s">
        <v>567</v>
      </c>
      <c r="AE100" s="97" t="s">
        <v>567</v>
      </c>
      <c r="AF100" s="97" t="s">
        <v>567</v>
      </c>
      <c r="AG100" s="97" t="s">
        <v>567</v>
      </c>
      <c r="AH100" s="97" t="s">
        <v>567</v>
      </c>
      <c r="AI100" s="97" t="s">
        <v>557</v>
      </c>
      <c r="AJ100" s="97" t="s">
        <v>567</v>
      </c>
      <c r="AK100" s="97" t="s">
        <v>567</v>
      </c>
      <c r="AL100" s="97" t="s">
        <v>567</v>
      </c>
      <c r="AM100" s="97" t="s">
        <v>567</v>
      </c>
      <c r="AO100" s="116">
        <f t="shared" si="9"/>
        <v>0</v>
      </c>
      <c r="AP100" s="116">
        <f t="shared" si="8"/>
        <v>0</v>
      </c>
      <c r="AQ100" s="116">
        <f t="shared" si="8"/>
        <v>6</v>
      </c>
      <c r="AR100" s="116">
        <f t="shared" si="8"/>
        <v>0</v>
      </c>
      <c r="AS100" s="116">
        <f t="shared" si="8"/>
        <v>0</v>
      </c>
      <c r="AT100" s="116">
        <f t="shared" si="8"/>
        <v>0</v>
      </c>
      <c r="AU100" s="116">
        <f t="shared" si="8"/>
        <v>0</v>
      </c>
      <c r="AV100" s="116">
        <f t="shared" si="8"/>
        <v>0</v>
      </c>
      <c r="AW100" s="116">
        <f t="shared" si="8"/>
        <v>0</v>
      </c>
      <c r="AX100" s="116">
        <f t="shared" si="8"/>
        <v>0</v>
      </c>
      <c r="AY100" s="116">
        <f t="shared" si="8"/>
        <v>0</v>
      </c>
      <c r="AZ100" s="116">
        <f t="shared" si="8"/>
        <v>0</v>
      </c>
      <c r="BA100" s="116">
        <f t="shared" si="8"/>
        <v>24</v>
      </c>
      <c r="BB100" s="117">
        <f t="shared" si="7"/>
        <v>30</v>
      </c>
      <c r="BD100" s="137">
        <v>30</v>
      </c>
    </row>
    <row r="101" spans="2:56" ht="48.95" customHeight="1">
      <c r="B101" s="112">
        <v>93</v>
      </c>
      <c r="C101" s="113">
        <v>52550381</v>
      </c>
      <c r="D101" s="114" t="s">
        <v>969</v>
      </c>
      <c r="E101" s="115" t="s">
        <v>793</v>
      </c>
      <c r="F101" s="78" t="s">
        <v>506</v>
      </c>
      <c r="G101" s="124" t="s">
        <v>480</v>
      </c>
      <c r="H101" s="114" t="s">
        <v>970</v>
      </c>
      <c r="I101" s="114" t="s">
        <v>597</v>
      </c>
      <c r="J101" s="97" t="s">
        <v>567</v>
      </c>
      <c r="K101" s="97" t="s">
        <v>567</v>
      </c>
      <c r="L101" s="97" t="s">
        <v>567</v>
      </c>
      <c r="M101" s="97" t="s">
        <v>567</v>
      </c>
      <c r="N101" s="97" t="s">
        <v>557</v>
      </c>
      <c r="O101" s="97" t="s">
        <v>567</v>
      </c>
      <c r="P101" s="97" t="s">
        <v>567</v>
      </c>
      <c r="Q101" s="97" t="s">
        <v>567</v>
      </c>
      <c r="R101" s="97" t="s">
        <v>567</v>
      </c>
      <c r="S101" s="97" t="s">
        <v>567</v>
      </c>
      <c r="T101" s="97" t="s">
        <v>567</v>
      </c>
      <c r="U101" s="97" t="s">
        <v>557</v>
      </c>
      <c r="V101" s="97" t="s">
        <v>557</v>
      </c>
      <c r="W101" s="97" t="s">
        <v>567</v>
      </c>
      <c r="X101" s="97" t="s">
        <v>567</v>
      </c>
      <c r="Y101" s="97" t="s">
        <v>567</v>
      </c>
      <c r="Z101" s="97" t="s">
        <v>567</v>
      </c>
      <c r="AA101" s="97" t="s">
        <v>567</v>
      </c>
      <c r="AB101" s="97" t="s">
        <v>557</v>
      </c>
      <c r="AC101" s="97" t="s">
        <v>557</v>
      </c>
      <c r="AD101" s="97" t="s">
        <v>567</v>
      </c>
      <c r="AE101" s="97" t="s">
        <v>567</v>
      </c>
      <c r="AF101" s="97" t="s">
        <v>567</v>
      </c>
      <c r="AG101" s="97" t="s">
        <v>567</v>
      </c>
      <c r="AH101" s="97" t="s">
        <v>567</v>
      </c>
      <c r="AI101" s="97" t="s">
        <v>557</v>
      </c>
      <c r="AJ101" s="97" t="s">
        <v>567</v>
      </c>
      <c r="AK101" s="97" t="s">
        <v>567</v>
      </c>
      <c r="AL101" s="97" t="s">
        <v>567</v>
      </c>
      <c r="AM101" s="97" t="s">
        <v>567</v>
      </c>
      <c r="AO101" s="116">
        <f t="shared" si="9"/>
        <v>0</v>
      </c>
      <c r="AP101" s="116">
        <f t="shared" si="8"/>
        <v>0</v>
      </c>
      <c r="AQ101" s="116">
        <f t="shared" si="8"/>
        <v>6</v>
      </c>
      <c r="AR101" s="116">
        <f t="shared" si="8"/>
        <v>0</v>
      </c>
      <c r="AS101" s="116">
        <f t="shared" si="8"/>
        <v>0</v>
      </c>
      <c r="AT101" s="116">
        <f t="shared" si="8"/>
        <v>0</v>
      </c>
      <c r="AU101" s="116">
        <f t="shared" si="8"/>
        <v>0</v>
      </c>
      <c r="AV101" s="116">
        <f t="shared" si="8"/>
        <v>0</v>
      </c>
      <c r="AW101" s="116">
        <f t="shared" si="8"/>
        <v>0</v>
      </c>
      <c r="AX101" s="116">
        <f t="shared" si="8"/>
        <v>0</v>
      </c>
      <c r="AY101" s="116">
        <f t="shared" si="8"/>
        <v>0</v>
      </c>
      <c r="AZ101" s="116">
        <f t="shared" si="8"/>
        <v>0</v>
      </c>
      <c r="BA101" s="116">
        <f t="shared" si="8"/>
        <v>24</v>
      </c>
      <c r="BB101" s="117">
        <f t="shared" si="7"/>
        <v>30</v>
      </c>
      <c r="BD101" s="137">
        <v>30</v>
      </c>
    </row>
    <row r="102" spans="2:56" ht="48.95" customHeight="1">
      <c r="B102" s="112">
        <v>94</v>
      </c>
      <c r="C102" s="113">
        <v>52442600</v>
      </c>
      <c r="D102" s="114" t="s">
        <v>971</v>
      </c>
      <c r="E102" s="115" t="s">
        <v>793</v>
      </c>
      <c r="F102" s="78" t="s">
        <v>506</v>
      </c>
      <c r="G102" s="124" t="s">
        <v>479</v>
      </c>
      <c r="H102" s="114" t="s">
        <v>972</v>
      </c>
      <c r="I102" s="114" t="s">
        <v>597</v>
      </c>
      <c r="J102" s="97" t="s">
        <v>567</v>
      </c>
      <c r="K102" s="97" t="s">
        <v>567</v>
      </c>
      <c r="L102" s="97" t="s">
        <v>567</v>
      </c>
      <c r="M102" s="97" t="s">
        <v>567</v>
      </c>
      <c r="N102" s="97" t="s">
        <v>557</v>
      </c>
      <c r="O102" s="97" t="s">
        <v>567</v>
      </c>
      <c r="P102" s="97" t="s">
        <v>567</v>
      </c>
      <c r="Q102" s="97" t="s">
        <v>567</v>
      </c>
      <c r="R102" s="97" t="s">
        <v>567</v>
      </c>
      <c r="S102" s="97" t="s">
        <v>567</v>
      </c>
      <c r="T102" s="97" t="s">
        <v>567</v>
      </c>
      <c r="U102" s="97" t="s">
        <v>557</v>
      </c>
      <c r="V102" s="97" t="s">
        <v>557</v>
      </c>
      <c r="W102" s="97" t="s">
        <v>567</v>
      </c>
      <c r="X102" s="97" t="s">
        <v>567</v>
      </c>
      <c r="Y102" s="97" t="s">
        <v>567</v>
      </c>
      <c r="Z102" s="97" t="s">
        <v>567</v>
      </c>
      <c r="AA102" s="97" t="s">
        <v>567</v>
      </c>
      <c r="AB102" s="97" t="s">
        <v>557</v>
      </c>
      <c r="AC102" s="97" t="s">
        <v>557</v>
      </c>
      <c r="AD102" s="97" t="s">
        <v>567</v>
      </c>
      <c r="AE102" s="97" t="s">
        <v>567</v>
      </c>
      <c r="AF102" s="97" t="s">
        <v>567</v>
      </c>
      <c r="AG102" s="97" t="s">
        <v>567</v>
      </c>
      <c r="AH102" s="97" t="s">
        <v>567</v>
      </c>
      <c r="AI102" s="97" t="s">
        <v>557</v>
      </c>
      <c r="AJ102" s="97" t="s">
        <v>567</v>
      </c>
      <c r="AK102" s="97" t="s">
        <v>567</v>
      </c>
      <c r="AL102" s="97" t="s">
        <v>567</v>
      </c>
      <c r="AM102" s="97" t="s">
        <v>567</v>
      </c>
      <c r="AO102" s="116">
        <f t="shared" si="9"/>
        <v>0</v>
      </c>
      <c r="AP102" s="116">
        <f t="shared" si="8"/>
        <v>0</v>
      </c>
      <c r="AQ102" s="116">
        <f t="shared" si="8"/>
        <v>6</v>
      </c>
      <c r="AR102" s="116">
        <f t="shared" si="8"/>
        <v>0</v>
      </c>
      <c r="AS102" s="116">
        <f t="shared" si="8"/>
        <v>0</v>
      </c>
      <c r="AT102" s="116">
        <f t="shared" si="8"/>
        <v>0</v>
      </c>
      <c r="AU102" s="116">
        <f t="shared" si="8"/>
        <v>0</v>
      </c>
      <c r="AV102" s="116">
        <f t="shared" si="8"/>
        <v>0</v>
      </c>
      <c r="AW102" s="116">
        <f t="shared" si="8"/>
        <v>0</v>
      </c>
      <c r="AX102" s="116">
        <f t="shared" si="8"/>
        <v>0</v>
      </c>
      <c r="AY102" s="116">
        <f t="shared" si="8"/>
        <v>0</v>
      </c>
      <c r="AZ102" s="116">
        <f t="shared" si="8"/>
        <v>0</v>
      </c>
      <c r="BA102" s="116">
        <f t="shared" si="8"/>
        <v>24</v>
      </c>
      <c r="BB102" s="117">
        <f t="shared" si="7"/>
        <v>30</v>
      </c>
      <c r="BD102" s="137">
        <v>30</v>
      </c>
    </row>
    <row r="103" spans="2:56" ht="48.95" customHeight="1">
      <c r="B103" s="112">
        <v>95</v>
      </c>
      <c r="C103" s="113">
        <v>1102816103</v>
      </c>
      <c r="D103" s="114" t="s">
        <v>973</v>
      </c>
      <c r="E103" s="115" t="s">
        <v>793</v>
      </c>
      <c r="F103" s="78" t="s">
        <v>506</v>
      </c>
      <c r="G103" s="77" t="s">
        <v>494</v>
      </c>
      <c r="H103" s="114" t="s">
        <v>974</v>
      </c>
      <c r="I103" s="114" t="s">
        <v>597</v>
      </c>
      <c r="J103" s="97" t="s">
        <v>567</v>
      </c>
      <c r="K103" s="97" t="s">
        <v>567</v>
      </c>
      <c r="L103" s="97" t="s">
        <v>567</v>
      </c>
      <c r="M103" s="97" t="s">
        <v>567</v>
      </c>
      <c r="N103" s="97" t="s">
        <v>557</v>
      </c>
      <c r="O103" s="97" t="s">
        <v>567</v>
      </c>
      <c r="P103" s="97" t="s">
        <v>567</v>
      </c>
      <c r="Q103" s="97" t="s">
        <v>567</v>
      </c>
      <c r="R103" s="97" t="s">
        <v>567</v>
      </c>
      <c r="S103" s="97" t="s">
        <v>567</v>
      </c>
      <c r="T103" s="97" t="s">
        <v>567</v>
      </c>
      <c r="U103" s="97" t="s">
        <v>557</v>
      </c>
      <c r="V103" s="97" t="s">
        <v>557</v>
      </c>
      <c r="W103" s="97" t="s">
        <v>567</v>
      </c>
      <c r="X103" s="97" t="s">
        <v>567</v>
      </c>
      <c r="Y103" s="97" t="s">
        <v>567</v>
      </c>
      <c r="Z103" s="97" t="s">
        <v>567</v>
      </c>
      <c r="AA103" s="97" t="s">
        <v>567</v>
      </c>
      <c r="AB103" s="97" t="s">
        <v>557</v>
      </c>
      <c r="AC103" s="97" t="s">
        <v>557</v>
      </c>
      <c r="AD103" s="97" t="s">
        <v>567</v>
      </c>
      <c r="AE103" s="97" t="s">
        <v>567</v>
      </c>
      <c r="AF103" s="97" t="s">
        <v>567</v>
      </c>
      <c r="AG103" s="97" t="s">
        <v>567</v>
      </c>
      <c r="AH103" s="97" t="s">
        <v>567</v>
      </c>
      <c r="AI103" s="97" t="s">
        <v>557</v>
      </c>
      <c r="AJ103" s="97" t="s">
        <v>567</v>
      </c>
      <c r="AK103" s="97" t="s">
        <v>567</v>
      </c>
      <c r="AL103" s="97" t="s">
        <v>567</v>
      </c>
      <c r="AM103" s="97" t="s">
        <v>567</v>
      </c>
      <c r="AO103" s="116">
        <f t="shared" si="9"/>
        <v>0</v>
      </c>
      <c r="AP103" s="116">
        <f t="shared" si="8"/>
        <v>0</v>
      </c>
      <c r="AQ103" s="116">
        <f t="shared" si="8"/>
        <v>6</v>
      </c>
      <c r="AR103" s="116">
        <f t="shared" si="8"/>
        <v>0</v>
      </c>
      <c r="AS103" s="116">
        <f t="shared" si="8"/>
        <v>0</v>
      </c>
      <c r="AT103" s="116">
        <f t="shared" si="8"/>
        <v>0</v>
      </c>
      <c r="AU103" s="116">
        <f t="shared" si="8"/>
        <v>0</v>
      </c>
      <c r="AV103" s="116">
        <f t="shared" si="8"/>
        <v>0</v>
      </c>
      <c r="AW103" s="116">
        <f t="shared" si="8"/>
        <v>0</v>
      </c>
      <c r="AX103" s="116">
        <f t="shared" si="8"/>
        <v>0</v>
      </c>
      <c r="AY103" s="116">
        <f t="shared" si="8"/>
        <v>0</v>
      </c>
      <c r="AZ103" s="116">
        <f t="shared" si="8"/>
        <v>0</v>
      </c>
      <c r="BA103" s="116">
        <f t="shared" si="8"/>
        <v>24</v>
      </c>
      <c r="BB103" s="117">
        <f t="shared" si="7"/>
        <v>30</v>
      </c>
      <c r="BD103" s="137">
        <v>30</v>
      </c>
    </row>
    <row r="104" spans="2:56" ht="48.95" customHeight="1">
      <c r="B104" s="112">
        <v>96</v>
      </c>
      <c r="C104" s="113">
        <v>21119479</v>
      </c>
      <c r="D104" s="114" t="s">
        <v>975</v>
      </c>
      <c r="E104" s="115" t="s">
        <v>793</v>
      </c>
      <c r="F104" s="78" t="s">
        <v>506</v>
      </c>
      <c r="G104" s="124" t="s">
        <v>479</v>
      </c>
      <c r="H104" s="114" t="s">
        <v>976</v>
      </c>
      <c r="I104" s="114" t="s">
        <v>597</v>
      </c>
      <c r="J104" s="97" t="s">
        <v>567</v>
      </c>
      <c r="K104" s="97" t="s">
        <v>567</v>
      </c>
      <c r="L104" s="97" t="s">
        <v>567</v>
      </c>
      <c r="M104" s="97" t="s">
        <v>567</v>
      </c>
      <c r="N104" s="97" t="s">
        <v>557</v>
      </c>
      <c r="O104" s="97" t="s">
        <v>567</v>
      </c>
      <c r="P104" s="97" t="s">
        <v>567</v>
      </c>
      <c r="Q104" s="97" t="s">
        <v>567</v>
      </c>
      <c r="R104" s="97" t="s">
        <v>567</v>
      </c>
      <c r="S104" s="97" t="s">
        <v>567</v>
      </c>
      <c r="T104" s="97" t="s">
        <v>567</v>
      </c>
      <c r="U104" s="97" t="s">
        <v>557</v>
      </c>
      <c r="V104" s="97" t="s">
        <v>557</v>
      </c>
      <c r="W104" s="97" t="s">
        <v>567</v>
      </c>
      <c r="X104" s="97" t="s">
        <v>567</v>
      </c>
      <c r="Y104" s="97" t="s">
        <v>567</v>
      </c>
      <c r="Z104" s="97" t="s">
        <v>567</v>
      </c>
      <c r="AA104" s="97" t="s">
        <v>567</v>
      </c>
      <c r="AB104" s="97" t="s">
        <v>557</v>
      </c>
      <c r="AC104" s="97" t="s">
        <v>557</v>
      </c>
      <c r="AD104" s="97" t="s">
        <v>567</v>
      </c>
      <c r="AE104" s="97" t="s">
        <v>567</v>
      </c>
      <c r="AF104" s="97" t="s">
        <v>567</v>
      </c>
      <c r="AG104" s="97" t="s">
        <v>567</v>
      </c>
      <c r="AH104" s="97" t="s">
        <v>567</v>
      </c>
      <c r="AI104" s="97" t="s">
        <v>557</v>
      </c>
      <c r="AJ104" s="97" t="s">
        <v>567</v>
      </c>
      <c r="AK104" s="97" t="s">
        <v>567</v>
      </c>
      <c r="AL104" s="97" t="s">
        <v>567</v>
      </c>
      <c r="AM104" s="97" t="s">
        <v>567</v>
      </c>
      <c r="AO104" s="116">
        <f t="shared" si="9"/>
        <v>0</v>
      </c>
      <c r="AP104" s="116">
        <f t="shared" si="8"/>
        <v>0</v>
      </c>
      <c r="AQ104" s="116">
        <f t="shared" si="8"/>
        <v>6</v>
      </c>
      <c r="AR104" s="116">
        <f t="shared" si="8"/>
        <v>0</v>
      </c>
      <c r="AS104" s="116">
        <f t="shared" si="8"/>
        <v>0</v>
      </c>
      <c r="AT104" s="116">
        <f t="shared" si="8"/>
        <v>0</v>
      </c>
      <c r="AU104" s="116">
        <f t="shared" si="8"/>
        <v>0</v>
      </c>
      <c r="AV104" s="116">
        <f t="shared" si="8"/>
        <v>0</v>
      </c>
      <c r="AW104" s="116">
        <f t="shared" si="8"/>
        <v>0</v>
      </c>
      <c r="AX104" s="116">
        <f t="shared" si="8"/>
        <v>0</v>
      </c>
      <c r="AY104" s="116">
        <f t="shared" si="8"/>
        <v>0</v>
      </c>
      <c r="AZ104" s="116">
        <f t="shared" si="8"/>
        <v>0</v>
      </c>
      <c r="BA104" s="116">
        <f t="shared" si="8"/>
        <v>24</v>
      </c>
      <c r="BB104" s="117">
        <f t="shared" si="7"/>
        <v>30</v>
      </c>
      <c r="BD104" s="137">
        <v>30</v>
      </c>
    </row>
    <row r="105" spans="2:56" ht="48.95" customHeight="1">
      <c r="B105" s="112">
        <v>97</v>
      </c>
      <c r="C105" s="113">
        <v>80733180</v>
      </c>
      <c r="D105" s="114" t="s">
        <v>977</v>
      </c>
      <c r="E105" s="115" t="s">
        <v>793</v>
      </c>
      <c r="F105" s="78" t="s">
        <v>507</v>
      </c>
      <c r="G105" s="124" t="s">
        <v>479</v>
      </c>
      <c r="H105" s="114" t="s">
        <v>978</v>
      </c>
      <c r="I105" s="114" t="s">
        <v>597</v>
      </c>
      <c r="J105" s="97" t="s">
        <v>567</v>
      </c>
      <c r="K105" s="97" t="s">
        <v>567</v>
      </c>
      <c r="L105" s="97" t="s">
        <v>567</v>
      </c>
      <c r="M105" s="97" t="s">
        <v>567</v>
      </c>
      <c r="N105" s="97" t="s">
        <v>557</v>
      </c>
      <c r="O105" s="97" t="s">
        <v>567</v>
      </c>
      <c r="P105" s="97" t="s">
        <v>567</v>
      </c>
      <c r="Q105" s="97" t="s">
        <v>567</v>
      </c>
      <c r="R105" s="97" t="s">
        <v>567</v>
      </c>
      <c r="S105" s="97" t="s">
        <v>567</v>
      </c>
      <c r="T105" s="97" t="s">
        <v>567</v>
      </c>
      <c r="U105" s="97" t="s">
        <v>557</v>
      </c>
      <c r="V105" s="97" t="s">
        <v>557</v>
      </c>
      <c r="W105" s="97" t="s">
        <v>567</v>
      </c>
      <c r="X105" s="97" t="s">
        <v>567</v>
      </c>
      <c r="Y105" s="97" t="s">
        <v>567</v>
      </c>
      <c r="Z105" s="97" t="s">
        <v>567</v>
      </c>
      <c r="AA105" s="97" t="s">
        <v>567</v>
      </c>
      <c r="AB105" s="97" t="s">
        <v>557</v>
      </c>
      <c r="AC105" s="97" t="s">
        <v>557</v>
      </c>
      <c r="AD105" s="97" t="s">
        <v>567</v>
      </c>
      <c r="AE105" s="97" t="s">
        <v>567</v>
      </c>
      <c r="AF105" s="97" t="s">
        <v>567</v>
      </c>
      <c r="AG105" s="97" t="s">
        <v>567</v>
      </c>
      <c r="AH105" s="97" t="s">
        <v>567</v>
      </c>
      <c r="AI105" s="97" t="s">
        <v>557</v>
      </c>
      <c r="AJ105" s="97" t="s">
        <v>567</v>
      </c>
      <c r="AK105" s="97" t="s">
        <v>567</v>
      </c>
      <c r="AL105" s="97" t="s">
        <v>567</v>
      </c>
      <c r="AM105" s="97" t="s">
        <v>567</v>
      </c>
      <c r="AO105" s="116">
        <f t="shared" si="9"/>
        <v>0</v>
      </c>
      <c r="AP105" s="116">
        <f t="shared" si="8"/>
        <v>0</v>
      </c>
      <c r="AQ105" s="116">
        <f t="shared" si="8"/>
        <v>6</v>
      </c>
      <c r="AR105" s="116">
        <f t="shared" si="8"/>
        <v>0</v>
      </c>
      <c r="AS105" s="116">
        <f t="shared" si="8"/>
        <v>0</v>
      </c>
      <c r="AT105" s="116">
        <f t="shared" si="8"/>
        <v>0</v>
      </c>
      <c r="AU105" s="116">
        <f t="shared" si="8"/>
        <v>0</v>
      </c>
      <c r="AV105" s="116">
        <f t="shared" si="8"/>
        <v>0</v>
      </c>
      <c r="AW105" s="116">
        <f t="shared" si="8"/>
        <v>0</v>
      </c>
      <c r="AX105" s="116">
        <f t="shared" si="8"/>
        <v>0</v>
      </c>
      <c r="AY105" s="116">
        <f t="shared" si="8"/>
        <v>0</v>
      </c>
      <c r="AZ105" s="116">
        <f t="shared" si="8"/>
        <v>0</v>
      </c>
      <c r="BA105" s="116">
        <f t="shared" si="8"/>
        <v>24</v>
      </c>
      <c r="BB105" s="117">
        <f t="shared" si="7"/>
        <v>30</v>
      </c>
      <c r="BD105" s="137">
        <v>30</v>
      </c>
    </row>
    <row r="106" spans="2:56" ht="48.95" customHeight="1">
      <c r="B106" s="112">
        <v>98</v>
      </c>
      <c r="C106" s="113">
        <v>79705136</v>
      </c>
      <c r="D106" s="114" t="s">
        <v>979</v>
      </c>
      <c r="E106" s="115" t="s">
        <v>793</v>
      </c>
      <c r="F106" s="78" t="s">
        <v>507</v>
      </c>
      <c r="G106" s="124" t="s">
        <v>479</v>
      </c>
      <c r="H106" s="114" t="s">
        <v>980</v>
      </c>
      <c r="I106" s="114" t="s">
        <v>981</v>
      </c>
      <c r="J106" s="97" t="s">
        <v>567</v>
      </c>
      <c r="K106" s="97" t="s">
        <v>567</v>
      </c>
      <c r="L106" s="97" t="s">
        <v>567</v>
      </c>
      <c r="M106" s="97" t="s">
        <v>567</v>
      </c>
      <c r="N106" s="97" t="s">
        <v>557</v>
      </c>
      <c r="O106" s="97" t="s">
        <v>567</v>
      </c>
      <c r="P106" s="97" t="s">
        <v>567</v>
      </c>
      <c r="Q106" s="97" t="s">
        <v>567</v>
      </c>
      <c r="R106" s="97" t="s">
        <v>567</v>
      </c>
      <c r="S106" s="97" t="s">
        <v>567</v>
      </c>
      <c r="T106" s="97" t="s">
        <v>567</v>
      </c>
      <c r="U106" s="97" t="s">
        <v>557</v>
      </c>
      <c r="V106" s="97" t="s">
        <v>557</v>
      </c>
      <c r="W106" s="97" t="s">
        <v>567</v>
      </c>
      <c r="X106" s="97" t="s">
        <v>567</v>
      </c>
      <c r="Y106" s="97" t="s">
        <v>567</v>
      </c>
      <c r="Z106" s="97" t="s">
        <v>567</v>
      </c>
      <c r="AA106" s="97" t="s">
        <v>567</v>
      </c>
      <c r="AB106" s="97" t="s">
        <v>557</v>
      </c>
      <c r="AC106" s="97" t="s">
        <v>557</v>
      </c>
      <c r="AD106" s="97" t="s">
        <v>567</v>
      </c>
      <c r="AE106" s="97" t="s">
        <v>567</v>
      </c>
      <c r="AF106" s="97" t="s">
        <v>567</v>
      </c>
      <c r="AG106" s="97" t="s">
        <v>567</v>
      </c>
      <c r="AH106" s="97" t="s">
        <v>567</v>
      </c>
      <c r="AI106" s="97" t="s">
        <v>557</v>
      </c>
      <c r="AJ106" s="97" t="s">
        <v>567</v>
      </c>
      <c r="AK106" s="97" t="s">
        <v>567</v>
      </c>
      <c r="AL106" s="97" t="s">
        <v>567</v>
      </c>
      <c r="AM106" s="97" t="s">
        <v>567</v>
      </c>
      <c r="AO106" s="116">
        <f t="shared" si="9"/>
        <v>0</v>
      </c>
      <c r="AP106" s="116">
        <f t="shared" si="8"/>
        <v>0</v>
      </c>
      <c r="AQ106" s="116">
        <f t="shared" si="8"/>
        <v>6</v>
      </c>
      <c r="AR106" s="116">
        <f t="shared" si="8"/>
        <v>0</v>
      </c>
      <c r="AS106" s="116">
        <f t="shared" si="8"/>
        <v>0</v>
      </c>
      <c r="AT106" s="116">
        <f t="shared" si="8"/>
        <v>0</v>
      </c>
      <c r="AU106" s="116">
        <f t="shared" si="8"/>
        <v>0</v>
      </c>
      <c r="AV106" s="116">
        <f t="shared" si="8"/>
        <v>0</v>
      </c>
      <c r="AW106" s="116">
        <f t="shared" si="8"/>
        <v>0</v>
      </c>
      <c r="AX106" s="116">
        <f t="shared" si="8"/>
        <v>0</v>
      </c>
      <c r="AY106" s="116">
        <f t="shared" si="8"/>
        <v>0</v>
      </c>
      <c r="AZ106" s="116">
        <f t="shared" si="8"/>
        <v>0</v>
      </c>
      <c r="BA106" s="116">
        <f t="shared" si="8"/>
        <v>24</v>
      </c>
      <c r="BB106" s="117">
        <f t="shared" si="7"/>
        <v>30</v>
      </c>
      <c r="BD106" s="137">
        <v>30</v>
      </c>
    </row>
    <row r="107" spans="2:56" ht="48.95" customHeight="1">
      <c r="B107" s="112">
        <v>99</v>
      </c>
      <c r="C107" s="113">
        <v>53002582</v>
      </c>
      <c r="D107" s="114" t="s">
        <v>982</v>
      </c>
      <c r="E107" s="115" t="s">
        <v>793</v>
      </c>
      <c r="F107" s="78" t="s">
        <v>506</v>
      </c>
      <c r="G107" s="124" t="s">
        <v>479</v>
      </c>
      <c r="H107" s="114" t="s">
        <v>983</v>
      </c>
      <c r="I107" s="114" t="s">
        <v>984</v>
      </c>
      <c r="J107" s="97" t="s">
        <v>567</v>
      </c>
      <c r="K107" s="97" t="s">
        <v>567</v>
      </c>
      <c r="L107" s="97" t="s">
        <v>567</v>
      </c>
      <c r="M107" s="97" t="s">
        <v>567</v>
      </c>
      <c r="N107" s="97" t="s">
        <v>557</v>
      </c>
      <c r="O107" s="97" t="s">
        <v>567</v>
      </c>
      <c r="P107" s="97" t="s">
        <v>567</v>
      </c>
      <c r="Q107" s="97" t="s">
        <v>567</v>
      </c>
      <c r="R107" s="97" t="s">
        <v>567</v>
      </c>
      <c r="S107" s="97" t="s">
        <v>567</v>
      </c>
      <c r="T107" s="97" t="s">
        <v>567</v>
      </c>
      <c r="U107" s="97" t="s">
        <v>557</v>
      </c>
      <c r="V107" s="97" t="s">
        <v>557</v>
      </c>
      <c r="W107" s="97" t="s">
        <v>567</v>
      </c>
      <c r="X107" s="97" t="s">
        <v>567</v>
      </c>
      <c r="Y107" s="97" t="s">
        <v>567</v>
      </c>
      <c r="Z107" s="97" t="s">
        <v>567</v>
      </c>
      <c r="AA107" s="97" t="s">
        <v>567</v>
      </c>
      <c r="AB107" s="97" t="s">
        <v>557</v>
      </c>
      <c r="AC107" s="97" t="s">
        <v>557</v>
      </c>
      <c r="AD107" s="97" t="s">
        <v>567</v>
      </c>
      <c r="AE107" s="97" t="s">
        <v>567</v>
      </c>
      <c r="AF107" s="97" t="s">
        <v>567</v>
      </c>
      <c r="AG107" s="97" t="s">
        <v>567</v>
      </c>
      <c r="AH107" s="97" t="s">
        <v>567</v>
      </c>
      <c r="AI107" s="97" t="s">
        <v>557</v>
      </c>
      <c r="AJ107" s="97" t="s">
        <v>567</v>
      </c>
      <c r="AK107" s="97" t="s">
        <v>567</v>
      </c>
      <c r="AL107" s="97" t="s">
        <v>567</v>
      </c>
      <c r="AM107" s="97" t="s">
        <v>567</v>
      </c>
      <c r="AO107" s="116">
        <f t="shared" si="9"/>
        <v>0</v>
      </c>
      <c r="AP107" s="116">
        <f t="shared" si="8"/>
        <v>0</v>
      </c>
      <c r="AQ107" s="116">
        <f t="shared" si="8"/>
        <v>6</v>
      </c>
      <c r="AR107" s="116">
        <f t="shared" si="8"/>
        <v>0</v>
      </c>
      <c r="AS107" s="116">
        <f t="shared" si="8"/>
        <v>0</v>
      </c>
      <c r="AT107" s="116">
        <f t="shared" si="8"/>
        <v>0</v>
      </c>
      <c r="AU107" s="116">
        <f t="shared" si="8"/>
        <v>0</v>
      </c>
      <c r="AV107" s="116">
        <f t="shared" si="8"/>
        <v>0</v>
      </c>
      <c r="AW107" s="116">
        <f t="shared" si="8"/>
        <v>0</v>
      </c>
      <c r="AX107" s="116">
        <f t="shared" si="8"/>
        <v>0</v>
      </c>
      <c r="AY107" s="116">
        <f t="shared" si="8"/>
        <v>0</v>
      </c>
      <c r="AZ107" s="116">
        <f t="shared" si="8"/>
        <v>0</v>
      </c>
      <c r="BA107" s="116">
        <f t="shared" si="8"/>
        <v>24</v>
      </c>
      <c r="BB107" s="117">
        <f t="shared" si="7"/>
        <v>30</v>
      </c>
      <c r="BD107" s="137">
        <v>30</v>
      </c>
    </row>
    <row r="108" spans="2:56" ht="48.95" customHeight="1">
      <c r="B108" s="112">
        <v>100</v>
      </c>
      <c r="C108" s="113">
        <v>1023940881</v>
      </c>
      <c r="D108" s="114" t="s">
        <v>985</v>
      </c>
      <c r="E108" s="115" t="s">
        <v>793</v>
      </c>
      <c r="F108" s="78" t="s">
        <v>506</v>
      </c>
      <c r="G108" s="124" t="s">
        <v>479</v>
      </c>
      <c r="H108" s="114" t="s">
        <v>986</v>
      </c>
      <c r="I108" s="114" t="s">
        <v>597</v>
      </c>
      <c r="J108" s="97" t="s">
        <v>567</v>
      </c>
      <c r="K108" s="97" t="s">
        <v>567</v>
      </c>
      <c r="L108" s="97" t="s">
        <v>567</v>
      </c>
      <c r="M108" s="97" t="s">
        <v>567</v>
      </c>
      <c r="N108" s="97" t="s">
        <v>557</v>
      </c>
      <c r="O108" s="97" t="s">
        <v>567</v>
      </c>
      <c r="P108" s="97" t="s">
        <v>567</v>
      </c>
      <c r="Q108" s="97" t="s">
        <v>555</v>
      </c>
      <c r="R108" s="97" t="s">
        <v>567</v>
      </c>
      <c r="S108" s="97" t="s">
        <v>567</v>
      </c>
      <c r="T108" s="97" t="s">
        <v>567</v>
      </c>
      <c r="U108" s="97" t="s">
        <v>557</v>
      </c>
      <c r="V108" s="97" t="s">
        <v>557</v>
      </c>
      <c r="W108" s="97" t="s">
        <v>567</v>
      </c>
      <c r="X108" s="97" t="s">
        <v>567</v>
      </c>
      <c r="Y108" s="97" t="s">
        <v>567</v>
      </c>
      <c r="Z108" s="97" t="s">
        <v>567</v>
      </c>
      <c r="AA108" s="97" t="s">
        <v>567</v>
      </c>
      <c r="AB108" s="97" t="s">
        <v>557</v>
      </c>
      <c r="AC108" s="97" t="s">
        <v>557</v>
      </c>
      <c r="AD108" s="97" t="s">
        <v>567</v>
      </c>
      <c r="AE108" s="97" t="s">
        <v>567</v>
      </c>
      <c r="AF108" s="97" t="s">
        <v>567</v>
      </c>
      <c r="AG108" s="97" t="s">
        <v>567</v>
      </c>
      <c r="AH108" s="97" t="s">
        <v>567</v>
      </c>
      <c r="AI108" s="97" t="s">
        <v>557</v>
      </c>
      <c r="AJ108" s="97" t="s">
        <v>567</v>
      </c>
      <c r="AK108" s="97" t="s">
        <v>567</v>
      </c>
      <c r="AL108" s="97" t="s">
        <v>567</v>
      </c>
      <c r="AM108" s="97" t="s">
        <v>567</v>
      </c>
      <c r="AO108" s="116">
        <f t="shared" si="9"/>
        <v>1</v>
      </c>
      <c r="AP108" s="116">
        <f t="shared" si="8"/>
        <v>0</v>
      </c>
      <c r="AQ108" s="116">
        <f t="shared" si="8"/>
        <v>6</v>
      </c>
      <c r="AR108" s="116">
        <f t="shared" si="8"/>
        <v>0</v>
      </c>
      <c r="AS108" s="116">
        <f t="shared" si="8"/>
        <v>0</v>
      </c>
      <c r="AT108" s="116">
        <f t="shared" si="8"/>
        <v>0</v>
      </c>
      <c r="AU108" s="116">
        <f t="shared" si="8"/>
        <v>0</v>
      </c>
      <c r="AV108" s="116">
        <f t="shared" si="8"/>
        <v>0</v>
      </c>
      <c r="AW108" s="116">
        <f t="shared" si="8"/>
        <v>0</v>
      </c>
      <c r="AX108" s="116">
        <f t="shared" si="8"/>
        <v>0</v>
      </c>
      <c r="AY108" s="116">
        <f t="shared" si="8"/>
        <v>0</v>
      </c>
      <c r="AZ108" s="116">
        <f t="shared" si="8"/>
        <v>0</v>
      </c>
      <c r="BA108" s="116">
        <f t="shared" si="8"/>
        <v>23</v>
      </c>
      <c r="BB108" s="117">
        <f t="shared" si="7"/>
        <v>29</v>
      </c>
      <c r="BD108" s="137">
        <v>30</v>
      </c>
    </row>
    <row r="109" spans="2:56" ht="48.95" customHeight="1">
      <c r="B109" s="112">
        <v>101</v>
      </c>
      <c r="C109" s="113">
        <v>52301809</v>
      </c>
      <c r="D109" s="114" t="s">
        <v>987</v>
      </c>
      <c r="E109" s="115" t="s">
        <v>793</v>
      </c>
      <c r="F109" s="78" t="s">
        <v>506</v>
      </c>
      <c r="G109" s="124" t="s">
        <v>479</v>
      </c>
      <c r="H109" s="114" t="s">
        <v>988</v>
      </c>
      <c r="I109" s="114" t="s">
        <v>597</v>
      </c>
      <c r="J109" s="97" t="s">
        <v>567</v>
      </c>
      <c r="K109" s="97" t="s">
        <v>567</v>
      </c>
      <c r="L109" s="97" t="s">
        <v>567</v>
      </c>
      <c r="M109" s="97" t="s">
        <v>567</v>
      </c>
      <c r="N109" s="97" t="s">
        <v>557</v>
      </c>
      <c r="O109" s="97" t="s">
        <v>567</v>
      </c>
      <c r="P109" s="97" t="s">
        <v>567</v>
      </c>
      <c r="Q109" s="97" t="s">
        <v>567</v>
      </c>
      <c r="R109" s="97" t="s">
        <v>567</v>
      </c>
      <c r="S109" s="97" t="s">
        <v>567</v>
      </c>
      <c r="T109" s="97" t="s">
        <v>567</v>
      </c>
      <c r="U109" s="97" t="s">
        <v>557</v>
      </c>
      <c r="V109" s="97" t="s">
        <v>557</v>
      </c>
      <c r="W109" s="97" t="s">
        <v>567</v>
      </c>
      <c r="X109" s="97" t="s">
        <v>567</v>
      </c>
      <c r="Y109" s="97" t="s">
        <v>567</v>
      </c>
      <c r="Z109" s="97" t="s">
        <v>567</v>
      </c>
      <c r="AA109" s="97" t="s">
        <v>567</v>
      </c>
      <c r="AB109" s="97" t="s">
        <v>557</v>
      </c>
      <c r="AC109" s="97" t="s">
        <v>557</v>
      </c>
      <c r="AD109" s="97" t="s">
        <v>567</v>
      </c>
      <c r="AE109" s="97" t="s">
        <v>567</v>
      </c>
      <c r="AF109" s="97" t="s">
        <v>567</v>
      </c>
      <c r="AG109" s="97" t="s">
        <v>567</v>
      </c>
      <c r="AH109" s="97" t="s">
        <v>567</v>
      </c>
      <c r="AI109" s="97" t="s">
        <v>557</v>
      </c>
      <c r="AJ109" s="97" t="s">
        <v>567</v>
      </c>
      <c r="AK109" s="97" t="s">
        <v>567</v>
      </c>
      <c r="AL109" s="97" t="s">
        <v>567</v>
      </c>
      <c r="AM109" s="97" t="s">
        <v>567</v>
      </c>
      <c r="AO109" s="116">
        <f t="shared" si="9"/>
        <v>0</v>
      </c>
      <c r="AP109" s="116">
        <f t="shared" si="8"/>
        <v>0</v>
      </c>
      <c r="AQ109" s="116">
        <f t="shared" si="8"/>
        <v>6</v>
      </c>
      <c r="AR109" s="116">
        <f t="shared" si="8"/>
        <v>0</v>
      </c>
      <c r="AS109" s="116">
        <f t="shared" si="8"/>
        <v>0</v>
      </c>
      <c r="AT109" s="116">
        <f t="shared" si="8"/>
        <v>0</v>
      </c>
      <c r="AU109" s="116">
        <f t="shared" si="8"/>
        <v>0</v>
      </c>
      <c r="AV109" s="116">
        <f t="shared" si="8"/>
        <v>0</v>
      </c>
      <c r="AW109" s="116">
        <f t="shared" si="8"/>
        <v>0</v>
      </c>
      <c r="AX109" s="116">
        <f t="shared" si="8"/>
        <v>0</v>
      </c>
      <c r="AY109" s="116">
        <f t="shared" si="8"/>
        <v>0</v>
      </c>
      <c r="AZ109" s="116">
        <f t="shared" si="8"/>
        <v>0</v>
      </c>
      <c r="BA109" s="116">
        <f t="shared" si="8"/>
        <v>24</v>
      </c>
      <c r="BB109" s="117">
        <f t="shared" si="7"/>
        <v>30</v>
      </c>
      <c r="BD109" s="137">
        <v>30</v>
      </c>
    </row>
    <row r="110" spans="2:56" ht="48.95" customHeight="1">
      <c r="B110" s="112">
        <v>102</v>
      </c>
      <c r="C110" s="113">
        <v>1003242958</v>
      </c>
      <c r="D110" s="114" t="s">
        <v>989</v>
      </c>
      <c r="E110" s="115" t="s">
        <v>793</v>
      </c>
      <c r="F110" s="78" t="s">
        <v>506</v>
      </c>
      <c r="G110" s="124" t="s">
        <v>479</v>
      </c>
      <c r="H110" s="114" t="s">
        <v>990</v>
      </c>
      <c r="I110" s="114" t="s">
        <v>597</v>
      </c>
      <c r="J110" s="97" t="s">
        <v>567</v>
      </c>
      <c r="K110" s="97" t="s">
        <v>567</v>
      </c>
      <c r="L110" s="97" t="s">
        <v>567</v>
      </c>
      <c r="M110" s="97" t="s">
        <v>567</v>
      </c>
      <c r="N110" s="97" t="s">
        <v>557</v>
      </c>
      <c r="O110" s="97" t="s">
        <v>567</v>
      </c>
      <c r="P110" s="97" t="s">
        <v>567</v>
      </c>
      <c r="Q110" s="97" t="s">
        <v>567</v>
      </c>
      <c r="R110" s="97" t="s">
        <v>567</v>
      </c>
      <c r="S110" s="97" t="s">
        <v>567</v>
      </c>
      <c r="T110" s="97" t="s">
        <v>567</v>
      </c>
      <c r="U110" s="97" t="s">
        <v>557</v>
      </c>
      <c r="V110" s="97" t="s">
        <v>557</v>
      </c>
      <c r="W110" s="97" t="s">
        <v>567</v>
      </c>
      <c r="X110" s="97" t="s">
        <v>567</v>
      </c>
      <c r="Y110" s="97" t="s">
        <v>567</v>
      </c>
      <c r="Z110" s="97" t="s">
        <v>567</v>
      </c>
      <c r="AA110" s="97" t="s">
        <v>567</v>
      </c>
      <c r="AB110" s="97" t="s">
        <v>557</v>
      </c>
      <c r="AC110" s="97" t="s">
        <v>557</v>
      </c>
      <c r="AD110" s="97" t="s">
        <v>567</v>
      </c>
      <c r="AE110" s="97" t="s">
        <v>567</v>
      </c>
      <c r="AF110" s="97" t="s">
        <v>567</v>
      </c>
      <c r="AG110" s="97" t="s">
        <v>567</v>
      </c>
      <c r="AH110" s="97" t="s">
        <v>567</v>
      </c>
      <c r="AI110" s="97" t="s">
        <v>557</v>
      </c>
      <c r="AJ110" s="97" t="s">
        <v>567</v>
      </c>
      <c r="AK110" s="97" t="s">
        <v>567</v>
      </c>
      <c r="AL110" s="97" t="s">
        <v>567</v>
      </c>
      <c r="AM110" s="97" t="s">
        <v>567</v>
      </c>
      <c r="AO110" s="116">
        <f t="shared" si="9"/>
        <v>0</v>
      </c>
      <c r="AP110" s="116">
        <f t="shared" si="8"/>
        <v>0</v>
      </c>
      <c r="AQ110" s="116">
        <f t="shared" si="8"/>
        <v>6</v>
      </c>
      <c r="AR110" s="116">
        <f t="shared" si="8"/>
        <v>0</v>
      </c>
      <c r="AS110" s="116">
        <f t="shared" si="8"/>
        <v>0</v>
      </c>
      <c r="AT110" s="116">
        <f t="shared" si="8"/>
        <v>0</v>
      </c>
      <c r="AU110" s="116">
        <f t="shared" si="8"/>
        <v>0</v>
      </c>
      <c r="AV110" s="116">
        <f t="shared" si="8"/>
        <v>0</v>
      </c>
      <c r="AW110" s="116">
        <f t="shared" si="8"/>
        <v>0</v>
      </c>
      <c r="AX110" s="116">
        <f t="shared" si="8"/>
        <v>0</v>
      </c>
      <c r="AY110" s="116">
        <f t="shared" si="8"/>
        <v>0</v>
      </c>
      <c r="AZ110" s="116">
        <f t="shared" si="8"/>
        <v>0</v>
      </c>
      <c r="BA110" s="116">
        <f t="shared" si="8"/>
        <v>24</v>
      </c>
      <c r="BB110" s="117">
        <f t="shared" si="7"/>
        <v>30</v>
      </c>
      <c r="BD110" s="137">
        <v>30</v>
      </c>
    </row>
    <row r="111" spans="2:56" ht="48.95" customHeight="1">
      <c r="B111" s="112">
        <v>103</v>
      </c>
      <c r="C111" s="113">
        <v>52635791</v>
      </c>
      <c r="D111" s="114" t="s">
        <v>750</v>
      </c>
      <c r="E111" s="115" t="s">
        <v>793</v>
      </c>
      <c r="F111" s="78" t="s">
        <v>506</v>
      </c>
      <c r="G111" s="124" t="s">
        <v>479</v>
      </c>
      <c r="H111" s="114" t="s">
        <v>751</v>
      </c>
      <c r="I111" s="114" t="s">
        <v>597</v>
      </c>
      <c r="J111" s="97" t="s">
        <v>567</v>
      </c>
      <c r="K111" s="97" t="s">
        <v>567</v>
      </c>
      <c r="L111" s="97" t="s">
        <v>567</v>
      </c>
      <c r="M111" s="97" t="s">
        <v>567</v>
      </c>
      <c r="N111" s="97" t="s">
        <v>557</v>
      </c>
      <c r="O111" s="97" t="s">
        <v>567</v>
      </c>
      <c r="P111" s="97" t="s">
        <v>567</v>
      </c>
      <c r="Q111" s="97" t="s">
        <v>567</v>
      </c>
      <c r="R111" s="97" t="s">
        <v>567</v>
      </c>
      <c r="S111" s="97" t="s">
        <v>567</v>
      </c>
      <c r="T111" s="97" t="s">
        <v>567</v>
      </c>
      <c r="U111" s="97" t="s">
        <v>557</v>
      </c>
      <c r="V111" s="97" t="s">
        <v>557</v>
      </c>
      <c r="W111" s="97" t="s">
        <v>567</v>
      </c>
      <c r="X111" s="97" t="s">
        <v>567</v>
      </c>
      <c r="Y111" s="97" t="s">
        <v>567</v>
      </c>
      <c r="Z111" s="97" t="s">
        <v>567</v>
      </c>
      <c r="AA111" s="97" t="s">
        <v>567</v>
      </c>
      <c r="AB111" s="97" t="s">
        <v>557</v>
      </c>
      <c r="AC111" s="97" t="s">
        <v>557</v>
      </c>
      <c r="AD111" s="97" t="s">
        <v>567</v>
      </c>
      <c r="AE111" s="97" t="s">
        <v>567</v>
      </c>
      <c r="AF111" s="97" t="s">
        <v>567</v>
      </c>
      <c r="AG111" s="97" t="s">
        <v>567</v>
      </c>
      <c r="AH111" s="97" t="s">
        <v>567</v>
      </c>
      <c r="AI111" s="97" t="s">
        <v>557</v>
      </c>
      <c r="AJ111" s="97" t="s">
        <v>567</v>
      </c>
      <c r="AK111" s="97" t="s">
        <v>567</v>
      </c>
      <c r="AL111" s="97" t="s">
        <v>567</v>
      </c>
      <c r="AM111" s="97" t="s">
        <v>567</v>
      </c>
      <c r="AO111" s="116">
        <f t="shared" si="9"/>
        <v>0</v>
      </c>
      <c r="AP111" s="116">
        <f t="shared" si="8"/>
        <v>0</v>
      </c>
      <c r="AQ111" s="116">
        <f t="shared" si="8"/>
        <v>6</v>
      </c>
      <c r="AR111" s="116">
        <f t="shared" si="8"/>
        <v>0</v>
      </c>
      <c r="AS111" s="116">
        <f t="shared" si="8"/>
        <v>0</v>
      </c>
      <c r="AT111" s="116">
        <f t="shared" si="8"/>
        <v>0</v>
      </c>
      <c r="AU111" s="116">
        <f t="shared" si="8"/>
        <v>0</v>
      </c>
      <c r="AV111" s="116">
        <f t="shared" si="8"/>
        <v>0</v>
      </c>
      <c r="AW111" s="116">
        <f t="shared" si="8"/>
        <v>0</v>
      </c>
      <c r="AX111" s="116">
        <f t="shared" si="8"/>
        <v>0</v>
      </c>
      <c r="AY111" s="116">
        <f t="shared" si="8"/>
        <v>0</v>
      </c>
      <c r="AZ111" s="116">
        <f t="shared" si="8"/>
        <v>0</v>
      </c>
      <c r="BA111" s="116">
        <f t="shared" si="8"/>
        <v>24</v>
      </c>
      <c r="BB111" s="117">
        <f t="shared" si="7"/>
        <v>30</v>
      </c>
      <c r="BD111" s="137">
        <v>30</v>
      </c>
    </row>
    <row r="112" spans="2:56" ht="48.95" customHeight="1">
      <c r="B112" s="112">
        <v>104</v>
      </c>
      <c r="C112" s="113">
        <v>79385309</v>
      </c>
      <c r="D112" s="114" t="s">
        <v>991</v>
      </c>
      <c r="E112" s="115" t="s">
        <v>793</v>
      </c>
      <c r="F112" s="78" t="s">
        <v>507</v>
      </c>
      <c r="G112" s="124" t="s">
        <v>491</v>
      </c>
      <c r="H112" s="114" t="s">
        <v>992</v>
      </c>
      <c r="I112" s="114" t="s">
        <v>597</v>
      </c>
      <c r="J112" s="97" t="s">
        <v>567</v>
      </c>
      <c r="K112" s="97" t="s">
        <v>567</v>
      </c>
      <c r="L112" s="97" t="s">
        <v>567</v>
      </c>
      <c r="M112" s="97" t="s">
        <v>567</v>
      </c>
      <c r="N112" s="97" t="s">
        <v>557</v>
      </c>
      <c r="O112" s="97" t="s">
        <v>567</v>
      </c>
      <c r="P112" s="97" t="s">
        <v>567</v>
      </c>
      <c r="Q112" s="97" t="s">
        <v>567</v>
      </c>
      <c r="R112" s="97" t="s">
        <v>567</v>
      </c>
      <c r="S112" s="97" t="s">
        <v>567</v>
      </c>
      <c r="T112" s="97" t="s">
        <v>567</v>
      </c>
      <c r="U112" s="97" t="s">
        <v>557</v>
      </c>
      <c r="V112" s="97" t="s">
        <v>557</v>
      </c>
      <c r="W112" s="97" t="s">
        <v>567</v>
      </c>
      <c r="X112" s="97" t="s">
        <v>567</v>
      </c>
      <c r="Y112" s="97" t="s">
        <v>567</v>
      </c>
      <c r="Z112" s="97" t="s">
        <v>567</v>
      </c>
      <c r="AA112" s="97" t="s">
        <v>567</v>
      </c>
      <c r="AB112" s="97" t="s">
        <v>557</v>
      </c>
      <c r="AC112" s="97" t="s">
        <v>557</v>
      </c>
      <c r="AD112" s="97" t="s">
        <v>567</v>
      </c>
      <c r="AE112" s="97" t="s">
        <v>567</v>
      </c>
      <c r="AF112" s="97" t="s">
        <v>567</v>
      </c>
      <c r="AG112" s="97" t="s">
        <v>567</v>
      </c>
      <c r="AH112" s="97" t="s">
        <v>567</v>
      </c>
      <c r="AI112" s="97" t="s">
        <v>557</v>
      </c>
      <c r="AJ112" s="97" t="s">
        <v>567</v>
      </c>
      <c r="AK112" s="97" t="s">
        <v>567</v>
      </c>
      <c r="AL112" s="97" t="s">
        <v>567</v>
      </c>
      <c r="AM112" s="97" t="s">
        <v>567</v>
      </c>
      <c r="AO112" s="116">
        <f t="shared" si="9"/>
        <v>0</v>
      </c>
      <c r="AP112" s="116">
        <f t="shared" si="8"/>
        <v>0</v>
      </c>
      <c r="AQ112" s="116">
        <f t="shared" si="8"/>
        <v>6</v>
      </c>
      <c r="AR112" s="116">
        <f t="shared" si="8"/>
        <v>0</v>
      </c>
      <c r="AS112" s="116">
        <f t="shared" si="8"/>
        <v>0</v>
      </c>
      <c r="AT112" s="116">
        <f t="shared" si="8"/>
        <v>0</v>
      </c>
      <c r="AU112" s="116">
        <f t="shared" si="8"/>
        <v>0</v>
      </c>
      <c r="AV112" s="116">
        <f t="shared" si="8"/>
        <v>0</v>
      </c>
      <c r="AW112" s="116">
        <f t="shared" si="8"/>
        <v>0</v>
      </c>
      <c r="AX112" s="116">
        <f t="shared" si="8"/>
        <v>0</v>
      </c>
      <c r="AY112" s="116">
        <f t="shared" si="8"/>
        <v>0</v>
      </c>
      <c r="AZ112" s="116">
        <f t="shared" si="8"/>
        <v>0</v>
      </c>
      <c r="BA112" s="116">
        <f t="shared" si="8"/>
        <v>24</v>
      </c>
      <c r="BB112" s="117">
        <f t="shared" si="7"/>
        <v>30</v>
      </c>
      <c r="BD112" s="137">
        <v>30</v>
      </c>
    </row>
    <row r="113" spans="2:56" ht="48.95" customHeight="1">
      <c r="B113" s="112">
        <v>105</v>
      </c>
      <c r="C113" s="113">
        <v>1022985784</v>
      </c>
      <c r="D113" s="114" t="s">
        <v>993</v>
      </c>
      <c r="E113" s="115" t="s">
        <v>793</v>
      </c>
      <c r="F113" s="78" t="s">
        <v>507</v>
      </c>
      <c r="G113" s="82" t="s">
        <v>483</v>
      </c>
      <c r="H113" s="114" t="s">
        <v>994</v>
      </c>
      <c r="I113" s="114" t="s">
        <v>597</v>
      </c>
      <c r="J113" s="97" t="s">
        <v>567</v>
      </c>
      <c r="K113" s="97" t="s">
        <v>567</v>
      </c>
      <c r="L113" s="97" t="s">
        <v>567</v>
      </c>
      <c r="M113" s="97" t="s">
        <v>567</v>
      </c>
      <c r="N113" s="97" t="s">
        <v>557</v>
      </c>
      <c r="O113" s="97" t="s">
        <v>555</v>
      </c>
      <c r="P113" s="97" t="s">
        <v>567</v>
      </c>
      <c r="Q113" s="97" t="s">
        <v>567</v>
      </c>
      <c r="R113" s="97" t="s">
        <v>567</v>
      </c>
      <c r="S113" s="97" t="s">
        <v>567</v>
      </c>
      <c r="T113" s="97" t="s">
        <v>567</v>
      </c>
      <c r="U113" s="97" t="s">
        <v>557</v>
      </c>
      <c r="V113" s="97" t="s">
        <v>557</v>
      </c>
      <c r="W113" s="97" t="s">
        <v>567</v>
      </c>
      <c r="X113" s="97" t="s">
        <v>567</v>
      </c>
      <c r="Y113" s="97" t="s">
        <v>567</v>
      </c>
      <c r="Z113" s="97" t="s">
        <v>567</v>
      </c>
      <c r="AA113" s="97" t="s">
        <v>567</v>
      </c>
      <c r="AB113" s="97" t="s">
        <v>557</v>
      </c>
      <c r="AC113" s="97" t="s">
        <v>557</v>
      </c>
      <c r="AD113" s="97" t="s">
        <v>567</v>
      </c>
      <c r="AE113" s="97" t="s">
        <v>567</v>
      </c>
      <c r="AF113" s="97" t="s">
        <v>567</v>
      </c>
      <c r="AG113" s="97" t="s">
        <v>567</v>
      </c>
      <c r="AH113" s="97" t="s">
        <v>567</v>
      </c>
      <c r="AI113" s="97" t="s">
        <v>557</v>
      </c>
      <c r="AJ113" s="97" t="s">
        <v>567</v>
      </c>
      <c r="AK113" s="97" t="s">
        <v>567</v>
      </c>
      <c r="AL113" s="97" t="s">
        <v>567</v>
      </c>
      <c r="AM113" s="97" t="s">
        <v>567</v>
      </c>
      <c r="AO113" s="116">
        <f t="shared" si="9"/>
        <v>1</v>
      </c>
      <c r="AP113" s="116">
        <f t="shared" si="8"/>
        <v>0</v>
      </c>
      <c r="AQ113" s="116">
        <f t="shared" si="8"/>
        <v>6</v>
      </c>
      <c r="AR113" s="116">
        <f t="shared" si="8"/>
        <v>0</v>
      </c>
      <c r="AS113" s="116">
        <f t="shared" si="8"/>
        <v>0</v>
      </c>
      <c r="AT113" s="116">
        <f t="shared" si="8"/>
        <v>0</v>
      </c>
      <c r="AU113" s="116">
        <f t="shared" si="8"/>
        <v>0</v>
      </c>
      <c r="AV113" s="116">
        <f t="shared" si="8"/>
        <v>0</v>
      </c>
      <c r="AW113" s="116">
        <f t="shared" si="8"/>
        <v>0</v>
      </c>
      <c r="AX113" s="116">
        <f t="shared" si="8"/>
        <v>0</v>
      </c>
      <c r="AY113" s="116">
        <f t="shared" si="8"/>
        <v>0</v>
      </c>
      <c r="AZ113" s="116">
        <f t="shared" si="8"/>
        <v>0</v>
      </c>
      <c r="BA113" s="116">
        <f t="shared" si="8"/>
        <v>23</v>
      </c>
      <c r="BB113" s="117">
        <f t="shared" si="7"/>
        <v>29</v>
      </c>
      <c r="BD113" s="137">
        <v>30</v>
      </c>
    </row>
    <row r="114" spans="2:56" ht="48.95" customHeight="1">
      <c r="B114" s="112">
        <v>106</v>
      </c>
      <c r="C114" s="113">
        <v>55155416</v>
      </c>
      <c r="D114" s="114" t="s">
        <v>752</v>
      </c>
      <c r="E114" s="115" t="s">
        <v>793</v>
      </c>
      <c r="F114" s="78" t="s">
        <v>506</v>
      </c>
      <c r="G114" s="124" t="s">
        <v>480</v>
      </c>
      <c r="H114" s="114" t="s">
        <v>753</v>
      </c>
      <c r="I114" s="114" t="s">
        <v>597</v>
      </c>
      <c r="J114" s="97" t="s">
        <v>567</v>
      </c>
      <c r="K114" s="97" t="s">
        <v>567</v>
      </c>
      <c r="L114" s="97" t="s">
        <v>567</v>
      </c>
      <c r="M114" s="97" t="s">
        <v>567</v>
      </c>
      <c r="N114" s="97" t="s">
        <v>557</v>
      </c>
      <c r="O114" s="97" t="s">
        <v>567</v>
      </c>
      <c r="P114" s="97" t="s">
        <v>567</v>
      </c>
      <c r="Q114" s="97" t="s">
        <v>567</v>
      </c>
      <c r="R114" s="97" t="s">
        <v>567</v>
      </c>
      <c r="S114" s="97" t="s">
        <v>567</v>
      </c>
      <c r="T114" s="97" t="s">
        <v>567</v>
      </c>
      <c r="U114" s="97" t="s">
        <v>557</v>
      </c>
      <c r="V114" s="97" t="s">
        <v>557</v>
      </c>
      <c r="W114" s="97" t="s">
        <v>567</v>
      </c>
      <c r="X114" s="97" t="s">
        <v>567</v>
      </c>
      <c r="Y114" s="97" t="s">
        <v>567</v>
      </c>
      <c r="Z114" s="97" t="s">
        <v>567</v>
      </c>
      <c r="AA114" s="97" t="s">
        <v>567</v>
      </c>
      <c r="AB114" s="97" t="s">
        <v>557</v>
      </c>
      <c r="AC114" s="97" t="s">
        <v>557</v>
      </c>
      <c r="AD114" s="97" t="s">
        <v>567</v>
      </c>
      <c r="AE114" s="97" t="s">
        <v>567</v>
      </c>
      <c r="AF114" s="97" t="s">
        <v>567</v>
      </c>
      <c r="AG114" s="97" t="s">
        <v>567</v>
      </c>
      <c r="AH114" s="97" t="s">
        <v>567</v>
      </c>
      <c r="AI114" s="97" t="s">
        <v>557</v>
      </c>
      <c r="AJ114" s="97" t="s">
        <v>567</v>
      </c>
      <c r="AK114" s="97" t="s">
        <v>567</v>
      </c>
      <c r="AL114" s="97" t="s">
        <v>567</v>
      </c>
      <c r="AM114" s="97" t="s">
        <v>567</v>
      </c>
      <c r="AO114" s="116">
        <f t="shared" si="9"/>
        <v>0</v>
      </c>
      <c r="AP114" s="116">
        <f t="shared" si="8"/>
        <v>0</v>
      </c>
      <c r="AQ114" s="116">
        <f t="shared" si="8"/>
        <v>6</v>
      </c>
      <c r="AR114" s="116">
        <f t="shared" si="8"/>
        <v>0</v>
      </c>
      <c r="AS114" s="116">
        <f t="shared" si="8"/>
        <v>0</v>
      </c>
      <c r="AT114" s="116">
        <f t="shared" si="8"/>
        <v>0</v>
      </c>
      <c r="AU114" s="116">
        <f t="shared" si="8"/>
        <v>0</v>
      </c>
      <c r="AV114" s="116">
        <f t="shared" si="8"/>
        <v>0</v>
      </c>
      <c r="AW114" s="116">
        <f t="shared" si="8"/>
        <v>0</v>
      </c>
      <c r="AX114" s="116">
        <f t="shared" si="8"/>
        <v>0</v>
      </c>
      <c r="AY114" s="116">
        <f t="shared" si="8"/>
        <v>0</v>
      </c>
      <c r="AZ114" s="116">
        <f t="shared" si="8"/>
        <v>0</v>
      </c>
      <c r="BA114" s="116">
        <f t="shared" si="8"/>
        <v>24</v>
      </c>
      <c r="BB114" s="117">
        <f t="shared" si="7"/>
        <v>30</v>
      </c>
      <c r="BD114" s="137">
        <v>30</v>
      </c>
    </row>
    <row r="115" spans="2:56" ht="48.95" customHeight="1">
      <c r="B115" s="112">
        <v>107</v>
      </c>
      <c r="C115" s="113">
        <v>72428676</v>
      </c>
      <c r="D115" s="114" t="s">
        <v>995</v>
      </c>
      <c r="E115" s="115" t="s">
        <v>793</v>
      </c>
      <c r="F115" s="78" t="s">
        <v>508</v>
      </c>
      <c r="G115" s="124" t="s">
        <v>491</v>
      </c>
      <c r="H115" s="114" t="s">
        <v>996</v>
      </c>
      <c r="I115" s="114" t="s">
        <v>891</v>
      </c>
      <c r="J115" s="97" t="s">
        <v>567</v>
      </c>
      <c r="K115" s="97" t="s">
        <v>567</v>
      </c>
      <c r="L115" s="97" t="s">
        <v>567</v>
      </c>
      <c r="M115" s="97" t="s">
        <v>567</v>
      </c>
      <c r="N115" s="97" t="s">
        <v>557</v>
      </c>
      <c r="O115" s="97" t="s">
        <v>567</v>
      </c>
      <c r="P115" s="97" t="s">
        <v>567</v>
      </c>
      <c r="Q115" s="97" t="s">
        <v>567</v>
      </c>
      <c r="R115" s="97" t="s">
        <v>567</v>
      </c>
      <c r="S115" s="97" t="s">
        <v>567</v>
      </c>
      <c r="T115" s="97" t="s">
        <v>567</v>
      </c>
      <c r="U115" s="97" t="s">
        <v>557</v>
      </c>
      <c r="V115" s="97" t="s">
        <v>557</v>
      </c>
      <c r="W115" s="97" t="s">
        <v>567</v>
      </c>
      <c r="X115" s="97" t="s">
        <v>567</v>
      </c>
      <c r="Y115" s="97" t="s">
        <v>567</v>
      </c>
      <c r="Z115" s="97" t="s">
        <v>567</v>
      </c>
      <c r="AA115" s="97" t="s">
        <v>567</v>
      </c>
      <c r="AB115" s="97" t="s">
        <v>557</v>
      </c>
      <c r="AC115" s="97" t="s">
        <v>557</v>
      </c>
      <c r="AD115" s="97" t="s">
        <v>567</v>
      </c>
      <c r="AE115" s="97" t="s">
        <v>567</v>
      </c>
      <c r="AF115" s="97" t="s">
        <v>567</v>
      </c>
      <c r="AG115" s="97" t="s">
        <v>567</v>
      </c>
      <c r="AH115" s="97" t="s">
        <v>567</v>
      </c>
      <c r="AI115" s="97" t="s">
        <v>557</v>
      </c>
      <c r="AJ115" s="97" t="s">
        <v>567</v>
      </c>
      <c r="AK115" s="97" t="s">
        <v>567</v>
      </c>
      <c r="AL115" s="97" t="s">
        <v>567</v>
      </c>
      <c r="AM115" s="97" t="s">
        <v>567</v>
      </c>
      <c r="AO115" s="116">
        <f t="shared" si="9"/>
        <v>0</v>
      </c>
      <c r="AP115" s="116">
        <f t="shared" si="8"/>
        <v>0</v>
      </c>
      <c r="AQ115" s="116">
        <f t="shared" si="8"/>
        <v>6</v>
      </c>
      <c r="AR115" s="116">
        <f t="shared" si="8"/>
        <v>0</v>
      </c>
      <c r="AS115" s="116">
        <f t="shared" si="8"/>
        <v>0</v>
      </c>
      <c r="AT115" s="116">
        <f t="shared" si="8"/>
        <v>0</v>
      </c>
      <c r="AU115" s="116">
        <f t="shared" si="8"/>
        <v>0</v>
      </c>
      <c r="AV115" s="116">
        <f t="shared" si="8"/>
        <v>0</v>
      </c>
      <c r="AW115" s="116">
        <f t="shared" si="8"/>
        <v>0</v>
      </c>
      <c r="AX115" s="116">
        <f t="shared" si="8"/>
        <v>0</v>
      </c>
      <c r="AY115" s="116">
        <f t="shared" si="8"/>
        <v>0</v>
      </c>
      <c r="AZ115" s="116">
        <f t="shared" si="8"/>
        <v>0</v>
      </c>
      <c r="BA115" s="116">
        <f t="shared" si="8"/>
        <v>24</v>
      </c>
      <c r="BB115" s="117">
        <f t="shared" si="7"/>
        <v>30</v>
      </c>
      <c r="BD115" s="137">
        <v>30</v>
      </c>
    </row>
    <row r="116" spans="2:56" ht="48.95" customHeight="1">
      <c r="B116" s="112">
        <v>108</v>
      </c>
      <c r="C116" s="113">
        <v>1004501396</v>
      </c>
      <c r="D116" s="114" t="s">
        <v>997</v>
      </c>
      <c r="E116" s="115" t="s">
        <v>793</v>
      </c>
      <c r="F116" s="78" t="s">
        <v>506</v>
      </c>
      <c r="G116" s="124" t="s">
        <v>491</v>
      </c>
      <c r="H116" s="114" t="s">
        <v>998</v>
      </c>
      <c r="I116" s="114" t="s">
        <v>999</v>
      </c>
      <c r="J116" s="97" t="s">
        <v>567</v>
      </c>
      <c r="K116" s="97" t="s">
        <v>567</v>
      </c>
      <c r="L116" s="97" t="s">
        <v>567</v>
      </c>
      <c r="M116" s="97" t="s">
        <v>567</v>
      </c>
      <c r="N116" s="97" t="s">
        <v>557</v>
      </c>
      <c r="O116" s="97" t="s">
        <v>558</v>
      </c>
      <c r="P116" s="97" t="s">
        <v>558</v>
      </c>
      <c r="Q116" s="97" t="s">
        <v>558</v>
      </c>
      <c r="R116" s="97" t="s">
        <v>558</v>
      </c>
      <c r="S116" s="97" t="s">
        <v>558</v>
      </c>
      <c r="T116" s="97" t="s">
        <v>567</v>
      </c>
      <c r="U116" s="97" t="s">
        <v>557</v>
      </c>
      <c r="V116" s="97" t="s">
        <v>557</v>
      </c>
      <c r="W116" s="97" t="s">
        <v>567</v>
      </c>
      <c r="X116" s="97" t="s">
        <v>567</v>
      </c>
      <c r="Y116" s="97" t="s">
        <v>567</v>
      </c>
      <c r="Z116" s="97" t="s">
        <v>567</v>
      </c>
      <c r="AA116" s="97" t="s">
        <v>567</v>
      </c>
      <c r="AB116" s="97" t="s">
        <v>557</v>
      </c>
      <c r="AC116" s="97" t="s">
        <v>557</v>
      </c>
      <c r="AD116" s="97" t="s">
        <v>567</v>
      </c>
      <c r="AE116" s="97" t="s">
        <v>567</v>
      </c>
      <c r="AF116" s="97" t="s">
        <v>567</v>
      </c>
      <c r="AG116" s="97" t="s">
        <v>567</v>
      </c>
      <c r="AH116" s="97" t="s">
        <v>567</v>
      </c>
      <c r="AI116" s="97" t="s">
        <v>557</v>
      </c>
      <c r="AJ116" s="97" t="s">
        <v>567</v>
      </c>
      <c r="AK116" s="97" t="s">
        <v>567</v>
      </c>
      <c r="AL116" s="97" t="s">
        <v>567</v>
      </c>
      <c r="AM116" s="97" t="s">
        <v>558</v>
      </c>
      <c r="AO116" s="116">
        <f t="shared" si="9"/>
        <v>0</v>
      </c>
      <c r="AP116" s="116">
        <f t="shared" si="8"/>
        <v>0</v>
      </c>
      <c r="AQ116" s="116">
        <f t="shared" si="8"/>
        <v>6</v>
      </c>
      <c r="AR116" s="116">
        <f t="shared" si="8"/>
        <v>6</v>
      </c>
      <c r="AS116" s="116">
        <f t="shared" si="8"/>
        <v>0</v>
      </c>
      <c r="AT116" s="116">
        <f t="shared" si="8"/>
        <v>0</v>
      </c>
      <c r="AU116" s="116">
        <f t="shared" si="8"/>
        <v>0</v>
      </c>
      <c r="AV116" s="116">
        <f t="shared" si="8"/>
        <v>0</v>
      </c>
      <c r="AW116" s="116">
        <f t="shared" si="8"/>
        <v>0</v>
      </c>
      <c r="AX116" s="116">
        <f t="shared" si="8"/>
        <v>0</v>
      </c>
      <c r="AY116" s="116">
        <f t="shared" si="8"/>
        <v>0</v>
      </c>
      <c r="AZ116" s="116">
        <f t="shared" si="8"/>
        <v>0</v>
      </c>
      <c r="BA116" s="116">
        <f t="shared" si="8"/>
        <v>18</v>
      </c>
      <c r="BB116" s="117">
        <f t="shared" si="7"/>
        <v>24</v>
      </c>
      <c r="BD116" s="137">
        <v>30</v>
      </c>
    </row>
    <row r="117" spans="2:56" ht="48.95" customHeight="1">
      <c r="B117" s="112">
        <v>109</v>
      </c>
      <c r="C117" s="113">
        <v>52161057</v>
      </c>
      <c r="D117" s="114" t="s">
        <v>1000</v>
      </c>
      <c r="E117" s="115" t="s">
        <v>793</v>
      </c>
      <c r="F117" s="78" t="s">
        <v>506</v>
      </c>
      <c r="G117" s="124" t="s">
        <v>588</v>
      </c>
      <c r="H117" s="114" t="s">
        <v>1001</v>
      </c>
      <c r="I117" s="114" t="s">
        <v>597</v>
      </c>
      <c r="J117" s="97" t="s">
        <v>567</v>
      </c>
      <c r="K117" s="97" t="s">
        <v>567</v>
      </c>
      <c r="L117" s="97" t="s">
        <v>567</v>
      </c>
      <c r="M117" s="97" t="s">
        <v>567</v>
      </c>
      <c r="N117" s="97" t="s">
        <v>557</v>
      </c>
      <c r="O117" s="97" t="s">
        <v>567</v>
      </c>
      <c r="P117" s="97" t="s">
        <v>567</v>
      </c>
      <c r="Q117" s="97" t="s">
        <v>567</v>
      </c>
      <c r="R117" s="97" t="s">
        <v>567</v>
      </c>
      <c r="S117" s="97" t="s">
        <v>567</v>
      </c>
      <c r="T117" s="97" t="s">
        <v>567</v>
      </c>
      <c r="U117" s="97" t="s">
        <v>557</v>
      </c>
      <c r="V117" s="97" t="s">
        <v>557</v>
      </c>
      <c r="W117" s="97" t="s">
        <v>567</v>
      </c>
      <c r="X117" s="97" t="s">
        <v>567</v>
      </c>
      <c r="Y117" s="97" t="s">
        <v>567</v>
      </c>
      <c r="Z117" s="97" t="s">
        <v>567</v>
      </c>
      <c r="AA117" s="97" t="s">
        <v>567</v>
      </c>
      <c r="AB117" s="97" t="s">
        <v>557</v>
      </c>
      <c r="AC117" s="97" t="s">
        <v>557</v>
      </c>
      <c r="AD117" s="97" t="s">
        <v>567</v>
      </c>
      <c r="AE117" s="97" t="s">
        <v>567</v>
      </c>
      <c r="AF117" s="97" t="s">
        <v>567</v>
      </c>
      <c r="AG117" s="97" t="s">
        <v>567</v>
      </c>
      <c r="AH117" s="97" t="s">
        <v>567</v>
      </c>
      <c r="AI117" s="97" t="s">
        <v>557</v>
      </c>
      <c r="AJ117" s="97" t="s">
        <v>567</v>
      </c>
      <c r="AK117" s="97" t="s">
        <v>567</v>
      </c>
      <c r="AL117" s="97" t="s">
        <v>567</v>
      </c>
      <c r="AM117" s="97" t="s">
        <v>567</v>
      </c>
      <c r="AO117" s="116">
        <f t="shared" si="9"/>
        <v>0</v>
      </c>
      <c r="AP117" s="116">
        <f t="shared" si="8"/>
        <v>0</v>
      </c>
      <c r="AQ117" s="116">
        <f t="shared" si="8"/>
        <v>6</v>
      </c>
      <c r="AR117" s="116">
        <f t="shared" si="8"/>
        <v>0</v>
      </c>
      <c r="AS117" s="116">
        <f t="shared" si="8"/>
        <v>0</v>
      </c>
      <c r="AT117" s="116">
        <f t="shared" si="8"/>
        <v>0</v>
      </c>
      <c r="AU117" s="116">
        <f t="shared" si="8"/>
        <v>0</v>
      </c>
      <c r="AV117" s="116">
        <f t="shared" si="8"/>
        <v>0</v>
      </c>
      <c r="AW117" s="116">
        <f t="shared" si="8"/>
        <v>0</v>
      </c>
      <c r="AX117" s="116">
        <f t="shared" si="8"/>
        <v>0</v>
      </c>
      <c r="AY117" s="116">
        <f t="shared" si="8"/>
        <v>0</v>
      </c>
      <c r="AZ117" s="116">
        <f t="shared" si="8"/>
        <v>0</v>
      </c>
      <c r="BA117" s="116">
        <f t="shared" si="8"/>
        <v>24</v>
      </c>
      <c r="BB117" s="117">
        <f t="shared" si="7"/>
        <v>30</v>
      </c>
      <c r="BD117" s="137">
        <v>30</v>
      </c>
    </row>
    <row r="118" spans="2:56" ht="48.95" customHeight="1">
      <c r="B118" s="112">
        <v>110</v>
      </c>
      <c r="C118" s="113">
        <v>1026256911</v>
      </c>
      <c r="D118" s="114" t="s">
        <v>1002</v>
      </c>
      <c r="E118" s="115" t="s">
        <v>793</v>
      </c>
      <c r="F118" s="78" t="s">
        <v>506</v>
      </c>
      <c r="G118" s="82" t="s">
        <v>181</v>
      </c>
      <c r="H118" s="114" t="s">
        <v>1003</v>
      </c>
      <c r="I118" s="114" t="s">
        <v>597</v>
      </c>
      <c r="J118" s="97" t="s">
        <v>567</v>
      </c>
      <c r="K118" s="97" t="s">
        <v>567</v>
      </c>
      <c r="L118" s="97" t="s">
        <v>567</v>
      </c>
      <c r="M118" s="97" t="s">
        <v>567</v>
      </c>
      <c r="N118" s="97" t="s">
        <v>557</v>
      </c>
      <c r="O118" s="97" t="s">
        <v>567</v>
      </c>
      <c r="P118" s="97" t="s">
        <v>567</v>
      </c>
      <c r="Q118" s="97" t="s">
        <v>567</v>
      </c>
      <c r="R118" s="97" t="s">
        <v>567</v>
      </c>
      <c r="S118" s="97" t="s">
        <v>567</v>
      </c>
      <c r="T118" s="97" t="s">
        <v>567</v>
      </c>
      <c r="U118" s="97" t="s">
        <v>557</v>
      </c>
      <c r="V118" s="97" t="s">
        <v>557</v>
      </c>
      <c r="W118" s="97" t="s">
        <v>567</v>
      </c>
      <c r="X118" s="97" t="s">
        <v>567</v>
      </c>
      <c r="Y118" s="97" t="s">
        <v>567</v>
      </c>
      <c r="Z118" s="97" t="s">
        <v>567</v>
      </c>
      <c r="AA118" s="97" t="s">
        <v>567</v>
      </c>
      <c r="AB118" s="97" t="s">
        <v>557</v>
      </c>
      <c r="AC118" s="97" t="s">
        <v>557</v>
      </c>
      <c r="AD118" s="97" t="s">
        <v>567</v>
      </c>
      <c r="AE118" s="97" t="s">
        <v>567</v>
      </c>
      <c r="AF118" s="97" t="s">
        <v>567</v>
      </c>
      <c r="AG118" s="97" t="s">
        <v>567</v>
      </c>
      <c r="AH118" s="97" t="s">
        <v>567</v>
      </c>
      <c r="AI118" s="97" t="s">
        <v>557</v>
      </c>
      <c r="AJ118" s="97" t="s">
        <v>567</v>
      </c>
      <c r="AK118" s="97" t="s">
        <v>567</v>
      </c>
      <c r="AL118" s="97" t="s">
        <v>567</v>
      </c>
      <c r="AM118" s="97" t="s">
        <v>567</v>
      </c>
      <c r="AO118" s="116">
        <f t="shared" si="9"/>
        <v>0</v>
      </c>
      <c r="AP118" s="116">
        <f t="shared" si="8"/>
        <v>0</v>
      </c>
      <c r="AQ118" s="116">
        <f t="shared" si="8"/>
        <v>6</v>
      </c>
      <c r="AR118" s="116">
        <f t="shared" si="8"/>
        <v>0</v>
      </c>
      <c r="AS118" s="116">
        <f t="shared" si="8"/>
        <v>0</v>
      </c>
      <c r="AT118" s="116">
        <f t="shared" si="8"/>
        <v>0</v>
      </c>
      <c r="AU118" s="116">
        <f t="shared" si="8"/>
        <v>0</v>
      </c>
      <c r="AV118" s="116">
        <f t="shared" si="8"/>
        <v>0</v>
      </c>
      <c r="AW118" s="116">
        <f t="shared" si="8"/>
        <v>0</v>
      </c>
      <c r="AX118" s="116">
        <f t="shared" si="8"/>
        <v>0</v>
      </c>
      <c r="AY118" s="116">
        <f t="shared" si="8"/>
        <v>0</v>
      </c>
      <c r="AZ118" s="116">
        <f t="shared" si="8"/>
        <v>0</v>
      </c>
      <c r="BA118" s="116">
        <f t="shared" si="8"/>
        <v>24</v>
      </c>
      <c r="BB118" s="117">
        <f t="shared" si="7"/>
        <v>30</v>
      </c>
      <c r="BD118" s="137">
        <v>30</v>
      </c>
    </row>
    <row r="119" spans="2:56" ht="48.95" customHeight="1">
      <c r="B119" s="112">
        <v>111</v>
      </c>
      <c r="C119" s="113">
        <v>79449859</v>
      </c>
      <c r="D119" s="114" t="s">
        <v>1004</v>
      </c>
      <c r="E119" s="115" t="s">
        <v>793</v>
      </c>
      <c r="F119" s="78" t="s">
        <v>507</v>
      </c>
      <c r="G119" s="124" t="s">
        <v>589</v>
      </c>
      <c r="H119" s="114" t="s">
        <v>1005</v>
      </c>
      <c r="I119" s="114" t="s">
        <v>597</v>
      </c>
      <c r="J119" s="97" t="s">
        <v>567</v>
      </c>
      <c r="K119" s="97" t="s">
        <v>567</v>
      </c>
      <c r="L119" s="97" t="s">
        <v>567</v>
      </c>
      <c r="M119" s="97" t="s">
        <v>567</v>
      </c>
      <c r="N119" s="97" t="s">
        <v>557</v>
      </c>
      <c r="O119" s="97" t="s">
        <v>567</v>
      </c>
      <c r="P119" s="97" t="s">
        <v>567</v>
      </c>
      <c r="Q119" s="97" t="s">
        <v>567</v>
      </c>
      <c r="R119" s="97" t="s">
        <v>567</v>
      </c>
      <c r="S119" s="97" t="s">
        <v>567</v>
      </c>
      <c r="T119" s="97" t="s">
        <v>567</v>
      </c>
      <c r="U119" s="97" t="s">
        <v>557</v>
      </c>
      <c r="V119" s="97" t="s">
        <v>557</v>
      </c>
      <c r="W119" s="97" t="s">
        <v>567</v>
      </c>
      <c r="X119" s="97" t="s">
        <v>567</v>
      </c>
      <c r="Y119" s="97" t="s">
        <v>567</v>
      </c>
      <c r="Z119" s="97" t="s">
        <v>567</v>
      </c>
      <c r="AA119" s="97" t="s">
        <v>567</v>
      </c>
      <c r="AB119" s="97" t="s">
        <v>557</v>
      </c>
      <c r="AC119" s="97" t="s">
        <v>557</v>
      </c>
      <c r="AD119" s="97" t="s">
        <v>567</v>
      </c>
      <c r="AE119" s="97" t="s">
        <v>567</v>
      </c>
      <c r="AF119" s="97" t="s">
        <v>567</v>
      </c>
      <c r="AG119" s="97" t="s">
        <v>567</v>
      </c>
      <c r="AH119" s="97" t="s">
        <v>567</v>
      </c>
      <c r="AI119" s="97" t="s">
        <v>557</v>
      </c>
      <c r="AJ119" s="97" t="s">
        <v>567</v>
      </c>
      <c r="AK119" s="97" t="s">
        <v>567</v>
      </c>
      <c r="AL119" s="97" t="s">
        <v>567</v>
      </c>
      <c r="AM119" s="97" t="s">
        <v>567</v>
      </c>
      <c r="AO119" s="116">
        <f t="shared" si="9"/>
        <v>0</v>
      </c>
      <c r="AP119" s="116">
        <f t="shared" si="8"/>
        <v>0</v>
      </c>
      <c r="AQ119" s="116">
        <f t="shared" si="8"/>
        <v>6</v>
      </c>
      <c r="AR119" s="116">
        <f t="shared" si="8"/>
        <v>0</v>
      </c>
      <c r="AS119" s="116">
        <f t="shared" si="8"/>
        <v>0</v>
      </c>
      <c r="AT119" s="116">
        <f t="shared" si="8"/>
        <v>0</v>
      </c>
      <c r="AU119" s="116">
        <f t="shared" ref="AP119:BA140" si="10">COUNTIF($J119:$AM119,AU$7)</f>
        <v>0</v>
      </c>
      <c r="AV119" s="116">
        <f t="shared" si="10"/>
        <v>0</v>
      </c>
      <c r="AW119" s="116">
        <f t="shared" si="10"/>
        <v>0</v>
      </c>
      <c r="AX119" s="116">
        <f t="shared" si="10"/>
        <v>0</v>
      </c>
      <c r="AY119" s="116">
        <f t="shared" si="10"/>
        <v>0</v>
      </c>
      <c r="AZ119" s="116">
        <f t="shared" si="10"/>
        <v>0</v>
      </c>
      <c r="BA119" s="116">
        <f t="shared" si="10"/>
        <v>24</v>
      </c>
      <c r="BB119" s="117">
        <f t="shared" si="7"/>
        <v>30</v>
      </c>
      <c r="BD119" s="137">
        <v>30</v>
      </c>
    </row>
    <row r="120" spans="2:56" ht="48.95" customHeight="1">
      <c r="B120" s="112">
        <v>112</v>
      </c>
      <c r="C120" s="113">
        <v>51907172</v>
      </c>
      <c r="D120" s="114" t="s">
        <v>1006</v>
      </c>
      <c r="E120" s="115" t="s">
        <v>793</v>
      </c>
      <c r="F120" s="78" t="s">
        <v>506</v>
      </c>
      <c r="G120" s="82" t="s">
        <v>181</v>
      </c>
      <c r="H120" s="114" t="s">
        <v>1007</v>
      </c>
      <c r="I120" s="114" t="s">
        <v>597</v>
      </c>
      <c r="J120" s="97" t="s">
        <v>567</v>
      </c>
      <c r="K120" s="97" t="s">
        <v>567</v>
      </c>
      <c r="L120" s="97" t="s">
        <v>567</v>
      </c>
      <c r="M120" s="97" t="s">
        <v>567</v>
      </c>
      <c r="N120" s="97" t="s">
        <v>557</v>
      </c>
      <c r="O120" s="97" t="s">
        <v>567</v>
      </c>
      <c r="P120" s="97" t="s">
        <v>567</v>
      </c>
      <c r="Q120" s="97" t="s">
        <v>567</v>
      </c>
      <c r="R120" s="97" t="s">
        <v>567</v>
      </c>
      <c r="S120" s="97" t="s">
        <v>567</v>
      </c>
      <c r="T120" s="97" t="s">
        <v>567</v>
      </c>
      <c r="U120" s="97" t="s">
        <v>557</v>
      </c>
      <c r="V120" s="97" t="s">
        <v>557</v>
      </c>
      <c r="W120" s="97" t="s">
        <v>567</v>
      </c>
      <c r="X120" s="97" t="s">
        <v>567</v>
      </c>
      <c r="Y120" s="97" t="s">
        <v>567</v>
      </c>
      <c r="Z120" s="97" t="s">
        <v>567</v>
      </c>
      <c r="AA120" s="97" t="s">
        <v>567</v>
      </c>
      <c r="AB120" s="97" t="s">
        <v>557</v>
      </c>
      <c r="AC120" s="97" t="s">
        <v>557</v>
      </c>
      <c r="AD120" s="97" t="s">
        <v>567</v>
      </c>
      <c r="AE120" s="97" t="s">
        <v>567</v>
      </c>
      <c r="AF120" s="97" t="s">
        <v>567</v>
      </c>
      <c r="AG120" s="97" t="s">
        <v>567</v>
      </c>
      <c r="AH120" s="97" t="s">
        <v>567</v>
      </c>
      <c r="AI120" s="97" t="s">
        <v>557</v>
      </c>
      <c r="AJ120" s="97" t="s">
        <v>567</v>
      </c>
      <c r="AK120" s="97" t="s">
        <v>567</v>
      </c>
      <c r="AL120" s="97" t="s">
        <v>567</v>
      </c>
      <c r="AM120" s="97" t="s">
        <v>567</v>
      </c>
      <c r="AO120" s="116">
        <f t="shared" si="9"/>
        <v>0</v>
      </c>
      <c r="AP120" s="116">
        <f t="shared" si="10"/>
        <v>0</v>
      </c>
      <c r="AQ120" s="116">
        <f t="shared" si="10"/>
        <v>6</v>
      </c>
      <c r="AR120" s="116">
        <f t="shared" si="10"/>
        <v>0</v>
      </c>
      <c r="AS120" s="116">
        <f t="shared" si="10"/>
        <v>0</v>
      </c>
      <c r="AT120" s="116">
        <f t="shared" si="10"/>
        <v>0</v>
      </c>
      <c r="AU120" s="116">
        <f t="shared" si="10"/>
        <v>0</v>
      </c>
      <c r="AV120" s="116">
        <f t="shared" si="10"/>
        <v>0</v>
      </c>
      <c r="AW120" s="116">
        <f t="shared" si="10"/>
        <v>0</v>
      </c>
      <c r="AX120" s="116">
        <f t="shared" si="10"/>
        <v>0</v>
      </c>
      <c r="AY120" s="116">
        <f t="shared" si="10"/>
        <v>0</v>
      </c>
      <c r="AZ120" s="116">
        <f t="shared" si="10"/>
        <v>0</v>
      </c>
      <c r="BA120" s="116">
        <f t="shared" si="10"/>
        <v>24</v>
      </c>
      <c r="BB120" s="117">
        <f t="shared" si="7"/>
        <v>30</v>
      </c>
      <c r="BD120" s="137">
        <v>30</v>
      </c>
    </row>
    <row r="121" spans="2:56" ht="48.95" customHeight="1">
      <c r="B121" s="112">
        <v>113</v>
      </c>
      <c r="C121" s="113">
        <v>80391453</v>
      </c>
      <c r="D121" s="114" t="s">
        <v>1008</v>
      </c>
      <c r="E121" s="115" t="s">
        <v>793</v>
      </c>
      <c r="F121" s="78" t="s">
        <v>507</v>
      </c>
      <c r="G121" s="124" t="s">
        <v>497</v>
      </c>
      <c r="H121" s="114" t="s">
        <v>1009</v>
      </c>
      <c r="I121" s="114" t="s">
        <v>747</v>
      </c>
      <c r="J121" s="97" t="s">
        <v>567</v>
      </c>
      <c r="K121" s="97" t="s">
        <v>567</v>
      </c>
      <c r="L121" s="97" t="s">
        <v>567</v>
      </c>
      <c r="M121" s="97" t="s">
        <v>567</v>
      </c>
      <c r="N121" s="97" t="s">
        <v>557</v>
      </c>
      <c r="O121" s="97" t="s">
        <v>567</v>
      </c>
      <c r="P121" s="97" t="s">
        <v>567</v>
      </c>
      <c r="Q121" s="97" t="s">
        <v>567</v>
      </c>
      <c r="R121" s="97" t="s">
        <v>567</v>
      </c>
      <c r="S121" s="97" t="s">
        <v>567</v>
      </c>
      <c r="T121" s="97" t="s">
        <v>567</v>
      </c>
      <c r="U121" s="97" t="s">
        <v>557</v>
      </c>
      <c r="V121" s="97" t="s">
        <v>557</v>
      </c>
      <c r="W121" s="97" t="s">
        <v>567</v>
      </c>
      <c r="X121" s="97" t="s">
        <v>567</v>
      </c>
      <c r="Y121" s="97" t="s">
        <v>567</v>
      </c>
      <c r="Z121" s="97" t="s">
        <v>567</v>
      </c>
      <c r="AA121" s="97" t="s">
        <v>567</v>
      </c>
      <c r="AB121" s="97" t="s">
        <v>557</v>
      </c>
      <c r="AC121" s="97" t="s">
        <v>557</v>
      </c>
      <c r="AD121" s="97" t="s">
        <v>567</v>
      </c>
      <c r="AE121" s="97" t="s">
        <v>567</v>
      </c>
      <c r="AF121" s="97" t="s">
        <v>567</v>
      </c>
      <c r="AG121" s="97" t="s">
        <v>567</v>
      </c>
      <c r="AH121" s="97" t="s">
        <v>567</v>
      </c>
      <c r="AI121" s="97" t="s">
        <v>557</v>
      </c>
      <c r="AJ121" s="97" t="s">
        <v>567</v>
      </c>
      <c r="AK121" s="97" t="s">
        <v>567</v>
      </c>
      <c r="AL121" s="97" t="s">
        <v>567</v>
      </c>
      <c r="AM121" s="97" t="s">
        <v>567</v>
      </c>
      <c r="AO121" s="116">
        <f t="shared" si="9"/>
        <v>0</v>
      </c>
      <c r="AP121" s="116">
        <f t="shared" si="10"/>
        <v>0</v>
      </c>
      <c r="AQ121" s="116">
        <f t="shared" si="10"/>
        <v>6</v>
      </c>
      <c r="AR121" s="116">
        <f t="shared" si="10"/>
        <v>0</v>
      </c>
      <c r="AS121" s="116">
        <f t="shared" si="10"/>
        <v>0</v>
      </c>
      <c r="AT121" s="116">
        <f t="shared" si="10"/>
        <v>0</v>
      </c>
      <c r="AU121" s="116">
        <f t="shared" si="10"/>
        <v>0</v>
      </c>
      <c r="AV121" s="116">
        <f t="shared" si="10"/>
        <v>0</v>
      </c>
      <c r="AW121" s="116">
        <f t="shared" si="10"/>
        <v>0</v>
      </c>
      <c r="AX121" s="116">
        <f t="shared" si="10"/>
        <v>0</v>
      </c>
      <c r="AY121" s="116">
        <f t="shared" si="10"/>
        <v>0</v>
      </c>
      <c r="AZ121" s="116">
        <f t="shared" si="10"/>
        <v>0</v>
      </c>
      <c r="BA121" s="116">
        <f t="shared" si="10"/>
        <v>24</v>
      </c>
      <c r="BB121" s="117">
        <f t="shared" si="7"/>
        <v>30</v>
      </c>
      <c r="BD121" s="137">
        <v>30</v>
      </c>
    </row>
    <row r="122" spans="2:56" ht="48.95" customHeight="1">
      <c r="B122" s="112">
        <v>114</v>
      </c>
      <c r="C122" s="113">
        <v>24716019</v>
      </c>
      <c r="D122" s="114" t="s">
        <v>1010</v>
      </c>
      <c r="E122" s="115" t="s">
        <v>793</v>
      </c>
      <c r="F122" s="78" t="s">
        <v>508</v>
      </c>
      <c r="G122" s="124" t="s">
        <v>497</v>
      </c>
      <c r="H122" s="114" t="s">
        <v>1011</v>
      </c>
      <c r="I122" s="114" t="s">
        <v>1012</v>
      </c>
      <c r="J122" s="97" t="s">
        <v>567</v>
      </c>
      <c r="K122" s="97" t="s">
        <v>567</v>
      </c>
      <c r="L122" s="97" t="s">
        <v>567</v>
      </c>
      <c r="M122" s="97" t="s">
        <v>567</v>
      </c>
      <c r="N122" s="97" t="s">
        <v>557</v>
      </c>
      <c r="O122" s="97" t="s">
        <v>567</v>
      </c>
      <c r="P122" s="97" t="s">
        <v>567</v>
      </c>
      <c r="Q122" s="97" t="s">
        <v>567</v>
      </c>
      <c r="R122" s="97" t="s">
        <v>567</v>
      </c>
      <c r="S122" s="97" t="s">
        <v>567</v>
      </c>
      <c r="T122" s="97" t="s">
        <v>567</v>
      </c>
      <c r="U122" s="97" t="s">
        <v>557</v>
      </c>
      <c r="V122" s="97" t="s">
        <v>557</v>
      </c>
      <c r="W122" s="97" t="s">
        <v>567</v>
      </c>
      <c r="X122" s="97" t="s">
        <v>567</v>
      </c>
      <c r="Y122" s="97" t="s">
        <v>565</v>
      </c>
      <c r="Z122" s="97" t="s">
        <v>565</v>
      </c>
      <c r="AA122" s="97" t="s">
        <v>565</v>
      </c>
      <c r="AB122" s="97" t="s">
        <v>565</v>
      </c>
      <c r="AC122" s="97" t="s">
        <v>565</v>
      </c>
      <c r="AD122" s="97" t="s">
        <v>565</v>
      </c>
      <c r="AE122" s="97" t="s">
        <v>565</v>
      </c>
      <c r="AF122" s="97" t="s">
        <v>567</v>
      </c>
      <c r="AG122" s="97" t="s">
        <v>567</v>
      </c>
      <c r="AH122" s="97" t="s">
        <v>567</v>
      </c>
      <c r="AI122" s="97" t="s">
        <v>557</v>
      </c>
      <c r="AJ122" s="97" t="s">
        <v>567</v>
      </c>
      <c r="AK122" s="97" t="s">
        <v>567</v>
      </c>
      <c r="AL122" s="97" t="s">
        <v>567</v>
      </c>
      <c r="AM122" s="97" t="s">
        <v>567</v>
      </c>
      <c r="AO122" s="116">
        <f t="shared" si="9"/>
        <v>0</v>
      </c>
      <c r="AP122" s="116">
        <f t="shared" si="10"/>
        <v>0</v>
      </c>
      <c r="AQ122" s="116">
        <f t="shared" si="10"/>
        <v>4</v>
      </c>
      <c r="AR122" s="116">
        <f t="shared" si="10"/>
        <v>0</v>
      </c>
      <c r="AS122" s="116">
        <f t="shared" si="10"/>
        <v>0</v>
      </c>
      <c r="AT122" s="116">
        <f t="shared" si="10"/>
        <v>0</v>
      </c>
      <c r="AU122" s="116">
        <f t="shared" si="10"/>
        <v>0</v>
      </c>
      <c r="AV122" s="116">
        <f t="shared" si="10"/>
        <v>0</v>
      </c>
      <c r="AW122" s="116">
        <f t="shared" si="10"/>
        <v>0</v>
      </c>
      <c r="AX122" s="116">
        <f t="shared" si="10"/>
        <v>0</v>
      </c>
      <c r="AY122" s="116">
        <f t="shared" si="10"/>
        <v>7</v>
      </c>
      <c r="AZ122" s="116">
        <f t="shared" si="10"/>
        <v>0</v>
      </c>
      <c r="BA122" s="116">
        <f t="shared" si="10"/>
        <v>19</v>
      </c>
      <c r="BB122" s="117">
        <f t="shared" si="7"/>
        <v>23</v>
      </c>
      <c r="BD122" s="137">
        <v>30</v>
      </c>
    </row>
    <row r="123" spans="2:56" ht="48.95" customHeight="1">
      <c r="B123" s="112">
        <v>115</v>
      </c>
      <c r="C123" s="113">
        <v>1031120358</v>
      </c>
      <c r="D123" s="114" t="s">
        <v>1013</v>
      </c>
      <c r="E123" s="115" t="s">
        <v>793</v>
      </c>
      <c r="F123" s="78" t="s">
        <v>506</v>
      </c>
      <c r="G123" s="77" t="s">
        <v>483</v>
      </c>
      <c r="H123" s="114" t="s">
        <v>1014</v>
      </c>
      <c r="I123" s="114" t="s">
        <v>597</v>
      </c>
      <c r="J123" s="97" t="s">
        <v>567</v>
      </c>
      <c r="K123" s="97" t="s">
        <v>567</v>
      </c>
      <c r="L123" s="97" t="s">
        <v>567</v>
      </c>
      <c r="M123" s="97" t="s">
        <v>567</v>
      </c>
      <c r="N123" s="97" t="s">
        <v>557</v>
      </c>
      <c r="O123" s="97" t="s">
        <v>567</v>
      </c>
      <c r="P123" s="97" t="s">
        <v>567</v>
      </c>
      <c r="Q123" s="97" t="s">
        <v>567</v>
      </c>
      <c r="R123" s="97" t="s">
        <v>567</v>
      </c>
      <c r="S123" s="97" t="s">
        <v>567</v>
      </c>
      <c r="T123" s="97" t="s">
        <v>567</v>
      </c>
      <c r="U123" s="97" t="s">
        <v>557</v>
      </c>
      <c r="V123" s="97" t="s">
        <v>557</v>
      </c>
      <c r="W123" s="97" t="s">
        <v>567</v>
      </c>
      <c r="X123" s="97" t="s">
        <v>567</v>
      </c>
      <c r="Y123" s="97" t="s">
        <v>567</v>
      </c>
      <c r="Z123" s="97" t="s">
        <v>567</v>
      </c>
      <c r="AA123" s="97" t="s">
        <v>567</v>
      </c>
      <c r="AB123" s="97" t="s">
        <v>557</v>
      </c>
      <c r="AC123" s="97" t="s">
        <v>557</v>
      </c>
      <c r="AD123" s="97" t="s">
        <v>567</v>
      </c>
      <c r="AE123" s="97" t="s">
        <v>567</v>
      </c>
      <c r="AF123" s="97" t="s">
        <v>567</v>
      </c>
      <c r="AG123" s="97" t="s">
        <v>567</v>
      </c>
      <c r="AH123" s="97" t="s">
        <v>567</v>
      </c>
      <c r="AI123" s="97" t="s">
        <v>557</v>
      </c>
      <c r="AJ123" s="97" t="s">
        <v>567</v>
      </c>
      <c r="AK123" s="97" t="s">
        <v>567</v>
      </c>
      <c r="AL123" s="97" t="s">
        <v>567</v>
      </c>
      <c r="AM123" s="97" t="s">
        <v>567</v>
      </c>
      <c r="AO123" s="116">
        <f t="shared" si="9"/>
        <v>0</v>
      </c>
      <c r="AP123" s="116">
        <f t="shared" si="10"/>
        <v>0</v>
      </c>
      <c r="AQ123" s="116">
        <f t="shared" si="10"/>
        <v>6</v>
      </c>
      <c r="AR123" s="116">
        <f t="shared" si="10"/>
        <v>0</v>
      </c>
      <c r="AS123" s="116">
        <f t="shared" si="10"/>
        <v>0</v>
      </c>
      <c r="AT123" s="116">
        <f t="shared" si="10"/>
        <v>0</v>
      </c>
      <c r="AU123" s="116">
        <f t="shared" si="10"/>
        <v>0</v>
      </c>
      <c r="AV123" s="116">
        <f t="shared" si="10"/>
        <v>0</v>
      </c>
      <c r="AW123" s="116">
        <f t="shared" si="10"/>
        <v>0</v>
      </c>
      <c r="AX123" s="116">
        <f t="shared" si="10"/>
        <v>0</v>
      </c>
      <c r="AY123" s="116">
        <f t="shared" si="10"/>
        <v>0</v>
      </c>
      <c r="AZ123" s="116">
        <f t="shared" si="10"/>
        <v>0</v>
      </c>
      <c r="BA123" s="116">
        <f t="shared" si="10"/>
        <v>24</v>
      </c>
      <c r="BB123" s="117">
        <f t="shared" si="7"/>
        <v>30</v>
      </c>
      <c r="BD123" s="137">
        <v>30</v>
      </c>
    </row>
    <row r="124" spans="2:56" ht="48.95" customHeight="1">
      <c r="B124" s="112">
        <v>116</v>
      </c>
      <c r="C124" s="113">
        <v>52937317</v>
      </c>
      <c r="D124" s="114" t="s">
        <v>1015</v>
      </c>
      <c r="E124" s="115" t="s">
        <v>793</v>
      </c>
      <c r="F124" s="78" t="s">
        <v>506</v>
      </c>
      <c r="G124" s="124" t="s">
        <v>497</v>
      </c>
      <c r="H124" s="114" t="s">
        <v>1016</v>
      </c>
      <c r="I124" s="114" t="s">
        <v>597</v>
      </c>
      <c r="J124" s="97" t="s">
        <v>567</v>
      </c>
      <c r="K124" s="97" t="s">
        <v>567</v>
      </c>
      <c r="L124" s="97" t="s">
        <v>567</v>
      </c>
      <c r="M124" s="97" t="s">
        <v>567</v>
      </c>
      <c r="N124" s="97" t="s">
        <v>557</v>
      </c>
      <c r="O124" s="97" t="s">
        <v>567</v>
      </c>
      <c r="P124" s="97" t="s">
        <v>567</v>
      </c>
      <c r="Q124" s="97" t="s">
        <v>567</v>
      </c>
      <c r="R124" s="97" t="s">
        <v>567</v>
      </c>
      <c r="S124" s="97" t="s">
        <v>567</v>
      </c>
      <c r="T124" s="97" t="s">
        <v>567</v>
      </c>
      <c r="U124" s="97" t="s">
        <v>557</v>
      </c>
      <c r="V124" s="97" t="s">
        <v>557</v>
      </c>
      <c r="W124" s="97" t="s">
        <v>567</v>
      </c>
      <c r="X124" s="97" t="s">
        <v>567</v>
      </c>
      <c r="Y124" s="97" t="s">
        <v>567</v>
      </c>
      <c r="Z124" s="97" t="s">
        <v>567</v>
      </c>
      <c r="AA124" s="97" t="s">
        <v>567</v>
      </c>
      <c r="AB124" s="97" t="s">
        <v>557</v>
      </c>
      <c r="AC124" s="97" t="s">
        <v>557</v>
      </c>
      <c r="AD124" s="97" t="s">
        <v>567</v>
      </c>
      <c r="AE124" s="97" t="s">
        <v>567</v>
      </c>
      <c r="AF124" s="97" t="s">
        <v>567</v>
      </c>
      <c r="AG124" s="97" t="s">
        <v>567</v>
      </c>
      <c r="AH124" s="97" t="s">
        <v>567</v>
      </c>
      <c r="AI124" s="97" t="s">
        <v>557</v>
      </c>
      <c r="AJ124" s="97" t="s">
        <v>567</v>
      </c>
      <c r="AK124" s="97" t="s">
        <v>567</v>
      </c>
      <c r="AL124" s="97" t="s">
        <v>567</v>
      </c>
      <c r="AM124" s="97" t="s">
        <v>567</v>
      </c>
      <c r="AO124" s="116">
        <f t="shared" si="9"/>
        <v>0</v>
      </c>
      <c r="AP124" s="116">
        <f t="shared" si="10"/>
        <v>0</v>
      </c>
      <c r="AQ124" s="116">
        <f t="shared" si="10"/>
        <v>6</v>
      </c>
      <c r="AR124" s="116">
        <f t="shared" si="10"/>
        <v>0</v>
      </c>
      <c r="AS124" s="116">
        <f t="shared" si="10"/>
        <v>0</v>
      </c>
      <c r="AT124" s="116">
        <f t="shared" si="10"/>
        <v>0</v>
      </c>
      <c r="AU124" s="116">
        <f t="shared" si="10"/>
        <v>0</v>
      </c>
      <c r="AV124" s="116">
        <f t="shared" si="10"/>
        <v>0</v>
      </c>
      <c r="AW124" s="116">
        <f t="shared" si="10"/>
        <v>0</v>
      </c>
      <c r="AX124" s="116">
        <f t="shared" si="10"/>
        <v>0</v>
      </c>
      <c r="AY124" s="116">
        <f t="shared" si="10"/>
        <v>0</v>
      </c>
      <c r="AZ124" s="116">
        <f t="shared" si="10"/>
        <v>0</v>
      </c>
      <c r="BA124" s="116">
        <f t="shared" si="10"/>
        <v>24</v>
      </c>
      <c r="BB124" s="117">
        <f t="shared" si="7"/>
        <v>30</v>
      </c>
      <c r="BD124" s="137">
        <v>30</v>
      </c>
    </row>
    <row r="125" spans="2:56" ht="48.95" customHeight="1">
      <c r="B125" s="112">
        <v>117</v>
      </c>
      <c r="C125" s="113">
        <v>1050838828</v>
      </c>
      <c r="D125" s="114" t="s">
        <v>1017</v>
      </c>
      <c r="E125" s="115" t="s">
        <v>793</v>
      </c>
      <c r="F125" s="78" t="s">
        <v>506</v>
      </c>
      <c r="G125" s="77" t="s">
        <v>494</v>
      </c>
      <c r="H125" s="114" t="s">
        <v>1018</v>
      </c>
      <c r="I125" s="114" t="s">
        <v>597</v>
      </c>
      <c r="J125" s="97" t="s">
        <v>567</v>
      </c>
      <c r="K125" s="97" t="s">
        <v>567</v>
      </c>
      <c r="L125" s="97" t="s">
        <v>567</v>
      </c>
      <c r="M125" s="97" t="s">
        <v>567</v>
      </c>
      <c r="N125" s="97" t="s">
        <v>557</v>
      </c>
      <c r="O125" s="97" t="s">
        <v>567</v>
      </c>
      <c r="P125" s="97" t="s">
        <v>567</v>
      </c>
      <c r="Q125" s="97" t="s">
        <v>567</v>
      </c>
      <c r="R125" s="97" t="s">
        <v>567</v>
      </c>
      <c r="S125" s="97" t="s">
        <v>567</v>
      </c>
      <c r="T125" s="97" t="s">
        <v>567</v>
      </c>
      <c r="U125" s="97" t="s">
        <v>557</v>
      </c>
      <c r="V125" s="97" t="s">
        <v>557</v>
      </c>
      <c r="W125" s="97" t="s">
        <v>567</v>
      </c>
      <c r="X125" s="97" t="s">
        <v>567</v>
      </c>
      <c r="Y125" s="97" t="s">
        <v>567</v>
      </c>
      <c r="Z125" s="97" t="s">
        <v>567</v>
      </c>
      <c r="AA125" s="97" t="s">
        <v>567</v>
      </c>
      <c r="AB125" s="97" t="s">
        <v>557</v>
      </c>
      <c r="AC125" s="97" t="s">
        <v>557</v>
      </c>
      <c r="AD125" s="97" t="s">
        <v>567</v>
      </c>
      <c r="AE125" s="97" t="s">
        <v>567</v>
      </c>
      <c r="AF125" s="97" t="s">
        <v>567</v>
      </c>
      <c r="AG125" s="97" t="s">
        <v>567</v>
      </c>
      <c r="AH125" s="97" t="s">
        <v>567</v>
      </c>
      <c r="AI125" s="97" t="s">
        <v>557</v>
      </c>
      <c r="AJ125" s="97" t="s">
        <v>567</v>
      </c>
      <c r="AK125" s="97" t="s">
        <v>567</v>
      </c>
      <c r="AL125" s="97" t="s">
        <v>567</v>
      </c>
      <c r="AM125" s="97" t="s">
        <v>567</v>
      </c>
      <c r="AO125" s="116">
        <f t="shared" si="9"/>
        <v>0</v>
      </c>
      <c r="AP125" s="116">
        <f t="shared" si="10"/>
        <v>0</v>
      </c>
      <c r="AQ125" s="116">
        <f t="shared" si="10"/>
        <v>6</v>
      </c>
      <c r="AR125" s="116">
        <f t="shared" si="10"/>
        <v>0</v>
      </c>
      <c r="AS125" s="116">
        <f t="shared" si="10"/>
        <v>0</v>
      </c>
      <c r="AT125" s="116">
        <f t="shared" si="10"/>
        <v>0</v>
      </c>
      <c r="AU125" s="116">
        <f t="shared" si="10"/>
        <v>0</v>
      </c>
      <c r="AV125" s="116">
        <f t="shared" si="10"/>
        <v>0</v>
      </c>
      <c r="AW125" s="116">
        <f t="shared" si="10"/>
        <v>0</v>
      </c>
      <c r="AX125" s="116">
        <f t="shared" si="10"/>
        <v>0</v>
      </c>
      <c r="AY125" s="116">
        <f t="shared" si="10"/>
        <v>0</v>
      </c>
      <c r="AZ125" s="116">
        <f t="shared" si="10"/>
        <v>0</v>
      </c>
      <c r="BA125" s="116">
        <f t="shared" si="10"/>
        <v>24</v>
      </c>
      <c r="BB125" s="117">
        <f t="shared" si="7"/>
        <v>30</v>
      </c>
      <c r="BD125" s="137">
        <v>30</v>
      </c>
    </row>
    <row r="126" spans="2:56" ht="48.95" customHeight="1">
      <c r="B126" s="112">
        <v>118</v>
      </c>
      <c r="C126" s="113">
        <v>1090491496</v>
      </c>
      <c r="D126" s="114" t="s">
        <v>1019</v>
      </c>
      <c r="E126" s="115" t="s">
        <v>793</v>
      </c>
      <c r="F126" s="78" t="s">
        <v>506</v>
      </c>
      <c r="G126" s="77" t="s">
        <v>494</v>
      </c>
      <c r="H126" s="114" t="s">
        <v>1020</v>
      </c>
      <c r="I126" s="114" t="s">
        <v>597</v>
      </c>
      <c r="J126" s="97" t="s">
        <v>567</v>
      </c>
      <c r="K126" s="97" t="s">
        <v>567</v>
      </c>
      <c r="L126" s="97" t="s">
        <v>567</v>
      </c>
      <c r="M126" s="97" t="s">
        <v>567</v>
      </c>
      <c r="N126" s="97" t="s">
        <v>557</v>
      </c>
      <c r="O126" s="97" t="s">
        <v>567</v>
      </c>
      <c r="P126" s="97" t="s">
        <v>567</v>
      </c>
      <c r="Q126" s="97" t="s">
        <v>567</v>
      </c>
      <c r="R126" s="97" t="s">
        <v>567</v>
      </c>
      <c r="S126" s="97" t="s">
        <v>567</v>
      </c>
      <c r="T126" s="97" t="s">
        <v>567</v>
      </c>
      <c r="U126" s="97" t="s">
        <v>557</v>
      </c>
      <c r="V126" s="97" t="s">
        <v>557</v>
      </c>
      <c r="W126" s="97" t="s">
        <v>567</v>
      </c>
      <c r="X126" s="97" t="s">
        <v>567</v>
      </c>
      <c r="Y126" s="97" t="s">
        <v>567</v>
      </c>
      <c r="Z126" s="97" t="s">
        <v>567</v>
      </c>
      <c r="AA126" s="97" t="s">
        <v>567</v>
      </c>
      <c r="AB126" s="97" t="s">
        <v>557</v>
      </c>
      <c r="AC126" s="97" t="s">
        <v>557</v>
      </c>
      <c r="AD126" s="97" t="s">
        <v>567</v>
      </c>
      <c r="AE126" s="97" t="s">
        <v>567</v>
      </c>
      <c r="AF126" s="97" t="s">
        <v>567</v>
      </c>
      <c r="AG126" s="97" t="s">
        <v>567</v>
      </c>
      <c r="AH126" s="97" t="s">
        <v>567</v>
      </c>
      <c r="AI126" s="97" t="s">
        <v>557</v>
      </c>
      <c r="AJ126" s="97" t="s">
        <v>567</v>
      </c>
      <c r="AK126" s="97" t="s">
        <v>567</v>
      </c>
      <c r="AL126" s="97" t="s">
        <v>567</v>
      </c>
      <c r="AM126" s="97" t="s">
        <v>567</v>
      </c>
      <c r="AO126" s="116">
        <f t="shared" si="9"/>
        <v>0</v>
      </c>
      <c r="AP126" s="116">
        <f t="shared" si="10"/>
        <v>0</v>
      </c>
      <c r="AQ126" s="116">
        <f t="shared" si="10"/>
        <v>6</v>
      </c>
      <c r="AR126" s="116">
        <f t="shared" si="10"/>
        <v>0</v>
      </c>
      <c r="AS126" s="116">
        <f t="shared" si="10"/>
        <v>0</v>
      </c>
      <c r="AT126" s="116">
        <f t="shared" si="10"/>
        <v>0</v>
      </c>
      <c r="AU126" s="116">
        <f t="shared" si="10"/>
        <v>0</v>
      </c>
      <c r="AV126" s="116">
        <f t="shared" si="10"/>
        <v>0</v>
      </c>
      <c r="AW126" s="116">
        <f t="shared" si="10"/>
        <v>0</v>
      </c>
      <c r="AX126" s="116">
        <f t="shared" si="10"/>
        <v>0</v>
      </c>
      <c r="AY126" s="116">
        <f t="shared" si="10"/>
        <v>0</v>
      </c>
      <c r="AZ126" s="116">
        <f t="shared" si="10"/>
        <v>0</v>
      </c>
      <c r="BA126" s="116">
        <f t="shared" si="10"/>
        <v>24</v>
      </c>
      <c r="BB126" s="117">
        <f t="shared" si="7"/>
        <v>30</v>
      </c>
      <c r="BD126" s="137">
        <v>30</v>
      </c>
    </row>
    <row r="127" spans="2:56" ht="48.95" customHeight="1">
      <c r="B127" s="112">
        <v>119</v>
      </c>
      <c r="C127" s="113">
        <v>52317516</v>
      </c>
      <c r="D127" s="114" t="s">
        <v>1021</v>
      </c>
      <c r="E127" s="115" t="s">
        <v>793</v>
      </c>
      <c r="F127" s="78" t="s">
        <v>506</v>
      </c>
      <c r="G127" s="124" t="s">
        <v>491</v>
      </c>
      <c r="H127" s="114" t="s">
        <v>1022</v>
      </c>
      <c r="I127" s="114" t="s">
        <v>597</v>
      </c>
      <c r="J127" s="97" t="s">
        <v>567</v>
      </c>
      <c r="K127" s="97" t="s">
        <v>567</v>
      </c>
      <c r="L127" s="97" t="s">
        <v>567</v>
      </c>
      <c r="M127" s="97" t="s">
        <v>567</v>
      </c>
      <c r="N127" s="97" t="s">
        <v>557</v>
      </c>
      <c r="O127" s="97" t="s">
        <v>567</v>
      </c>
      <c r="P127" s="97" t="s">
        <v>567</v>
      </c>
      <c r="Q127" s="97" t="s">
        <v>567</v>
      </c>
      <c r="R127" s="97" t="s">
        <v>567</v>
      </c>
      <c r="S127" s="97" t="s">
        <v>567</v>
      </c>
      <c r="T127" s="97" t="s">
        <v>567</v>
      </c>
      <c r="U127" s="97" t="s">
        <v>557</v>
      </c>
      <c r="V127" s="97" t="s">
        <v>557</v>
      </c>
      <c r="W127" s="97" t="s">
        <v>567</v>
      </c>
      <c r="X127" s="97" t="s">
        <v>567</v>
      </c>
      <c r="Y127" s="97" t="s">
        <v>567</v>
      </c>
      <c r="Z127" s="97" t="s">
        <v>567</v>
      </c>
      <c r="AA127" s="97" t="s">
        <v>567</v>
      </c>
      <c r="AB127" s="97" t="s">
        <v>557</v>
      </c>
      <c r="AC127" s="97" t="s">
        <v>557</v>
      </c>
      <c r="AD127" s="97" t="s">
        <v>567</v>
      </c>
      <c r="AE127" s="97" t="s">
        <v>567</v>
      </c>
      <c r="AF127" s="97" t="s">
        <v>567</v>
      </c>
      <c r="AG127" s="97" t="s">
        <v>567</v>
      </c>
      <c r="AH127" s="97" t="s">
        <v>567</v>
      </c>
      <c r="AI127" s="97" t="s">
        <v>557</v>
      </c>
      <c r="AJ127" s="97" t="s">
        <v>567</v>
      </c>
      <c r="AK127" s="97" t="s">
        <v>567</v>
      </c>
      <c r="AL127" s="97" t="s">
        <v>567</v>
      </c>
      <c r="AM127" s="97" t="s">
        <v>567</v>
      </c>
      <c r="AO127" s="116">
        <f t="shared" si="9"/>
        <v>0</v>
      </c>
      <c r="AP127" s="116">
        <f t="shared" si="10"/>
        <v>0</v>
      </c>
      <c r="AQ127" s="116">
        <f t="shared" si="10"/>
        <v>6</v>
      </c>
      <c r="AR127" s="116">
        <f t="shared" si="10"/>
        <v>0</v>
      </c>
      <c r="AS127" s="116">
        <f t="shared" si="10"/>
        <v>0</v>
      </c>
      <c r="AT127" s="116">
        <f t="shared" si="10"/>
        <v>0</v>
      </c>
      <c r="AU127" s="116">
        <f t="shared" si="10"/>
        <v>0</v>
      </c>
      <c r="AV127" s="116">
        <f t="shared" si="10"/>
        <v>0</v>
      </c>
      <c r="AW127" s="116">
        <f t="shared" si="10"/>
        <v>0</v>
      </c>
      <c r="AX127" s="116">
        <f t="shared" si="10"/>
        <v>0</v>
      </c>
      <c r="AY127" s="116">
        <f t="shared" si="10"/>
        <v>0</v>
      </c>
      <c r="AZ127" s="116">
        <f t="shared" si="10"/>
        <v>0</v>
      </c>
      <c r="BA127" s="116">
        <f t="shared" si="10"/>
        <v>24</v>
      </c>
      <c r="BB127" s="117">
        <f t="shared" si="7"/>
        <v>30</v>
      </c>
      <c r="BD127" s="137">
        <v>30</v>
      </c>
    </row>
    <row r="128" spans="2:56" ht="48.95" customHeight="1">
      <c r="B128" s="112">
        <v>120</v>
      </c>
      <c r="C128" s="113">
        <v>28868060</v>
      </c>
      <c r="D128" s="114" t="s">
        <v>1023</v>
      </c>
      <c r="E128" s="115" t="s">
        <v>793</v>
      </c>
      <c r="F128" s="78" t="s">
        <v>506</v>
      </c>
      <c r="G128" s="124" t="s">
        <v>497</v>
      </c>
      <c r="H128" s="114" t="s">
        <v>1024</v>
      </c>
      <c r="I128" s="114" t="s">
        <v>1025</v>
      </c>
      <c r="J128" s="97" t="s">
        <v>567</v>
      </c>
      <c r="K128" s="97" t="s">
        <v>567</v>
      </c>
      <c r="L128" s="97" t="s">
        <v>567</v>
      </c>
      <c r="M128" s="97" t="s">
        <v>567</v>
      </c>
      <c r="N128" s="97" t="s">
        <v>557</v>
      </c>
      <c r="O128" s="97" t="s">
        <v>567</v>
      </c>
      <c r="P128" s="97" t="s">
        <v>567</v>
      </c>
      <c r="Q128" s="97" t="s">
        <v>567</v>
      </c>
      <c r="R128" s="97" t="s">
        <v>567</v>
      </c>
      <c r="S128" s="97" t="s">
        <v>567</v>
      </c>
      <c r="T128" s="97" t="s">
        <v>567</v>
      </c>
      <c r="U128" s="97" t="s">
        <v>557</v>
      </c>
      <c r="V128" s="97" t="s">
        <v>557</v>
      </c>
      <c r="W128" s="97" t="s">
        <v>567</v>
      </c>
      <c r="X128" s="97" t="s">
        <v>567</v>
      </c>
      <c r="Y128" s="97" t="s">
        <v>567</v>
      </c>
      <c r="Z128" s="97" t="s">
        <v>567</v>
      </c>
      <c r="AA128" s="97" t="s">
        <v>567</v>
      </c>
      <c r="AB128" s="97" t="s">
        <v>557</v>
      </c>
      <c r="AC128" s="97" t="s">
        <v>557</v>
      </c>
      <c r="AD128" s="97" t="s">
        <v>567</v>
      </c>
      <c r="AE128" s="97" t="s">
        <v>567</v>
      </c>
      <c r="AF128" s="97" t="s">
        <v>567</v>
      </c>
      <c r="AG128" s="97" t="s">
        <v>567</v>
      </c>
      <c r="AH128" s="97" t="s">
        <v>567</v>
      </c>
      <c r="AI128" s="97" t="s">
        <v>557</v>
      </c>
      <c r="AJ128" s="97" t="s">
        <v>567</v>
      </c>
      <c r="AK128" s="97" t="s">
        <v>567</v>
      </c>
      <c r="AL128" s="97" t="s">
        <v>567</v>
      </c>
      <c r="AM128" s="97" t="s">
        <v>567</v>
      </c>
      <c r="AO128" s="116">
        <f t="shared" si="9"/>
        <v>0</v>
      </c>
      <c r="AP128" s="116">
        <f t="shared" si="10"/>
        <v>0</v>
      </c>
      <c r="AQ128" s="116">
        <f t="shared" si="10"/>
        <v>6</v>
      </c>
      <c r="AR128" s="116">
        <f t="shared" si="10"/>
        <v>0</v>
      </c>
      <c r="AS128" s="116">
        <f t="shared" si="10"/>
        <v>0</v>
      </c>
      <c r="AT128" s="116">
        <f t="shared" si="10"/>
        <v>0</v>
      </c>
      <c r="AU128" s="116">
        <f t="shared" si="10"/>
        <v>0</v>
      </c>
      <c r="AV128" s="116">
        <f t="shared" si="10"/>
        <v>0</v>
      </c>
      <c r="AW128" s="116">
        <f t="shared" si="10"/>
        <v>0</v>
      </c>
      <c r="AX128" s="116">
        <f t="shared" si="10"/>
        <v>0</v>
      </c>
      <c r="AY128" s="116">
        <f t="shared" si="10"/>
        <v>0</v>
      </c>
      <c r="AZ128" s="116">
        <f t="shared" si="10"/>
        <v>0</v>
      </c>
      <c r="BA128" s="116">
        <f t="shared" si="10"/>
        <v>24</v>
      </c>
      <c r="BB128" s="117">
        <f t="shared" si="7"/>
        <v>30</v>
      </c>
      <c r="BD128" s="137">
        <v>30</v>
      </c>
    </row>
    <row r="129" spans="1:56" ht="48.95" customHeight="1">
      <c r="B129" s="112">
        <v>121</v>
      </c>
      <c r="C129" s="113">
        <v>52759800</v>
      </c>
      <c r="D129" s="114" t="s">
        <v>1026</v>
      </c>
      <c r="E129" s="115" t="s">
        <v>793</v>
      </c>
      <c r="F129" s="78" t="s">
        <v>506</v>
      </c>
      <c r="G129" s="124" t="s">
        <v>719</v>
      </c>
      <c r="H129" s="114" t="s">
        <v>1027</v>
      </c>
      <c r="I129" s="114" t="s">
        <v>600</v>
      </c>
      <c r="J129" s="97" t="s">
        <v>567</v>
      </c>
      <c r="K129" s="97" t="s">
        <v>567</v>
      </c>
      <c r="L129" s="97" t="s">
        <v>567</v>
      </c>
      <c r="M129" s="97" t="s">
        <v>567</v>
      </c>
      <c r="N129" s="97" t="s">
        <v>557</v>
      </c>
      <c r="O129" s="97" t="s">
        <v>567</v>
      </c>
      <c r="P129" s="97" t="s">
        <v>567</v>
      </c>
      <c r="Q129" s="97" t="s">
        <v>567</v>
      </c>
      <c r="R129" s="97" t="s">
        <v>567</v>
      </c>
      <c r="S129" s="97" t="s">
        <v>567</v>
      </c>
      <c r="T129" s="97" t="s">
        <v>567</v>
      </c>
      <c r="U129" s="97" t="s">
        <v>557</v>
      </c>
      <c r="V129" s="97" t="s">
        <v>557</v>
      </c>
      <c r="W129" s="97" t="s">
        <v>567</v>
      </c>
      <c r="X129" s="97" t="s">
        <v>567</v>
      </c>
      <c r="Y129" s="97" t="s">
        <v>567</v>
      </c>
      <c r="Z129" s="97" t="s">
        <v>567</v>
      </c>
      <c r="AA129" s="97" t="s">
        <v>567</v>
      </c>
      <c r="AB129" s="97" t="s">
        <v>557</v>
      </c>
      <c r="AC129" s="97" t="s">
        <v>557</v>
      </c>
      <c r="AD129" s="97" t="s">
        <v>567</v>
      </c>
      <c r="AE129" s="97" t="s">
        <v>567</v>
      </c>
      <c r="AF129" s="97" t="s">
        <v>558</v>
      </c>
      <c r="AG129" s="97" t="s">
        <v>558</v>
      </c>
      <c r="AH129" s="97" t="s">
        <v>567</v>
      </c>
      <c r="AI129" s="97" t="s">
        <v>557</v>
      </c>
      <c r="AJ129" s="97" t="s">
        <v>567</v>
      </c>
      <c r="AK129" s="97" t="s">
        <v>567</v>
      </c>
      <c r="AL129" s="97" t="s">
        <v>567</v>
      </c>
      <c r="AM129" s="97" t="s">
        <v>567</v>
      </c>
      <c r="AO129" s="116">
        <f t="shared" si="9"/>
        <v>0</v>
      </c>
      <c r="AP129" s="116">
        <f t="shared" si="10"/>
        <v>0</v>
      </c>
      <c r="AQ129" s="116">
        <f t="shared" si="10"/>
        <v>6</v>
      </c>
      <c r="AR129" s="116">
        <f t="shared" si="10"/>
        <v>2</v>
      </c>
      <c r="AS129" s="116">
        <f t="shared" si="10"/>
        <v>0</v>
      </c>
      <c r="AT129" s="116">
        <f t="shared" si="10"/>
        <v>0</v>
      </c>
      <c r="AU129" s="116">
        <f t="shared" si="10"/>
        <v>0</v>
      </c>
      <c r="AV129" s="116">
        <f t="shared" si="10"/>
        <v>0</v>
      </c>
      <c r="AW129" s="116">
        <f t="shared" si="10"/>
        <v>0</v>
      </c>
      <c r="AX129" s="116">
        <f t="shared" si="10"/>
        <v>0</v>
      </c>
      <c r="AY129" s="116">
        <f t="shared" si="10"/>
        <v>0</v>
      </c>
      <c r="AZ129" s="116">
        <f t="shared" si="10"/>
        <v>0</v>
      </c>
      <c r="BA129" s="116">
        <f t="shared" si="10"/>
        <v>22</v>
      </c>
      <c r="BB129" s="117">
        <f t="shared" si="7"/>
        <v>28</v>
      </c>
      <c r="BD129" s="137">
        <v>30</v>
      </c>
    </row>
    <row r="130" spans="1:56" ht="48.95" customHeight="1">
      <c r="B130" s="112">
        <v>122</v>
      </c>
      <c r="C130" s="113">
        <v>30350065</v>
      </c>
      <c r="D130" s="114" t="s">
        <v>754</v>
      </c>
      <c r="E130" s="115" t="s">
        <v>793</v>
      </c>
      <c r="F130" s="78" t="s">
        <v>506</v>
      </c>
      <c r="G130" s="124" t="s">
        <v>719</v>
      </c>
      <c r="H130" s="114" t="s">
        <v>755</v>
      </c>
      <c r="I130" s="114" t="s">
        <v>597</v>
      </c>
      <c r="J130" s="97" t="s">
        <v>567</v>
      </c>
      <c r="K130" s="97" t="s">
        <v>567</v>
      </c>
      <c r="L130" s="97" t="s">
        <v>567</v>
      </c>
      <c r="M130" s="97" t="s">
        <v>567</v>
      </c>
      <c r="N130" s="97" t="s">
        <v>557</v>
      </c>
      <c r="O130" s="97" t="s">
        <v>567</v>
      </c>
      <c r="P130" s="97" t="s">
        <v>567</v>
      </c>
      <c r="Q130" s="97" t="s">
        <v>567</v>
      </c>
      <c r="R130" s="97" t="s">
        <v>567</v>
      </c>
      <c r="S130" s="97" t="s">
        <v>567</v>
      </c>
      <c r="T130" s="97" t="s">
        <v>567</v>
      </c>
      <c r="U130" s="97" t="s">
        <v>557</v>
      </c>
      <c r="V130" s="97" t="s">
        <v>557</v>
      </c>
      <c r="W130" s="97" t="s">
        <v>567</v>
      </c>
      <c r="X130" s="97" t="s">
        <v>567</v>
      </c>
      <c r="Y130" s="97" t="s">
        <v>567</v>
      </c>
      <c r="Z130" s="97" t="s">
        <v>567</v>
      </c>
      <c r="AA130" s="97" t="s">
        <v>567</v>
      </c>
      <c r="AB130" s="97" t="s">
        <v>557</v>
      </c>
      <c r="AC130" s="97" t="s">
        <v>557</v>
      </c>
      <c r="AD130" s="97" t="s">
        <v>567</v>
      </c>
      <c r="AE130" s="97" t="s">
        <v>567</v>
      </c>
      <c r="AF130" s="97" t="s">
        <v>567</v>
      </c>
      <c r="AG130" s="97" t="s">
        <v>567</v>
      </c>
      <c r="AH130" s="97" t="s">
        <v>567</v>
      </c>
      <c r="AI130" s="97" t="s">
        <v>557</v>
      </c>
      <c r="AJ130" s="97" t="s">
        <v>567</v>
      </c>
      <c r="AK130" s="97" t="s">
        <v>567</v>
      </c>
      <c r="AL130" s="97" t="s">
        <v>567</v>
      </c>
      <c r="AM130" s="97" t="s">
        <v>567</v>
      </c>
      <c r="AO130" s="116">
        <f t="shared" si="9"/>
        <v>0</v>
      </c>
      <c r="AP130" s="116">
        <f t="shared" si="10"/>
        <v>0</v>
      </c>
      <c r="AQ130" s="116">
        <f t="shared" si="10"/>
        <v>6</v>
      </c>
      <c r="AR130" s="116">
        <f t="shared" si="10"/>
        <v>0</v>
      </c>
      <c r="AS130" s="116">
        <f t="shared" si="10"/>
        <v>0</v>
      </c>
      <c r="AT130" s="116">
        <f t="shared" si="10"/>
        <v>0</v>
      </c>
      <c r="AU130" s="116">
        <f t="shared" si="10"/>
        <v>0</v>
      </c>
      <c r="AV130" s="116">
        <f t="shared" si="10"/>
        <v>0</v>
      </c>
      <c r="AW130" s="116">
        <f t="shared" si="10"/>
        <v>0</v>
      </c>
      <c r="AX130" s="116">
        <f t="shared" si="10"/>
        <v>0</v>
      </c>
      <c r="AY130" s="116">
        <f t="shared" si="10"/>
        <v>0</v>
      </c>
      <c r="AZ130" s="116">
        <f t="shared" si="10"/>
        <v>0</v>
      </c>
      <c r="BA130" s="116">
        <f t="shared" si="10"/>
        <v>24</v>
      </c>
      <c r="BB130" s="117">
        <f t="shared" si="7"/>
        <v>30</v>
      </c>
      <c r="BD130" s="137">
        <v>30</v>
      </c>
    </row>
    <row r="131" spans="1:56" ht="48.95" customHeight="1">
      <c r="B131" s="112">
        <v>123</v>
      </c>
      <c r="C131" s="113">
        <v>1012327473</v>
      </c>
      <c r="D131" s="114" t="s">
        <v>1028</v>
      </c>
      <c r="E131" s="115" t="s">
        <v>793</v>
      </c>
      <c r="F131" s="78" t="s">
        <v>506</v>
      </c>
      <c r="G131" s="124" t="s">
        <v>491</v>
      </c>
      <c r="H131" s="114" t="s">
        <v>1029</v>
      </c>
      <c r="I131" s="114" t="s">
        <v>597</v>
      </c>
      <c r="J131" s="97" t="s">
        <v>567</v>
      </c>
      <c r="K131" s="97" t="s">
        <v>567</v>
      </c>
      <c r="L131" s="97" t="s">
        <v>567</v>
      </c>
      <c r="M131" s="97" t="s">
        <v>567</v>
      </c>
      <c r="N131" s="97" t="s">
        <v>557</v>
      </c>
      <c r="O131" s="97" t="s">
        <v>567</v>
      </c>
      <c r="P131" s="97" t="s">
        <v>567</v>
      </c>
      <c r="Q131" s="97" t="s">
        <v>567</v>
      </c>
      <c r="R131" s="97" t="s">
        <v>567</v>
      </c>
      <c r="S131" s="97" t="s">
        <v>567</v>
      </c>
      <c r="T131" s="97" t="s">
        <v>567</v>
      </c>
      <c r="U131" s="97" t="s">
        <v>557</v>
      </c>
      <c r="V131" s="97" t="s">
        <v>557</v>
      </c>
      <c r="W131" s="97" t="s">
        <v>567</v>
      </c>
      <c r="X131" s="97" t="s">
        <v>567</v>
      </c>
      <c r="Y131" s="97" t="s">
        <v>567</v>
      </c>
      <c r="Z131" s="97" t="s">
        <v>567</v>
      </c>
      <c r="AA131" s="97" t="s">
        <v>567</v>
      </c>
      <c r="AB131" s="97" t="s">
        <v>557</v>
      </c>
      <c r="AC131" s="97" t="s">
        <v>557</v>
      </c>
      <c r="AD131" s="97" t="s">
        <v>567</v>
      </c>
      <c r="AE131" s="97" t="s">
        <v>567</v>
      </c>
      <c r="AF131" s="97" t="s">
        <v>567</v>
      </c>
      <c r="AG131" s="97" t="s">
        <v>567</v>
      </c>
      <c r="AH131" s="97" t="s">
        <v>567</v>
      </c>
      <c r="AI131" s="97" t="s">
        <v>557</v>
      </c>
      <c r="AJ131" s="97" t="s">
        <v>567</v>
      </c>
      <c r="AK131" s="97" t="s">
        <v>567</v>
      </c>
      <c r="AL131" s="97" t="s">
        <v>567</v>
      </c>
      <c r="AM131" s="97" t="s">
        <v>567</v>
      </c>
      <c r="AO131" s="116">
        <f t="shared" si="9"/>
        <v>0</v>
      </c>
      <c r="AP131" s="116">
        <f t="shared" si="10"/>
        <v>0</v>
      </c>
      <c r="AQ131" s="116">
        <f t="shared" si="10"/>
        <v>6</v>
      </c>
      <c r="AR131" s="116">
        <f t="shared" si="10"/>
        <v>0</v>
      </c>
      <c r="AS131" s="116">
        <f t="shared" si="10"/>
        <v>0</v>
      </c>
      <c r="AT131" s="116">
        <f t="shared" si="10"/>
        <v>0</v>
      </c>
      <c r="AU131" s="116">
        <f t="shared" si="10"/>
        <v>0</v>
      </c>
      <c r="AV131" s="116">
        <f t="shared" si="10"/>
        <v>0</v>
      </c>
      <c r="AW131" s="116">
        <f t="shared" si="10"/>
        <v>0</v>
      </c>
      <c r="AX131" s="116">
        <f t="shared" si="10"/>
        <v>0</v>
      </c>
      <c r="AY131" s="116">
        <f t="shared" si="10"/>
        <v>0</v>
      </c>
      <c r="AZ131" s="116">
        <f t="shared" si="10"/>
        <v>0</v>
      </c>
      <c r="BA131" s="116">
        <f t="shared" si="10"/>
        <v>24</v>
      </c>
      <c r="BB131" s="117">
        <f t="shared" si="7"/>
        <v>30</v>
      </c>
      <c r="BD131" s="137">
        <v>30</v>
      </c>
    </row>
    <row r="132" spans="1:56" ht="48.95" customHeight="1">
      <c r="B132" s="112">
        <v>124</v>
      </c>
      <c r="C132" s="113">
        <v>52465965</v>
      </c>
      <c r="D132" s="114" t="s">
        <v>1030</v>
      </c>
      <c r="E132" s="115" t="s">
        <v>793</v>
      </c>
      <c r="F132" s="78" t="s">
        <v>509</v>
      </c>
      <c r="G132" s="82" t="s">
        <v>483</v>
      </c>
      <c r="H132" s="114" t="s">
        <v>1031</v>
      </c>
      <c r="I132" s="114" t="s">
        <v>1032</v>
      </c>
      <c r="J132" s="97" t="s">
        <v>567</v>
      </c>
      <c r="K132" s="97" t="s">
        <v>567</v>
      </c>
      <c r="L132" s="97" t="s">
        <v>567</v>
      </c>
      <c r="M132" s="97" t="s">
        <v>567</v>
      </c>
      <c r="N132" s="97" t="s">
        <v>557</v>
      </c>
      <c r="O132" s="97" t="s">
        <v>567</v>
      </c>
      <c r="P132" s="97" t="s">
        <v>567</v>
      </c>
      <c r="Q132" s="97" t="s">
        <v>567</v>
      </c>
      <c r="R132" s="97" t="s">
        <v>567</v>
      </c>
      <c r="S132" s="97" t="s">
        <v>567</v>
      </c>
      <c r="T132" s="97" t="s">
        <v>567</v>
      </c>
      <c r="U132" s="97" t="s">
        <v>557</v>
      </c>
      <c r="V132" s="97" t="s">
        <v>557</v>
      </c>
      <c r="W132" s="97" t="s">
        <v>567</v>
      </c>
      <c r="X132" s="97" t="s">
        <v>567</v>
      </c>
      <c r="Y132" s="97" t="s">
        <v>567</v>
      </c>
      <c r="Z132" s="97" t="s">
        <v>567</v>
      </c>
      <c r="AA132" s="97" t="s">
        <v>567</v>
      </c>
      <c r="AB132" s="97" t="s">
        <v>557</v>
      </c>
      <c r="AC132" s="97" t="s">
        <v>557</v>
      </c>
      <c r="AD132" s="97" t="s">
        <v>567</v>
      </c>
      <c r="AE132" s="97" t="s">
        <v>567</v>
      </c>
      <c r="AF132" s="97" t="s">
        <v>567</v>
      </c>
      <c r="AG132" s="97" t="s">
        <v>567</v>
      </c>
      <c r="AH132" s="97" t="s">
        <v>567</v>
      </c>
      <c r="AI132" s="97" t="s">
        <v>557</v>
      </c>
      <c r="AJ132" s="97" t="s">
        <v>567</v>
      </c>
      <c r="AK132" s="97" t="s">
        <v>567</v>
      </c>
      <c r="AL132" s="97" t="s">
        <v>567</v>
      </c>
      <c r="AM132" s="97" t="s">
        <v>567</v>
      </c>
      <c r="AO132" s="116">
        <f t="shared" si="9"/>
        <v>0</v>
      </c>
      <c r="AP132" s="116">
        <f t="shared" si="10"/>
        <v>0</v>
      </c>
      <c r="AQ132" s="116">
        <f t="shared" si="10"/>
        <v>6</v>
      </c>
      <c r="AR132" s="116">
        <f t="shared" si="10"/>
        <v>0</v>
      </c>
      <c r="AS132" s="116">
        <f t="shared" si="10"/>
        <v>0</v>
      </c>
      <c r="AT132" s="116">
        <f t="shared" si="10"/>
        <v>0</v>
      </c>
      <c r="AU132" s="116">
        <f t="shared" si="10"/>
        <v>0</v>
      </c>
      <c r="AV132" s="116">
        <f t="shared" si="10"/>
        <v>0</v>
      </c>
      <c r="AW132" s="116">
        <f t="shared" si="10"/>
        <v>0</v>
      </c>
      <c r="AX132" s="116">
        <f t="shared" si="10"/>
        <v>0</v>
      </c>
      <c r="AY132" s="116">
        <f t="shared" si="10"/>
        <v>0</v>
      </c>
      <c r="AZ132" s="116">
        <f t="shared" si="10"/>
        <v>0</v>
      </c>
      <c r="BA132" s="116">
        <f t="shared" si="10"/>
        <v>24</v>
      </c>
      <c r="BB132" s="117">
        <f t="shared" si="7"/>
        <v>30</v>
      </c>
      <c r="BD132" s="137">
        <v>30</v>
      </c>
    </row>
    <row r="133" spans="1:56" ht="48.95" customHeight="1">
      <c r="B133" s="112">
        <v>125</v>
      </c>
      <c r="C133" s="113">
        <v>1032483405</v>
      </c>
      <c r="D133" s="114" t="s">
        <v>1033</v>
      </c>
      <c r="E133" s="115" t="s">
        <v>793</v>
      </c>
      <c r="F133" s="78" t="s">
        <v>506</v>
      </c>
      <c r="G133" s="124" t="s">
        <v>479</v>
      </c>
      <c r="H133" s="114" t="s">
        <v>1034</v>
      </c>
      <c r="I133" s="114" t="s">
        <v>597</v>
      </c>
      <c r="J133" s="97" t="s">
        <v>567</v>
      </c>
      <c r="K133" s="97" t="s">
        <v>567</v>
      </c>
      <c r="L133" s="97" t="s">
        <v>567</v>
      </c>
      <c r="M133" s="97" t="s">
        <v>567</v>
      </c>
      <c r="N133" s="97" t="s">
        <v>557</v>
      </c>
      <c r="O133" s="97" t="s">
        <v>567</v>
      </c>
      <c r="P133" s="97" t="s">
        <v>567</v>
      </c>
      <c r="Q133" s="97" t="s">
        <v>567</v>
      </c>
      <c r="R133" s="97" t="s">
        <v>567</v>
      </c>
      <c r="S133" s="97" t="s">
        <v>567</v>
      </c>
      <c r="T133" s="97" t="s">
        <v>567</v>
      </c>
      <c r="U133" s="97" t="s">
        <v>557</v>
      </c>
      <c r="V133" s="97" t="s">
        <v>557</v>
      </c>
      <c r="W133" s="97" t="s">
        <v>567</v>
      </c>
      <c r="X133" s="97" t="s">
        <v>567</v>
      </c>
      <c r="Y133" s="97" t="s">
        <v>567</v>
      </c>
      <c r="Z133" s="97" t="s">
        <v>567</v>
      </c>
      <c r="AA133" s="97" t="s">
        <v>567</v>
      </c>
      <c r="AB133" s="97" t="s">
        <v>557</v>
      </c>
      <c r="AC133" s="97" t="s">
        <v>557</v>
      </c>
      <c r="AD133" s="97" t="s">
        <v>567</v>
      </c>
      <c r="AE133" s="97" t="s">
        <v>567</v>
      </c>
      <c r="AF133" s="97" t="s">
        <v>567</v>
      </c>
      <c r="AG133" s="97" t="s">
        <v>567</v>
      </c>
      <c r="AH133" s="97" t="s">
        <v>567</v>
      </c>
      <c r="AI133" s="97" t="s">
        <v>557</v>
      </c>
      <c r="AJ133" s="97" t="s">
        <v>567</v>
      </c>
      <c r="AK133" s="97" t="s">
        <v>567</v>
      </c>
      <c r="AL133" s="97" t="s">
        <v>567</v>
      </c>
      <c r="AM133" s="97" t="s">
        <v>567</v>
      </c>
      <c r="AO133" s="116">
        <f t="shared" si="9"/>
        <v>0</v>
      </c>
      <c r="AP133" s="116">
        <f t="shared" si="10"/>
        <v>0</v>
      </c>
      <c r="AQ133" s="116">
        <f t="shared" si="10"/>
        <v>6</v>
      </c>
      <c r="AR133" s="116">
        <f t="shared" si="10"/>
        <v>0</v>
      </c>
      <c r="AS133" s="116">
        <f t="shared" si="10"/>
        <v>0</v>
      </c>
      <c r="AT133" s="116">
        <f t="shared" si="10"/>
        <v>0</v>
      </c>
      <c r="AU133" s="116">
        <f t="shared" si="10"/>
        <v>0</v>
      </c>
      <c r="AV133" s="116">
        <f t="shared" si="10"/>
        <v>0</v>
      </c>
      <c r="AW133" s="116">
        <f t="shared" si="10"/>
        <v>0</v>
      </c>
      <c r="AX133" s="116">
        <f t="shared" si="10"/>
        <v>0</v>
      </c>
      <c r="AY133" s="116">
        <f t="shared" si="10"/>
        <v>0</v>
      </c>
      <c r="AZ133" s="116">
        <f t="shared" si="10"/>
        <v>0</v>
      </c>
      <c r="BA133" s="116">
        <f t="shared" si="10"/>
        <v>24</v>
      </c>
      <c r="BB133" s="117">
        <f t="shared" si="7"/>
        <v>30</v>
      </c>
      <c r="BD133" s="137">
        <v>30</v>
      </c>
    </row>
    <row r="134" spans="1:56" ht="48.95" customHeight="1">
      <c r="B134" s="112">
        <v>126</v>
      </c>
      <c r="C134" s="113">
        <v>1031167749</v>
      </c>
      <c r="D134" s="114" t="s">
        <v>764</v>
      </c>
      <c r="E134" s="134" t="s">
        <v>592</v>
      </c>
      <c r="F134" s="78" t="s">
        <v>506</v>
      </c>
      <c r="G134" s="77" t="s">
        <v>482</v>
      </c>
      <c r="H134" s="114" t="s">
        <v>765</v>
      </c>
      <c r="I134" s="114" t="s">
        <v>597</v>
      </c>
      <c r="J134" s="97" t="s">
        <v>567</v>
      </c>
      <c r="K134" s="97" t="s">
        <v>567</v>
      </c>
      <c r="L134" s="97" t="s">
        <v>567</v>
      </c>
      <c r="M134" s="97" t="s">
        <v>567</v>
      </c>
      <c r="N134" s="97" t="s">
        <v>557</v>
      </c>
      <c r="O134" s="97" t="s">
        <v>567</v>
      </c>
      <c r="P134" s="97" t="s">
        <v>567</v>
      </c>
      <c r="Q134" s="97" t="s">
        <v>567</v>
      </c>
      <c r="R134" s="97" t="s">
        <v>567</v>
      </c>
      <c r="S134" s="97" t="s">
        <v>567</v>
      </c>
      <c r="T134" s="97" t="s">
        <v>567</v>
      </c>
      <c r="U134" s="97" t="s">
        <v>557</v>
      </c>
      <c r="V134" s="97" t="s">
        <v>557</v>
      </c>
      <c r="W134" s="97" t="s">
        <v>567</v>
      </c>
      <c r="X134" s="97" t="s">
        <v>567</v>
      </c>
      <c r="Y134" s="97" t="s">
        <v>567</v>
      </c>
      <c r="Z134" s="97" t="s">
        <v>567</v>
      </c>
      <c r="AA134" s="97" t="s">
        <v>567</v>
      </c>
      <c r="AB134" s="97" t="s">
        <v>557</v>
      </c>
      <c r="AC134" s="97" t="s">
        <v>557</v>
      </c>
      <c r="AD134" s="97" t="s">
        <v>567</v>
      </c>
      <c r="AE134" s="97" t="s">
        <v>567</v>
      </c>
      <c r="AF134" s="97" t="s">
        <v>567</v>
      </c>
      <c r="AG134" s="97" t="s">
        <v>567</v>
      </c>
      <c r="AH134" s="97" t="s">
        <v>567</v>
      </c>
      <c r="AI134" s="97" t="s">
        <v>557</v>
      </c>
      <c r="AJ134" s="97" t="s">
        <v>567</v>
      </c>
      <c r="AK134" s="97" t="s">
        <v>567</v>
      </c>
      <c r="AL134" s="97" t="s">
        <v>567</v>
      </c>
      <c r="AM134" s="97" t="s">
        <v>567</v>
      </c>
      <c r="AO134" s="116">
        <f t="shared" si="9"/>
        <v>0</v>
      </c>
      <c r="AP134" s="116">
        <f t="shared" si="10"/>
        <v>0</v>
      </c>
      <c r="AQ134" s="116">
        <f t="shared" si="10"/>
        <v>6</v>
      </c>
      <c r="AR134" s="116">
        <f t="shared" si="10"/>
        <v>0</v>
      </c>
      <c r="AS134" s="116">
        <f t="shared" si="10"/>
        <v>0</v>
      </c>
      <c r="AT134" s="116">
        <f t="shared" si="10"/>
        <v>0</v>
      </c>
      <c r="AU134" s="116">
        <f t="shared" si="10"/>
        <v>0</v>
      </c>
      <c r="AV134" s="116">
        <f t="shared" si="10"/>
        <v>0</v>
      </c>
      <c r="AW134" s="116">
        <f t="shared" si="10"/>
        <v>0</v>
      </c>
      <c r="AX134" s="116">
        <f t="shared" si="10"/>
        <v>0</v>
      </c>
      <c r="AY134" s="116">
        <f t="shared" si="10"/>
        <v>0</v>
      </c>
      <c r="AZ134" s="116">
        <f t="shared" si="10"/>
        <v>0</v>
      </c>
      <c r="BA134" s="116">
        <f t="shared" si="10"/>
        <v>24</v>
      </c>
      <c r="BB134" s="117">
        <f t="shared" si="7"/>
        <v>30</v>
      </c>
      <c r="BD134" s="137">
        <v>30</v>
      </c>
    </row>
    <row r="135" spans="1:56" ht="48.95" customHeight="1">
      <c r="B135" s="112">
        <v>127</v>
      </c>
      <c r="C135" s="113">
        <v>53048357</v>
      </c>
      <c r="D135" s="114" t="s">
        <v>1035</v>
      </c>
      <c r="E135" s="134" t="s">
        <v>592</v>
      </c>
      <c r="F135" s="78" t="s">
        <v>506</v>
      </c>
      <c r="G135" s="77" t="s">
        <v>482</v>
      </c>
      <c r="H135" s="114" t="s">
        <v>1036</v>
      </c>
      <c r="I135" s="114" t="s">
        <v>597</v>
      </c>
      <c r="J135" s="97" t="s">
        <v>567</v>
      </c>
      <c r="K135" s="97" t="s">
        <v>567</v>
      </c>
      <c r="L135" s="97" t="s">
        <v>567</v>
      </c>
      <c r="M135" s="97" t="s">
        <v>567</v>
      </c>
      <c r="N135" s="97" t="s">
        <v>557</v>
      </c>
      <c r="O135" s="97" t="s">
        <v>567</v>
      </c>
      <c r="P135" s="97" t="s">
        <v>567</v>
      </c>
      <c r="Q135" s="97" t="s">
        <v>567</v>
      </c>
      <c r="R135" s="97" t="s">
        <v>567</v>
      </c>
      <c r="S135" s="97" t="s">
        <v>567</v>
      </c>
      <c r="T135" s="97" t="s">
        <v>567</v>
      </c>
      <c r="U135" s="97" t="s">
        <v>557</v>
      </c>
      <c r="V135" s="97" t="s">
        <v>557</v>
      </c>
      <c r="W135" s="97" t="s">
        <v>567</v>
      </c>
      <c r="X135" s="97" t="s">
        <v>567</v>
      </c>
      <c r="Y135" s="97" t="s">
        <v>567</v>
      </c>
      <c r="Z135" s="97" t="s">
        <v>567</v>
      </c>
      <c r="AA135" s="97" t="s">
        <v>567</v>
      </c>
      <c r="AB135" s="97" t="s">
        <v>557</v>
      </c>
      <c r="AC135" s="97" t="s">
        <v>557</v>
      </c>
      <c r="AD135" s="97" t="s">
        <v>567</v>
      </c>
      <c r="AE135" s="97" t="s">
        <v>567</v>
      </c>
      <c r="AF135" s="97" t="s">
        <v>567</v>
      </c>
      <c r="AG135" s="97" t="s">
        <v>567</v>
      </c>
      <c r="AH135" s="97" t="s">
        <v>567</v>
      </c>
      <c r="AI135" s="97" t="s">
        <v>557</v>
      </c>
      <c r="AJ135" s="97" t="s">
        <v>567</v>
      </c>
      <c r="AK135" s="97" t="s">
        <v>567</v>
      </c>
      <c r="AL135" s="97" t="s">
        <v>567</v>
      </c>
      <c r="AM135" s="97" t="s">
        <v>567</v>
      </c>
      <c r="AO135" s="116">
        <f t="shared" si="9"/>
        <v>0</v>
      </c>
      <c r="AP135" s="116">
        <f t="shared" si="10"/>
        <v>0</v>
      </c>
      <c r="AQ135" s="116">
        <f t="shared" si="10"/>
        <v>6</v>
      </c>
      <c r="AR135" s="116">
        <f t="shared" si="10"/>
        <v>0</v>
      </c>
      <c r="AS135" s="116">
        <f t="shared" si="10"/>
        <v>0</v>
      </c>
      <c r="AT135" s="116">
        <f t="shared" si="10"/>
        <v>0</v>
      </c>
      <c r="AU135" s="116">
        <f t="shared" si="10"/>
        <v>0</v>
      </c>
      <c r="AV135" s="116">
        <f t="shared" si="10"/>
        <v>0</v>
      </c>
      <c r="AW135" s="116">
        <f t="shared" si="10"/>
        <v>0</v>
      </c>
      <c r="AX135" s="116">
        <f t="shared" si="10"/>
        <v>0</v>
      </c>
      <c r="AY135" s="116">
        <f t="shared" si="10"/>
        <v>0</v>
      </c>
      <c r="AZ135" s="116">
        <f t="shared" si="10"/>
        <v>0</v>
      </c>
      <c r="BA135" s="116">
        <f t="shared" si="10"/>
        <v>24</v>
      </c>
      <c r="BB135" s="117">
        <f t="shared" si="7"/>
        <v>30</v>
      </c>
      <c r="BD135" s="137">
        <v>30</v>
      </c>
    </row>
    <row r="136" spans="1:56" ht="48.95" customHeight="1">
      <c r="B136" s="112">
        <v>128</v>
      </c>
      <c r="C136" s="113">
        <v>52122597</v>
      </c>
      <c r="D136" s="114" t="s">
        <v>1037</v>
      </c>
      <c r="E136" s="134" t="s">
        <v>592</v>
      </c>
      <c r="F136" s="78" t="s">
        <v>506</v>
      </c>
      <c r="G136" s="77" t="s">
        <v>482</v>
      </c>
      <c r="H136" s="114" t="s">
        <v>1038</v>
      </c>
      <c r="I136" s="114" t="s">
        <v>597</v>
      </c>
      <c r="J136" s="97" t="s">
        <v>567</v>
      </c>
      <c r="K136" s="97" t="s">
        <v>567</v>
      </c>
      <c r="L136" s="97" t="s">
        <v>567</v>
      </c>
      <c r="M136" s="97" t="s">
        <v>567</v>
      </c>
      <c r="N136" s="97" t="s">
        <v>557</v>
      </c>
      <c r="O136" s="97" t="s">
        <v>567</v>
      </c>
      <c r="P136" s="97" t="s">
        <v>567</v>
      </c>
      <c r="Q136" s="97" t="s">
        <v>567</v>
      </c>
      <c r="R136" s="97" t="s">
        <v>567</v>
      </c>
      <c r="S136" s="97" t="s">
        <v>567</v>
      </c>
      <c r="T136" s="97" t="s">
        <v>567</v>
      </c>
      <c r="U136" s="97" t="s">
        <v>557</v>
      </c>
      <c r="V136" s="97" t="s">
        <v>557</v>
      </c>
      <c r="W136" s="97" t="s">
        <v>567</v>
      </c>
      <c r="X136" s="97" t="s">
        <v>567</v>
      </c>
      <c r="Y136" s="97" t="s">
        <v>567</v>
      </c>
      <c r="Z136" s="97" t="s">
        <v>567</v>
      </c>
      <c r="AA136" s="97" t="s">
        <v>567</v>
      </c>
      <c r="AB136" s="97" t="s">
        <v>557</v>
      </c>
      <c r="AC136" s="97" t="s">
        <v>557</v>
      </c>
      <c r="AD136" s="97" t="s">
        <v>567</v>
      </c>
      <c r="AE136" s="97" t="s">
        <v>567</v>
      </c>
      <c r="AF136" s="97" t="s">
        <v>567</v>
      </c>
      <c r="AG136" s="97" t="s">
        <v>567</v>
      </c>
      <c r="AH136" s="97" t="s">
        <v>567</v>
      </c>
      <c r="AI136" s="97" t="s">
        <v>557</v>
      </c>
      <c r="AJ136" s="97" t="s">
        <v>567</v>
      </c>
      <c r="AK136" s="97" t="s">
        <v>567</v>
      </c>
      <c r="AL136" s="97" t="s">
        <v>567</v>
      </c>
      <c r="AM136" s="97" t="s">
        <v>567</v>
      </c>
      <c r="AO136" s="116">
        <f t="shared" si="9"/>
        <v>0</v>
      </c>
      <c r="AP136" s="116">
        <f t="shared" si="10"/>
        <v>0</v>
      </c>
      <c r="AQ136" s="116">
        <f t="shared" si="10"/>
        <v>6</v>
      </c>
      <c r="AR136" s="116">
        <f t="shared" si="10"/>
        <v>0</v>
      </c>
      <c r="AS136" s="116">
        <f t="shared" si="10"/>
        <v>0</v>
      </c>
      <c r="AT136" s="116">
        <f t="shared" si="10"/>
        <v>0</v>
      </c>
      <c r="AU136" s="116">
        <f t="shared" si="10"/>
        <v>0</v>
      </c>
      <c r="AV136" s="116">
        <f t="shared" si="10"/>
        <v>0</v>
      </c>
      <c r="AW136" s="116">
        <f t="shared" si="10"/>
        <v>0</v>
      </c>
      <c r="AX136" s="116">
        <f t="shared" si="10"/>
        <v>0</v>
      </c>
      <c r="AY136" s="116">
        <f t="shared" si="10"/>
        <v>0</v>
      </c>
      <c r="AZ136" s="116">
        <f t="shared" si="10"/>
        <v>0</v>
      </c>
      <c r="BA136" s="116">
        <f t="shared" si="10"/>
        <v>24</v>
      </c>
      <c r="BB136" s="117">
        <f t="shared" si="7"/>
        <v>30</v>
      </c>
      <c r="BD136" s="137">
        <v>30</v>
      </c>
    </row>
    <row r="137" spans="1:56" ht="48.95" customHeight="1">
      <c r="B137" s="112">
        <v>129</v>
      </c>
      <c r="C137" s="113">
        <v>1023891887</v>
      </c>
      <c r="D137" s="114" t="s">
        <v>1039</v>
      </c>
      <c r="E137" s="134" t="s">
        <v>592</v>
      </c>
      <c r="F137" s="78" t="s">
        <v>506</v>
      </c>
      <c r="G137" s="77" t="s">
        <v>482</v>
      </c>
      <c r="H137" s="114" t="s">
        <v>1040</v>
      </c>
      <c r="I137" s="114" t="s">
        <v>597</v>
      </c>
      <c r="J137" s="97" t="s">
        <v>567</v>
      </c>
      <c r="K137" s="97" t="s">
        <v>567</v>
      </c>
      <c r="L137" s="97" t="s">
        <v>567</v>
      </c>
      <c r="M137" s="97" t="s">
        <v>567</v>
      </c>
      <c r="N137" s="97" t="s">
        <v>557</v>
      </c>
      <c r="O137" s="97" t="s">
        <v>567</v>
      </c>
      <c r="P137" s="97" t="s">
        <v>567</v>
      </c>
      <c r="Q137" s="97" t="s">
        <v>567</v>
      </c>
      <c r="R137" s="97" t="s">
        <v>567</v>
      </c>
      <c r="S137" s="97" t="s">
        <v>567</v>
      </c>
      <c r="T137" s="97" t="s">
        <v>567</v>
      </c>
      <c r="U137" s="97" t="s">
        <v>557</v>
      </c>
      <c r="V137" s="97" t="s">
        <v>557</v>
      </c>
      <c r="W137" s="97" t="s">
        <v>567</v>
      </c>
      <c r="X137" s="97" t="s">
        <v>567</v>
      </c>
      <c r="Y137" s="97" t="s">
        <v>567</v>
      </c>
      <c r="Z137" s="97" t="s">
        <v>567</v>
      </c>
      <c r="AA137" s="97" t="s">
        <v>567</v>
      </c>
      <c r="AB137" s="97" t="s">
        <v>557</v>
      </c>
      <c r="AC137" s="97" t="s">
        <v>557</v>
      </c>
      <c r="AD137" s="97" t="s">
        <v>567</v>
      </c>
      <c r="AE137" s="97" t="s">
        <v>567</v>
      </c>
      <c r="AF137" s="97" t="s">
        <v>567</v>
      </c>
      <c r="AG137" s="97" t="s">
        <v>567</v>
      </c>
      <c r="AH137" s="97" t="s">
        <v>567</v>
      </c>
      <c r="AI137" s="97" t="s">
        <v>557</v>
      </c>
      <c r="AJ137" s="97" t="s">
        <v>567</v>
      </c>
      <c r="AK137" s="97" t="s">
        <v>567</v>
      </c>
      <c r="AL137" s="97" t="s">
        <v>567</v>
      </c>
      <c r="AM137" s="97" t="s">
        <v>567</v>
      </c>
      <c r="AO137" s="116">
        <f t="shared" si="9"/>
        <v>0</v>
      </c>
      <c r="AP137" s="116">
        <f t="shared" si="10"/>
        <v>0</v>
      </c>
      <c r="AQ137" s="116">
        <f t="shared" si="10"/>
        <v>6</v>
      </c>
      <c r="AR137" s="116">
        <f t="shared" si="10"/>
        <v>0</v>
      </c>
      <c r="AS137" s="116">
        <f t="shared" si="10"/>
        <v>0</v>
      </c>
      <c r="AT137" s="116">
        <f t="shared" si="10"/>
        <v>0</v>
      </c>
      <c r="AU137" s="116">
        <f t="shared" si="10"/>
        <v>0</v>
      </c>
      <c r="AV137" s="116">
        <f t="shared" si="10"/>
        <v>0</v>
      </c>
      <c r="AW137" s="116">
        <f t="shared" si="10"/>
        <v>0</v>
      </c>
      <c r="AX137" s="116">
        <f t="shared" si="10"/>
        <v>0</v>
      </c>
      <c r="AY137" s="116">
        <f t="shared" si="10"/>
        <v>0</v>
      </c>
      <c r="AZ137" s="116">
        <f t="shared" si="10"/>
        <v>0</v>
      </c>
      <c r="BA137" s="116">
        <f t="shared" si="10"/>
        <v>24</v>
      </c>
      <c r="BB137" s="117">
        <f t="shared" si="7"/>
        <v>30</v>
      </c>
      <c r="BD137" s="137">
        <v>30</v>
      </c>
    </row>
    <row r="138" spans="1:56" ht="48.95" customHeight="1">
      <c r="B138" s="112">
        <v>130</v>
      </c>
      <c r="C138" s="113">
        <v>1087206496</v>
      </c>
      <c r="D138" s="114" t="s">
        <v>1041</v>
      </c>
      <c r="E138" s="134" t="s">
        <v>592</v>
      </c>
      <c r="F138" s="78" t="s">
        <v>506</v>
      </c>
      <c r="G138" s="77" t="s">
        <v>482</v>
      </c>
      <c r="H138" s="114" t="s">
        <v>1042</v>
      </c>
      <c r="I138" s="114" t="s">
        <v>1043</v>
      </c>
      <c r="J138" s="97" t="s">
        <v>567</v>
      </c>
      <c r="K138" s="97" t="s">
        <v>567</v>
      </c>
      <c r="L138" s="97" t="s">
        <v>567</v>
      </c>
      <c r="M138" s="97" t="s">
        <v>567</v>
      </c>
      <c r="N138" s="97" t="s">
        <v>557</v>
      </c>
      <c r="O138" s="97" t="s">
        <v>567</v>
      </c>
      <c r="P138" s="97" t="s">
        <v>567</v>
      </c>
      <c r="Q138" s="97" t="s">
        <v>567</v>
      </c>
      <c r="R138" s="97" t="s">
        <v>567</v>
      </c>
      <c r="S138" s="97" t="s">
        <v>567</v>
      </c>
      <c r="T138" s="97" t="s">
        <v>567</v>
      </c>
      <c r="U138" s="97" t="s">
        <v>557</v>
      </c>
      <c r="V138" s="97" t="s">
        <v>557</v>
      </c>
      <c r="W138" s="97" t="s">
        <v>567</v>
      </c>
      <c r="X138" s="97" t="s">
        <v>567</v>
      </c>
      <c r="Y138" s="97" t="s">
        <v>567</v>
      </c>
      <c r="Z138" s="97" t="s">
        <v>567</v>
      </c>
      <c r="AA138" s="97" t="s">
        <v>567</v>
      </c>
      <c r="AB138" s="97" t="s">
        <v>557</v>
      </c>
      <c r="AC138" s="97" t="s">
        <v>557</v>
      </c>
      <c r="AD138" s="97" t="s">
        <v>567</v>
      </c>
      <c r="AE138" s="97" t="s">
        <v>567</v>
      </c>
      <c r="AF138" s="97" t="s">
        <v>567</v>
      </c>
      <c r="AG138" s="97" t="s">
        <v>567</v>
      </c>
      <c r="AH138" s="97" t="s">
        <v>567</v>
      </c>
      <c r="AI138" s="97" t="s">
        <v>557</v>
      </c>
      <c r="AJ138" s="97" t="s">
        <v>567</v>
      </c>
      <c r="AK138" s="97" t="s">
        <v>567</v>
      </c>
      <c r="AL138" s="97" t="s">
        <v>567</v>
      </c>
      <c r="AM138" s="97" t="s">
        <v>567</v>
      </c>
      <c r="AO138" s="116">
        <f t="shared" si="9"/>
        <v>0</v>
      </c>
      <c r="AP138" s="116">
        <f t="shared" si="10"/>
        <v>0</v>
      </c>
      <c r="AQ138" s="116">
        <f t="shared" si="10"/>
        <v>6</v>
      </c>
      <c r="AR138" s="116">
        <f t="shared" si="10"/>
        <v>0</v>
      </c>
      <c r="AS138" s="116">
        <f t="shared" si="10"/>
        <v>0</v>
      </c>
      <c r="AT138" s="116">
        <f t="shared" si="10"/>
        <v>0</v>
      </c>
      <c r="AU138" s="116">
        <f t="shared" si="10"/>
        <v>0</v>
      </c>
      <c r="AV138" s="116">
        <f t="shared" si="10"/>
        <v>0</v>
      </c>
      <c r="AW138" s="116">
        <f t="shared" si="10"/>
        <v>0</v>
      </c>
      <c r="AX138" s="116">
        <f t="shared" si="10"/>
        <v>0</v>
      </c>
      <c r="AY138" s="116">
        <f t="shared" si="10"/>
        <v>0</v>
      </c>
      <c r="AZ138" s="116">
        <f t="shared" si="10"/>
        <v>0</v>
      </c>
      <c r="BA138" s="116">
        <f t="shared" si="10"/>
        <v>24</v>
      </c>
      <c r="BB138" s="117">
        <f t="shared" ref="BB138:BB201" si="11">+BA138+AQ138</f>
        <v>30</v>
      </c>
      <c r="BD138" s="137">
        <v>30</v>
      </c>
    </row>
    <row r="139" spans="1:56" ht="48.95" customHeight="1">
      <c r="B139" s="112">
        <v>131</v>
      </c>
      <c r="C139" s="113">
        <v>1023950293</v>
      </c>
      <c r="D139" s="114" t="s">
        <v>1044</v>
      </c>
      <c r="E139" s="134" t="s">
        <v>592</v>
      </c>
      <c r="F139" s="78" t="s">
        <v>507</v>
      </c>
      <c r="G139" s="82" t="s">
        <v>482</v>
      </c>
      <c r="H139" s="114" t="s">
        <v>1045</v>
      </c>
      <c r="I139" s="114" t="s">
        <v>597</v>
      </c>
      <c r="J139" s="97" t="s">
        <v>567</v>
      </c>
      <c r="K139" s="97" t="s">
        <v>567</v>
      </c>
      <c r="L139" s="97" t="s">
        <v>567</v>
      </c>
      <c r="M139" s="97" t="s">
        <v>567</v>
      </c>
      <c r="N139" s="97" t="s">
        <v>557</v>
      </c>
      <c r="O139" s="97" t="s">
        <v>567</v>
      </c>
      <c r="P139" s="97" t="s">
        <v>567</v>
      </c>
      <c r="Q139" s="97" t="s">
        <v>567</v>
      </c>
      <c r="R139" s="97" t="s">
        <v>567</v>
      </c>
      <c r="S139" s="97" t="s">
        <v>567</v>
      </c>
      <c r="T139" s="97" t="s">
        <v>567</v>
      </c>
      <c r="U139" s="97" t="s">
        <v>557</v>
      </c>
      <c r="V139" s="97" t="s">
        <v>557</v>
      </c>
      <c r="W139" s="97" t="s">
        <v>567</v>
      </c>
      <c r="X139" s="97" t="s">
        <v>567</v>
      </c>
      <c r="Y139" s="97" t="s">
        <v>567</v>
      </c>
      <c r="Z139" s="97" t="s">
        <v>567</v>
      </c>
      <c r="AA139" s="97" t="s">
        <v>567</v>
      </c>
      <c r="AB139" s="97" t="s">
        <v>557</v>
      </c>
      <c r="AC139" s="97" t="s">
        <v>557</v>
      </c>
      <c r="AD139" s="97" t="s">
        <v>567</v>
      </c>
      <c r="AE139" s="97" t="s">
        <v>567</v>
      </c>
      <c r="AF139" s="97" t="s">
        <v>567</v>
      </c>
      <c r="AG139" s="97" t="s">
        <v>567</v>
      </c>
      <c r="AH139" s="97" t="s">
        <v>567</v>
      </c>
      <c r="AI139" s="97" t="s">
        <v>557</v>
      </c>
      <c r="AJ139" s="97" t="s">
        <v>567</v>
      </c>
      <c r="AK139" s="97" t="s">
        <v>567</v>
      </c>
      <c r="AL139" s="97" t="s">
        <v>567</v>
      </c>
      <c r="AM139" s="97" t="s">
        <v>567</v>
      </c>
      <c r="AO139" s="116">
        <f t="shared" si="9"/>
        <v>0</v>
      </c>
      <c r="AP139" s="116">
        <f t="shared" si="10"/>
        <v>0</v>
      </c>
      <c r="AQ139" s="116">
        <f t="shared" si="10"/>
        <v>6</v>
      </c>
      <c r="AR139" s="116">
        <f t="shared" si="10"/>
        <v>0</v>
      </c>
      <c r="AS139" s="116">
        <f t="shared" si="10"/>
        <v>0</v>
      </c>
      <c r="AT139" s="116">
        <f t="shared" si="10"/>
        <v>0</v>
      </c>
      <c r="AU139" s="116">
        <f t="shared" si="10"/>
        <v>0</v>
      </c>
      <c r="AV139" s="116">
        <f t="shared" si="10"/>
        <v>0</v>
      </c>
      <c r="AW139" s="116">
        <f t="shared" si="10"/>
        <v>0</v>
      </c>
      <c r="AX139" s="116">
        <f t="shared" si="10"/>
        <v>0</v>
      </c>
      <c r="AY139" s="116">
        <f t="shared" si="10"/>
        <v>0</v>
      </c>
      <c r="AZ139" s="116">
        <f t="shared" si="10"/>
        <v>0</v>
      </c>
      <c r="BA139" s="116">
        <f t="shared" si="10"/>
        <v>24</v>
      </c>
      <c r="BB139" s="117">
        <f t="shared" si="11"/>
        <v>30</v>
      </c>
      <c r="BD139" s="137">
        <v>30</v>
      </c>
    </row>
    <row r="140" spans="1:56" ht="48.95" customHeight="1">
      <c r="B140" s="112">
        <v>132</v>
      </c>
      <c r="C140" s="113">
        <v>39799657</v>
      </c>
      <c r="D140" s="114" t="s">
        <v>1046</v>
      </c>
      <c r="E140" s="134" t="s">
        <v>592</v>
      </c>
      <c r="F140" s="78" t="s">
        <v>506</v>
      </c>
      <c r="G140" s="77" t="s">
        <v>482</v>
      </c>
      <c r="H140" s="114" t="s">
        <v>1047</v>
      </c>
      <c r="I140" s="114" t="s">
        <v>597</v>
      </c>
      <c r="J140" s="97" t="s">
        <v>567</v>
      </c>
      <c r="K140" s="97" t="s">
        <v>567</v>
      </c>
      <c r="L140" s="97" t="s">
        <v>567</v>
      </c>
      <c r="M140" s="97" t="s">
        <v>567</v>
      </c>
      <c r="N140" s="97" t="s">
        <v>557</v>
      </c>
      <c r="O140" s="97" t="s">
        <v>567</v>
      </c>
      <c r="P140" s="97" t="s">
        <v>567</v>
      </c>
      <c r="Q140" s="97" t="s">
        <v>567</v>
      </c>
      <c r="R140" s="97" t="s">
        <v>567</v>
      </c>
      <c r="S140" s="97" t="s">
        <v>567</v>
      </c>
      <c r="T140" s="97" t="s">
        <v>567</v>
      </c>
      <c r="U140" s="97" t="s">
        <v>557</v>
      </c>
      <c r="V140" s="97" t="s">
        <v>557</v>
      </c>
      <c r="W140" s="97" t="s">
        <v>567</v>
      </c>
      <c r="X140" s="97" t="s">
        <v>567</v>
      </c>
      <c r="Y140" s="97" t="s">
        <v>567</v>
      </c>
      <c r="Z140" s="97" t="s">
        <v>567</v>
      </c>
      <c r="AA140" s="97" t="s">
        <v>567</v>
      </c>
      <c r="AB140" s="97" t="s">
        <v>557</v>
      </c>
      <c r="AC140" s="97" t="s">
        <v>557</v>
      </c>
      <c r="AD140" s="97" t="s">
        <v>567</v>
      </c>
      <c r="AE140" s="97" t="s">
        <v>567</v>
      </c>
      <c r="AF140" s="97" t="s">
        <v>567</v>
      </c>
      <c r="AG140" s="97" t="s">
        <v>567</v>
      </c>
      <c r="AH140" s="97" t="s">
        <v>567</v>
      </c>
      <c r="AI140" s="97" t="s">
        <v>557</v>
      </c>
      <c r="AJ140" s="97" t="s">
        <v>567</v>
      </c>
      <c r="AK140" s="97" t="s">
        <v>567</v>
      </c>
      <c r="AL140" s="97" t="s">
        <v>567</v>
      </c>
      <c r="AM140" s="97" t="s">
        <v>567</v>
      </c>
      <c r="AO140" s="116">
        <f t="shared" si="9"/>
        <v>0</v>
      </c>
      <c r="AP140" s="116">
        <f t="shared" si="10"/>
        <v>0</v>
      </c>
      <c r="AQ140" s="116">
        <f t="shared" si="10"/>
        <v>6</v>
      </c>
      <c r="AR140" s="116">
        <f t="shared" si="10"/>
        <v>0</v>
      </c>
      <c r="AS140" s="116">
        <f t="shared" si="10"/>
        <v>0</v>
      </c>
      <c r="AT140" s="116">
        <f t="shared" si="10"/>
        <v>0</v>
      </c>
      <c r="AU140" s="116">
        <f t="shared" si="10"/>
        <v>0</v>
      </c>
      <c r="AV140" s="116">
        <f t="shared" si="10"/>
        <v>0</v>
      </c>
      <c r="AW140" s="116">
        <f t="shared" si="10"/>
        <v>0</v>
      </c>
      <c r="AX140" s="116">
        <f t="shared" ref="AP140:BA161" si="12">COUNTIF($J140:$AM140,AX$7)</f>
        <v>0</v>
      </c>
      <c r="AY140" s="116">
        <f t="shared" si="12"/>
        <v>0</v>
      </c>
      <c r="AZ140" s="116">
        <f t="shared" si="12"/>
        <v>0</v>
      </c>
      <c r="BA140" s="116">
        <f t="shared" si="12"/>
        <v>24</v>
      </c>
      <c r="BB140" s="117">
        <f t="shared" si="11"/>
        <v>30</v>
      </c>
      <c r="BD140" s="137">
        <v>30</v>
      </c>
    </row>
    <row r="141" spans="1:56" ht="48.95" customHeight="1">
      <c r="B141" s="112">
        <v>133</v>
      </c>
      <c r="C141" s="113">
        <v>1023943429</v>
      </c>
      <c r="D141" s="114" t="s">
        <v>1048</v>
      </c>
      <c r="E141" s="134" t="s">
        <v>592</v>
      </c>
      <c r="F141" s="78" t="s">
        <v>507</v>
      </c>
      <c r="G141" s="82" t="s">
        <v>482</v>
      </c>
      <c r="H141" s="114" t="s">
        <v>1049</v>
      </c>
      <c r="I141" s="114" t="s">
        <v>1012</v>
      </c>
      <c r="J141" s="97" t="s">
        <v>567</v>
      </c>
      <c r="K141" s="97" t="s">
        <v>567</v>
      </c>
      <c r="L141" s="97" t="s">
        <v>567</v>
      </c>
      <c r="M141" s="97" t="s">
        <v>567</v>
      </c>
      <c r="N141" s="97" t="s">
        <v>557</v>
      </c>
      <c r="O141" s="97" t="s">
        <v>567</v>
      </c>
      <c r="P141" s="97" t="s">
        <v>567</v>
      </c>
      <c r="Q141" s="97" t="s">
        <v>567</v>
      </c>
      <c r="R141" s="97" t="s">
        <v>567</v>
      </c>
      <c r="S141" s="97" t="s">
        <v>567</v>
      </c>
      <c r="T141" s="97" t="s">
        <v>567</v>
      </c>
      <c r="U141" s="97" t="s">
        <v>557</v>
      </c>
      <c r="V141" s="97" t="s">
        <v>557</v>
      </c>
      <c r="W141" s="97" t="s">
        <v>567</v>
      </c>
      <c r="X141" s="97" t="s">
        <v>567</v>
      </c>
      <c r="Y141" s="97" t="s">
        <v>567</v>
      </c>
      <c r="Z141" s="97" t="s">
        <v>567</v>
      </c>
      <c r="AA141" s="97" t="s">
        <v>567</v>
      </c>
      <c r="AB141" s="97" t="s">
        <v>557</v>
      </c>
      <c r="AC141" s="97" t="s">
        <v>557</v>
      </c>
      <c r="AD141" s="97" t="s">
        <v>567</v>
      </c>
      <c r="AE141" s="97" t="s">
        <v>567</v>
      </c>
      <c r="AF141" s="97" t="s">
        <v>567</v>
      </c>
      <c r="AG141" s="97" t="s">
        <v>567</v>
      </c>
      <c r="AH141" s="97" t="s">
        <v>567</v>
      </c>
      <c r="AI141" s="97" t="s">
        <v>557</v>
      </c>
      <c r="AJ141" s="97" t="s">
        <v>567</v>
      </c>
      <c r="AK141" s="97" t="s">
        <v>567</v>
      </c>
      <c r="AL141" s="97" t="s">
        <v>567</v>
      </c>
      <c r="AM141" s="97" t="s">
        <v>567</v>
      </c>
      <c r="AO141" s="116">
        <f t="shared" si="9"/>
        <v>0</v>
      </c>
      <c r="AP141" s="116">
        <f t="shared" si="12"/>
        <v>0</v>
      </c>
      <c r="AQ141" s="116">
        <f t="shared" si="12"/>
        <v>6</v>
      </c>
      <c r="AR141" s="116">
        <f t="shared" si="12"/>
        <v>0</v>
      </c>
      <c r="AS141" s="116">
        <f t="shared" si="12"/>
        <v>0</v>
      </c>
      <c r="AT141" s="116">
        <f t="shared" si="12"/>
        <v>0</v>
      </c>
      <c r="AU141" s="116">
        <f t="shared" si="12"/>
        <v>0</v>
      </c>
      <c r="AV141" s="116">
        <f t="shared" si="12"/>
        <v>0</v>
      </c>
      <c r="AW141" s="116">
        <f t="shared" si="12"/>
        <v>0</v>
      </c>
      <c r="AX141" s="116">
        <f t="shared" si="12"/>
        <v>0</v>
      </c>
      <c r="AY141" s="116">
        <f t="shared" si="12"/>
        <v>0</v>
      </c>
      <c r="AZ141" s="116">
        <f t="shared" si="12"/>
        <v>0</v>
      </c>
      <c r="BA141" s="116">
        <f t="shared" si="12"/>
        <v>24</v>
      </c>
      <c r="BB141" s="117">
        <f t="shared" si="11"/>
        <v>30</v>
      </c>
      <c r="BD141" s="137">
        <v>30</v>
      </c>
    </row>
    <row r="142" spans="1:56" ht="48.95" customHeight="1">
      <c r="B142" s="112">
        <v>134</v>
      </c>
      <c r="C142" s="113">
        <v>52239435</v>
      </c>
      <c r="D142" s="114" t="s">
        <v>1050</v>
      </c>
      <c r="E142" s="134" t="s">
        <v>592</v>
      </c>
      <c r="F142" s="78" t="s">
        <v>506</v>
      </c>
      <c r="G142" s="77" t="s">
        <v>495</v>
      </c>
      <c r="H142" s="114" t="s">
        <v>1051</v>
      </c>
      <c r="I142" s="114" t="s">
        <v>597</v>
      </c>
      <c r="J142" s="97" t="s">
        <v>567</v>
      </c>
      <c r="K142" s="97" t="s">
        <v>567</v>
      </c>
      <c r="L142" s="97" t="s">
        <v>567</v>
      </c>
      <c r="M142" s="97" t="s">
        <v>567</v>
      </c>
      <c r="N142" s="97" t="s">
        <v>557</v>
      </c>
      <c r="O142" s="97" t="s">
        <v>567</v>
      </c>
      <c r="P142" s="97" t="s">
        <v>567</v>
      </c>
      <c r="Q142" s="97" t="s">
        <v>567</v>
      </c>
      <c r="R142" s="97" t="s">
        <v>567</v>
      </c>
      <c r="S142" s="97" t="s">
        <v>563</v>
      </c>
      <c r="T142" s="97" t="s">
        <v>563</v>
      </c>
      <c r="U142" s="97" t="s">
        <v>563</v>
      </c>
      <c r="V142" s="97" t="s">
        <v>563</v>
      </c>
      <c r="W142" s="97" t="s">
        <v>563</v>
      </c>
      <c r="X142" s="97" t="s">
        <v>563</v>
      </c>
      <c r="Y142" s="97" t="s">
        <v>563</v>
      </c>
      <c r="Z142" s="97" t="s">
        <v>563</v>
      </c>
      <c r="AA142" s="97" t="s">
        <v>563</v>
      </c>
      <c r="AB142" s="97" t="s">
        <v>563</v>
      </c>
      <c r="AC142" s="97" t="s">
        <v>563</v>
      </c>
      <c r="AD142" s="97" t="s">
        <v>563</v>
      </c>
      <c r="AE142" s="97" t="s">
        <v>563</v>
      </c>
      <c r="AF142" s="97" t="s">
        <v>563</v>
      </c>
      <c r="AG142" s="97" t="s">
        <v>563</v>
      </c>
      <c r="AH142" s="97" t="s">
        <v>563</v>
      </c>
      <c r="AI142" s="97" t="s">
        <v>563</v>
      </c>
      <c r="AJ142" s="97" t="s">
        <v>563</v>
      </c>
      <c r="AK142" s="97" t="s">
        <v>563</v>
      </c>
      <c r="AL142" s="97" t="s">
        <v>563</v>
      </c>
      <c r="AM142" s="97" t="s">
        <v>563</v>
      </c>
      <c r="AO142" s="116">
        <f t="shared" si="9"/>
        <v>0</v>
      </c>
      <c r="AP142" s="116">
        <f t="shared" si="12"/>
        <v>0</v>
      </c>
      <c r="AQ142" s="116">
        <f t="shared" si="12"/>
        <v>1</v>
      </c>
      <c r="AR142" s="116">
        <f t="shared" si="12"/>
        <v>0</v>
      </c>
      <c r="AS142" s="116">
        <f t="shared" si="12"/>
        <v>0</v>
      </c>
      <c r="AT142" s="116">
        <f t="shared" si="12"/>
        <v>0</v>
      </c>
      <c r="AU142" s="116">
        <f t="shared" si="12"/>
        <v>0</v>
      </c>
      <c r="AV142" s="116">
        <f t="shared" si="12"/>
        <v>0</v>
      </c>
      <c r="AW142" s="116">
        <f t="shared" si="12"/>
        <v>21</v>
      </c>
      <c r="AX142" s="116">
        <f t="shared" si="12"/>
        <v>0</v>
      </c>
      <c r="AY142" s="116">
        <f t="shared" si="12"/>
        <v>0</v>
      </c>
      <c r="AZ142" s="116">
        <f t="shared" si="12"/>
        <v>0</v>
      </c>
      <c r="BA142" s="116">
        <f t="shared" si="12"/>
        <v>8</v>
      </c>
      <c r="BB142" s="117">
        <f t="shared" si="11"/>
        <v>9</v>
      </c>
      <c r="BD142" s="137">
        <v>30</v>
      </c>
    </row>
    <row r="143" spans="1:56" ht="48.95" customHeight="1">
      <c r="B143" s="112">
        <v>135</v>
      </c>
      <c r="C143" s="113">
        <v>1026595414</v>
      </c>
      <c r="D143" s="114" t="s">
        <v>1052</v>
      </c>
      <c r="E143" s="134" t="s">
        <v>592</v>
      </c>
      <c r="F143" s="78" t="s">
        <v>507</v>
      </c>
      <c r="G143" s="77" t="s">
        <v>495</v>
      </c>
      <c r="H143" s="114" t="s">
        <v>1053</v>
      </c>
      <c r="I143" s="114" t="s">
        <v>597</v>
      </c>
      <c r="J143" s="97" t="s">
        <v>567</v>
      </c>
      <c r="K143" s="97" t="s">
        <v>567</v>
      </c>
      <c r="L143" s="97" t="s">
        <v>567</v>
      </c>
      <c r="M143" s="97" t="s">
        <v>567</v>
      </c>
      <c r="N143" s="97" t="s">
        <v>557</v>
      </c>
      <c r="O143" s="97" t="s">
        <v>567</v>
      </c>
      <c r="P143" s="97" t="s">
        <v>567</v>
      </c>
      <c r="Q143" s="97" t="s">
        <v>567</v>
      </c>
      <c r="R143" s="97" t="s">
        <v>567</v>
      </c>
      <c r="S143" s="97" t="s">
        <v>567</v>
      </c>
      <c r="T143" s="97" t="s">
        <v>567</v>
      </c>
      <c r="U143" s="97" t="s">
        <v>557</v>
      </c>
      <c r="V143" s="97" t="s">
        <v>557</v>
      </c>
      <c r="W143" s="97" t="s">
        <v>567</v>
      </c>
      <c r="X143" s="97" t="s">
        <v>567</v>
      </c>
      <c r="Y143" s="97" t="s">
        <v>567</v>
      </c>
      <c r="Z143" s="97" t="s">
        <v>567</v>
      </c>
      <c r="AA143" s="97" t="s">
        <v>567</v>
      </c>
      <c r="AB143" s="97" t="s">
        <v>557</v>
      </c>
      <c r="AC143" s="97" t="s">
        <v>557</v>
      </c>
      <c r="AD143" s="97" t="s">
        <v>567</v>
      </c>
      <c r="AE143" s="97" t="s">
        <v>567</v>
      </c>
      <c r="AF143" s="97" t="s">
        <v>567</v>
      </c>
      <c r="AG143" s="97" t="s">
        <v>567</v>
      </c>
      <c r="AH143" s="97" t="s">
        <v>567</v>
      </c>
      <c r="AI143" s="97" t="s">
        <v>557</v>
      </c>
      <c r="AJ143" s="97" t="s">
        <v>567</v>
      </c>
      <c r="AK143" s="97" t="s">
        <v>567</v>
      </c>
      <c r="AL143" s="97" t="s">
        <v>567</v>
      </c>
      <c r="AM143" s="97" t="s">
        <v>567</v>
      </c>
      <c r="AO143" s="116">
        <f t="shared" si="9"/>
        <v>0</v>
      </c>
      <c r="AP143" s="116">
        <f t="shared" si="12"/>
        <v>0</v>
      </c>
      <c r="AQ143" s="116">
        <f t="shared" si="12"/>
        <v>6</v>
      </c>
      <c r="AR143" s="116">
        <f t="shared" si="12"/>
        <v>0</v>
      </c>
      <c r="AS143" s="116">
        <f t="shared" si="12"/>
        <v>0</v>
      </c>
      <c r="AT143" s="116">
        <f t="shared" si="12"/>
        <v>0</v>
      </c>
      <c r="AU143" s="116">
        <f t="shared" si="12"/>
        <v>0</v>
      </c>
      <c r="AV143" s="116">
        <f t="shared" si="12"/>
        <v>0</v>
      </c>
      <c r="AW143" s="116">
        <f t="shared" si="12"/>
        <v>0</v>
      </c>
      <c r="AX143" s="116">
        <f t="shared" si="12"/>
        <v>0</v>
      </c>
      <c r="AY143" s="116">
        <f t="shared" si="12"/>
        <v>0</v>
      </c>
      <c r="AZ143" s="116">
        <f t="shared" si="12"/>
        <v>0</v>
      </c>
      <c r="BA143" s="116">
        <f t="shared" si="12"/>
        <v>24</v>
      </c>
      <c r="BB143" s="117">
        <f t="shared" si="11"/>
        <v>30</v>
      </c>
      <c r="BD143" s="137">
        <v>30</v>
      </c>
    </row>
    <row r="144" spans="1:56" ht="48.95" customHeight="1">
      <c r="A144" s="256" t="s">
        <v>713</v>
      </c>
      <c r="B144" s="112">
        <v>136</v>
      </c>
      <c r="C144" s="113">
        <v>28115434</v>
      </c>
      <c r="D144" s="257" t="s">
        <v>931</v>
      </c>
      <c r="E144" s="134" t="s">
        <v>592</v>
      </c>
      <c r="F144" s="78" t="s">
        <v>506</v>
      </c>
      <c r="G144" s="77" t="s">
        <v>495</v>
      </c>
      <c r="H144" s="114" t="s">
        <v>932</v>
      </c>
      <c r="I144" s="114" t="s">
        <v>597</v>
      </c>
      <c r="J144" s="97" t="s">
        <v>567</v>
      </c>
      <c r="K144" s="97" t="s">
        <v>567</v>
      </c>
      <c r="L144" s="97" t="s">
        <v>567</v>
      </c>
      <c r="M144" s="97" t="s">
        <v>567</v>
      </c>
      <c r="N144" s="97" t="s">
        <v>557</v>
      </c>
      <c r="O144" s="97" t="s">
        <v>567</v>
      </c>
      <c r="P144" s="97" t="s">
        <v>567</v>
      </c>
      <c r="Q144" s="97" t="s">
        <v>567</v>
      </c>
      <c r="R144" s="97" t="s">
        <v>567</v>
      </c>
      <c r="S144" s="97" t="s">
        <v>567</v>
      </c>
      <c r="T144" s="97" t="s">
        <v>567</v>
      </c>
      <c r="U144" s="97" t="s">
        <v>566</v>
      </c>
      <c r="V144" s="97" t="s">
        <v>566</v>
      </c>
      <c r="W144" s="97" t="s">
        <v>566</v>
      </c>
      <c r="X144" s="97" t="s">
        <v>566</v>
      </c>
      <c r="Y144" s="97" t="s">
        <v>566</v>
      </c>
      <c r="Z144" s="97" t="s">
        <v>566</v>
      </c>
      <c r="AA144" s="97" t="s">
        <v>566</v>
      </c>
      <c r="AB144" s="97" t="s">
        <v>566</v>
      </c>
      <c r="AC144" s="97" t="s">
        <v>566</v>
      </c>
      <c r="AD144" s="97" t="s">
        <v>566</v>
      </c>
      <c r="AE144" s="97" t="s">
        <v>566</v>
      </c>
      <c r="AF144" s="97" t="s">
        <v>566</v>
      </c>
      <c r="AG144" s="97" t="s">
        <v>566</v>
      </c>
      <c r="AH144" s="97" t="s">
        <v>566</v>
      </c>
      <c r="AI144" s="97" t="s">
        <v>566</v>
      </c>
      <c r="AJ144" s="97" t="s">
        <v>566</v>
      </c>
      <c r="AK144" s="97" t="s">
        <v>566</v>
      </c>
      <c r="AL144" s="97" t="s">
        <v>566</v>
      </c>
      <c r="AM144" s="97" t="s">
        <v>566</v>
      </c>
      <c r="AO144" s="116">
        <f t="shared" si="9"/>
        <v>0</v>
      </c>
      <c r="AP144" s="116">
        <f t="shared" si="12"/>
        <v>0</v>
      </c>
      <c r="AQ144" s="116">
        <f t="shared" si="12"/>
        <v>1</v>
      </c>
      <c r="AR144" s="116">
        <f t="shared" si="12"/>
        <v>0</v>
      </c>
      <c r="AS144" s="116">
        <f t="shared" si="12"/>
        <v>0</v>
      </c>
      <c r="AT144" s="116">
        <f t="shared" si="12"/>
        <v>0</v>
      </c>
      <c r="AU144" s="116">
        <f t="shared" si="12"/>
        <v>0</v>
      </c>
      <c r="AV144" s="116">
        <f t="shared" si="12"/>
        <v>0</v>
      </c>
      <c r="AW144" s="116">
        <f t="shared" si="12"/>
        <v>0</v>
      </c>
      <c r="AX144" s="116">
        <f t="shared" si="12"/>
        <v>0</v>
      </c>
      <c r="AY144" s="116">
        <f t="shared" si="12"/>
        <v>0</v>
      </c>
      <c r="AZ144" s="116">
        <f t="shared" si="12"/>
        <v>19</v>
      </c>
      <c r="BA144" s="116">
        <f t="shared" si="12"/>
        <v>10</v>
      </c>
      <c r="BB144" s="117">
        <f t="shared" si="11"/>
        <v>11</v>
      </c>
      <c r="BD144" s="137">
        <v>30</v>
      </c>
    </row>
    <row r="145" spans="1:56" ht="48.95" customHeight="1">
      <c r="B145" s="112">
        <v>137</v>
      </c>
      <c r="C145" s="113">
        <v>45555531</v>
      </c>
      <c r="D145" s="114" t="s">
        <v>1054</v>
      </c>
      <c r="E145" s="134" t="s">
        <v>592</v>
      </c>
      <c r="F145" s="78" t="s">
        <v>506</v>
      </c>
      <c r="G145" s="77" t="s">
        <v>495</v>
      </c>
      <c r="H145" s="114" t="s">
        <v>1055</v>
      </c>
      <c r="I145" s="255" t="s">
        <v>1056</v>
      </c>
      <c r="J145" s="97">
        <v>0</v>
      </c>
      <c r="K145" s="97">
        <v>0</v>
      </c>
      <c r="L145" s="97">
        <v>0</v>
      </c>
      <c r="M145" s="97">
        <v>0</v>
      </c>
      <c r="N145" s="97">
        <v>0</v>
      </c>
      <c r="O145" s="97">
        <v>0</v>
      </c>
      <c r="P145" s="97">
        <v>0</v>
      </c>
      <c r="Q145" s="97">
        <v>0</v>
      </c>
      <c r="R145" s="97">
        <v>0</v>
      </c>
      <c r="S145" s="97" t="s">
        <v>567</v>
      </c>
      <c r="T145" s="97" t="s">
        <v>567</v>
      </c>
      <c r="U145" s="97" t="s">
        <v>557</v>
      </c>
      <c r="V145" s="97" t="s">
        <v>557</v>
      </c>
      <c r="W145" s="97" t="s">
        <v>567</v>
      </c>
      <c r="X145" s="97" t="s">
        <v>567</v>
      </c>
      <c r="Y145" s="97" t="s">
        <v>567</v>
      </c>
      <c r="Z145" s="97" t="s">
        <v>567</v>
      </c>
      <c r="AA145" s="97" t="s">
        <v>567</v>
      </c>
      <c r="AB145" s="97" t="s">
        <v>557</v>
      </c>
      <c r="AC145" s="97" t="s">
        <v>557</v>
      </c>
      <c r="AD145" s="97" t="s">
        <v>567</v>
      </c>
      <c r="AE145" s="97" t="s">
        <v>567</v>
      </c>
      <c r="AF145" s="97" t="s">
        <v>567</v>
      </c>
      <c r="AG145" s="97" t="s">
        <v>567</v>
      </c>
      <c r="AH145" s="97" t="s">
        <v>567</v>
      </c>
      <c r="AI145" s="97" t="s">
        <v>557</v>
      </c>
      <c r="AJ145" s="97" t="s">
        <v>567</v>
      </c>
      <c r="AK145" s="97" t="s">
        <v>567</v>
      </c>
      <c r="AL145" s="97" t="s">
        <v>567</v>
      </c>
      <c r="AM145" s="97" t="s">
        <v>567</v>
      </c>
      <c r="AO145" s="116">
        <f t="shared" si="9"/>
        <v>0</v>
      </c>
      <c r="AP145" s="116">
        <f t="shared" si="12"/>
        <v>0</v>
      </c>
      <c r="AQ145" s="116">
        <f t="shared" si="12"/>
        <v>5</v>
      </c>
      <c r="AR145" s="116">
        <f t="shared" si="12"/>
        <v>0</v>
      </c>
      <c r="AS145" s="116">
        <f t="shared" si="12"/>
        <v>0</v>
      </c>
      <c r="AT145" s="116">
        <f t="shared" si="12"/>
        <v>0</v>
      </c>
      <c r="AU145" s="116">
        <f t="shared" si="12"/>
        <v>0</v>
      </c>
      <c r="AV145" s="116">
        <f t="shared" si="12"/>
        <v>0</v>
      </c>
      <c r="AW145" s="116">
        <f t="shared" si="12"/>
        <v>0</v>
      </c>
      <c r="AX145" s="116">
        <f t="shared" si="12"/>
        <v>0</v>
      </c>
      <c r="AY145" s="116">
        <f t="shared" si="12"/>
        <v>0</v>
      </c>
      <c r="AZ145" s="116">
        <f t="shared" si="12"/>
        <v>0</v>
      </c>
      <c r="BA145" s="116">
        <f t="shared" si="12"/>
        <v>16</v>
      </c>
      <c r="BB145" s="117">
        <f t="shared" si="11"/>
        <v>21</v>
      </c>
      <c r="BD145" s="137">
        <v>21</v>
      </c>
    </row>
    <row r="146" spans="1:56" ht="48.95" customHeight="1">
      <c r="B146" s="112">
        <v>138</v>
      </c>
      <c r="C146" s="113">
        <v>1013612458</v>
      </c>
      <c r="D146" s="114" t="s">
        <v>1057</v>
      </c>
      <c r="E146" s="134" t="s">
        <v>592</v>
      </c>
      <c r="F146" s="78" t="s">
        <v>506</v>
      </c>
      <c r="G146" s="77" t="s">
        <v>495</v>
      </c>
      <c r="H146" s="114" t="s">
        <v>1058</v>
      </c>
      <c r="I146" s="114" t="s">
        <v>597</v>
      </c>
      <c r="J146" s="97" t="s">
        <v>565</v>
      </c>
      <c r="K146" s="97" t="s">
        <v>565</v>
      </c>
      <c r="L146" s="97" t="s">
        <v>565</v>
      </c>
      <c r="M146" s="97" t="s">
        <v>565</v>
      </c>
      <c r="N146" s="97" t="s">
        <v>557</v>
      </c>
      <c r="O146" s="97" t="s">
        <v>567</v>
      </c>
      <c r="P146" s="97" t="s">
        <v>567</v>
      </c>
      <c r="Q146" s="97" t="s">
        <v>567</v>
      </c>
      <c r="R146" s="97" t="s">
        <v>567</v>
      </c>
      <c r="S146" s="97" t="s">
        <v>567</v>
      </c>
      <c r="T146" s="97" t="s">
        <v>567</v>
      </c>
      <c r="U146" s="97" t="s">
        <v>557</v>
      </c>
      <c r="V146" s="97" t="s">
        <v>557</v>
      </c>
      <c r="W146" s="97" t="s">
        <v>567</v>
      </c>
      <c r="X146" s="97" t="s">
        <v>567</v>
      </c>
      <c r="Y146" s="97" t="s">
        <v>567</v>
      </c>
      <c r="Z146" s="97" t="s">
        <v>567</v>
      </c>
      <c r="AA146" s="97" t="s">
        <v>567</v>
      </c>
      <c r="AB146" s="97" t="s">
        <v>557</v>
      </c>
      <c r="AC146" s="97" t="s">
        <v>557</v>
      </c>
      <c r="AD146" s="97" t="s">
        <v>567</v>
      </c>
      <c r="AE146" s="97" t="s">
        <v>567</v>
      </c>
      <c r="AF146" s="97" t="s">
        <v>567</v>
      </c>
      <c r="AG146" s="97" t="s">
        <v>567</v>
      </c>
      <c r="AH146" s="97" t="s">
        <v>567</v>
      </c>
      <c r="AI146" s="97" t="s">
        <v>557</v>
      </c>
      <c r="AJ146" s="97" t="s">
        <v>567</v>
      </c>
      <c r="AK146" s="97" t="s">
        <v>567</v>
      </c>
      <c r="AL146" s="97" t="s">
        <v>567</v>
      </c>
      <c r="AM146" s="97" t="s">
        <v>567</v>
      </c>
      <c r="AO146" s="116">
        <f t="shared" si="9"/>
        <v>0</v>
      </c>
      <c r="AP146" s="116">
        <f t="shared" si="12"/>
        <v>0</v>
      </c>
      <c r="AQ146" s="116">
        <f t="shared" si="12"/>
        <v>6</v>
      </c>
      <c r="AR146" s="116">
        <f t="shared" si="12"/>
        <v>0</v>
      </c>
      <c r="AS146" s="116">
        <f t="shared" si="12"/>
        <v>0</v>
      </c>
      <c r="AT146" s="116">
        <f t="shared" si="12"/>
        <v>0</v>
      </c>
      <c r="AU146" s="116">
        <f t="shared" si="12"/>
        <v>0</v>
      </c>
      <c r="AV146" s="116">
        <f t="shared" si="12"/>
        <v>0</v>
      </c>
      <c r="AW146" s="116">
        <f t="shared" si="12"/>
        <v>0</v>
      </c>
      <c r="AX146" s="116">
        <f t="shared" si="12"/>
        <v>0</v>
      </c>
      <c r="AY146" s="116">
        <f t="shared" si="12"/>
        <v>4</v>
      </c>
      <c r="AZ146" s="116">
        <f t="shared" si="12"/>
        <v>0</v>
      </c>
      <c r="BA146" s="116">
        <f t="shared" si="12"/>
        <v>20</v>
      </c>
      <c r="BB146" s="117">
        <f t="shared" si="11"/>
        <v>26</v>
      </c>
      <c r="BD146" s="137">
        <v>30</v>
      </c>
    </row>
    <row r="147" spans="1:56" ht="48.95" customHeight="1">
      <c r="A147" s="216"/>
      <c r="B147" s="112">
        <v>139</v>
      </c>
      <c r="C147" s="113">
        <v>1118854040</v>
      </c>
      <c r="D147" s="114" t="s">
        <v>1059</v>
      </c>
      <c r="E147" s="134" t="s">
        <v>592</v>
      </c>
      <c r="F147" s="78" t="s">
        <v>506</v>
      </c>
      <c r="G147" s="77" t="s">
        <v>495</v>
      </c>
      <c r="H147" s="114" t="s">
        <v>1060</v>
      </c>
      <c r="I147" s="114" t="s">
        <v>597</v>
      </c>
      <c r="J147" s="97" t="s">
        <v>567</v>
      </c>
      <c r="K147" s="97" t="s">
        <v>567</v>
      </c>
      <c r="L147" s="97" t="s">
        <v>567</v>
      </c>
      <c r="M147" s="97" t="s">
        <v>567</v>
      </c>
      <c r="N147" s="97" t="s">
        <v>557</v>
      </c>
      <c r="O147" s="97" t="s">
        <v>567</v>
      </c>
      <c r="P147" s="97" t="s">
        <v>567</v>
      </c>
      <c r="Q147" s="97" t="s">
        <v>567</v>
      </c>
      <c r="R147" s="97" t="s">
        <v>567</v>
      </c>
      <c r="S147" s="97" t="s">
        <v>567</v>
      </c>
      <c r="T147" s="97" t="s">
        <v>567</v>
      </c>
      <c r="U147" s="97" t="s">
        <v>557</v>
      </c>
      <c r="V147" s="97" t="s">
        <v>557</v>
      </c>
      <c r="W147" s="97" t="s">
        <v>567</v>
      </c>
      <c r="X147" s="97" t="s">
        <v>567</v>
      </c>
      <c r="Y147" s="97" t="s">
        <v>567</v>
      </c>
      <c r="Z147" s="97" t="s">
        <v>567</v>
      </c>
      <c r="AA147" s="97" t="s">
        <v>567</v>
      </c>
      <c r="AB147" s="97" t="s">
        <v>557</v>
      </c>
      <c r="AC147" s="97" t="s">
        <v>557</v>
      </c>
      <c r="AD147" s="97" t="s">
        <v>567</v>
      </c>
      <c r="AE147" s="97" t="s">
        <v>567</v>
      </c>
      <c r="AF147" s="97" t="s">
        <v>567</v>
      </c>
      <c r="AG147" s="97" t="s">
        <v>567</v>
      </c>
      <c r="AH147" s="97" t="s">
        <v>567</v>
      </c>
      <c r="AI147" s="97" t="s">
        <v>557</v>
      </c>
      <c r="AJ147" s="97" t="s">
        <v>567</v>
      </c>
      <c r="AK147" s="97" t="s">
        <v>567</v>
      </c>
      <c r="AL147" s="97" t="s">
        <v>567</v>
      </c>
      <c r="AM147" s="97" t="s">
        <v>567</v>
      </c>
      <c r="AO147" s="116">
        <f t="shared" si="9"/>
        <v>0</v>
      </c>
      <c r="AP147" s="116">
        <f t="shared" si="12"/>
        <v>0</v>
      </c>
      <c r="AQ147" s="116">
        <f t="shared" si="12"/>
        <v>6</v>
      </c>
      <c r="AR147" s="116">
        <f t="shared" si="12"/>
        <v>0</v>
      </c>
      <c r="AS147" s="116">
        <f t="shared" si="12"/>
        <v>0</v>
      </c>
      <c r="AT147" s="116">
        <f t="shared" si="12"/>
        <v>0</v>
      </c>
      <c r="AU147" s="116">
        <f t="shared" si="12"/>
        <v>0</v>
      </c>
      <c r="AV147" s="116">
        <f t="shared" si="12"/>
        <v>0</v>
      </c>
      <c r="AW147" s="116">
        <f t="shared" si="12"/>
        <v>0</v>
      </c>
      <c r="AX147" s="116">
        <f t="shared" si="12"/>
        <v>0</v>
      </c>
      <c r="AY147" s="116">
        <f t="shared" si="12"/>
        <v>0</v>
      </c>
      <c r="AZ147" s="116">
        <f t="shared" si="12"/>
        <v>0</v>
      </c>
      <c r="BA147" s="116">
        <f t="shared" si="12"/>
        <v>24</v>
      </c>
      <c r="BB147" s="117">
        <f t="shared" si="11"/>
        <v>30</v>
      </c>
      <c r="BD147" s="137">
        <v>30</v>
      </c>
    </row>
    <row r="148" spans="1:56" ht="48.95" customHeight="1">
      <c r="A148" s="256" t="s">
        <v>713</v>
      </c>
      <c r="B148" s="112">
        <v>140</v>
      </c>
      <c r="C148" s="113">
        <v>52973150</v>
      </c>
      <c r="D148" s="253" t="s">
        <v>912</v>
      </c>
      <c r="E148" s="134" t="s">
        <v>592</v>
      </c>
      <c r="F148" s="78" t="s">
        <v>506</v>
      </c>
      <c r="G148" s="77" t="s">
        <v>481</v>
      </c>
      <c r="H148" s="114" t="s">
        <v>913</v>
      </c>
      <c r="I148" s="114" t="s">
        <v>600</v>
      </c>
      <c r="J148" s="97" t="s">
        <v>567</v>
      </c>
      <c r="K148" s="97" t="s">
        <v>567</v>
      </c>
      <c r="L148" s="97" t="s">
        <v>567</v>
      </c>
      <c r="M148" s="97" t="s">
        <v>567</v>
      </c>
      <c r="N148" s="97" t="s">
        <v>557</v>
      </c>
      <c r="O148" s="97" t="s">
        <v>567</v>
      </c>
      <c r="P148" s="97" t="s">
        <v>566</v>
      </c>
      <c r="Q148" s="97" t="s">
        <v>566</v>
      </c>
      <c r="R148" s="97" t="s">
        <v>566</v>
      </c>
      <c r="S148" s="97" t="s">
        <v>566</v>
      </c>
      <c r="T148" s="97" t="s">
        <v>566</v>
      </c>
      <c r="U148" s="97" t="s">
        <v>566</v>
      </c>
      <c r="V148" s="97" t="s">
        <v>566</v>
      </c>
      <c r="W148" s="97" t="s">
        <v>566</v>
      </c>
      <c r="X148" s="97" t="s">
        <v>566</v>
      </c>
      <c r="Y148" s="97" t="s">
        <v>566</v>
      </c>
      <c r="Z148" s="97" t="s">
        <v>566</v>
      </c>
      <c r="AA148" s="97" t="s">
        <v>566</v>
      </c>
      <c r="AB148" s="97" t="s">
        <v>566</v>
      </c>
      <c r="AC148" s="97" t="s">
        <v>566</v>
      </c>
      <c r="AD148" s="97" t="s">
        <v>566</v>
      </c>
      <c r="AE148" s="97" t="s">
        <v>566</v>
      </c>
      <c r="AF148" s="97" t="s">
        <v>566</v>
      </c>
      <c r="AG148" s="97" t="s">
        <v>566</v>
      </c>
      <c r="AH148" s="97" t="s">
        <v>566</v>
      </c>
      <c r="AI148" s="97" t="s">
        <v>566</v>
      </c>
      <c r="AJ148" s="97" t="s">
        <v>566</v>
      </c>
      <c r="AK148" s="97" t="s">
        <v>566</v>
      </c>
      <c r="AL148" s="97" t="s">
        <v>566</v>
      </c>
      <c r="AM148" s="97" t="s">
        <v>566</v>
      </c>
      <c r="AO148" s="116">
        <f t="shared" si="9"/>
        <v>0</v>
      </c>
      <c r="AP148" s="116">
        <f t="shared" si="12"/>
        <v>0</v>
      </c>
      <c r="AQ148" s="116">
        <f t="shared" si="12"/>
        <v>1</v>
      </c>
      <c r="AR148" s="116">
        <f t="shared" si="12"/>
        <v>0</v>
      </c>
      <c r="AS148" s="116">
        <f t="shared" si="12"/>
        <v>0</v>
      </c>
      <c r="AT148" s="116">
        <f t="shared" si="12"/>
        <v>0</v>
      </c>
      <c r="AU148" s="116">
        <f t="shared" si="12"/>
        <v>0</v>
      </c>
      <c r="AV148" s="116">
        <f t="shared" si="12"/>
        <v>0</v>
      </c>
      <c r="AW148" s="116">
        <f t="shared" si="12"/>
        <v>0</v>
      </c>
      <c r="AX148" s="116">
        <f t="shared" si="12"/>
        <v>0</v>
      </c>
      <c r="AY148" s="116">
        <f t="shared" si="12"/>
        <v>0</v>
      </c>
      <c r="AZ148" s="116">
        <f t="shared" si="12"/>
        <v>24</v>
      </c>
      <c r="BA148" s="116">
        <f t="shared" si="12"/>
        <v>5</v>
      </c>
      <c r="BB148" s="117">
        <f t="shared" si="11"/>
        <v>6</v>
      </c>
      <c r="BD148" s="137">
        <v>30</v>
      </c>
    </row>
    <row r="149" spans="1:56" ht="48.95" customHeight="1">
      <c r="B149" s="112">
        <v>141</v>
      </c>
      <c r="C149" s="113">
        <v>80443614</v>
      </c>
      <c r="D149" s="114" t="s">
        <v>1061</v>
      </c>
      <c r="E149" s="134" t="s">
        <v>592</v>
      </c>
      <c r="F149" s="78" t="s">
        <v>507</v>
      </c>
      <c r="G149" s="82" t="s">
        <v>481</v>
      </c>
      <c r="H149" s="114" t="s">
        <v>1062</v>
      </c>
      <c r="I149" s="114" t="s">
        <v>747</v>
      </c>
      <c r="J149" s="97" t="s">
        <v>567</v>
      </c>
      <c r="K149" s="97" t="s">
        <v>567</v>
      </c>
      <c r="L149" s="97" t="s">
        <v>567</v>
      </c>
      <c r="M149" s="97" t="s">
        <v>567</v>
      </c>
      <c r="N149" s="97" t="s">
        <v>557</v>
      </c>
      <c r="O149" s="97" t="s">
        <v>567</v>
      </c>
      <c r="P149" s="97" t="s">
        <v>567</v>
      </c>
      <c r="Q149" s="97" t="s">
        <v>567</v>
      </c>
      <c r="R149" s="97" t="s">
        <v>567</v>
      </c>
      <c r="S149" s="97" t="s">
        <v>567</v>
      </c>
      <c r="T149" s="97" t="s">
        <v>567</v>
      </c>
      <c r="U149" s="97" t="s">
        <v>557</v>
      </c>
      <c r="V149" s="97" t="s">
        <v>557</v>
      </c>
      <c r="W149" s="97" t="s">
        <v>567</v>
      </c>
      <c r="X149" s="97" t="s">
        <v>567</v>
      </c>
      <c r="Y149" s="97" t="s">
        <v>567</v>
      </c>
      <c r="Z149" s="97" t="s">
        <v>567</v>
      </c>
      <c r="AA149" s="97" t="s">
        <v>567</v>
      </c>
      <c r="AB149" s="97" t="s">
        <v>557</v>
      </c>
      <c r="AC149" s="97" t="s">
        <v>557</v>
      </c>
      <c r="AD149" s="97" t="s">
        <v>567</v>
      </c>
      <c r="AE149" s="97" t="s">
        <v>567</v>
      </c>
      <c r="AF149" s="97" t="s">
        <v>567</v>
      </c>
      <c r="AG149" s="97" t="s">
        <v>567</v>
      </c>
      <c r="AH149" s="97" t="s">
        <v>567</v>
      </c>
      <c r="AI149" s="97" t="s">
        <v>557</v>
      </c>
      <c r="AJ149" s="97" t="s">
        <v>567</v>
      </c>
      <c r="AK149" s="97" t="s">
        <v>567</v>
      </c>
      <c r="AL149" s="97" t="s">
        <v>567</v>
      </c>
      <c r="AM149" s="97" t="s">
        <v>567</v>
      </c>
      <c r="AO149" s="116">
        <f t="shared" si="9"/>
        <v>0</v>
      </c>
      <c r="AP149" s="116">
        <f t="shared" si="12"/>
        <v>0</v>
      </c>
      <c r="AQ149" s="116">
        <f t="shared" si="12"/>
        <v>6</v>
      </c>
      <c r="AR149" s="116">
        <f t="shared" si="12"/>
        <v>0</v>
      </c>
      <c r="AS149" s="116">
        <f t="shared" si="12"/>
        <v>0</v>
      </c>
      <c r="AT149" s="116">
        <f t="shared" si="12"/>
        <v>0</v>
      </c>
      <c r="AU149" s="116">
        <f t="shared" si="12"/>
        <v>0</v>
      </c>
      <c r="AV149" s="116">
        <f t="shared" si="12"/>
        <v>0</v>
      </c>
      <c r="AW149" s="116">
        <f t="shared" si="12"/>
        <v>0</v>
      </c>
      <c r="AX149" s="116">
        <f t="shared" si="12"/>
        <v>0</v>
      </c>
      <c r="AY149" s="116">
        <f t="shared" si="12"/>
        <v>0</v>
      </c>
      <c r="AZ149" s="116">
        <f t="shared" si="12"/>
        <v>0</v>
      </c>
      <c r="BA149" s="116">
        <f t="shared" si="12"/>
        <v>24</v>
      </c>
      <c r="BB149" s="117">
        <f t="shared" si="11"/>
        <v>30</v>
      </c>
      <c r="BD149" s="137">
        <v>30</v>
      </c>
    </row>
    <row r="150" spans="1:56" ht="48.95" customHeight="1">
      <c r="A150" s="256" t="s">
        <v>713</v>
      </c>
      <c r="B150" s="112">
        <v>142</v>
      </c>
      <c r="C150" s="113">
        <v>45479518</v>
      </c>
      <c r="D150" s="254" t="s">
        <v>1063</v>
      </c>
      <c r="E150" s="134" t="s">
        <v>592</v>
      </c>
      <c r="F150" s="78" t="s">
        <v>506</v>
      </c>
      <c r="G150" s="77" t="s">
        <v>481</v>
      </c>
      <c r="H150" s="114" t="s">
        <v>1064</v>
      </c>
      <c r="I150" s="255" t="s">
        <v>1065</v>
      </c>
      <c r="J150" s="97">
        <v>0</v>
      </c>
      <c r="K150" s="97">
        <v>0</v>
      </c>
      <c r="L150" s="97">
        <v>0</v>
      </c>
      <c r="M150" s="97">
        <v>0</v>
      </c>
      <c r="N150" s="97">
        <v>0</v>
      </c>
      <c r="O150" s="97">
        <v>0</v>
      </c>
      <c r="P150" s="97">
        <v>0</v>
      </c>
      <c r="Q150" s="97">
        <v>0</v>
      </c>
      <c r="R150" s="97">
        <v>0</v>
      </c>
      <c r="S150" s="97">
        <v>0</v>
      </c>
      <c r="T150" s="97">
        <v>0</v>
      </c>
      <c r="U150" s="97">
        <v>0</v>
      </c>
      <c r="V150" s="97">
        <v>0</v>
      </c>
      <c r="W150" s="97" t="s">
        <v>567</v>
      </c>
      <c r="X150" s="97" t="s">
        <v>567</v>
      </c>
      <c r="Y150" s="97" t="s">
        <v>567</v>
      </c>
      <c r="Z150" s="97" t="s">
        <v>567</v>
      </c>
      <c r="AA150" s="97" t="s">
        <v>567</v>
      </c>
      <c r="AB150" s="97" t="s">
        <v>557</v>
      </c>
      <c r="AC150" s="97" t="s">
        <v>557</v>
      </c>
      <c r="AD150" s="97" t="s">
        <v>566</v>
      </c>
      <c r="AE150" s="97" t="s">
        <v>566</v>
      </c>
      <c r="AF150" s="97" t="s">
        <v>566</v>
      </c>
      <c r="AG150" s="97" t="s">
        <v>566</v>
      </c>
      <c r="AH150" s="97" t="s">
        <v>566</v>
      </c>
      <c r="AI150" s="97" t="s">
        <v>566</v>
      </c>
      <c r="AJ150" s="97" t="s">
        <v>566</v>
      </c>
      <c r="AK150" s="97" t="s">
        <v>566</v>
      </c>
      <c r="AL150" s="97" t="s">
        <v>566</v>
      </c>
      <c r="AM150" s="97" t="s">
        <v>566</v>
      </c>
      <c r="AO150" s="116">
        <f t="shared" si="9"/>
        <v>0</v>
      </c>
      <c r="AP150" s="116">
        <f t="shared" si="12"/>
        <v>0</v>
      </c>
      <c r="AQ150" s="116">
        <f t="shared" si="12"/>
        <v>2</v>
      </c>
      <c r="AR150" s="116">
        <f t="shared" si="12"/>
        <v>0</v>
      </c>
      <c r="AS150" s="116">
        <f t="shared" si="12"/>
        <v>0</v>
      </c>
      <c r="AT150" s="116">
        <f t="shared" si="12"/>
        <v>0</v>
      </c>
      <c r="AU150" s="116">
        <f t="shared" si="12"/>
        <v>0</v>
      </c>
      <c r="AV150" s="116">
        <f t="shared" si="12"/>
        <v>0</v>
      </c>
      <c r="AW150" s="116">
        <f t="shared" si="12"/>
        <v>0</v>
      </c>
      <c r="AX150" s="116">
        <f t="shared" si="12"/>
        <v>0</v>
      </c>
      <c r="AY150" s="116">
        <f t="shared" si="12"/>
        <v>0</v>
      </c>
      <c r="AZ150" s="116">
        <f t="shared" si="12"/>
        <v>10</v>
      </c>
      <c r="BA150" s="116">
        <f t="shared" si="12"/>
        <v>5</v>
      </c>
      <c r="BB150" s="117">
        <f t="shared" si="11"/>
        <v>7</v>
      </c>
      <c r="BD150" s="137">
        <v>17</v>
      </c>
    </row>
    <row r="151" spans="1:56" ht="48.95" customHeight="1">
      <c r="B151" s="112">
        <v>143</v>
      </c>
      <c r="C151" s="113">
        <v>51970521</v>
      </c>
      <c r="D151" s="114" t="s">
        <v>1066</v>
      </c>
      <c r="E151" s="134" t="s">
        <v>592</v>
      </c>
      <c r="F151" s="78" t="s">
        <v>506</v>
      </c>
      <c r="G151" s="77" t="s">
        <v>481</v>
      </c>
      <c r="H151" s="114" t="s">
        <v>1067</v>
      </c>
      <c r="I151" s="114" t="s">
        <v>597</v>
      </c>
      <c r="J151" s="97" t="s">
        <v>567</v>
      </c>
      <c r="K151" s="97" t="s">
        <v>567</v>
      </c>
      <c r="L151" s="97" t="s">
        <v>567</v>
      </c>
      <c r="M151" s="97" t="s">
        <v>567</v>
      </c>
      <c r="N151" s="97" t="s">
        <v>557</v>
      </c>
      <c r="O151" s="97" t="s">
        <v>567</v>
      </c>
      <c r="P151" s="97" t="s">
        <v>567</v>
      </c>
      <c r="Q151" s="97" t="s">
        <v>567</v>
      </c>
      <c r="R151" s="97" t="s">
        <v>567</v>
      </c>
      <c r="S151" s="97" t="s">
        <v>567</v>
      </c>
      <c r="T151" s="97" t="s">
        <v>567</v>
      </c>
      <c r="U151" s="97" t="s">
        <v>557</v>
      </c>
      <c r="V151" s="97" t="s">
        <v>557</v>
      </c>
      <c r="W151" s="97" t="s">
        <v>567</v>
      </c>
      <c r="X151" s="97" t="s">
        <v>567</v>
      </c>
      <c r="Y151" s="97" t="s">
        <v>567</v>
      </c>
      <c r="Z151" s="97" t="s">
        <v>567</v>
      </c>
      <c r="AA151" s="97" t="s">
        <v>567</v>
      </c>
      <c r="AB151" s="97" t="s">
        <v>557</v>
      </c>
      <c r="AC151" s="97" t="s">
        <v>557</v>
      </c>
      <c r="AD151" s="97" t="s">
        <v>567</v>
      </c>
      <c r="AE151" s="97" t="s">
        <v>567</v>
      </c>
      <c r="AF151" s="97" t="s">
        <v>567</v>
      </c>
      <c r="AG151" s="97" t="s">
        <v>567</v>
      </c>
      <c r="AH151" s="97" t="s">
        <v>567</v>
      </c>
      <c r="AI151" s="97" t="s">
        <v>557</v>
      </c>
      <c r="AJ151" s="97" t="s">
        <v>567</v>
      </c>
      <c r="AK151" s="97" t="s">
        <v>567</v>
      </c>
      <c r="AL151" s="97" t="s">
        <v>567</v>
      </c>
      <c r="AM151" s="97" t="s">
        <v>567</v>
      </c>
      <c r="AO151" s="116">
        <f t="shared" si="9"/>
        <v>0</v>
      </c>
      <c r="AP151" s="116">
        <f t="shared" si="12"/>
        <v>0</v>
      </c>
      <c r="AQ151" s="116">
        <f t="shared" si="12"/>
        <v>6</v>
      </c>
      <c r="AR151" s="116">
        <f t="shared" si="12"/>
        <v>0</v>
      </c>
      <c r="AS151" s="116">
        <f t="shared" si="12"/>
        <v>0</v>
      </c>
      <c r="AT151" s="116">
        <f t="shared" si="12"/>
        <v>0</v>
      </c>
      <c r="AU151" s="116">
        <f t="shared" si="12"/>
        <v>0</v>
      </c>
      <c r="AV151" s="116">
        <f t="shared" si="12"/>
        <v>0</v>
      </c>
      <c r="AW151" s="116">
        <f t="shared" si="12"/>
        <v>0</v>
      </c>
      <c r="AX151" s="116">
        <f t="shared" si="12"/>
        <v>0</v>
      </c>
      <c r="AY151" s="116">
        <f t="shared" si="12"/>
        <v>0</v>
      </c>
      <c r="AZ151" s="116">
        <f t="shared" si="12"/>
        <v>0</v>
      </c>
      <c r="BA151" s="116">
        <f t="shared" si="12"/>
        <v>24</v>
      </c>
      <c r="BB151" s="117">
        <f t="shared" si="11"/>
        <v>30</v>
      </c>
      <c r="BD151" s="137">
        <v>30</v>
      </c>
    </row>
    <row r="152" spans="1:56" ht="48.95" customHeight="1">
      <c r="B152" s="112">
        <v>144</v>
      </c>
      <c r="C152" s="113">
        <v>1000989781</v>
      </c>
      <c r="D152" s="114" t="s">
        <v>1068</v>
      </c>
      <c r="E152" s="134" t="s">
        <v>592</v>
      </c>
      <c r="F152" s="78" t="s">
        <v>507</v>
      </c>
      <c r="G152" s="82" t="s">
        <v>486</v>
      </c>
      <c r="H152" s="114" t="s">
        <v>1069</v>
      </c>
      <c r="I152" s="114" t="s">
        <v>1070</v>
      </c>
      <c r="J152" s="97" t="s">
        <v>567</v>
      </c>
      <c r="K152" s="97" t="s">
        <v>567</v>
      </c>
      <c r="L152" s="97" t="s">
        <v>567</v>
      </c>
      <c r="M152" s="97" t="s">
        <v>567</v>
      </c>
      <c r="N152" s="97" t="s">
        <v>557</v>
      </c>
      <c r="O152" s="97" t="s">
        <v>567</v>
      </c>
      <c r="P152" s="97" t="s">
        <v>567</v>
      </c>
      <c r="Q152" s="97" t="s">
        <v>567</v>
      </c>
      <c r="R152" s="97" t="s">
        <v>567</v>
      </c>
      <c r="S152" s="97" t="s">
        <v>567</v>
      </c>
      <c r="T152" s="97" t="s">
        <v>567</v>
      </c>
      <c r="U152" s="97" t="s">
        <v>557</v>
      </c>
      <c r="V152" s="97" t="s">
        <v>557</v>
      </c>
      <c r="W152" s="97" t="s">
        <v>567</v>
      </c>
      <c r="X152" s="97" t="s">
        <v>567</v>
      </c>
      <c r="Y152" s="97" t="s">
        <v>567</v>
      </c>
      <c r="Z152" s="97" t="s">
        <v>567</v>
      </c>
      <c r="AA152" s="97" t="s">
        <v>567</v>
      </c>
      <c r="AB152" s="97" t="s">
        <v>557</v>
      </c>
      <c r="AC152" s="97" t="s">
        <v>557</v>
      </c>
      <c r="AD152" s="97" t="s">
        <v>567</v>
      </c>
      <c r="AE152" s="97" t="s">
        <v>567</v>
      </c>
      <c r="AF152" s="97" t="s">
        <v>567</v>
      </c>
      <c r="AG152" s="97" t="s">
        <v>567</v>
      </c>
      <c r="AH152" s="97" t="s">
        <v>567</v>
      </c>
      <c r="AI152" s="97" t="s">
        <v>557</v>
      </c>
      <c r="AJ152" s="97" t="s">
        <v>567</v>
      </c>
      <c r="AK152" s="97" t="s">
        <v>567</v>
      </c>
      <c r="AL152" s="97" t="s">
        <v>567</v>
      </c>
      <c r="AM152" s="97" t="s">
        <v>567</v>
      </c>
      <c r="AO152" s="116">
        <f t="shared" si="9"/>
        <v>0</v>
      </c>
      <c r="AP152" s="116">
        <f t="shared" si="12"/>
        <v>0</v>
      </c>
      <c r="AQ152" s="116">
        <f t="shared" si="12"/>
        <v>6</v>
      </c>
      <c r="AR152" s="116">
        <f t="shared" si="12"/>
        <v>0</v>
      </c>
      <c r="AS152" s="116">
        <f t="shared" si="12"/>
        <v>0</v>
      </c>
      <c r="AT152" s="116">
        <f t="shared" si="12"/>
        <v>0</v>
      </c>
      <c r="AU152" s="116">
        <f t="shared" si="12"/>
        <v>0</v>
      </c>
      <c r="AV152" s="116">
        <f t="shared" si="12"/>
        <v>0</v>
      </c>
      <c r="AW152" s="116">
        <f t="shared" si="12"/>
        <v>0</v>
      </c>
      <c r="AX152" s="116">
        <f t="shared" si="12"/>
        <v>0</v>
      </c>
      <c r="AY152" s="116">
        <f t="shared" si="12"/>
        <v>0</v>
      </c>
      <c r="AZ152" s="116">
        <f t="shared" si="12"/>
        <v>0</v>
      </c>
      <c r="BA152" s="116">
        <f t="shared" si="12"/>
        <v>24</v>
      </c>
      <c r="BB152" s="117">
        <f t="shared" si="11"/>
        <v>30</v>
      </c>
      <c r="BD152" s="137">
        <v>30</v>
      </c>
    </row>
    <row r="153" spans="1:56" ht="48.95" customHeight="1">
      <c r="B153" s="112">
        <v>145</v>
      </c>
      <c r="C153" s="113">
        <v>51909861</v>
      </c>
      <c r="D153" s="114" t="s">
        <v>1071</v>
      </c>
      <c r="E153" s="134" t="s">
        <v>592</v>
      </c>
      <c r="F153" s="78" t="s">
        <v>506</v>
      </c>
      <c r="G153" s="77" t="s">
        <v>486</v>
      </c>
      <c r="H153" s="114" t="s">
        <v>1072</v>
      </c>
      <c r="I153" s="114" t="s">
        <v>597</v>
      </c>
      <c r="J153" s="97" t="s">
        <v>567</v>
      </c>
      <c r="K153" s="97" t="s">
        <v>567</v>
      </c>
      <c r="L153" s="97" t="s">
        <v>567</v>
      </c>
      <c r="M153" s="97" t="s">
        <v>567</v>
      </c>
      <c r="N153" s="97" t="s">
        <v>557</v>
      </c>
      <c r="O153" s="97" t="s">
        <v>567</v>
      </c>
      <c r="P153" s="97" t="s">
        <v>567</v>
      </c>
      <c r="Q153" s="97" t="s">
        <v>567</v>
      </c>
      <c r="R153" s="97" t="s">
        <v>567</v>
      </c>
      <c r="S153" s="97" t="s">
        <v>567</v>
      </c>
      <c r="T153" s="97" t="s">
        <v>567</v>
      </c>
      <c r="U153" s="97" t="s">
        <v>557</v>
      </c>
      <c r="V153" s="97" t="s">
        <v>557</v>
      </c>
      <c r="W153" s="97" t="s">
        <v>567</v>
      </c>
      <c r="X153" s="97" t="s">
        <v>567</v>
      </c>
      <c r="Y153" s="97" t="s">
        <v>567</v>
      </c>
      <c r="Z153" s="97" t="s">
        <v>567</v>
      </c>
      <c r="AA153" s="97" t="s">
        <v>567</v>
      </c>
      <c r="AB153" s="97" t="s">
        <v>557</v>
      </c>
      <c r="AC153" s="97" t="s">
        <v>557</v>
      </c>
      <c r="AD153" s="97" t="s">
        <v>567</v>
      </c>
      <c r="AE153" s="97" t="s">
        <v>567</v>
      </c>
      <c r="AF153" s="97" t="s">
        <v>567</v>
      </c>
      <c r="AG153" s="97" t="s">
        <v>567</v>
      </c>
      <c r="AH153" s="97" t="s">
        <v>567</v>
      </c>
      <c r="AI153" s="97" t="s">
        <v>557</v>
      </c>
      <c r="AJ153" s="97" t="s">
        <v>567</v>
      </c>
      <c r="AK153" s="97" t="s">
        <v>567</v>
      </c>
      <c r="AL153" s="97" t="s">
        <v>567</v>
      </c>
      <c r="AM153" s="97" t="s">
        <v>567</v>
      </c>
      <c r="AO153" s="116">
        <f t="shared" si="9"/>
        <v>0</v>
      </c>
      <c r="AP153" s="116">
        <f t="shared" si="12"/>
        <v>0</v>
      </c>
      <c r="AQ153" s="116">
        <f t="shared" si="12"/>
        <v>6</v>
      </c>
      <c r="AR153" s="116">
        <f t="shared" si="12"/>
        <v>0</v>
      </c>
      <c r="AS153" s="116">
        <f t="shared" si="12"/>
        <v>0</v>
      </c>
      <c r="AT153" s="116">
        <f t="shared" si="12"/>
        <v>0</v>
      </c>
      <c r="AU153" s="116">
        <f t="shared" si="12"/>
        <v>0</v>
      </c>
      <c r="AV153" s="116">
        <f t="shared" si="12"/>
        <v>0</v>
      </c>
      <c r="AW153" s="116">
        <f t="shared" si="12"/>
        <v>0</v>
      </c>
      <c r="AX153" s="116">
        <f t="shared" si="12"/>
        <v>0</v>
      </c>
      <c r="AY153" s="116">
        <f t="shared" si="12"/>
        <v>0</v>
      </c>
      <c r="AZ153" s="116">
        <f t="shared" si="12"/>
        <v>0</v>
      </c>
      <c r="BA153" s="116">
        <f t="shared" si="12"/>
        <v>24</v>
      </c>
      <c r="BB153" s="117">
        <f t="shared" si="11"/>
        <v>30</v>
      </c>
      <c r="BD153" s="137">
        <v>30</v>
      </c>
    </row>
    <row r="154" spans="1:56" ht="48.95" customHeight="1">
      <c r="B154" s="112">
        <v>146</v>
      </c>
      <c r="C154" s="113">
        <v>1002377643</v>
      </c>
      <c r="D154" s="114" t="s">
        <v>1073</v>
      </c>
      <c r="E154" s="134" t="s">
        <v>592</v>
      </c>
      <c r="F154" s="78" t="s">
        <v>506</v>
      </c>
      <c r="G154" s="77" t="s">
        <v>486</v>
      </c>
      <c r="H154" s="114" t="s">
        <v>1074</v>
      </c>
      <c r="I154" s="114" t="s">
        <v>597</v>
      </c>
      <c r="J154" s="97" t="s">
        <v>567</v>
      </c>
      <c r="K154" s="97" t="s">
        <v>567</v>
      </c>
      <c r="L154" s="97" t="s">
        <v>567</v>
      </c>
      <c r="M154" s="97" t="s">
        <v>567</v>
      </c>
      <c r="N154" s="97" t="s">
        <v>557</v>
      </c>
      <c r="O154" s="97" t="s">
        <v>567</v>
      </c>
      <c r="P154" s="97" t="s">
        <v>567</v>
      </c>
      <c r="Q154" s="97" t="s">
        <v>567</v>
      </c>
      <c r="R154" s="97" t="s">
        <v>567</v>
      </c>
      <c r="S154" s="97" t="s">
        <v>567</v>
      </c>
      <c r="T154" s="97" t="s">
        <v>567</v>
      </c>
      <c r="U154" s="97" t="s">
        <v>557</v>
      </c>
      <c r="V154" s="97" t="s">
        <v>557</v>
      </c>
      <c r="W154" s="97" t="s">
        <v>567</v>
      </c>
      <c r="X154" s="97" t="s">
        <v>567</v>
      </c>
      <c r="Y154" s="97" t="s">
        <v>562</v>
      </c>
      <c r="Z154" s="97" t="s">
        <v>567</v>
      </c>
      <c r="AA154" s="97" t="s">
        <v>567</v>
      </c>
      <c r="AB154" s="97" t="s">
        <v>557</v>
      </c>
      <c r="AC154" s="97" t="s">
        <v>557</v>
      </c>
      <c r="AD154" s="97" t="s">
        <v>567</v>
      </c>
      <c r="AE154" s="97" t="s">
        <v>567</v>
      </c>
      <c r="AF154" s="97" t="s">
        <v>567</v>
      </c>
      <c r="AG154" s="97" t="s">
        <v>567</v>
      </c>
      <c r="AH154" s="97" t="s">
        <v>567</v>
      </c>
      <c r="AI154" s="97" t="s">
        <v>557</v>
      </c>
      <c r="AJ154" s="97" t="s">
        <v>567</v>
      </c>
      <c r="AK154" s="97" t="s">
        <v>567</v>
      </c>
      <c r="AL154" s="97" t="s">
        <v>567</v>
      </c>
      <c r="AM154" s="97" t="s">
        <v>567</v>
      </c>
      <c r="AO154" s="116">
        <f t="shared" si="9"/>
        <v>0</v>
      </c>
      <c r="AP154" s="116">
        <f t="shared" si="12"/>
        <v>0</v>
      </c>
      <c r="AQ154" s="116">
        <f t="shared" si="12"/>
        <v>6</v>
      </c>
      <c r="AR154" s="116">
        <f t="shared" si="12"/>
        <v>0</v>
      </c>
      <c r="AS154" s="116">
        <f t="shared" si="12"/>
        <v>0</v>
      </c>
      <c r="AT154" s="116">
        <f t="shared" si="12"/>
        <v>0</v>
      </c>
      <c r="AU154" s="116">
        <f t="shared" si="12"/>
        <v>0</v>
      </c>
      <c r="AV154" s="116">
        <f t="shared" si="12"/>
        <v>1</v>
      </c>
      <c r="AW154" s="116">
        <f t="shared" si="12"/>
        <v>0</v>
      </c>
      <c r="AX154" s="116">
        <f t="shared" si="12"/>
        <v>0</v>
      </c>
      <c r="AY154" s="116">
        <f t="shared" si="12"/>
        <v>0</v>
      </c>
      <c r="AZ154" s="116">
        <f t="shared" si="12"/>
        <v>0</v>
      </c>
      <c r="BA154" s="116">
        <f t="shared" si="12"/>
        <v>23</v>
      </c>
      <c r="BB154" s="117">
        <f t="shared" si="11"/>
        <v>29</v>
      </c>
      <c r="BD154" s="137">
        <v>30</v>
      </c>
    </row>
    <row r="155" spans="1:56" ht="48.95" customHeight="1">
      <c r="B155" s="112">
        <v>147</v>
      </c>
      <c r="C155" s="113">
        <v>80735722</v>
      </c>
      <c r="D155" s="114" t="s">
        <v>1075</v>
      </c>
      <c r="E155" s="134" t="s">
        <v>592</v>
      </c>
      <c r="F155" s="78" t="s">
        <v>507</v>
      </c>
      <c r="G155" s="77" t="s">
        <v>478</v>
      </c>
      <c r="H155" s="114" t="s">
        <v>1076</v>
      </c>
      <c r="I155" s="114" t="s">
        <v>1077</v>
      </c>
      <c r="J155" s="97" t="s">
        <v>567</v>
      </c>
      <c r="K155" s="97" t="s">
        <v>567</v>
      </c>
      <c r="L155" s="97" t="s">
        <v>567</v>
      </c>
      <c r="M155" s="97" t="s">
        <v>567</v>
      </c>
      <c r="N155" s="97" t="s">
        <v>557</v>
      </c>
      <c r="O155" s="97" t="s">
        <v>567</v>
      </c>
      <c r="P155" s="97" t="s">
        <v>567</v>
      </c>
      <c r="Q155" s="97" t="s">
        <v>567</v>
      </c>
      <c r="R155" s="97" t="s">
        <v>567</v>
      </c>
      <c r="S155" s="97" t="s">
        <v>567</v>
      </c>
      <c r="T155" s="97" t="s">
        <v>567</v>
      </c>
      <c r="U155" s="97" t="s">
        <v>557</v>
      </c>
      <c r="V155" s="97" t="s">
        <v>557</v>
      </c>
      <c r="W155" s="97" t="s">
        <v>567</v>
      </c>
      <c r="X155" s="97" t="s">
        <v>567</v>
      </c>
      <c r="Y155" s="97" t="s">
        <v>567</v>
      </c>
      <c r="Z155" s="97" t="s">
        <v>567</v>
      </c>
      <c r="AA155" s="97" t="s">
        <v>567</v>
      </c>
      <c r="AB155" s="97" t="s">
        <v>557</v>
      </c>
      <c r="AC155" s="97" t="s">
        <v>557</v>
      </c>
      <c r="AD155" s="97" t="s">
        <v>567</v>
      </c>
      <c r="AE155" s="97" t="s">
        <v>567</v>
      </c>
      <c r="AF155" s="97" t="s">
        <v>567</v>
      </c>
      <c r="AG155" s="97" t="s">
        <v>567</v>
      </c>
      <c r="AH155" s="97" t="s">
        <v>567</v>
      </c>
      <c r="AI155" s="97" t="s">
        <v>557</v>
      </c>
      <c r="AJ155" s="97" t="s">
        <v>567</v>
      </c>
      <c r="AK155" s="97" t="s">
        <v>567</v>
      </c>
      <c r="AL155" s="97" t="s">
        <v>567</v>
      </c>
      <c r="AM155" s="97" t="s">
        <v>567</v>
      </c>
      <c r="AO155" s="116">
        <f t="shared" si="9"/>
        <v>0</v>
      </c>
      <c r="AP155" s="116">
        <f t="shared" si="12"/>
        <v>0</v>
      </c>
      <c r="AQ155" s="116">
        <f t="shared" si="12"/>
        <v>6</v>
      </c>
      <c r="AR155" s="116">
        <f t="shared" si="12"/>
        <v>0</v>
      </c>
      <c r="AS155" s="116">
        <f t="shared" si="12"/>
        <v>0</v>
      </c>
      <c r="AT155" s="116">
        <f t="shared" si="12"/>
        <v>0</v>
      </c>
      <c r="AU155" s="116">
        <f t="shared" si="12"/>
        <v>0</v>
      </c>
      <c r="AV155" s="116">
        <f t="shared" si="12"/>
        <v>0</v>
      </c>
      <c r="AW155" s="116">
        <f t="shared" si="12"/>
        <v>0</v>
      </c>
      <c r="AX155" s="116">
        <f t="shared" si="12"/>
        <v>0</v>
      </c>
      <c r="AY155" s="116">
        <f t="shared" si="12"/>
        <v>0</v>
      </c>
      <c r="AZ155" s="116">
        <f t="shared" si="12"/>
        <v>0</v>
      </c>
      <c r="BA155" s="116">
        <f t="shared" si="12"/>
        <v>24</v>
      </c>
      <c r="BB155" s="117">
        <f t="shared" si="11"/>
        <v>30</v>
      </c>
      <c r="BD155" s="137">
        <v>30</v>
      </c>
    </row>
    <row r="156" spans="1:56" ht="48.95" customHeight="1">
      <c r="B156" s="112">
        <v>148</v>
      </c>
      <c r="C156" s="113">
        <v>28057943</v>
      </c>
      <c r="D156" s="114" t="s">
        <v>1078</v>
      </c>
      <c r="E156" s="134" t="s">
        <v>592</v>
      </c>
      <c r="F156" s="78" t="s">
        <v>506</v>
      </c>
      <c r="G156" s="77" t="s">
        <v>478</v>
      </c>
      <c r="H156" s="114" t="s">
        <v>1079</v>
      </c>
      <c r="I156" s="114" t="s">
        <v>597</v>
      </c>
      <c r="J156" s="97" t="s">
        <v>567</v>
      </c>
      <c r="K156" s="97" t="s">
        <v>567</v>
      </c>
      <c r="L156" s="97" t="s">
        <v>567</v>
      </c>
      <c r="M156" s="97" t="s">
        <v>567</v>
      </c>
      <c r="N156" s="97" t="s">
        <v>557</v>
      </c>
      <c r="O156" s="97" t="s">
        <v>567</v>
      </c>
      <c r="P156" s="97" t="s">
        <v>567</v>
      </c>
      <c r="Q156" s="97" t="s">
        <v>567</v>
      </c>
      <c r="R156" s="97" t="s">
        <v>567</v>
      </c>
      <c r="S156" s="97" t="s">
        <v>567</v>
      </c>
      <c r="T156" s="97" t="s">
        <v>567</v>
      </c>
      <c r="U156" s="97" t="s">
        <v>557</v>
      </c>
      <c r="V156" s="97" t="s">
        <v>557</v>
      </c>
      <c r="W156" s="97" t="s">
        <v>567</v>
      </c>
      <c r="X156" s="97" t="s">
        <v>567</v>
      </c>
      <c r="Y156" s="97" t="s">
        <v>567</v>
      </c>
      <c r="Z156" s="97" t="s">
        <v>567</v>
      </c>
      <c r="AA156" s="97" t="s">
        <v>567</v>
      </c>
      <c r="AB156" s="97" t="s">
        <v>557</v>
      </c>
      <c r="AC156" s="97" t="s">
        <v>557</v>
      </c>
      <c r="AD156" s="97" t="s">
        <v>567</v>
      </c>
      <c r="AE156" s="97" t="s">
        <v>567</v>
      </c>
      <c r="AF156" s="97" t="s">
        <v>567</v>
      </c>
      <c r="AG156" s="97" t="s">
        <v>567</v>
      </c>
      <c r="AH156" s="97" t="s">
        <v>567</v>
      </c>
      <c r="AI156" s="97" t="s">
        <v>557</v>
      </c>
      <c r="AJ156" s="97" t="s">
        <v>567</v>
      </c>
      <c r="AK156" s="97" t="s">
        <v>567</v>
      </c>
      <c r="AL156" s="97" t="s">
        <v>567</v>
      </c>
      <c r="AM156" s="97" t="s">
        <v>567</v>
      </c>
      <c r="AO156" s="116">
        <f t="shared" si="9"/>
        <v>0</v>
      </c>
      <c r="AP156" s="116">
        <f t="shared" si="12"/>
        <v>0</v>
      </c>
      <c r="AQ156" s="116">
        <f t="shared" si="12"/>
        <v>6</v>
      </c>
      <c r="AR156" s="116">
        <f t="shared" si="12"/>
        <v>0</v>
      </c>
      <c r="AS156" s="116">
        <f t="shared" si="12"/>
        <v>0</v>
      </c>
      <c r="AT156" s="116">
        <f t="shared" si="12"/>
        <v>0</v>
      </c>
      <c r="AU156" s="116">
        <f t="shared" si="12"/>
        <v>0</v>
      </c>
      <c r="AV156" s="116">
        <f t="shared" si="12"/>
        <v>0</v>
      </c>
      <c r="AW156" s="116">
        <f t="shared" si="12"/>
        <v>0</v>
      </c>
      <c r="AX156" s="116">
        <f t="shared" si="12"/>
        <v>0</v>
      </c>
      <c r="AY156" s="116">
        <f t="shared" si="12"/>
        <v>0</v>
      </c>
      <c r="AZ156" s="116">
        <f t="shared" si="12"/>
        <v>0</v>
      </c>
      <c r="BA156" s="116">
        <f t="shared" si="12"/>
        <v>24</v>
      </c>
      <c r="BB156" s="117">
        <f t="shared" si="11"/>
        <v>30</v>
      </c>
      <c r="BD156" s="137">
        <v>30</v>
      </c>
    </row>
    <row r="157" spans="1:56" ht="48.95" customHeight="1">
      <c r="B157" s="112">
        <v>149</v>
      </c>
      <c r="C157" s="113">
        <v>52463545</v>
      </c>
      <c r="D157" s="114" t="s">
        <v>1080</v>
      </c>
      <c r="E157" s="123" t="s">
        <v>592</v>
      </c>
      <c r="F157" s="78" t="s">
        <v>506</v>
      </c>
      <c r="G157" s="77" t="s">
        <v>478</v>
      </c>
      <c r="H157" s="114" t="s">
        <v>1081</v>
      </c>
      <c r="I157" s="114" t="s">
        <v>600</v>
      </c>
      <c r="J157" s="97" t="s">
        <v>567</v>
      </c>
      <c r="K157" s="97" t="s">
        <v>567</v>
      </c>
      <c r="L157" s="97" t="s">
        <v>567</v>
      </c>
      <c r="M157" s="97" t="s">
        <v>567</v>
      </c>
      <c r="N157" s="97" t="s">
        <v>557</v>
      </c>
      <c r="O157" s="97" t="s">
        <v>558</v>
      </c>
      <c r="P157" s="97" t="s">
        <v>558</v>
      </c>
      <c r="Q157" s="97" t="s">
        <v>567</v>
      </c>
      <c r="R157" s="97" t="s">
        <v>567</v>
      </c>
      <c r="S157" s="97" t="s">
        <v>567</v>
      </c>
      <c r="T157" s="97" t="s">
        <v>567</v>
      </c>
      <c r="U157" s="97" t="s">
        <v>557</v>
      </c>
      <c r="V157" s="97" t="s">
        <v>557</v>
      </c>
      <c r="W157" s="97" t="s">
        <v>567</v>
      </c>
      <c r="X157" s="97" t="s">
        <v>567</v>
      </c>
      <c r="Y157" s="97" t="s">
        <v>567</v>
      </c>
      <c r="Z157" s="97" t="s">
        <v>567</v>
      </c>
      <c r="AA157" s="97" t="s">
        <v>567</v>
      </c>
      <c r="AB157" s="97" t="s">
        <v>557</v>
      </c>
      <c r="AC157" s="97" t="s">
        <v>557</v>
      </c>
      <c r="AD157" s="97" t="s">
        <v>567</v>
      </c>
      <c r="AE157" s="97" t="s">
        <v>567</v>
      </c>
      <c r="AF157" s="97" t="s">
        <v>567</v>
      </c>
      <c r="AG157" s="97" t="s">
        <v>567</v>
      </c>
      <c r="AH157" s="97" t="s">
        <v>567</v>
      </c>
      <c r="AI157" s="97" t="s">
        <v>557</v>
      </c>
      <c r="AJ157" s="97" t="s">
        <v>567</v>
      </c>
      <c r="AK157" s="97" t="s">
        <v>567</v>
      </c>
      <c r="AL157" s="97" t="s">
        <v>567</v>
      </c>
      <c r="AM157" s="97" t="s">
        <v>567</v>
      </c>
      <c r="AO157" s="116">
        <f t="shared" si="9"/>
        <v>0</v>
      </c>
      <c r="AP157" s="116">
        <f t="shared" si="12"/>
        <v>0</v>
      </c>
      <c r="AQ157" s="116">
        <f t="shared" si="12"/>
        <v>6</v>
      </c>
      <c r="AR157" s="116">
        <f t="shared" si="12"/>
        <v>2</v>
      </c>
      <c r="AS157" s="116">
        <f t="shared" si="12"/>
        <v>0</v>
      </c>
      <c r="AT157" s="116">
        <f t="shared" si="12"/>
        <v>0</v>
      </c>
      <c r="AU157" s="116">
        <f t="shared" si="12"/>
        <v>0</v>
      </c>
      <c r="AV157" s="116">
        <f t="shared" si="12"/>
        <v>0</v>
      </c>
      <c r="AW157" s="116">
        <f t="shared" si="12"/>
        <v>0</v>
      </c>
      <c r="AX157" s="116">
        <f t="shared" si="12"/>
        <v>0</v>
      </c>
      <c r="AY157" s="116">
        <f t="shared" si="12"/>
        <v>0</v>
      </c>
      <c r="AZ157" s="116">
        <f t="shared" si="12"/>
        <v>0</v>
      </c>
      <c r="BA157" s="116">
        <f t="shared" si="12"/>
        <v>22</v>
      </c>
      <c r="BB157" s="117">
        <f t="shared" si="11"/>
        <v>28</v>
      </c>
      <c r="BD157" s="137">
        <v>30</v>
      </c>
    </row>
    <row r="158" spans="1:56" ht="48.95" customHeight="1">
      <c r="B158" s="112">
        <v>150</v>
      </c>
      <c r="C158" s="113">
        <v>52038499</v>
      </c>
      <c r="D158" s="114" t="s">
        <v>1082</v>
      </c>
      <c r="E158" s="134" t="s">
        <v>592</v>
      </c>
      <c r="F158" s="78" t="s">
        <v>506</v>
      </c>
      <c r="G158" s="77" t="s">
        <v>478</v>
      </c>
      <c r="H158" s="114" t="s">
        <v>1083</v>
      </c>
      <c r="I158" s="114" t="s">
        <v>597</v>
      </c>
      <c r="J158" s="97" t="s">
        <v>567</v>
      </c>
      <c r="K158" s="97" t="s">
        <v>567</v>
      </c>
      <c r="L158" s="97" t="s">
        <v>567</v>
      </c>
      <c r="M158" s="97" t="s">
        <v>567</v>
      </c>
      <c r="N158" s="97" t="s">
        <v>558</v>
      </c>
      <c r="O158" s="97" t="s">
        <v>558</v>
      </c>
      <c r="P158" s="97" t="s">
        <v>558</v>
      </c>
      <c r="Q158" s="97" t="s">
        <v>558</v>
      </c>
      <c r="R158" s="97" t="s">
        <v>558</v>
      </c>
      <c r="S158" s="97" t="s">
        <v>567</v>
      </c>
      <c r="T158" s="97" t="s">
        <v>567</v>
      </c>
      <c r="U158" s="97" t="s">
        <v>557</v>
      </c>
      <c r="V158" s="97" t="s">
        <v>557</v>
      </c>
      <c r="W158" s="97" t="s">
        <v>567</v>
      </c>
      <c r="X158" s="97" t="s">
        <v>567</v>
      </c>
      <c r="Y158" s="97" t="s">
        <v>567</v>
      </c>
      <c r="Z158" s="97" t="s">
        <v>567</v>
      </c>
      <c r="AA158" s="97" t="s">
        <v>567</v>
      </c>
      <c r="AB158" s="97" t="s">
        <v>557</v>
      </c>
      <c r="AC158" s="97" t="s">
        <v>557</v>
      </c>
      <c r="AD158" s="97" t="s">
        <v>567</v>
      </c>
      <c r="AE158" s="97" t="s">
        <v>567</v>
      </c>
      <c r="AF158" s="97" t="s">
        <v>567</v>
      </c>
      <c r="AG158" s="97" t="s">
        <v>567</v>
      </c>
      <c r="AH158" s="97" t="s">
        <v>567</v>
      </c>
      <c r="AI158" s="97" t="s">
        <v>557</v>
      </c>
      <c r="AJ158" s="97" t="s">
        <v>567</v>
      </c>
      <c r="AK158" s="97" t="s">
        <v>567</v>
      </c>
      <c r="AL158" s="97" t="s">
        <v>567</v>
      </c>
      <c r="AM158" s="97" t="s">
        <v>567</v>
      </c>
      <c r="AO158" s="116">
        <f t="shared" si="9"/>
        <v>0</v>
      </c>
      <c r="AP158" s="116">
        <f t="shared" si="12"/>
        <v>0</v>
      </c>
      <c r="AQ158" s="116">
        <f t="shared" si="12"/>
        <v>5</v>
      </c>
      <c r="AR158" s="116">
        <f t="shared" si="12"/>
        <v>5</v>
      </c>
      <c r="AS158" s="116">
        <f t="shared" si="12"/>
        <v>0</v>
      </c>
      <c r="AT158" s="116">
        <f t="shared" si="12"/>
        <v>0</v>
      </c>
      <c r="AU158" s="116">
        <f t="shared" si="12"/>
        <v>0</v>
      </c>
      <c r="AV158" s="116">
        <f t="shared" si="12"/>
        <v>0</v>
      </c>
      <c r="AW158" s="116">
        <f t="shared" si="12"/>
        <v>0</v>
      </c>
      <c r="AX158" s="116">
        <f t="shared" si="12"/>
        <v>0</v>
      </c>
      <c r="AY158" s="116">
        <f t="shared" si="12"/>
        <v>0</v>
      </c>
      <c r="AZ158" s="116">
        <f t="shared" si="12"/>
        <v>0</v>
      </c>
      <c r="BA158" s="116">
        <f t="shared" si="12"/>
        <v>20</v>
      </c>
      <c r="BB158" s="117">
        <f t="shared" si="11"/>
        <v>25</v>
      </c>
      <c r="BD158" s="137">
        <v>30</v>
      </c>
    </row>
    <row r="159" spans="1:56" ht="48.95" customHeight="1">
      <c r="B159" s="112">
        <v>151</v>
      </c>
      <c r="C159" s="113">
        <v>28915752</v>
      </c>
      <c r="D159" s="114" t="s">
        <v>1084</v>
      </c>
      <c r="E159" s="134" t="s">
        <v>592</v>
      </c>
      <c r="F159" s="78" t="s">
        <v>506</v>
      </c>
      <c r="G159" s="77" t="s">
        <v>478</v>
      </c>
      <c r="H159" s="114" t="s">
        <v>1085</v>
      </c>
      <c r="I159" s="114" t="s">
        <v>597</v>
      </c>
      <c r="J159" s="97" t="s">
        <v>567</v>
      </c>
      <c r="K159" s="97" t="s">
        <v>567</v>
      </c>
      <c r="L159" s="97" t="s">
        <v>567</v>
      </c>
      <c r="M159" s="97" t="s">
        <v>567</v>
      </c>
      <c r="N159" s="97" t="s">
        <v>557</v>
      </c>
      <c r="O159" s="97" t="s">
        <v>567</v>
      </c>
      <c r="P159" s="97" t="s">
        <v>567</v>
      </c>
      <c r="Q159" s="97" t="s">
        <v>567</v>
      </c>
      <c r="R159" s="97" t="s">
        <v>567</v>
      </c>
      <c r="S159" s="97" t="s">
        <v>567</v>
      </c>
      <c r="T159" s="97" t="s">
        <v>567</v>
      </c>
      <c r="U159" s="97" t="s">
        <v>557</v>
      </c>
      <c r="V159" s="97" t="s">
        <v>557</v>
      </c>
      <c r="W159" s="97" t="s">
        <v>567</v>
      </c>
      <c r="X159" s="97" t="s">
        <v>567</v>
      </c>
      <c r="Y159" s="97" t="s">
        <v>567</v>
      </c>
      <c r="Z159" s="97" t="s">
        <v>567</v>
      </c>
      <c r="AA159" s="97" t="s">
        <v>567</v>
      </c>
      <c r="AB159" s="97" t="s">
        <v>557</v>
      </c>
      <c r="AC159" s="97" t="s">
        <v>557</v>
      </c>
      <c r="AD159" s="97" t="s">
        <v>567</v>
      </c>
      <c r="AE159" s="97" t="s">
        <v>567</v>
      </c>
      <c r="AF159" s="97" t="s">
        <v>567</v>
      </c>
      <c r="AG159" s="97" t="s">
        <v>567</v>
      </c>
      <c r="AH159" s="97" t="s">
        <v>567</v>
      </c>
      <c r="AI159" s="97" t="s">
        <v>557</v>
      </c>
      <c r="AJ159" s="97" t="s">
        <v>567</v>
      </c>
      <c r="AK159" s="97" t="s">
        <v>567</v>
      </c>
      <c r="AL159" s="97" t="s">
        <v>567</v>
      </c>
      <c r="AM159" s="97" t="s">
        <v>567</v>
      </c>
      <c r="AO159" s="116">
        <f t="shared" si="9"/>
        <v>0</v>
      </c>
      <c r="AP159" s="116">
        <f t="shared" si="12"/>
        <v>0</v>
      </c>
      <c r="AQ159" s="116">
        <f t="shared" si="12"/>
        <v>6</v>
      </c>
      <c r="AR159" s="116">
        <f t="shared" si="12"/>
        <v>0</v>
      </c>
      <c r="AS159" s="116">
        <f t="shared" si="12"/>
        <v>0</v>
      </c>
      <c r="AT159" s="116">
        <f t="shared" si="12"/>
        <v>0</v>
      </c>
      <c r="AU159" s="116">
        <f t="shared" si="12"/>
        <v>0</v>
      </c>
      <c r="AV159" s="116">
        <f t="shared" si="12"/>
        <v>0</v>
      </c>
      <c r="AW159" s="116">
        <f t="shared" si="12"/>
        <v>0</v>
      </c>
      <c r="AX159" s="116">
        <f t="shared" si="12"/>
        <v>0</v>
      </c>
      <c r="AY159" s="116">
        <f t="shared" si="12"/>
        <v>0</v>
      </c>
      <c r="AZ159" s="116">
        <f t="shared" si="12"/>
        <v>0</v>
      </c>
      <c r="BA159" s="116">
        <f t="shared" si="12"/>
        <v>24</v>
      </c>
      <c r="BB159" s="117">
        <f t="shared" si="11"/>
        <v>30</v>
      </c>
      <c r="BD159" s="137">
        <v>30</v>
      </c>
    </row>
    <row r="160" spans="1:56" ht="48.95" customHeight="1">
      <c r="B160" s="112">
        <v>152</v>
      </c>
      <c r="C160" s="113">
        <v>1024500166</v>
      </c>
      <c r="D160" s="114" t="s">
        <v>1086</v>
      </c>
      <c r="E160" s="134" t="s">
        <v>592</v>
      </c>
      <c r="F160" s="78" t="s">
        <v>506</v>
      </c>
      <c r="G160" s="77" t="s">
        <v>478</v>
      </c>
      <c r="H160" s="114" t="s">
        <v>1087</v>
      </c>
      <c r="I160" s="114" t="s">
        <v>597</v>
      </c>
      <c r="J160" s="97" t="s">
        <v>567</v>
      </c>
      <c r="K160" s="97" t="s">
        <v>567</v>
      </c>
      <c r="L160" s="97" t="s">
        <v>567</v>
      </c>
      <c r="M160" s="97" t="s">
        <v>567</v>
      </c>
      <c r="N160" s="97" t="s">
        <v>557</v>
      </c>
      <c r="O160" s="97" t="s">
        <v>567</v>
      </c>
      <c r="P160" s="97" t="s">
        <v>567</v>
      </c>
      <c r="Q160" s="97" t="s">
        <v>567</v>
      </c>
      <c r="R160" s="97" t="s">
        <v>567</v>
      </c>
      <c r="S160" s="97" t="s">
        <v>567</v>
      </c>
      <c r="T160" s="97" t="s">
        <v>567</v>
      </c>
      <c r="U160" s="97" t="s">
        <v>557</v>
      </c>
      <c r="V160" s="97" t="s">
        <v>557</v>
      </c>
      <c r="W160" s="97" t="s">
        <v>567</v>
      </c>
      <c r="X160" s="97" t="s">
        <v>567</v>
      </c>
      <c r="Y160" s="97" t="s">
        <v>567</v>
      </c>
      <c r="Z160" s="97" t="s">
        <v>567</v>
      </c>
      <c r="AA160" s="97" t="s">
        <v>567</v>
      </c>
      <c r="AB160" s="97" t="s">
        <v>557</v>
      </c>
      <c r="AC160" s="97" t="s">
        <v>557</v>
      </c>
      <c r="AD160" s="97" t="s">
        <v>567</v>
      </c>
      <c r="AE160" s="97" t="s">
        <v>567</v>
      </c>
      <c r="AF160" s="97" t="s">
        <v>567</v>
      </c>
      <c r="AG160" s="97" t="s">
        <v>567</v>
      </c>
      <c r="AH160" s="97" t="s">
        <v>567</v>
      </c>
      <c r="AI160" s="97" t="s">
        <v>557</v>
      </c>
      <c r="AJ160" s="97" t="s">
        <v>567</v>
      </c>
      <c r="AK160" s="97" t="s">
        <v>567</v>
      </c>
      <c r="AL160" s="97" t="s">
        <v>567</v>
      </c>
      <c r="AM160" s="97" t="s">
        <v>567</v>
      </c>
      <c r="AO160" s="116">
        <f t="shared" si="9"/>
        <v>0</v>
      </c>
      <c r="AP160" s="116">
        <f t="shared" si="12"/>
        <v>0</v>
      </c>
      <c r="AQ160" s="116">
        <f t="shared" si="12"/>
        <v>6</v>
      </c>
      <c r="AR160" s="116">
        <f t="shared" si="12"/>
        <v>0</v>
      </c>
      <c r="AS160" s="116">
        <f t="shared" si="12"/>
        <v>0</v>
      </c>
      <c r="AT160" s="116">
        <f t="shared" si="12"/>
        <v>0</v>
      </c>
      <c r="AU160" s="116">
        <f t="shared" si="12"/>
        <v>0</v>
      </c>
      <c r="AV160" s="116">
        <f t="shared" si="12"/>
        <v>0</v>
      </c>
      <c r="AW160" s="116">
        <f t="shared" si="12"/>
        <v>0</v>
      </c>
      <c r="AX160" s="116">
        <f t="shared" si="12"/>
        <v>0</v>
      </c>
      <c r="AY160" s="116">
        <f t="shared" si="12"/>
        <v>0</v>
      </c>
      <c r="AZ160" s="116">
        <f t="shared" si="12"/>
        <v>0</v>
      </c>
      <c r="BA160" s="116">
        <f t="shared" si="12"/>
        <v>24</v>
      </c>
      <c r="BB160" s="117">
        <f t="shared" si="11"/>
        <v>30</v>
      </c>
      <c r="BD160" s="137">
        <v>30</v>
      </c>
    </row>
    <row r="161" spans="1:56" ht="48.95" customHeight="1">
      <c r="B161" s="112">
        <v>153</v>
      </c>
      <c r="C161" s="113">
        <v>53153000</v>
      </c>
      <c r="D161" s="114" t="s">
        <v>1088</v>
      </c>
      <c r="E161" s="134" t="s">
        <v>592</v>
      </c>
      <c r="F161" s="78" t="s">
        <v>506</v>
      </c>
      <c r="G161" s="77" t="s">
        <v>478</v>
      </c>
      <c r="H161" s="114" t="s">
        <v>1089</v>
      </c>
      <c r="I161" s="114" t="s">
        <v>597</v>
      </c>
      <c r="J161" s="97" t="s">
        <v>567</v>
      </c>
      <c r="K161" s="97" t="s">
        <v>567</v>
      </c>
      <c r="L161" s="97" t="s">
        <v>567</v>
      </c>
      <c r="M161" s="97" t="s">
        <v>567</v>
      </c>
      <c r="N161" s="97" t="s">
        <v>557</v>
      </c>
      <c r="O161" s="97" t="s">
        <v>567</v>
      </c>
      <c r="P161" s="97" t="s">
        <v>562</v>
      </c>
      <c r="Q161" s="97" t="s">
        <v>562</v>
      </c>
      <c r="R161" s="97" t="s">
        <v>562</v>
      </c>
      <c r="S161" s="97" t="s">
        <v>567</v>
      </c>
      <c r="T161" s="97" t="s">
        <v>567</v>
      </c>
      <c r="U161" s="97" t="s">
        <v>557</v>
      </c>
      <c r="V161" s="97" t="s">
        <v>557</v>
      </c>
      <c r="W161" s="97" t="s">
        <v>567</v>
      </c>
      <c r="X161" s="97" t="s">
        <v>567</v>
      </c>
      <c r="Y161" s="97" t="s">
        <v>567</v>
      </c>
      <c r="Z161" s="97" t="s">
        <v>567</v>
      </c>
      <c r="AA161" s="97" t="s">
        <v>567</v>
      </c>
      <c r="AB161" s="97" t="s">
        <v>557</v>
      </c>
      <c r="AC161" s="97" t="s">
        <v>557</v>
      </c>
      <c r="AD161" s="97" t="s">
        <v>567</v>
      </c>
      <c r="AE161" s="97" t="s">
        <v>567</v>
      </c>
      <c r="AF161" s="97" t="s">
        <v>567</v>
      </c>
      <c r="AG161" s="97" t="s">
        <v>567</v>
      </c>
      <c r="AH161" s="97" t="s">
        <v>567</v>
      </c>
      <c r="AI161" s="97" t="s">
        <v>557</v>
      </c>
      <c r="AJ161" s="97" t="s">
        <v>567</v>
      </c>
      <c r="AK161" s="97" t="s">
        <v>567</v>
      </c>
      <c r="AL161" s="97" t="s">
        <v>567</v>
      </c>
      <c r="AM161" s="97" t="s">
        <v>567</v>
      </c>
      <c r="AO161" s="116">
        <f t="shared" si="9"/>
        <v>0</v>
      </c>
      <c r="AP161" s="116">
        <f t="shared" si="12"/>
        <v>0</v>
      </c>
      <c r="AQ161" s="116">
        <f t="shared" si="12"/>
        <v>6</v>
      </c>
      <c r="AR161" s="116">
        <f t="shared" si="12"/>
        <v>0</v>
      </c>
      <c r="AS161" s="116">
        <f t="shared" si="12"/>
        <v>0</v>
      </c>
      <c r="AT161" s="116">
        <f t="shared" si="12"/>
        <v>0</v>
      </c>
      <c r="AU161" s="116">
        <f t="shared" si="12"/>
        <v>0</v>
      </c>
      <c r="AV161" s="116">
        <f t="shared" si="12"/>
        <v>3</v>
      </c>
      <c r="AW161" s="116">
        <f t="shared" si="12"/>
        <v>0</v>
      </c>
      <c r="AX161" s="116">
        <f t="shared" si="12"/>
        <v>0</v>
      </c>
      <c r="AY161" s="116">
        <f t="shared" si="12"/>
        <v>0</v>
      </c>
      <c r="AZ161" s="116">
        <f t="shared" si="12"/>
        <v>0</v>
      </c>
      <c r="BA161" s="116">
        <f t="shared" ref="AP161:BA183" si="13">COUNTIF($J161:$AM161,BA$7)</f>
        <v>21</v>
      </c>
      <c r="BB161" s="117">
        <f t="shared" si="11"/>
        <v>27</v>
      </c>
      <c r="BD161" s="137">
        <v>30</v>
      </c>
    </row>
    <row r="162" spans="1:56" ht="48.95" customHeight="1">
      <c r="B162" s="112">
        <v>154</v>
      </c>
      <c r="C162" s="113">
        <v>52231175</v>
      </c>
      <c r="D162" s="114" t="s">
        <v>1090</v>
      </c>
      <c r="E162" s="134" t="s">
        <v>592</v>
      </c>
      <c r="F162" s="78" t="s">
        <v>506</v>
      </c>
      <c r="G162" s="77" t="s">
        <v>478</v>
      </c>
      <c r="H162" s="114" t="s">
        <v>1091</v>
      </c>
      <c r="I162" s="114" t="s">
        <v>999</v>
      </c>
      <c r="J162" s="97" t="s">
        <v>567</v>
      </c>
      <c r="K162" s="97" t="s">
        <v>567</v>
      </c>
      <c r="L162" s="97" t="s">
        <v>567</v>
      </c>
      <c r="M162" s="97" t="s">
        <v>567</v>
      </c>
      <c r="N162" s="97" t="s">
        <v>557</v>
      </c>
      <c r="O162" s="97" t="s">
        <v>567</v>
      </c>
      <c r="P162" s="97" t="s">
        <v>567</v>
      </c>
      <c r="Q162" s="97" t="s">
        <v>567</v>
      </c>
      <c r="R162" s="97" t="s">
        <v>567</v>
      </c>
      <c r="S162" s="97" t="s">
        <v>567</v>
      </c>
      <c r="T162" s="97" t="s">
        <v>567</v>
      </c>
      <c r="U162" s="97" t="s">
        <v>557</v>
      </c>
      <c r="V162" s="97" t="s">
        <v>557</v>
      </c>
      <c r="W162" s="97" t="s">
        <v>567</v>
      </c>
      <c r="X162" s="97" t="s">
        <v>567</v>
      </c>
      <c r="Y162" s="97" t="s">
        <v>567</v>
      </c>
      <c r="Z162" s="97" t="s">
        <v>567</v>
      </c>
      <c r="AA162" s="97" t="s">
        <v>567</v>
      </c>
      <c r="AB162" s="97" t="s">
        <v>557</v>
      </c>
      <c r="AC162" s="97" t="s">
        <v>557</v>
      </c>
      <c r="AD162" s="97" t="s">
        <v>567</v>
      </c>
      <c r="AE162" s="97" t="s">
        <v>567</v>
      </c>
      <c r="AF162" s="97" t="s">
        <v>567</v>
      </c>
      <c r="AG162" s="97" t="s">
        <v>567</v>
      </c>
      <c r="AH162" s="97" t="s">
        <v>567</v>
      </c>
      <c r="AI162" s="97" t="s">
        <v>557</v>
      </c>
      <c r="AJ162" s="97" t="s">
        <v>567</v>
      </c>
      <c r="AK162" s="97" t="s">
        <v>567</v>
      </c>
      <c r="AL162" s="97" t="s">
        <v>567</v>
      </c>
      <c r="AM162" s="97" t="s">
        <v>567</v>
      </c>
      <c r="AO162" s="116">
        <f t="shared" si="9"/>
        <v>0</v>
      </c>
      <c r="AP162" s="116">
        <f t="shared" si="13"/>
        <v>0</v>
      </c>
      <c r="AQ162" s="116">
        <f t="shared" si="13"/>
        <v>6</v>
      </c>
      <c r="AR162" s="116">
        <f t="shared" si="13"/>
        <v>0</v>
      </c>
      <c r="AS162" s="116">
        <f t="shared" si="13"/>
        <v>0</v>
      </c>
      <c r="AT162" s="116">
        <f t="shared" si="13"/>
        <v>0</v>
      </c>
      <c r="AU162" s="116">
        <f t="shared" si="13"/>
        <v>0</v>
      </c>
      <c r="AV162" s="116">
        <f t="shared" si="13"/>
        <v>0</v>
      </c>
      <c r="AW162" s="116">
        <f t="shared" si="13"/>
        <v>0</v>
      </c>
      <c r="AX162" s="116">
        <f t="shared" si="13"/>
        <v>0</v>
      </c>
      <c r="AY162" s="116">
        <f t="shared" si="13"/>
        <v>0</v>
      </c>
      <c r="AZ162" s="116">
        <f t="shared" si="13"/>
        <v>0</v>
      </c>
      <c r="BA162" s="116">
        <f t="shared" si="13"/>
        <v>24</v>
      </c>
      <c r="BB162" s="117">
        <f t="shared" si="11"/>
        <v>30</v>
      </c>
      <c r="BD162" s="137">
        <v>30</v>
      </c>
    </row>
    <row r="163" spans="1:56" ht="48.95" customHeight="1">
      <c r="B163" s="112">
        <v>155</v>
      </c>
      <c r="C163" s="113">
        <v>1003310552</v>
      </c>
      <c r="D163" s="114" t="s">
        <v>1092</v>
      </c>
      <c r="E163" s="134" t="s">
        <v>592</v>
      </c>
      <c r="F163" s="78" t="s">
        <v>506</v>
      </c>
      <c r="G163" s="77" t="s">
        <v>478</v>
      </c>
      <c r="H163" s="114" t="s">
        <v>1093</v>
      </c>
      <c r="I163" s="114" t="s">
        <v>597</v>
      </c>
      <c r="J163" s="97" t="s">
        <v>567</v>
      </c>
      <c r="K163" s="97" t="s">
        <v>567</v>
      </c>
      <c r="L163" s="97" t="s">
        <v>567</v>
      </c>
      <c r="M163" s="97" t="s">
        <v>567</v>
      </c>
      <c r="N163" s="97" t="s">
        <v>557</v>
      </c>
      <c r="O163" s="97" t="s">
        <v>567</v>
      </c>
      <c r="P163" s="97" t="s">
        <v>567</v>
      </c>
      <c r="Q163" s="97" t="s">
        <v>567</v>
      </c>
      <c r="R163" s="97" t="s">
        <v>567</v>
      </c>
      <c r="S163" s="97" t="s">
        <v>567</v>
      </c>
      <c r="T163" s="97" t="s">
        <v>567</v>
      </c>
      <c r="U163" s="97" t="s">
        <v>557</v>
      </c>
      <c r="V163" s="97" t="s">
        <v>557</v>
      </c>
      <c r="W163" s="97" t="s">
        <v>567</v>
      </c>
      <c r="X163" s="97" t="s">
        <v>567</v>
      </c>
      <c r="Y163" s="97" t="s">
        <v>567</v>
      </c>
      <c r="Z163" s="97" t="s">
        <v>567</v>
      </c>
      <c r="AA163" s="97" t="s">
        <v>567</v>
      </c>
      <c r="AB163" s="97" t="s">
        <v>557</v>
      </c>
      <c r="AC163" s="97" t="s">
        <v>557</v>
      </c>
      <c r="AD163" s="97" t="s">
        <v>567</v>
      </c>
      <c r="AE163" s="97" t="s">
        <v>567</v>
      </c>
      <c r="AF163" s="97" t="s">
        <v>567</v>
      </c>
      <c r="AG163" s="97" t="s">
        <v>567</v>
      </c>
      <c r="AH163" s="97" t="s">
        <v>567</v>
      </c>
      <c r="AI163" s="97" t="s">
        <v>557</v>
      </c>
      <c r="AJ163" s="97" t="s">
        <v>567</v>
      </c>
      <c r="AK163" s="97" t="s">
        <v>567</v>
      </c>
      <c r="AL163" s="97" t="s">
        <v>567</v>
      </c>
      <c r="AM163" s="97" t="s">
        <v>567</v>
      </c>
      <c r="AO163" s="116">
        <f t="shared" ref="AO163:AO208" si="14">COUNTIF($J163:$AM163,AO$7)</f>
        <v>0</v>
      </c>
      <c r="AP163" s="116">
        <f t="shared" si="13"/>
        <v>0</v>
      </c>
      <c r="AQ163" s="116">
        <f t="shared" si="13"/>
        <v>6</v>
      </c>
      <c r="AR163" s="116">
        <f t="shared" si="13"/>
        <v>0</v>
      </c>
      <c r="AS163" s="116">
        <f t="shared" si="13"/>
        <v>0</v>
      </c>
      <c r="AT163" s="116">
        <f t="shared" si="13"/>
        <v>0</v>
      </c>
      <c r="AU163" s="116">
        <f t="shared" si="13"/>
        <v>0</v>
      </c>
      <c r="AV163" s="116">
        <f t="shared" si="13"/>
        <v>0</v>
      </c>
      <c r="AW163" s="116">
        <f t="shared" si="13"/>
        <v>0</v>
      </c>
      <c r="AX163" s="116">
        <f t="shared" si="13"/>
        <v>0</v>
      </c>
      <c r="AY163" s="116">
        <f t="shared" si="13"/>
        <v>0</v>
      </c>
      <c r="AZ163" s="116">
        <f t="shared" si="13"/>
        <v>0</v>
      </c>
      <c r="BA163" s="116">
        <f t="shared" si="13"/>
        <v>24</v>
      </c>
      <c r="BB163" s="117">
        <f t="shared" si="11"/>
        <v>30</v>
      </c>
      <c r="BD163" s="137">
        <v>30</v>
      </c>
    </row>
    <row r="164" spans="1:56" ht="48.95" customHeight="1">
      <c r="B164" s="112">
        <v>156</v>
      </c>
      <c r="C164" s="113">
        <v>79697226</v>
      </c>
      <c r="D164" s="114" t="s">
        <v>1094</v>
      </c>
      <c r="E164" s="134" t="s">
        <v>592</v>
      </c>
      <c r="F164" s="78" t="s">
        <v>507</v>
      </c>
      <c r="G164" s="77" t="s">
        <v>478</v>
      </c>
      <c r="H164" s="114" t="s">
        <v>1095</v>
      </c>
      <c r="I164" s="114" t="s">
        <v>1096</v>
      </c>
      <c r="J164" s="97" t="s">
        <v>567</v>
      </c>
      <c r="K164" s="97" t="s">
        <v>567</v>
      </c>
      <c r="L164" s="97" t="s">
        <v>567</v>
      </c>
      <c r="M164" s="97" t="s">
        <v>567</v>
      </c>
      <c r="N164" s="97" t="s">
        <v>557</v>
      </c>
      <c r="O164" s="97" t="s">
        <v>567</v>
      </c>
      <c r="P164" s="97" t="s">
        <v>567</v>
      </c>
      <c r="Q164" s="97" t="s">
        <v>567</v>
      </c>
      <c r="R164" s="97" t="s">
        <v>567</v>
      </c>
      <c r="S164" s="97" t="s">
        <v>567</v>
      </c>
      <c r="T164" s="97" t="s">
        <v>567</v>
      </c>
      <c r="U164" s="97" t="s">
        <v>557</v>
      </c>
      <c r="V164" s="97" t="s">
        <v>557</v>
      </c>
      <c r="W164" s="97" t="s">
        <v>567</v>
      </c>
      <c r="X164" s="97" t="s">
        <v>567</v>
      </c>
      <c r="Y164" s="97" t="s">
        <v>567</v>
      </c>
      <c r="Z164" s="97" t="s">
        <v>567</v>
      </c>
      <c r="AA164" s="97" t="s">
        <v>567</v>
      </c>
      <c r="AB164" s="97" t="s">
        <v>557</v>
      </c>
      <c r="AC164" s="97" t="s">
        <v>557</v>
      </c>
      <c r="AD164" s="97" t="s">
        <v>567</v>
      </c>
      <c r="AE164" s="97" t="s">
        <v>567</v>
      </c>
      <c r="AF164" s="97" t="s">
        <v>567</v>
      </c>
      <c r="AG164" s="97" t="s">
        <v>567</v>
      </c>
      <c r="AH164" s="97" t="s">
        <v>567</v>
      </c>
      <c r="AI164" s="97" t="s">
        <v>557</v>
      </c>
      <c r="AJ164" s="97" t="s">
        <v>567</v>
      </c>
      <c r="AK164" s="97" t="s">
        <v>567</v>
      </c>
      <c r="AL164" s="97" t="s">
        <v>567</v>
      </c>
      <c r="AM164" s="97" t="s">
        <v>567</v>
      </c>
      <c r="AO164" s="116">
        <f t="shared" si="14"/>
        <v>0</v>
      </c>
      <c r="AP164" s="116">
        <f t="shared" si="13"/>
        <v>0</v>
      </c>
      <c r="AQ164" s="116">
        <f t="shared" si="13"/>
        <v>6</v>
      </c>
      <c r="AR164" s="116">
        <f t="shared" si="13"/>
        <v>0</v>
      </c>
      <c r="AS164" s="116">
        <f t="shared" si="13"/>
        <v>0</v>
      </c>
      <c r="AT164" s="116">
        <f t="shared" si="13"/>
        <v>0</v>
      </c>
      <c r="AU164" s="116">
        <f t="shared" si="13"/>
        <v>0</v>
      </c>
      <c r="AV164" s="116">
        <f t="shared" si="13"/>
        <v>0</v>
      </c>
      <c r="AW164" s="116">
        <f t="shared" si="13"/>
        <v>0</v>
      </c>
      <c r="AX164" s="116">
        <f t="shared" si="13"/>
        <v>0</v>
      </c>
      <c r="AY164" s="116">
        <f t="shared" si="13"/>
        <v>0</v>
      </c>
      <c r="AZ164" s="116">
        <f t="shared" si="13"/>
        <v>0</v>
      </c>
      <c r="BA164" s="116">
        <f t="shared" si="13"/>
        <v>24</v>
      </c>
      <c r="BB164" s="117">
        <f t="shared" si="11"/>
        <v>30</v>
      </c>
      <c r="BD164" s="137">
        <v>30</v>
      </c>
    </row>
    <row r="165" spans="1:56" ht="48.95" customHeight="1">
      <c r="B165" s="112">
        <v>157</v>
      </c>
      <c r="C165" s="113">
        <v>52295952</v>
      </c>
      <c r="D165" s="114" t="s">
        <v>1097</v>
      </c>
      <c r="E165" s="134" t="s">
        <v>592</v>
      </c>
      <c r="F165" s="78" t="s">
        <v>506</v>
      </c>
      <c r="G165" s="77" t="s">
        <v>478</v>
      </c>
      <c r="H165" s="114" t="s">
        <v>1098</v>
      </c>
      <c r="I165" s="114" t="s">
        <v>597</v>
      </c>
      <c r="J165" s="97" t="s">
        <v>567</v>
      </c>
      <c r="K165" s="97" t="s">
        <v>558</v>
      </c>
      <c r="L165" s="97" t="s">
        <v>558</v>
      </c>
      <c r="M165" s="97" t="s">
        <v>558</v>
      </c>
      <c r="N165" s="97" t="s">
        <v>557</v>
      </c>
      <c r="O165" s="97" t="s">
        <v>567</v>
      </c>
      <c r="P165" s="97" t="s">
        <v>567</v>
      </c>
      <c r="Q165" s="97" t="s">
        <v>567</v>
      </c>
      <c r="R165" s="97" t="s">
        <v>567</v>
      </c>
      <c r="S165" s="97" t="s">
        <v>567</v>
      </c>
      <c r="T165" s="97" t="s">
        <v>567</v>
      </c>
      <c r="U165" s="97" t="s">
        <v>557</v>
      </c>
      <c r="V165" s="97" t="s">
        <v>557</v>
      </c>
      <c r="W165" s="97" t="s">
        <v>567</v>
      </c>
      <c r="X165" s="97" t="s">
        <v>567</v>
      </c>
      <c r="Y165" s="97" t="s">
        <v>567</v>
      </c>
      <c r="Z165" s="97" t="s">
        <v>567</v>
      </c>
      <c r="AA165" s="97" t="s">
        <v>567</v>
      </c>
      <c r="AB165" s="97" t="s">
        <v>557</v>
      </c>
      <c r="AC165" s="97" t="s">
        <v>557</v>
      </c>
      <c r="AD165" s="97" t="s">
        <v>567</v>
      </c>
      <c r="AE165" s="97" t="s">
        <v>567</v>
      </c>
      <c r="AF165" s="97" t="s">
        <v>567</v>
      </c>
      <c r="AG165" s="97" t="s">
        <v>567</v>
      </c>
      <c r="AH165" s="97" t="s">
        <v>567</v>
      </c>
      <c r="AI165" s="97" t="s">
        <v>557</v>
      </c>
      <c r="AJ165" s="97" t="s">
        <v>567</v>
      </c>
      <c r="AK165" s="97" t="s">
        <v>567</v>
      </c>
      <c r="AL165" s="97" t="s">
        <v>567</v>
      </c>
      <c r="AM165" s="97" t="s">
        <v>567</v>
      </c>
      <c r="AO165" s="116">
        <f t="shared" si="14"/>
        <v>0</v>
      </c>
      <c r="AP165" s="116">
        <f t="shared" si="13"/>
        <v>0</v>
      </c>
      <c r="AQ165" s="116">
        <f t="shared" si="13"/>
        <v>6</v>
      </c>
      <c r="AR165" s="116">
        <f t="shared" si="13"/>
        <v>3</v>
      </c>
      <c r="AS165" s="116">
        <f t="shared" si="13"/>
        <v>0</v>
      </c>
      <c r="AT165" s="116">
        <f t="shared" si="13"/>
        <v>0</v>
      </c>
      <c r="AU165" s="116">
        <f t="shared" si="13"/>
        <v>0</v>
      </c>
      <c r="AV165" s="116">
        <f t="shared" si="13"/>
        <v>0</v>
      </c>
      <c r="AW165" s="116">
        <f t="shared" si="13"/>
        <v>0</v>
      </c>
      <c r="AX165" s="116">
        <f t="shared" si="13"/>
        <v>0</v>
      </c>
      <c r="AY165" s="116">
        <f t="shared" si="13"/>
        <v>0</v>
      </c>
      <c r="AZ165" s="116">
        <f t="shared" si="13"/>
        <v>0</v>
      </c>
      <c r="BA165" s="116">
        <f t="shared" si="13"/>
        <v>21</v>
      </c>
      <c r="BB165" s="117">
        <f t="shared" si="11"/>
        <v>27</v>
      </c>
      <c r="BD165" s="137">
        <v>30</v>
      </c>
    </row>
    <row r="166" spans="1:56" ht="48.95" customHeight="1">
      <c r="B166" s="112">
        <v>158</v>
      </c>
      <c r="C166" s="113">
        <v>52064334</v>
      </c>
      <c r="D166" s="114" t="s">
        <v>1099</v>
      </c>
      <c r="E166" s="134" t="s">
        <v>592</v>
      </c>
      <c r="F166" s="78" t="s">
        <v>506</v>
      </c>
      <c r="G166" s="77" t="s">
        <v>478</v>
      </c>
      <c r="H166" s="114" t="s">
        <v>1100</v>
      </c>
      <c r="I166" s="114" t="s">
        <v>597</v>
      </c>
      <c r="J166" s="97" t="s">
        <v>567</v>
      </c>
      <c r="K166" s="97" t="s">
        <v>567</v>
      </c>
      <c r="L166" s="97" t="s">
        <v>567</v>
      </c>
      <c r="M166" s="97" t="s">
        <v>567</v>
      </c>
      <c r="N166" s="97" t="s">
        <v>557</v>
      </c>
      <c r="O166" s="97" t="s">
        <v>567</v>
      </c>
      <c r="P166" s="97" t="s">
        <v>567</v>
      </c>
      <c r="Q166" s="97" t="s">
        <v>567</v>
      </c>
      <c r="R166" s="97" t="s">
        <v>567</v>
      </c>
      <c r="S166" s="97" t="s">
        <v>567</v>
      </c>
      <c r="T166" s="97" t="s">
        <v>567</v>
      </c>
      <c r="U166" s="97" t="s">
        <v>557</v>
      </c>
      <c r="V166" s="97" t="s">
        <v>557</v>
      </c>
      <c r="W166" s="97" t="s">
        <v>567</v>
      </c>
      <c r="X166" s="97" t="s">
        <v>567</v>
      </c>
      <c r="Y166" s="97" t="s">
        <v>567</v>
      </c>
      <c r="Z166" s="97" t="s">
        <v>567</v>
      </c>
      <c r="AA166" s="97" t="s">
        <v>567</v>
      </c>
      <c r="AB166" s="97" t="s">
        <v>557</v>
      </c>
      <c r="AC166" s="97" t="s">
        <v>557</v>
      </c>
      <c r="AD166" s="97" t="s">
        <v>567</v>
      </c>
      <c r="AE166" s="97" t="s">
        <v>567</v>
      </c>
      <c r="AF166" s="97" t="s">
        <v>567</v>
      </c>
      <c r="AG166" s="97" t="s">
        <v>567</v>
      </c>
      <c r="AH166" s="97" t="s">
        <v>567</v>
      </c>
      <c r="AI166" s="97" t="s">
        <v>557</v>
      </c>
      <c r="AJ166" s="97" t="s">
        <v>567</v>
      </c>
      <c r="AK166" s="97" t="s">
        <v>567</v>
      </c>
      <c r="AL166" s="97" t="s">
        <v>567</v>
      </c>
      <c r="AM166" s="97" t="s">
        <v>567</v>
      </c>
      <c r="AO166" s="116">
        <f t="shared" si="14"/>
        <v>0</v>
      </c>
      <c r="AP166" s="116">
        <f t="shared" si="13"/>
        <v>0</v>
      </c>
      <c r="AQ166" s="116">
        <f t="shared" si="13"/>
        <v>6</v>
      </c>
      <c r="AR166" s="116">
        <f t="shared" si="13"/>
        <v>0</v>
      </c>
      <c r="AS166" s="116">
        <f t="shared" si="13"/>
        <v>0</v>
      </c>
      <c r="AT166" s="116">
        <f t="shared" si="13"/>
        <v>0</v>
      </c>
      <c r="AU166" s="116">
        <f t="shared" si="13"/>
        <v>0</v>
      </c>
      <c r="AV166" s="116">
        <f t="shared" si="13"/>
        <v>0</v>
      </c>
      <c r="AW166" s="116">
        <f t="shared" si="13"/>
        <v>0</v>
      </c>
      <c r="AX166" s="116">
        <f t="shared" si="13"/>
        <v>0</v>
      </c>
      <c r="AY166" s="116">
        <f t="shared" si="13"/>
        <v>0</v>
      </c>
      <c r="AZ166" s="116">
        <f t="shared" si="13"/>
        <v>0</v>
      </c>
      <c r="BA166" s="116">
        <f t="shared" si="13"/>
        <v>24</v>
      </c>
      <c r="BB166" s="117">
        <f t="shared" si="11"/>
        <v>30</v>
      </c>
      <c r="BD166" s="137">
        <v>30</v>
      </c>
    </row>
    <row r="167" spans="1:56" ht="48.95" customHeight="1">
      <c r="B167" s="112">
        <v>159</v>
      </c>
      <c r="C167" s="113">
        <v>79612751</v>
      </c>
      <c r="D167" s="114" t="s">
        <v>1101</v>
      </c>
      <c r="E167" s="134" t="s">
        <v>592</v>
      </c>
      <c r="F167" s="78" t="s">
        <v>507</v>
      </c>
      <c r="G167" s="82" t="s">
        <v>490</v>
      </c>
      <c r="H167" s="114" t="s">
        <v>1102</v>
      </c>
      <c r="I167" s="114" t="s">
        <v>1103</v>
      </c>
      <c r="J167" s="97" t="s">
        <v>567</v>
      </c>
      <c r="K167" s="97" t="s">
        <v>567</v>
      </c>
      <c r="L167" s="97" t="s">
        <v>567</v>
      </c>
      <c r="M167" s="97" t="s">
        <v>567</v>
      </c>
      <c r="N167" s="97" t="s">
        <v>557</v>
      </c>
      <c r="O167" s="97" t="s">
        <v>567</v>
      </c>
      <c r="P167" s="97" t="s">
        <v>567</v>
      </c>
      <c r="Q167" s="97" t="s">
        <v>567</v>
      </c>
      <c r="R167" s="97" t="s">
        <v>567</v>
      </c>
      <c r="S167" s="97" t="s">
        <v>567</v>
      </c>
      <c r="T167" s="97" t="s">
        <v>567</v>
      </c>
      <c r="U167" s="97" t="s">
        <v>557</v>
      </c>
      <c r="V167" s="97" t="s">
        <v>557</v>
      </c>
      <c r="W167" s="97" t="s">
        <v>567</v>
      </c>
      <c r="X167" s="97" t="s">
        <v>567</v>
      </c>
      <c r="Y167" s="97" t="s">
        <v>567</v>
      </c>
      <c r="Z167" s="97" t="s">
        <v>567</v>
      </c>
      <c r="AA167" s="97" t="s">
        <v>567</v>
      </c>
      <c r="AB167" s="97" t="s">
        <v>557</v>
      </c>
      <c r="AC167" s="97" t="s">
        <v>557</v>
      </c>
      <c r="AD167" s="97" t="s">
        <v>567</v>
      </c>
      <c r="AE167" s="97" t="s">
        <v>567</v>
      </c>
      <c r="AF167" s="97" t="s">
        <v>567</v>
      </c>
      <c r="AG167" s="97" t="s">
        <v>567</v>
      </c>
      <c r="AH167" s="97" t="s">
        <v>567</v>
      </c>
      <c r="AI167" s="97" t="s">
        <v>557</v>
      </c>
      <c r="AJ167" s="97" t="s">
        <v>567</v>
      </c>
      <c r="AK167" s="97" t="s">
        <v>567</v>
      </c>
      <c r="AL167" s="97" t="s">
        <v>567</v>
      </c>
      <c r="AM167" s="97" t="s">
        <v>567</v>
      </c>
      <c r="AO167" s="116">
        <f t="shared" si="14"/>
        <v>0</v>
      </c>
      <c r="AP167" s="116">
        <f t="shared" si="13"/>
        <v>0</v>
      </c>
      <c r="AQ167" s="116">
        <f t="shared" si="13"/>
        <v>6</v>
      </c>
      <c r="AR167" s="116">
        <f t="shared" si="13"/>
        <v>0</v>
      </c>
      <c r="AS167" s="116">
        <f t="shared" si="13"/>
        <v>0</v>
      </c>
      <c r="AT167" s="116">
        <f t="shared" si="13"/>
        <v>0</v>
      </c>
      <c r="AU167" s="116">
        <f t="shared" si="13"/>
        <v>0</v>
      </c>
      <c r="AV167" s="116">
        <f t="shared" si="13"/>
        <v>0</v>
      </c>
      <c r="AW167" s="116">
        <f t="shared" si="13"/>
        <v>0</v>
      </c>
      <c r="AX167" s="116">
        <f t="shared" si="13"/>
        <v>0</v>
      </c>
      <c r="AY167" s="116">
        <f t="shared" si="13"/>
        <v>0</v>
      </c>
      <c r="AZ167" s="116">
        <f t="shared" si="13"/>
        <v>0</v>
      </c>
      <c r="BA167" s="116">
        <f t="shared" si="13"/>
        <v>24</v>
      </c>
      <c r="BB167" s="117">
        <f t="shared" si="11"/>
        <v>30</v>
      </c>
      <c r="BD167" s="137">
        <v>30</v>
      </c>
    </row>
    <row r="168" spans="1:56" ht="48.95" customHeight="1">
      <c r="B168" s="112">
        <v>160</v>
      </c>
      <c r="C168" s="113">
        <v>52348638</v>
      </c>
      <c r="D168" s="114" t="s">
        <v>1104</v>
      </c>
      <c r="E168" s="134" t="s">
        <v>592</v>
      </c>
      <c r="F168" s="78" t="s">
        <v>506</v>
      </c>
      <c r="G168" s="77" t="s">
        <v>490</v>
      </c>
      <c r="H168" s="114" t="s">
        <v>1105</v>
      </c>
      <c r="I168" s="114" t="s">
        <v>597</v>
      </c>
      <c r="J168" s="97" t="s">
        <v>567</v>
      </c>
      <c r="K168" s="97" t="s">
        <v>567</v>
      </c>
      <c r="L168" s="97" t="s">
        <v>567</v>
      </c>
      <c r="M168" s="97" t="s">
        <v>567</v>
      </c>
      <c r="N168" s="97" t="s">
        <v>557</v>
      </c>
      <c r="O168" s="97" t="s">
        <v>567</v>
      </c>
      <c r="P168" s="97" t="s">
        <v>567</v>
      </c>
      <c r="Q168" s="97" t="s">
        <v>567</v>
      </c>
      <c r="R168" s="97" t="s">
        <v>567</v>
      </c>
      <c r="S168" s="97" t="s">
        <v>567</v>
      </c>
      <c r="T168" s="97" t="s">
        <v>567</v>
      </c>
      <c r="U168" s="97" t="s">
        <v>557</v>
      </c>
      <c r="V168" s="97" t="s">
        <v>557</v>
      </c>
      <c r="W168" s="97" t="s">
        <v>567</v>
      </c>
      <c r="X168" s="97" t="s">
        <v>567</v>
      </c>
      <c r="Y168" s="97" t="s">
        <v>567</v>
      </c>
      <c r="Z168" s="97" t="s">
        <v>567</v>
      </c>
      <c r="AA168" s="97" t="s">
        <v>567</v>
      </c>
      <c r="AB168" s="97" t="s">
        <v>557</v>
      </c>
      <c r="AC168" s="97" t="s">
        <v>557</v>
      </c>
      <c r="AD168" s="97" t="s">
        <v>567</v>
      </c>
      <c r="AE168" s="97" t="s">
        <v>567</v>
      </c>
      <c r="AF168" s="97" t="s">
        <v>567</v>
      </c>
      <c r="AG168" s="97" t="s">
        <v>567</v>
      </c>
      <c r="AH168" s="97" t="s">
        <v>567</v>
      </c>
      <c r="AI168" s="97" t="s">
        <v>557</v>
      </c>
      <c r="AJ168" s="97" t="s">
        <v>567</v>
      </c>
      <c r="AK168" s="97" t="s">
        <v>567</v>
      </c>
      <c r="AL168" s="97" t="s">
        <v>567</v>
      </c>
      <c r="AM168" s="97" t="s">
        <v>567</v>
      </c>
      <c r="AO168" s="116">
        <f t="shared" si="14"/>
        <v>0</v>
      </c>
      <c r="AP168" s="116">
        <f t="shared" si="13"/>
        <v>0</v>
      </c>
      <c r="AQ168" s="116">
        <f t="shared" si="13"/>
        <v>6</v>
      </c>
      <c r="AR168" s="116">
        <f t="shared" si="13"/>
        <v>0</v>
      </c>
      <c r="AS168" s="116">
        <f t="shared" si="13"/>
        <v>0</v>
      </c>
      <c r="AT168" s="116">
        <f t="shared" si="13"/>
        <v>0</v>
      </c>
      <c r="AU168" s="116">
        <f t="shared" si="13"/>
        <v>0</v>
      </c>
      <c r="AV168" s="116">
        <f t="shared" si="13"/>
        <v>0</v>
      </c>
      <c r="AW168" s="116">
        <f t="shared" si="13"/>
        <v>0</v>
      </c>
      <c r="AX168" s="116">
        <f t="shared" si="13"/>
        <v>0</v>
      </c>
      <c r="AY168" s="116">
        <f t="shared" si="13"/>
        <v>0</v>
      </c>
      <c r="AZ168" s="116">
        <f t="shared" si="13"/>
        <v>0</v>
      </c>
      <c r="BA168" s="116">
        <f t="shared" si="13"/>
        <v>24</v>
      </c>
      <c r="BB168" s="117">
        <f t="shared" si="11"/>
        <v>30</v>
      </c>
      <c r="BD168" s="137">
        <v>30</v>
      </c>
    </row>
    <row r="169" spans="1:56" ht="48.95" customHeight="1">
      <c r="B169" s="112">
        <v>161</v>
      </c>
      <c r="C169" s="113">
        <v>1023031155</v>
      </c>
      <c r="D169" s="114" t="s">
        <v>1106</v>
      </c>
      <c r="E169" s="134" t="s">
        <v>592</v>
      </c>
      <c r="F169" s="78" t="s">
        <v>506</v>
      </c>
      <c r="G169" s="77" t="s">
        <v>490</v>
      </c>
      <c r="H169" s="114" t="s">
        <v>1107</v>
      </c>
      <c r="I169" s="114" t="s">
        <v>597</v>
      </c>
      <c r="J169" s="97" t="s">
        <v>567</v>
      </c>
      <c r="K169" s="97" t="s">
        <v>567</v>
      </c>
      <c r="L169" s="97" t="s">
        <v>567</v>
      </c>
      <c r="M169" s="97" t="s">
        <v>567</v>
      </c>
      <c r="N169" s="97" t="s">
        <v>557</v>
      </c>
      <c r="O169" s="97" t="s">
        <v>567</v>
      </c>
      <c r="P169" s="97" t="s">
        <v>567</v>
      </c>
      <c r="Q169" s="97" t="s">
        <v>567</v>
      </c>
      <c r="R169" s="97" t="s">
        <v>567</v>
      </c>
      <c r="S169" s="97" t="s">
        <v>567</v>
      </c>
      <c r="T169" s="97" t="s">
        <v>567</v>
      </c>
      <c r="U169" s="97" t="s">
        <v>557</v>
      </c>
      <c r="V169" s="97" t="s">
        <v>557</v>
      </c>
      <c r="W169" s="97" t="s">
        <v>567</v>
      </c>
      <c r="X169" s="97" t="s">
        <v>567</v>
      </c>
      <c r="Y169" s="97" t="s">
        <v>567</v>
      </c>
      <c r="Z169" s="97" t="s">
        <v>567</v>
      </c>
      <c r="AA169" s="97" t="s">
        <v>567</v>
      </c>
      <c r="AB169" s="97" t="s">
        <v>557</v>
      </c>
      <c r="AC169" s="97" t="s">
        <v>557</v>
      </c>
      <c r="AD169" s="97" t="s">
        <v>567</v>
      </c>
      <c r="AE169" s="97" t="s">
        <v>567</v>
      </c>
      <c r="AF169" s="97" t="s">
        <v>567</v>
      </c>
      <c r="AG169" s="97" t="s">
        <v>567</v>
      </c>
      <c r="AH169" s="97" t="s">
        <v>567</v>
      </c>
      <c r="AI169" s="97" t="s">
        <v>557</v>
      </c>
      <c r="AJ169" s="97" t="s">
        <v>567</v>
      </c>
      <c r="AK169" s="97" t="s">
        <v>567</v>
      </c>
      <c r="AL169" s="97" t="s">
        <v>567</v>
      </c>
      <c r="AM169" s="97" t="s">
        <v>567</v>
      </c>
      <c r="AO169" s="116">
        <f t="shared" si="14"/>
        <v>0</v>
      </c>
      <c r="AP169" s="116">
        <f t="shared" si="13"/>
        <v>0</v>
      </c>
      <c r="AQ169" s="116">
        <f t="shared" si="13"/>
        <v>6</v>
      </c>
      <c r="AR169" s="116">
        <f t="shared" si="13"/>
        <v>0</v>
      </c>
      <c r="AS169" s="116">
        <f t="shared" si="13"/>
        <v>0</v>
      </c>
      <c r="AT169" s="116">
        <f t="shared" si="13"/>
        <v>0</v>
      </c>
      <c r="AU169" s="116">
        <f t="shared" si="13"/>
        <v>0</v>
      </c>
      <c r="AV169" s="116">
        <f t="shared" si="13"/>
        <v>0</v>
      </c>
      <c r="AW169" s="116">
        <f t="shared" si="13"/>
        <v>0</v>
      </c>
      <c r="AX169" s="116">
        <f t="shared" si="13"/>
        <v>0</v>
      </c>
      <c r="AY169" s="116">
        <f t="shared" si="13"/>
        <v>0</v>
      </c>
      <c r="AZ169" s="116">
        <f t="shared" si="13"/>
        <v>0</v>
      </c>
      <c r="BA169" s="116">
        <f t="shared" si="13"/>
        <v>24</v>
      </c>
      <c r="BB169" s="117">
        <f t="shared" si="11"/>
        <v>30</v>
      </c>
      <c r="BD169" s="137">
        <v>30</v>
      </c>
    </row>
    <row r="170" spans="1:56" ht="48.95" customHeight="1">
      <c r="B170" s="112">
        <v>162</v>
      </c>
      <c r="C170" s="113">
        <v>1024583299</v>
      </c>
      <c r="D170" s="114" t="s">
        <v>1108</v>
      </c>
      <c r="E170" s="134" t="s">
        <v>592</v>
      </c>
      <c r="F170" s="78" t="s">
        <v>506</v>
      </c>
      <c r="G170" s="77" t="s">
        <v>490</v>
      </c>
      <c r="H170" s="114" t="s">
        <v>1109</v>
      </c>
      <c r="I170" s="114" t="s">
        <v>597</v>
      </c>
      <c r="J170" s="97" t="s">
        <v>567</v>
      </c>
      <c r="K170" s="97" t="s">
        <v>567</v>
      </c>
      <c r="L170" s="97" t="s">
        <v>567</v>
      </c>
      <c r="M170" s="97" t="s">
        <v>567</v>
      </c>
      <c r="N170" s="97" t="s">
        <v>557</v>
      </c>
      <c r="O170" s="97" t="s">
        <v>567</v>
      </c>
      <c r="P170" s="97" t="s">
        <v>567</v>
      </c>
      <c r="Q170" s="97" t="s">
        <v>567</v>
      </c>
      <c r="R170" s="97" t="s">
        <v>567</v>
      </c>
      <c r="S170" s="97" t="s">
        <v>567</v>
      </c>
      <c r="T170" s="97" t="s">
        <v>567</v>
      </c>
      <c r="U170" s="97" t="s">
        <v>557</v>
      </c>
      <c r="V170" s="97" t="s">
        <v>557</v>
      </c>
      <c r="W170" s="97" t="s">
        <v>567</v>
      </c>
      <c r="X170" s="97" t="s">
        <v>567</v>
      </c>
      <c r="Y170" s="97" t="s">
        <v>567</v>
      </c>
      <c r="Z170" s="97" t="s">
        <v>567</v>
      </c>
      <c r="AA170" s="97" t="s">
        <v>567</v>
      </c>
      <c r="AB170" s="97" t="s">
        <v>557</v>
      </c>
      <c r="AC170" s="97" t="s">
        <v>557</v>
      </c>
      <c r="AD170" s="97" t="s">
        <v>558</v>
      </c>
      <c r="AE170" s="97" t="s">
        <v>558</v>
      </c>
      <c r="AF170" s="97" t="s">
        <v>567</v>
      </c>
      <c r="AG170" s="97" t="s">
        <v>567</v>
      </c>
      <c r="AH170" s="97" t="s">
        <v>567</v>
      </c>
      <c r="AI170" s="97" t="s">
        <v>557</v>
      </c>
      <c r="AJ170" s="97" t="s">
        <v>567</v>
      </c>
      <c r="AK170" s="97" t="s">
        <v>567</v>
      </c>
      <c r="AL170" s="97" t="s">
        <v>567</v>
      </c>
      <c r="AM170" s="97" t="s">
        <v>567</v>
      </c>
      <c r="AO170" s="116">
        <f t="shared" si="14"/>
        <v>0</v>
      </c>
      <c r="AP170" s="116">
        <f t="shared" si="13"/>
        <v>0</v>
      </c>
      <c r="AQ170" s="116">
        <f t="shared" si="13"/>
        <v>6</v>
      </c>
      <c r="AR170" s="116">
        <f t="shared" si="13"/>
        <v>2</v>
      </c>
      <c r="AS170" s="116">
        <f t="shared" si="13"/>
        <v>0</v>
      </c>
      <c r="AT170" s="116">
        <f t="shared" si="13"/>
        <v>0</v>
      </c>
      <c r="AU170" s="116">
        <f t="shared" si="13"/>
        <v>0</v>
      </c>
      <c r="AV170" s="116">
        <f t="shared" si="13"/>
        <v>0</v>
      </c>
      <c r="AW170" s="116">
        <f t="shared" si="13"/>
        <v>0</v>
      </c>
      <c r="AX170" s="116">
        <f t="shared" si="13"/>
        <v>0</v>
      </c>
      <c r="AY170" s="116">
        <f t="shared" si="13"/>
        <v>0</v>
      </c>
      <c r="AZ170" s="116">
        <f t="shared" si="13"/>
        <v>0</v>
      </c>
      <c r="BA170" s="116">
        <f t="shared" si="13"/>
        <v>22</v>
      </c>
      <c r="BB170" s="117">
        <f t="shared" si="11"/>
        <v>28</v>
      </c>
      <c r="BD170" s="137">
        <v>30</v>
      </c>
    </row>
    <row r="171" spans="1:56" ht="48.95" customHeight="1">
      <c r="B171" s="112">
        <v>163</v>
      </c>
      <c r="C171" s="113">
        <v>14191476</v>
      </c>
      <c r="D171" s="114" t="s">
        <v>1110</v>
      </c>
      <c r="E171" s="134" t="s">
        <v>592</v>
      </c>
      <c r="F171" s="78" t="s">
        <v>508</v>
      </c>
      <c r="G171" s="82" t="s">
        <v>490</v>
      </c>
      <c r="H171" s="114" t="s">
        <v>1111</v>
      </c>
      <c r="I171" s="114" t="s">
        <v>597</v>
      </c>
      <c r="J171" s="97" t="s">
        <v>567</v>
      </c>
      <c r="K171" s="97" t="s">
        <v>567</v>
      </c>
      <c r="L171" s="97" t="s">
        <v>567</v>
      </c>
      <c r="M171" s="97" t="s">
        <v>567</v>
      </c>
      <c r="N171" s="97" t="s">
        <v>557</v>
      </c>
      <c r="O171" s="97" t="s">
        <v>567</v>
      </c>
      <c r="P171" s="97" t="s">
        <v>567</v>
      </c>
      <c r="Q171" s="97" t="s">
        <v>567</v>
      </c>
      <c r="R171" s="97" t="s">
        <v>567</v>
      </c>
      <c r="S171" s="97" t="s">
        <v>567</v>
      </c>
      <c r="T171" s="97" t="s">
        <v>567</v>
      </c>
      <c r="U171" s="97" t="s">
        <v>557</v>
      </c>
      <c r="V171" s="97" t="s">
        <v>557</v>
      </c>
      <c r="W171" s="97" t="s">
        <v>567</v>
      </c>
      <c r="X171" s="97" t="s">
        <v>567</v>
      </c>
      <c r="Y171" s="97" t="s">
        <v>567</v>
      </c>
      <c r="Z171" s="97" t="s">
        <v>567</v>
      </c>
      <c r="AA171" s="97" t="s">
        <v>567</v>
      </c>
      <c r="AB171" s="97" t="s">
        <v>557</v>
      </c>
      <c r="AC171" s="97" t="s">
        <v>557</v>
      </c>
      <c r="AD171" s="97" t="s">
        <v>567</v>
      </c>
      <c r="AE171" s="97" t="s">
        <v>567</v>
      </c>
      <c r="AF171" s="97" t="s">
        <v>567</v>
      </c>
      <c r="AG171" s="97" t="s">
        <v>567</v>
      </c>
      <c r="AH171" s="97" t="s">
        <v>567</v>
      </c>
      <c r="AI171" s="97" t="s">
        <v>557</v>
      </c>
      <c r="AJ171" s="97" t="s">
        <v>567</v>
      </c>
      <c r="AK171" s="97" t="s">
        <v>567</v>
      </c>
      <c r="AL171" s="97" t="s">
        <v>567</v>
      </c>
      <c r="AM171" s="97" t="s">
        <v>567</v>
      </c>
      <c r="AO171" s="116">
        <f t="shared" si="14"/>
        <v>0</v>
      </c>
      <c r="AP171" s="116">
        <f t="shared" si="13"/>
        <v>0</v>
      </c>
      <c r="AQ171" s="116">
        <f t="shared" si="13"/>
        <v>6</v>
      </c>
      <c r="AR171" s="116">
        <f t="shared" si="13"/>
        <v>0</v>
      </c>
      <c r="AS171" s="116">
        <f t="shared" si="13"/>
        <v>0</v>
      </c>
      <c r="AT171" s="116">
        <f t="shared" si="13"/>
        <v>0</v>
      </c>
      <c r="AU171" s="116">
        <f t="shared" si="13"/>
        <v>0</v>
      </c>
      <c r="AV171" s="116">
        <f t="shared" si="13"/>
        <v>0</v>
      </c>
      <c r="AW171" s="116">
        <f t="shared" si="13"/>
        <v>0</v>
      </c>
      <c r="AX171" s="116">
        <f t="shared" si="13"/>
        <v>0</v>
      </c>
      <c r="AY171" s="116">
        <f t="shared" si="13"/>
        <v>0</v>
      </c>
      <c r="AZ171" s="116">
        <f t="shared" si="13"/>
        <v>0</v>
      </c>
      <c r="BA171" s="116">
        <f t="shared" si="13"/>
        <v>24</v>
      </c>
      <c r="BB171" s="117">
        <f t="shared" si="11"/>
        <v>30</v>
      </c>
      <c r="BD171" s="137">
        <v>30</v>
      </c>
    </row>
    <row r="172" spans="1:56" ht="48.95" customHeight="1">
      <c r="B172" s="112">
        <v>164</v>
      </c>
      <c r="C172" s="113">
        <v>1010217314</v>
      </c>
      <c r="D172" s="114" t="s">
        <v>1112</v>
      </c>
      <c r="E172" s="134" t="s">
        <v>592</v>
      </c>
      <c r="F172" s="78" t="s">
        <v>507</v>
      </c>
      <c r="G172" s="82" t="s">
        <v>490</v>
      </c>
      <c r="H172" s="114" t="s">
        <v>1113</v>
      </c>
      <c r="I172" s="114" t="s">
        <v>597</v>
      </c>
      <c r="J172" s="97" t="s">
        <v>567</v>
      </c>
      <c r="K172" s="97" t="s">
        <v>567</v>
      </c>
      <c r="L172" s="97" t="s">
        <v>567</v>
      </c>
      <c r="M172" s="97" t="s">
        <v>567</v>
      </c>
      <c r="N172" s="97" t="s">
        <v>557</v>
      </c>
      <c r="O172" s="97" t="s">
        <v>567</v>
      </c>
      <c r="P172" s="97" t="s">
        <v>567</v>
      </c>
      <c r="Q172" s="97" t="s">
        <v>567</v>
      </c>
      <c r="R172" s="97" t="s">
        <v>567</v>
      </c>
      <c r="S172" s="97" t="s">
        <v>567</v>
      </c>
      <c r="T172" s="97" t="s">
        <v>567</v>
      </c>
      <c r="U172" s="97" t="s">
        <v>557</v>
      </c>
      <c r="V172" s="97" t="s">
        <v>557</v>
      </c>
      <c r="W172" s="97" t="s">
        <v>567</v>
      </c>
      <c r="X172" s="97" t="s">
        <v>567</v>
      </c>
      <c r="Y172" s="97" t="s">
        <v>567</v>
      </c>
      <c r="Z172" s="97" t="s">
        <v>567</v>
      </c>
      <c r="AA172" s="97" t="s">
        <v>567</v>
      </c>
      <c r="AB172" s="97" t="s">
        <v>557</v>
      </c>
      <c r="AC172" s="97" t="s">
        <v>557</v>
      </c>
      <c r="AD172" s="97" t="s">
        <v>567</v>
      </c>
      <c r="AE172" s="97" t="s">
        <v>567</v>
      </c>
      <c r="AF172" s="97" t="s">
        <v>567</v>
      </c>
      <c r="AG172" s="97" t="s">
        <v>567</v>
      </c>
      <c r="AH172" s="97" t="s">
        <v>567</v>
      </c>
      <c r="AI172" s="97" t="s">
        <v>557</v>
      </c>
      <c r="AJ172" s="97" t="s">
        <v>567</v>
      </c>
      <c r="AK172" s="97" t="s">
        <v>567</v>
      </c>
      <c r="AL172" s="97" t="s">
        <v>567</v>
      </c>
      <c r="AM172" s="97" t="s">
        <v>567</v>
      </c>
      <c r="AO172" s="116">
        <f t="shared" si="14"/>
        <v>0</v>
      </c>
      <c r="AP172" s="116">
        <f t="shared" si="13"/>
        <v>0</v>
      </c>
      <c r="AQ172" s="116">
        <f t="shared" si="13"/>
        <v>6</v>
      </c>
      <c r="AR172" s="116">
        <f t="shared" si="13"/>
        <v>0</v>
      </c>
      <c r="AS172" s="116">
        <f t="shared" si="13"/>
        <v>0</v>
      </c>
      <c r="AT172" s="116">
        <f t="shared" si="13"/>
        <v>0</v>
      </c>
      <c r="AU172" s="116">
        <f t="shared" si="13"/>
        <v>0</v>
      </c>
      <c r="AV172" s="116">
        <f t="shared" si="13"/>
        <v>0</v>
      </c>
      <c r="AW172" s="116">
        <f t="shared" si="13"/>
        <v>0</v>
      </c>
      <c r="AX172" s="116">
        <f t="shared" si="13"/>
        <v>0</v>
      </c>
      <c r="AY172" s="116">
        <f t="shared" si="13"/>
        <v>0</v>
      </c>
      <c r="AZ172" s="116">
        <f t="shared" si="13"/>
        <v>0</v>
      </c>
      <c r="BA172" s="116">
        <f t="shared" si="13"/>
        <v>24</v>
      </c>
      <c r="BB172" s="117">
        <f t="shared" si="11"/>
        <v>30</v>
      </c>
      <c r="BD172" s="137">
        <v>30</v>
      </c>
    </row>
    <row r="173" spans="1:56" ht="48.95" customHeight="1">
      <c r="B173" s="112">
        <v>165</v>
      </c>
      <c r="C173" s="113">
        <v>52582054</v>
      </c>
      <c r="D173" s="114" t="s">
        <v>1114</v>
      </c>
      <c r="E173" s="134" t="s">
        <v>592</v>
      </c>
      <c r="F173" s="78" t="s">
        <v>506</v>
      </c>
      <c r="G173" s="77" t="s">
        <v>490</v>
      </c>
      <c r="H173" s="114" t="s">
        <v>1115</v>
      </c>
      <c r="I173" s="114" t="s">
        <v>1116</v>
      </c>
      <c r="J173" s="97" t="s">
        <v>567</v>
      </c>
      <c r="K173" s="97" t="s">
        <v>567</v>
      </c>
      <c r="L173" s="97" t="s">
        <v>567</v>
      </c>
      <c r="M173" s="97" t="s">
        <v>567</v>
      </c>
      <c r="N173" s="97" t="s">
        <v>557</v>
      </c>
      <c r="O173" s="97" t="s">
        <v>567</v>
      </c>
      <c r="P173" s="97" t="s">
        <v>567</v>
      </c>
      <c r="Q173" s="97" t="s">
        <v>567</v>
      </c>
      <c r="R173" s="97" t="s">
        <v>567</v>
      </c>
      <c r="S173" s="97" t="s">
        <v>567</v>
      </c>
      <c r="T173" s="97" t="s">
        <v>567</v>
      </c>
      <c r="U173" s="97" t="s">
        <v>557</v>
      </c>
      <c r="V173" s="97" t="s">
        <v>557</v>
      </c>
      <c r="W173" s="97" t="s">
        <v>567</v>
      </c>
      <c r="X173" s="97" t="s">
        <v>567</v>
      </c>
      <c r="Y173" s="97" t="s">
        <v>567</v>
      </c>
      <c r="Z173" s="97" t="s">
        <v>567</v>
      </c>
      <c r="AA173" s="97" t="s">
        <v>567</v>
      </c>
      <c r="AB173" s="97" t="s">
        <v>557</v>
      </c>
      <c r="AC173" s="97" t="s">
        <v>557</v>
      </c>
      <c r="AD173" s="97" t="s">
        <v>567</v>
      </c>
      <c r="AE173" s="97" t="s">
        <v>567</v>
      </c>
      <c r="AF173" s="97" t="s">
        <v>567</v>
      </c>
      <c r="AG173" s="97" t="s">
        <v>567</v>
      </c>
      <c r="AH173" s="97" t="s">
        <v>567</v>
      </c>
      <c r="AI173" s="97" t="s">
        <v>557</v>
      </c>
      <c r="AJ173" s="97" t="s">
        <v>567</v>
      </c>
      <c r="AK173" s="97" t="s">
        <v>567</v>
      </c>
      <c r="AL173" s="97" t="s">
        <v>567</v>
      </c>
      <c r="AM173" s="97" t="s">
        <v>567</v>
      </c>
      <c r="AO173" s="116">
        <f t="shared" si="14"/>
        <v>0</v>
      </c>
      <c r="AP173" s="116">
        <f t="shared" si="13"/>
        <v>0</v>
      </c>
      <c r="AQ173" s="116">
        <f t="shared" si="13"/>
        <v>6</v>
      </c>
      <c r="AR173" s="116">
        <f t="shared" si="13"/>
        <v>0</v>
      </c>
      <c r="AS173" s="116">
        <f t="shared" si="13"/>
        <v>0</v>
      </c>
      <c r="AT173" s="116">
        <f t="shared" si="13"/>
        <v>0</v>
      </c>
      <c r="AU173" s="116">
        <f t="shared" si="13"/>
        <v>0</v>
      </c>
      <c r="AV173" s="116">
        <f t="shared" si="13"/>
        <v>0</v>
      </c>
      <c r="AW173" s="116">
        <f t="shared" si="13"/>
        <v>0</v>
      </c>
      <c r="AX173" s="116">
        <f t="shared" si="13"/>
        <v>0</v>
      </c>
      <c r="AY173" s="116">
        <f t="shared" si="13"/>
        <v>0</v>
      </c>
      <c r="AZ173" s="116">
        <f t="shared" si="13"/>
        <v>0</v>
      </c>
      <c r="BA173" s="116">
        <f t="shared" si="13"/>
        <v>24</v>
      </c>
      <c r="BB173" s="117">
        <f t="shared" si="11"/>
        <v>30</v>
      </c>
      <c r="BD173" s="137">
        <v>30</v>
      </c>
    </row>
    <row r="174" spans="1:56" ht="48.95" customHeight="1">
      <c r="A174" s="256" t="s">
        <v>713</v>
      </c>
      <c r="B174" s="112">
        <v>166</v>
      </c>
      <c r="C174" s="113">
        <v>39659470</v>
      </c>
      <c r="D174" s="258" t="s">
        <v>758</v>
      </c>
      <c r="E174" s="134" t="s">
        <v>592</v>
      </c>
      <c r="F174" s="78" t="s">
        <v>506</v>
      </c>
      <c r="G174" s="77" t="s">
        <v>478</v>
      </c>
      <c r="H174" s="114" t="s">
        <v>759</v>
      </c>
      <c r="I174" s="114" t="s">
        <v>597</v>
      </c>
      <c r="J174" s="97" t="s">
        <v>566</v>
      </c>
      <c r="K174" s="97" t="s">
        <v>566</v>
      </c>
      <c r="L174" s="97" t="s">
        <v>566</v>
      </c>
      <c r="M174" s="97" t="s">
        <v>566</v>
      </c>
      <c r="N174" s="97" t="s">
        <v>566</v>
      </c>
      <c r="O174" s="97" t="s">
        <v>566</v>
      </c>
      <c r="P174" s="97" t="s">
        <v>566</v>
      </c>
      <c r="Q174" s="97" t="s">
        <v>566</v>
      </c>
      <c r="R174" s="97" t="s">
        <v>566</v>
      </c>
      <c r="S174" s="97" t="s">
        <v>566</v>
      </c>
      <c r="T174" s="97" t="s">
        <v>566</v>
      </c>
      <c r="U174" s="97" t="s">
        <v>566</v>
      </c>
      <c r="V174" s="97" t="s">
        <v>566</v>
      </c>
      <c r="W174" s="97" t="s">
        <v>566</v>
      </c>
      <c r="X174" s="97" t="s">
        <v>566</v>
      </c>
      <c r="Y174" s="97" t="s">
        <v>566</v>
      </c>
      <c r="Z174" s="97" t="s">
        <v>566</v>
      </c>
      <c r="AA174" s="97" t="s">
        <v>566</v>
      </c>
      <c r="AB174" s="97" t="s">
        <v>566</v>
      </c>
      <c r="AC174" s="97" t="s">
        <v>566</v>
      </c>
      <c r="AD174" s="97" t="s">
        <v>567</v>
      </c>
      <c r="AE174" s="97" t="s">
        <v>567</v>
      </c>
      <c r="AF174" s="97" t="s">
        <v>567</v>
      </c>
      <c r="AG174" s="97" t="s">
        <v>567</v>
      </c>
      <c r="AH174" s="97" t="s">
        <v>567</v>
      </c>
      <c r="AI174" s="97" t="s">
        <v>567</v>
      </c>
      <c r="AJ174" s="97" t="s">
        <v>567</v>
      </c>
      <c r="AK174" s="97" t="s">
        <v>567</v>
      </c>
      <c r="AL174" s="97" t="s">
        <v>567</v>
      </c>
      <c r="AM174" s="97" t="s">
        <v>567</v>
      </c>
      <c r="AO174" s="116">
        <f t="shared" si="14"/>
        <v>0</v>
      </c>
      <c r="AP174" s="116">
        <f t="shared" si="13"/>
        <v>0</v>
      </c>
      <c r="AQ174" s="116">
        <f t="shared" si="13"/>
        <v>0</v>
      </c>
      <c r="AR174" s="116">
        <f t="shared" si="13"/>
        <v>0</v>
      </c>
      <c r="AS174" s="116">
        <f t="shared" si="13"/>
        <v>0</v>
      </c>
      <c r="AT174" s="116">
        <f t="shared" si="13"/>
        <v>0</v>
      </c>
      <c r="AU174" s="116">
        <f t="shared" si="13"/>
        <v>0</v>
      </c>
      <c r="AV174" s="116">
        <f t="shared" si="13"/>
        <v>0</v>
      </c>
      <c r="AW174" s="116">
        <f t="shared" si="13"/>
        <v>0</v>
      </c>
      <c r="AX174" s="116">
        <f t="shared" si="13"/>
        <v>0</v>
      </c>
      <c r="AY174" s="116">
        <f t="shared" si="13"/>
        <v>0</v>
      </c>
      <c r="AZ174" s="116">
        <f t="shared" si="13"/>
        <v>20</v>
      </c>
      <c r="BA174" s="116">
        <f t="shared" si="13"/>
        <v>10</v>
      </c>
      <c r="BB174" s="117">
        <f t="shared" si="11"/>
        <v>10</v>
      </c>
      <c r="BD174" s="137">
        <v>30</v>
      </c>
    </row>
    <row r="175" spans="1:56" ht="48.95" customHeight="1">
      <c r="B175" s="112">
        <v>167</v>
      </c>
      <c r="C175" s="113">
        <v>1010176179</v>
      </c>
      <c r="D175" s="114" t="s">
        <v>725</v>
      </c>
      <c r="E175" s="134" t="s">
        <v>592</v>
      </c>
      <c r="F175" s="214" t="s">
        <v>712</v>
      </c>
      <c r="G175" s="77" t="s">
        <v>495</v>
      </c>
      <c r="H175" s="114" t="s">
        <v>598</v>
      </c>
      <c r="I175" s="114" t="s">
        <v>599</v>
      </c>
      <c r="J175" s="97" t="s">
        <v>567</v>
      </c>
      <c r="K175" s="97" t="s">
        <v>567</v>
      </c>
      <c r="L175" s="97" t="s">
        <v>567</v>
      </c>
      <c r="M175" s="97" t="s">
        <v>567</v>
      </c>
      <c r="N175" s="97" t="s">
        <v>557</v>
      </c>
      <c r="O175" s="97" t="s">
        <v>567</v>
      </c>
      <c r="P175" s="97" t="s">
        <v>567</v>
      </c>
      <c r="Q175" s="97" t="s">
        <v>567</v>
      </c>
      <c r="R175" s="97" t="s">
        <v>567</v>
      </c>
      <c r="S175" s="97" t="s">
        <v>567</v>
      </c>
      <c r="T175" s="97" t="s">
        <v>567</v>
      </c>
      <c r="U175" s="97" t="s">
        <v>557</v>
      </c>
      <c r="V175" s="97" t="s">
        <v>557</v>
      </c>
      <c r="W175" s="97" t="s">
        <v>567</v>
      </c>
      <c r="X175" s="97" t="s">
        <v>567</v>
      </c>
      <c r="Y175" s="97" t="s">
        <v>567</v>
      </c>
      <c r="Z175" s="97" t="s">
        <v>567</v>
      </c>
      <c r="AA175" s="97" t="s">
        <v>567</v>
      </c>
      <c r="AB175" s="97" t="s">
        <v>557</v>
      </c>
      <c r="AC175" s="97" t="s">
        <v>557</v>
      </c>
      <c r="AD175" s="97" t="s">
        <v>567</v>
      </c>
      <c r="AE175" s="97" t="s">
        <v>567</v>
      </c>
      <c r="AF175" s="97" t="s">
        <v>567</v>
      </c>
      <c r="AG175" s="97" t="s">
        <v>567</v>
      </c>
      <c r="AH175" s="97" t="s">
        <v>567</v>
      </c>
      <c r="AI175" s="97" t="s">
        <v>557</v>
      </c>
      <c r="AJ175" s="97" t="s">
        <v>567</v>
      </c>
      <c r="AK175" s="97" t="s">
        <v>567</v>
      </c>
      <c r="AL175" s="97" t="s">
        <v>567</v>
      </c>
      <c r="AM175" s="97" t="s">
        <v>567</v>
      </c>
      <c r="AO175" s="116">
        <f t="shared" si="14"/>
        <v>0</v>
      </c>
      <c r="AP175" s="116">
        <f t="shared" si="13"/>
        <v>0</v>
      </c>
      <c r="AQ175" s="116">
        <f t="shared" si="13"/>
        <v>6</v>
      </c>
      <c r="AR175" s="116">
        <f t="shared" si="13"/>
        <v>0</v>
      </c>
      <c r="AS175" s="116">
        <f t="shared" si="13"/>
        <v>0</v>
      </c>
      <c r="AT175" s="116">
        <f t="shared" si="13"/>
        <v>0</v>
      </c>
      <c r="AU175" s="116">
        <f t="shared" si="13"/>
        <v>0</v>
      </c>
      <c r="AV175" s="116">
        <f t="shared" si="13"/>
        <v>0</v>
      </c>
      <c r="AW175" s="116">
        <f t="shared" si="13"/>
        <v>0</v>
      </c>
      <c r="AX175" s="116">
        <f t="shared" si="13"/>
        <v>0</v>
      </c>
      <c r="AY175" s="116">
        <f t="shared" si="13"/>
        <v>0</v>
      </c>
      <c r="AZ175" s="116">
        <f t="shared" si="13"/>
        <v>0</v>
      </c>
      <c r="BA175" s="116">
        <f t="shared" si="13"/>
        <v>24</v>
      </c>
      <c r="BB175" s="117">
        <f t="shared" si="11"/>
        <v>30</v>
      </c>
      <c r="BD175" s="137">
        <v>30</v>
      </c>
    </row>
    <row r="176" spans="1:56" ht="48.95" customHeight="1">
      <c r="B176" s="112">
        <v>168</v>
      </c>
      <c r="C176" s="113">
        <v>1023917280</v>
      </c>
      <c r="D176" s="114" t="s">
        <v>1117</v>
      </c>
      <c r="E176" s="134" t="s">
        <v>592</v>
      </c>
      <c r="F176" s="78" t="s">
        <v>509</v>
      </c>
      <c r="G176" s="84" t="s">
        <v>490</v>
      </c>
      <c r="H176" s="114" t="s">
        <v>1118</v>
      </c>
      <c r="I176" s="114" t="s">
        <v>607</v>
      </c>
      <c r="J176" s="97" t="s">
        <v>567</v>
      </c>
      <c r="K176" s="97" t="s">
        <v>567</v>
      </c>
      <c r="L176" s="97" t="s">
        <v>567</v>
      </c>
      <c r="M176" s="97" t="s">
        <v>567</v>
      </c>
      <c r="N176" s="97" t="s">
        <v>557</v>
      </c>
      <c r="O176" s="97" t="s">
        <v>567</v>
      </c>
      <c r="P176" s="97" t="s">
        <v>567</v>
      </c>
      <c r="Q176" s="97" t="s">
        <v>567</v>
      </c>
      <c r="R176" s="97" t="s">
        <v>567</v>
      </c>
      <c r="S176" s="97" t="s">
        <v>567</v>
      </c>
      <c r="T176" s="97" t="s">
        <v>567</v>
      </c>
      <c r="U176" s="97" t="s">
        <v>557</v>
      </c>
      <c r="V176" s="97" t="s">
        <v>557</v>
      </c>
      <c r="W176" s="97" t="s">
        <v>567</v>
      </c>
      <c r="X176" s="97" t="s">
        <v>567</v>
      </c>
      <c r="Y176" s="97" t="s">
        <v>567</v>
      </c>
      <c r="Z176" s="97" t="s">
        <v>567</v>
      </c>
      <c r="AA176" s="97" t="s">
        <v>567</v>
      </c>
      <c r="AB176" s="97" t="s">
        <v>557</v>
      </c>
      <c r="AC176" s="97" t="s">
        <v>557</v>
      </c>
      <c r="AD176" s="97" t="s">
        <v>567</v>
      </c>
      <c r="AE176" s="97" t="s">
        <v>567</v>
      </c>
      <c r="AF176" s="97" t="s">
        <v>567</v>
      </c>
      <c r="AG176" s="97" t="s">
        <v>567</v>
      </c>
      <c r="AH176" s="97" t="s">
        <v>567</v>
      </c>
      <c r="AI176" s="97" t="s">
        <v>557</v>
      </c>
      <c r="AJ176" s="97" t="s">
        <v>567</v>
      </c>
      <c r="AK176" s="97" t="s">
        <v>567</v>
      </c>
      <c r="AL176" s="97" t="s">
        <v>567</v>
      </c>
      <c r="AM176" s="97" t="s">
        <v>567</v>
      </c>
      <c r="AO176" s="116">
        <f t="shared" si="14"/>
        <v>0</v>
      </c>
      <c r="AP176" s="116">
        <f t="shared" si="13"/>
        <v>0</v>
      </c>
      <c r="AQ176" s="116">
        <f t="shared" si="13"/>
        <v>6</v>
      </c>
      <c r="AR176" s="116">
        <f t="shared" si="13"/>
        <v>0</v>
      </c>
      <c r="AS176" s="116">
        <f t="shared" si="13"/>
        <v>0</v>
      </c>
      <c r="AT176" s="116">
        <f t="shared" si="13"/>
        <v>0</v>
      </c>
      <c r="AU176" s="116">
        <f t="shared" si="13"/>
        <v>0</v>
      </c>
      <c r="AV176" s="116">
        <f t="shared" si="13"/>
        <v>0</v>
      </c>
      <c r="AW176" s="116">
        <f t="shared" si="13"/>
        <v>0</v>
      </c>
      <c r="AX176" s="116">
        <f t="shared" si="13"/>
        <v>0</v>
      </c>
      <c r="AY176" s="116">
        <f t="shared" si="13"/>
        <v>0</v>
      </c>
      <c r="AZ176" s="116">
        <f t="shared" si="13"/>
        <v>0</v>
      </c>
      <c r="BA176" s="116">
        <f t="shared" si="13"/>
        <v>24</v>
      </c>
      <c r="BB176" s="117">
        <f t="shared" si="11"/>
        <v>30</v>
      </c>
      <c r="BD176" s="137">
        <v>30</v>
      </c>
    </row>
    <row r="177" spans="2:56" ht="48.95" customHeight="1">
      <c r="B177" s="112">
        <v>169</v>
      </c>
      <c r="C177" s="113">
        <v>53073073</v>
      </c>
      <c r="D177" s="114" t="s">
        <v>1119</v>
      </c>
      <c r="E177" s="217" t="s">
        <v>794</v>
      </c>
      <c r="F177" s="78" t="s">
        <v>506</v>
      </c>
      <c r="G177" s="263" t="s">
        <v>484</v>
      </c>
      <c r="H177" s="114" t="s">
        <v>1120</v>
      </c>
      <c r="I177" s="114" t="s">
        <v>597</v>
      </c>
      <c r="J177" s="97" t="s">
        <v>567</v>
      </c>
      <c r="K177" s="97" t="s">
        <v>567</v>
      </c>
      <c r="L177" s="97" t="s">
        <v>567</v>
      </c>
      <c r="M177" s="97" t="s">
        <v>567</v>
      </c>
      <c r="N177" s="97" t="s">
        <v>557</v>
      </c>
      <c r="O177" s="97" t="s">
        <v>567</v>
      </c>
      <c r="P177" s="97" t="s">
        <v>567</v>
      </c>
      <c r="Q177" s="97" t="s">
        <v>567</v>
      </c>
      <c r="R177" s="97" t="s">
        <v>567</v>
      </c>
      <c r="S177" s="97" t="s">
        <v>567</v>
      </c>
      <c r="T177" s="97" t="s">
        <v>567</v>
      </c>
      <c r="U177" s="97" t="s">
        <v>557</v>
      </c>
      <c r="V177" s="97" t="s">
        <v>557</v>
      </c>
      <c r="W177" s="97" t="s">
        <v>567</v>
      </c>
      <c r="X177" s="97" t="s">
        <v>567</v>
      </c>
      <c r="Y177" s="97" t="s">
        <v>567</v>
      </c>
      <c r="Z177" s="97" t="s">
        <v>567</v>
      </c>
      <c r="AA177" s="97" t="s">
        <v>567</v>
      </c>
      <c r="AB177" s="97" t="s">
        <v>557</v>
      </c>
      <c r="AC177" s="97" t="s">
        <v>557</v>
      </c>
      <c r="AD177" s="97" t="s">
        <v>567</v>
      </c>
      <c r="AE177" s="97" t="s">
        <v>567</v>
      </c>
      <c r="AF177" s="97" t="s">
        <v>567</v>
      </c>
      <c r="AG177" s="97" t="s">
        <v>567</v>
      </c>
      <c r="AH177" s="97" t="s">
        <v>567</v>
      </c>
      <c r="AI177" s="97" t="s">
        <v>557</v>
      </c>
      <c r="AJ177" s="97" t="s">
        <v>567</v>
      </c>
      <c r="AK177" s="97" t="s">
        <v>567</v>
      </c>
      <c r="AL177" s="97" t="s">
        <v>567</v>
      </c>
      <c r="AM177" s="97" t="s">
        <v>567</v>
      </c>
      <c r="AO177" s="116">
        <f t="shared" si="14"/>
        <v>0</v>
      </c>
      <c r="AP177" s="116">
        <f t="shared" si="13"/>
        <v>0</v>
      </c>
      <c r="AQ177" s="116">
        <f t="shared" si="13"/>
        <v>6</v>
      </c>
      <c r="AR177" s="116">
        <f t="shared" si="13"/>
        <v>0</v>
      </c>
      <c r="AS177" s="116">
        <f t="shared" si="13"/>
        <v>0</v>
      </c>
      <c r="AT177" s="116">
        <f t="shared" si="13"/>
        <v>0</v>
      </c>
      <c r="AU177" s="116">
        <f t="shared" si="13"/>
        <v>0</v>
      </c>
      <c r="AV177" s="116">
        <f t="shared" si="13"/>
        <v>0</v>
      </c>
      <c r="AW177" s="116">
        <f t="shared" si="13"/>
        <v>0</v>
      </c>
      <c r="AX177" s="116">
        <f t="shared" si="13"/>
        <v>0</v>
      </c>
      <c r="AY177" s="116">
        <f t="shared" si="13"/>
        <v>0</v>
      </c>
      <c r="AZ177" s="116">
        <f t="shared" si="13"/>
        <v>0</v>
      </c>
      <c r="BA177" s="116">
        <f t="shared" si="13"/>
        <v>24</v>
      </c>
      <c r="BB177" s="117">
        <f t="shared" si="11"/>
        <v>30</v>
      </c>
      <c r="BD177" s="137">
        <v>30</v>
      </c>
    </row>
    <row r="178" spans="2:56" ht="48.95" customHeight="1">
      <c r="B178" s="112">
        <v>170</v>
      </c>
      <c r="C178" s="113">
        <v>1010014769</v>
      </c>
      <c r="D178" s="114" t="s">
        <v>1121</v>
      </c>
      <c r="E178" s="217" t="s">
        <v>794</v>
      </c>
      <c r="F178" s="78" t="s">
        <v>506</v>
      </c>
      <c r="G178" s="263" t="s">
        <v>484</v>
      </c>
      <c r="H178" s="114" t="s">
        <v>1122</v>
      </c>
      <c r="I178" s="114" t="s">
        <v>1123</v>
      </c>
      <c r="J178" s="97" t="s">
        <v>567</v>
      </c>
      <c r="K178" s="97" t="s">
        <v>567</v>
      </c>
      <c r="L178" s="97" t="s">
        <v>567</v>
      </c>
      <c r="M178" s="97" t="s">
        <v>567</v>
      </c>
      <c r="N178" s="97" t="s">
        <v>557</v>
      </c>
      <c r="O178" s="97" t="s">
        <v>567</v>
      </c>
      <c r="P178" s="97" t="s">
        <v>567</v>
      </c>
      <c r="Q178" s="97" t="s">
        <v>567</v>
      </c>
      <c r="R178" s="97" t="s">
        <v>567</v>
      </c>
      <c r="S178" s="97" t="s">
        <v>567</v>
      </c>
      <c r="T178" s="97" t="s">
        <v>567</v>
      </c>
      <c r="U178" s="97" t="s">
        <v>557</v>
      </c>
      <c r="V178" s="97" t="s">
        <v>557</v>
      </c>
      <c r="W178" s="97" t="s">
        <v>567</v>
      </c>
      <c r="X178" s="97" t="s">
        <v>567</v>
      </c>
      <c r="Y178" s="97" t="s">
        <v>567</v>
      </c>
      <c r="Z178" s="97" t="s">
        <v>567</v>
      </c>
      <c r="AA178" s="97" t="s">
        <v>567</v>
      </c>
      <c r="AB178" s="97" t="s">
        <v>557</v>
      </c>
      <c r="AC178" s="97" t="s">
        <v>557</v>
      </c>
      <c r="AD178" s="97" t="s">
        <v>567</v>
      </c>
      <c r="AE178" s="97" t="s">
        <v>567</v>
      </c>
      <c r="AF178" s="97" t="s">
        <v>567</v>
      </c>
      <c r="AG178" s="97" t="s">
        <v>567</v>
      </c>
      <c r="AH178" s="97" t="s">
        <v>567</v>
      </c>
      <c r="AI178" s="97" t="s">
        <v>557</v>
      </c>
      <c r="AJ178" s="97" t="s">
        <v>567</v>
      </c>
      <c r="AK178" s="97" t="s">
        <v>567</v>
      </c>
      <c r="AL178" s="97" t="s">
        <v>567</v>
      </c>
      <c r="AM178" s="97" t="s">
        <v>567</v>
      </c>
      <c r="AO178" s="116">
        <f t="shared" si="14"/>
        <v>0</v>
      </c>
      <c r="AP178" s="116">
        <f t="shared" si="13"/>
        <v>0</v>
      </c>
      <c r="AQ178" s="116">
        <f t="shared" si="13"/>
        <v>6</v>
      </c>
      <c r="AR178" s="116">
        <f t="shared" si="13"/>
        <v>0</v>
      </c>
      <c r="AS178" s="116">
        <f t="shared" si="13"/>
        <v>0</v>
      </c>
      <c r="AT178" s="116">
        <f t="shared" si="13"/>
        <v>0</v>
      </c>
      <c r="AU178" s="116">
        <f t="shared" si="13"/>
        <v>0</v>
      </c>
      <c r="AV178" s="116">
        <f t="shared" si="13"/>
        <v>0</v>
      </c>
      <c r="AW178" s="116">
        <f t="shared" si="13"/>
        <v>0</v>
      </c>
      <c r="AX178" s="116">
        <f t="shared" si="13"/>
        <v>0</v>
      </c>
      <c r="AY178" s="116">
        <f t="shared" si="13"/>
        <v>0</v>
      </c>
      <c r="AZ178" s="116">
        <f t="shared" si="13"/>
        <v>0</v>
      </c>
      <c r="BA178" s="116">
        <f t="shared" si="13"/>
        <v>24</v>
      </c>
      <c r="BB178" s="117">
        <f t="shared" si="11"/>
        <v>30</v>
      </c>
      <c r="BD178" s="137">
        <v>30</v>
      </c>
    </row>
    <row r="179" spans="2:56" ht="48.95" customHeight="1">
      <c r="B179" s="112">
        <v>171</v>
      </c>
      <c r="C179" s="113">
        <v>1073707145</v>
      </c>
      <c r="D179" s="114" t="s">
        <v>721</v>
      </c>
      <c r="E179" s="217" t="s">
        <v>794</v>
      </c>
      <c r="F179" s="78" t="s">
        <v>506</v>
      </c>
      <c r="G179" s="263" t="s">
        <v>484</v>
      </c>
      <c r="H179" s="114" t="s">
        <v>722</v>
      </c>
      <c r="I179" s="114" t="s">
        <v>597</v>
      </c>
      <c r="J179" s="97" t="s">
        <v>567</v>
      </c>
      <c r="K179" s="97" t="s">
        <v>567</v>
      </c>
      <c r="L179" s="97" t="s">
        <v>567</v>
      </c>
      <c r="M179" s="97" t="s">
        <v>567</v>
      </c>
      <c r="N179" s="97" t="s">
        <v>557</v>
      </c>
      <c r="O179" s="97" t="s">
        <v>567</v>
      </c>
      <c r="P179" s="97" t="s">
        <v>567</v>
      </c>
      <c r="Q179" s="97" t="s">
        <v>567</v>
      </c>
      <c r="R179" s="97" t="s">
        <v>567</v>
      </c>
      <c r="S179" s="97" t="s">
        <v>567</v>
      </c>
      <c r="T179" s="97" t="s">
        <v>567</v>
      </c>
      <c r="U179" s="97" t="s">
        <v>557</v>
      </c>
      <c r="V179" s="97" t="s">
        <v>557</v>
      </c>
      <c r="W179" s="97" t="s">
        <v>567</v>
      </c>
      <c r="X179" s="97" t="s">
        <v>567</v>
      </c>
      <c r="Y179" s="97" t="s">
        <v>567</v>
      </c>
      <c r="Z179" s="97" t="s">
        <v>567</v>
      </c>
      <c r="AA179" s="97" t="s">
        <v>567</v>
      </c>
      <c r="AB179" s="97" t="s">
        <v>557</v>
      </c>
      <c r="AC179" s="97" t="s">
        <v>557</v>
      </c>
      <c r="AD179" s="97" t="s">
        <v>567</v>
      </c>
      <c r="AE179" s="97" t="s">
        <v>567</v>
      </c>
      <c r="AF179" s="97" t="s">
        <v>567</v>
      </c>
      <c r="AG179" s="97" t="s">
        <v>567</v>
      </c>
      <c r="AH179" s="97" t="s">
        <v>567</v>
      </c>
      <c r="AI179" s="97" t="s">
        <v>557</v>
      </c>
      <c r="AJ179" s="97" t="s">
        <v>567</v>
      </c>
      <c r="AK179" s="97" t="s">
        <v>567</v>
      </c>
      <c r="AL179" s="97" t="s">
        <v>567</v>
      </c>
      <c r="AM179" s="97" t="s">
        <v>567</v>
      </c>
      <c r="AO179" s="116">
        <f t="shared" si="14"/>
        <v>0</v>
      </c>
      <c r="AP179" s="116">
        <f t="shared" si="13"/>
        <v>0</v>
      </c>
      <c r="AQ179" s="116">
        <f t="shared" si="13"/>
        <v>6</v>
      </c>
      <c r="AR179" s="116">
        <f t="shared" si="13"/>
        <v>0</v>
      </c>
      <c r="AS179" s="116">
        <f t="shared" si="13"/>
        <v>0</v>
      </c>
      <c r="AT179" s="116">
        <f t="shared" si="13"/>
        <v>0</v>
      </c>
      <c r="AU179" s="116">
        <f t="shared" si="13"/>
        <v>0</v>
      </c>
      <c r="AV179" s="116">
        <f t="shared" si="13"/>
        <v>0</v>
      </c>
      <c r="AW179" s="116">
        <f t="shared" si="13"/>
        <v>0</v>
      </c>
      <c r="AX179" s="116">
        <f t="shared" si="13"/>
        <v>0</v>
      </c>
      <c r="AY179" s="116">
        <f t="shared" si="13"/>
        <v>0</v>
      </c>
      <c r="AZ179" s="116">
        <f t="shared" si="13"/>
        <v>0</v>
      </c>
      <c r="BA179" s="116">
        <f t="shared" si="13"/>
        <v>24</v>
      </c>
      <c r="BB179" s="117">
        <f t="shared" si="11"/>
        <v>30</v>
      </c>
      <c r="BD179" s="137">
        <v>30</v>
      </c>
    </row>
    <row r="180" spans="2:56" ht="48.95" customHeight="1">
      <c r="B180" s="112">
        <v>172</v>
      </c>
      <c r="C180" s="113">
        <v>52351391</v>
      </c>
      <c r="D180" s="114" t="s">
        <v>1124</v>
      </c>
      <c r="E180" s="217" t="s">
        <v>794</v>
      </c>
      <c r="F180" s="78" t="s">
        <v>506</v>
      </c>
      <c r="G180" s="263" t="s">
        <v>484</v>
      </c>
      <c r="H180" s="114" t="s">
        <v>1125</v>
      </c>
      <c r="I180" s="114" t="s">
        <v>597</v>
      </c>
      <c r="J180" s="97" t="s">
        <v>567</v>
      </c>
      <c r="K180" s="97" t="s">
        <v>567</v>
      </c>
      <c r="L180" s="97" t="s">
        <v>567</v>
      </c>
      <c r="M180" s="97" t="s">
        <v>567</v>
      </c>
      <c r="N180" s="97" t="s">
        <v>557</v>
      </c>
      <c r="O180" s="97" t="s">
        <v>567</v>
      </c>
      <c r="P180" s="97" t="s">
        <v>567</v>
      </c>
      <c r="Q180" s="97" t="s">
        <v>567</v>
      </c>
      <c r="R180" s="97" t="s">
        <v>567</v>
      </c>
      <c r="S180" s="97" t="s">
        <v>567</v>
      </c>
      <c r="T180" s="97" t="s">
        <v>567</v>
      </c>
      <c r="U180" s="97" t="s">
        <v>557</v>
      </c>
      <c r="V180" s="97" t="s">
        <v>557</v>
      </c>
      <c r="W180" s="97" t="s">
        <v>567</v>
      </c>
      <c r="X180" s="97" t="s">
        <v>567</v>
      </c>
      <c r="Y180" s="97" t="s">
        <v>567</v>
      </c>
      <c r="Z180" s="97" t="s">
        <v>567</v>
      </c>
      <c r="AA180" s="97" t="s">
        <v>567</v>
      </c>
      <c r="AB180" s="97" t="s">
        <v>557</v>
      </c>
      <c r="AC180" s="97" t="s">
        <v>557</v>
      </c>
      <c r="AD180" s="97" t="s">
        <v>567</v>
      </c>
      <c r="AE180" s="97" t="s">
        <v>567</v>
      </c>
      <c r="AF180" s="97" t="s">
        <v>567</v>
      </c>
      <c r="AG180" s="97" t="s">
        <v>567</v>
      </c>
      <c r="AH180" s="97" t="s">
        <v>567</v>
      </c>
      <c r="AI180" s="97" t="s">
        <v>557</v>
      </c>
      <c r="AJ180" s="97" t="s">
        <v>567</v>
      </c>
      <c r="AK180" s="97" t="s">
        <v>567</v>
      </c>
      <c r="AL180" s="97" t="s">
        <v>567</v>
      </c>
      <c r="AM180" s="97" t="s">
        <v>567</v>
      </c>
      <c r="AO180" s="116">
        <f t="shared" si="14"/>
        <v>0</v>
      </c>
      <c r="AP180" s="116">
        <f t="shared" si="13"/>
        <v>0</v>
      </c>
      <c r="AQ180" s="116">
        <f t="shared" si="13"/>
        <v>6</v>
      </c>
      <c r="AR180" s="116">
        <f t="shared" si="13"/>
        <v>0</v>
      </c>
      <c r="AS180" s="116">
        <f t="shared" si="13"/>
        <v>0</v>
      </c>
      <c r="AT180" s="116">
        <f t="shared" si="13"/>
        <v>0</v>
      </c>
      <c r="AU180" s="116">
        <f t="shared" si="13"/>
        <v>0</v>
      </c>
      <c r="AV180" s="116">
        <f t="shared" si="13"/>
        <v>0</v>
      </c>
      <c r="AW180" s="116">
        <f t="shared" si="13"/>
        <v>0</v>
      </c>
      <c r="AX180" s="116">
        <f t="shared" si="13"/>
        <v>0</v>
      </c>
      <c r="AY180" s="116">
        <f t="shared" si="13"/>
        <v>0</v>
      </c>
      <c r="AZ180" s="116">
        <f t="shared" si="13"/>
        <v>0</v>
      </c>
      <c r="BA180" s="116">
        <f t="shared" si="13"/>
        <v>24</v>
      </c>
      <c r="BB180" s="117">
        <f t="shared" si="11"/>
        <v>30</v>
      </c>
      <c r="BD180" s="137">
        <v>30</v>
      </c>
    </row>
    <row r="181" spans="2:56" ht="48.95" customHeight="1">
      <c r="B181" s="112">
        <v>173</v>
      </c>
      <c r="C181" s="113">
        <v>52897266</v>
      </c>
      <c r="D181" s="114" t="s">
        <v>1126</v>
      </c>
      <c r="E181" s="217" t="s">
        <v>794</v>
      </c>
      <c r="F181" s="78" t="s">
        <v>506</v>
      </c>
      <c r="G181" s="263" t="s">
        <v>484</v>
      </c>
      <c r="H181" s="114" t="s">
        <v>1127</v>
      </c>
      <c r="I181" s="114" t="s">
        <v>597</v>
      </c>
      <c r="J181" s="97" t="s">
        <v>567</v>
      </c>
      <c r="K181" s="97" t="s">
        <v>567</v>
      </c>
      <c r="L181" s="97" t="s">
        <v>567</v>
      </c>
      <c r="M181" s="97" t="s">
        <v>567</v>
      </c>
      <c r="N181" s="97" t="s">
        <v>557</v>
      </c>
      <c r="O181" s="97" t="s">
        <v>567</v>
      </c>
      <c r="P181" s="97" t="s">
        <v>567</v>
      </c>
      <c r="Q181" s="97" t="s">
        <v>567</v>
      </c>
      <c r="R181" s="97" t="s">
        <v>567</v>
      </c>
      <c r="S181" s="97" t="s">
        <v>567</v>
      </c>
      <c r="T181" s="97" t="s">
        <v>567</v>
      </c>
      <c r="U181" s="97" t="s">
        <v>557</v>
      </c>
      <c r="V181" s="97" t="s">
        <v>557</v>
      </c>
      <c r="W181" s="97" t="s">
        <v>567</v>
      </c>
      <c r="X181" s="97" t="s">
        <v>567</v>
      </c>
      <c r="Y181" s="97" t="s">
        <v>567</v>
      </c>
      <c r="Z181" s="97" t="s">
        <v>567</v>
      </c>
      <c r="AA181" s="97" t="s">
        <v>567</v>
      </c>
      <c r="AB181" s="97" t="s">
        <v>557</v>
      </c>
      <c r="AC181" s="97" t="s">
        <v>557</v>
      </c>
      <c r="AD181" s="97" t="s">
        <v>567</v>
      </c>
      <c r="AE181" s="97" t="s">
        <v>567</v>
      </c>
      <c r="AF181" s="97" t="s">
        <v>567</v>
      </c>
      <c r="AG181" s="97" t="s">
        <v>567</v>
      </c>
      <c r="AH181" s="97" t="s">
        <v>567</v>
      </c>
      <c r="AI181" s="97" t="s">
        <v>557</v>
      </c>
      <c r="AJ181" s="97" t="s">
        <v>567</v>
      </c>
      <c r="AK181" s="97" t="s">
        <v>567</v>
      </c>
      <c r="AL181" s="97" t="s">
        <v>567</v>
      </c>
      <c r="AM181" s="97" t="s">
        <v>567</v>
      </c>
      <c r="AO181" s="116">
        <f t="shared" si="14"/>
        <v>0</v>
      </c>
      <c r="AP181" s="116">
        <f t="shared" si="13"/>
        <v>0</v>
      </c>
      <c r="AQ181" s="116">
        <f t="shared" si="13"/>
        <v>6</v>
      </c>
      <c r="AR181" s="116">
        <f t="shared" si="13"/>
        <v>0</v>
      </c>
      <c r="AS181" s="116">
        <f t="shared" si="13"/>
        <v>0</v>
      </c>
      <c r="AT181" s="116">
        <f t="shared" si="13"/>
        <v>0</v>
      </c>
      <c r="AU181" s="116">
        <f t="shared" si="13"/>
        <v>0</v>
      </c>
      <c r="AV181" s="116">
        <f t="shared" si="13"/>
        <v>0</v>
      </c>
      <c r="AW181" s="116">
        <f t="shared" si="13"/>
        <v>0</v>
      </c>
      <c r="AX181" s="116">
        <f t="shared" si="13"/>
        <v>0</v>
      </c>
      <c r="AY181" s="116">
        <f t="shared" si="13"/>
        <v>0</v>
      </c>
      <c r="AZ181" s="116">
        <f t="shared" si="13"/>
        <v>0</v>
      </c>
      <c r="BA181" s="116">
        <f t="shared" si="13"/>
        <v>24</v>
      </c>
      <c r="BB181" s="117">
        <f t="shared" si="11"/>
        <v>30</v>
      </c>
      <c r="BD181" s="137">
        <v>30</v>
      </c>
    </row>
    <row r="182" spans="2:56" ht="48.95" customHeight="1">
      <c r="B182" s="112">
        <v>174</v>
      </c>
      <c r="C182" s="113">
        <v>1020727061</v>
      </c>
      <c r="D182" s="114" t="s">
        <v>756</v>
      </c>
      <c r="E182" s="217" t="s">
        <v>794</v>
      </c>
      <c r="F182" s="78" t="s">
        <v>506</v>
      </c>
      <c r="G182" s="263" t="s">
        <v>484</v>
      </c>
      <c r="H182" s="114" t="s">
        <v>757</v>
      </c>
      <c r="I182" s="114" t="s">
        <v>597</v>
      </c>
      <c r="J182" s="97" t="s">
        <v>567</v>
      </c>
      <c r="K182" s="97" t="s">
        <v>567</v>
      </c>
      <c r="L182" s="97" t="s">
        <v>567</v>
      </c>
      <c r="M182" s="97" t="s">
        <v>567</v>
      </c>
      <c r="N182" s="97" t="s">
        <v>557</v>
      </c>
      <c r="O182" s="97" t="s">
        <v>567</v>
      </c>
      <c r="P182" s="97" t="s">
        <v>567</v>
      </c>
      <c r="Q182" s="97" t="s">
        <v>567</v>
      </c>
      <c r="R182" s="97" t="s">
        <v>567</v>
      </c>
      <c r="S182" s="97" t="s">
        <v>567</v>
      </c>
      <c r="T182" s="97" t="s">
        <v>567</v>
      </c>
      <c r="U182" s="97" t="s">
        <v>557</v>
      </c>
      <c r="V182" s="97" t="s">
        <v>557</v>
      </c>
      <c r="W182" s="97" t="s">
        <v>567</v>
      </c>
      <c r="X182" s="97" t="s">
        <v>567</v>
      </c>
      <c r="Y182" s="97" t="s">
        <v>567</v>
      </c>
      <c r="Z182" s="97" t="s">
        <v>567</v>
      </c>
      <c r="AA182" s="97" t="s">
        <v>567</v>
      </c>
      <c r="AB182" s="97" t="s">
        <v>557</v>
      </c>
      <c r="AC182" s="97" t="s">
        <v>557</v>
      </c>
      <c r="AD182" s="97" t="s">
        <v>567</v>
      </c>
      <c r="AE182" s="97" t="s">
        <v>567</v>
      </c>
      <c r="AF182" s="97" t="s">
        <v>567</v>
      </c>
      <c r="AG182" s="97" t="s">
        <v>567</v>
      </c>
      <c r="AH182" s="97" t="s">
        <v>567</v>
      </c>
      <c r="AI182" s="97" t="s">
        <v>557</v>
      </c>
      <c r="AJ182" s="97" t="s">
        <v>567</v>
      </c>
      <c r="AK182" s="97" t="s">
        <v>567</v>
      </c>
      <c r="AL182" s="97" t="s">
        <v>567</v>
      </c>
      <c r="AM182" s="97" t="s">
        <v>555</v>
      </c>
      <c r="AO182" s="116">
        <f t="shared" si="14"/>
        <v>1</v>
      </c>
      <c r="AP182" s="116">
        <f t="shared" si="13"/>
        <v>0</v>
      </c>
      <c r="AQ182" s="116">
        <f t="shared" si="13"/>
        <v>6</v>
      </c>
      <c r="AR182" s="116">
        <f t="shared" si="13"/>
        <v>0</v>
      </c>
      <c r="AS182" s="116">
        <f t="shared" si="13"/>
        <v>0</v>
      </c>
      <c r="AT182" s="116">
        <f t="shared" si="13"/>
        <v>0</v>
      </c>
      <c r="AU182" s="116">
        <f t="shared" si="13"/>
        <v>0</v>
      </c>
      <c r="AV182" s="116">
        <f t="shared" si="13"/>
        <v>0</v>
      </c>
      <c r="AW182" s="116">
        <f t="shared" si="13"/>
        <v>0</v>
      </c>
      <c r="AX182" s="116">
        <f t="shared" si="13"/>
        <v>0</v>
      </c>
      <c r="AY182" s="116">
        <f t="shared" si="13"/>
        <v>0</v>
      </c>
      <c r="AZ182" s="116">
        <f t="shared" si="13"/>
        <v>0</v>
      </c>
      <c r="BA182" s="116">
        <f t="shared" si="13"/>
        <v>23</v>
      </c>
      <c r="BB182" s="117">
        <f t="shared" si="11"/>
        <v>29</v>
      </c>
      <c r="BD182" s="137">
        <v>30</v>
      </c>
    </row>
    <row r="183" spans="2:56" ht="48.95" customHeight="1">
      <c r="B183" s="112">
        <v>175</v>
      </c>
      <c r="C183" s="113">
        <v>1235250628</v>
      </c>
      <c r="D183" s="114" t="s">
        <v>1128</v>
      </c>
      <c r="E183" s="217" t="s">
        <v>794</v>
      </c>
      <c r="F183" s="78" t="s">
        <v>507</v>
      </c>
      <c r="G183" s="263" t="s">
        <v>484</v>
      </c>
      <c r="H183" s="114" t="s">
        <v>1129</v>
      </c>
      <c r="I183" s="114" t="s">
        <v>597</v>
      </c>
      <c r="J183" s="97" t="s">
        <v>567</v>
      </c>
      <c r="K183" s="97" t="s">
        <v>567</v>
      </c>
      <c r="L183" s="97" t="s">
        <v>567</v>
      </c>
      <c r="M183" s="97" t="s">
        <v>567</v>
      </c>
      <c r="N183" s="97" t="s">
        <v>557</v>
      </c>
      <c r="O183" s="97" t="s">
        <v>567</v>
      </c>
      <c r="P183" s="97" t="s">
        <v>567</v>
      </c>
      <c r="Q183" s="97" t="s">
        <v>567</v>
      </c>
      <c r="R183" s="97" t="s">
        <v>567</v>
      </c>
      <c r="S183" s="97" t="s">
        <v>567</v>
      </c>
      <c r="T183" s="97" t="s">
        <v>567</v>
      </c>
      <c r="U183" s="97" t="s">
        <v>557</v>
      </c>
      <c r="V183" s="97" t="s">
        <v>557</v>
      </c>
      <c r="W183" s="97" t="s">
        <v>567</v>
      </c>
      <c r="X183" s="97" t="s">
        <v>567</v>
      </c>
      <c r="Y183" s="97" t="s">
        <v>567</v>
      </c>
      <c r="Z183" s="97" t="s">
        <v>567</v>
      </c>
      <c r="AA183" s="97" t="s">
        <v>567</v>
      </c>
      <c r="AB183" s="97" t="s">
        <v>557</v>
      </c>
      <c r="AC183" s="97" t="s">
        <v>557</v>
      </c>
      <c r="AD183" s="97" t="s">
        <v>567</v>
      </c>
      <c r="AE183" s="97" t="s">
        <v>567</v>
      </c>
      <c r="AF183" s="97" t="s">
        <v>567</v>
      </c>
      <c r="AG183" s="97" t="s">
        <v>567</v>
      </c>
      <c r="AH183" s="97" t="s">
        <v>567</v>
      </c>
      <c r="AI183" s="97" t="s">
        <v>557</v>
      </c>
      <c r="AJ183" s="97" t="s">
        <v>567</v>
      </c>
      <c r="AK183" s="97" t="s">
        <v>567</v>
      </c>
      <c r="AL183" s="97" t="s">
        <v>567</v>
      </c>
      <c r="AM183" s="97" t="s">
        <v>567</v>
      </c>
      <c r="AO183" s="116">
        <f t="shared" si="14"/>
        <v>0</v>
      </c>
      <c r="AP183" s="116">
        <f t="shared" si="13"/>
        <v>0</v>
      </c>
      <c r="AQ183" s="116">
        <f t="shared" si="13"/>
        <v>6</v>
      </c>
      <c r="AR183" s="116">
        <f t="shared" ref="AP183:BA204" si="15">COUNTIF($J183:$AM183,AR$7)</f>
        <v>0</v>
      </c>
      <c r="AS183" s="116">
        <f t="shared" si="15"/>
        <v>0</v>
      </c>
      <c r="AT183" s="116">
        <f t="shared" si="15"/>
        <v>0</v>
      </c>
      <c r="AU183" s="116">
        <f t="shared" si="15"/>
        <v>0</v>
      </c>
      <c r="AV183" s="116">
        <f t="shared" si="15"/>
        <v>0</v>
      </c>
      <c r="AW183" s="116">
        <f t="shared" si="15"/>
        <v>0</v>
      </c>
      <c r="AX183" s="116">
        <f t="shared" si="15"/>
        <v>0</v>
      </c>
      <c r="AY183" s="116">
        <f t="shared" si="15"/>
        <v>0</v>
      </c>
      <c r="AZ183" s="116">
        <f t="shared" si="15"/>
        <v>0</v>
      </c>
      <c r="BA183" s="116">
        <f t="shared" si="15"/>
        <v>24</v>
      </c>
      <c r="BB183" s="117">
        <f t="shared" si="11"/>
        <v>30</v>
      </c>
      <c r="BD183" s="137">
        <v>30</v>
      </c>
    </row>
    <row r="184" spans="2:56" ht="48.95" customHeight="1">
      <c r="B184" s="112">
        <v>176</v>
      </c>
      <c r="C184" s="113">
        <v>1002296084</v>
      </c>
      <c r="D184" s="114" t="s">
        <v>1130</v>
      </c>
      <c r="E184" s="217" t="s">
        <v>794</v>
      </c>
      <c r="F184" s="78" t="s">
        <v>507</v>
      </c>
      <c r="G184" s="263" t="s">
        <v>484</v>
      </c>
      <c r="H184" s="114" t="s">
        <v>1131</v>
      </c>
      <c r="I184" s="114" t="s">
        <v>999</v>
      </c>
      <c r="J184" s="97" t="s">
        <v>567</v>
      </c>
      <c r="K184" s="97" t="s">
        <v>567</v>
      </c>
      <c r="L184" s="97" t="s">
        <v>567</v>
      </c>
      <c r="M184" s="97" t="s">
        <v>567</v>
      </c>
      <c r="N184" s="97" t="s">
        <v>557</v>
      </c>
      <c r="O184" s="97" t="s">
        <v>567</v>
      </c>
      <c r="P184" s="97" t="s">
        <v>567</v>
      </c>
      <c r="Q184" s="97" t="s">
        <v>567</v>
      </c>
      <c r="R184" s="97" t="s">
        <v>567</v>
      </c>
      <c r="S184" s="97" t="s">
        <v>567</v>
      </c>
      <c r="T184" s="97" t="s">
        <v>567</v>
      </c>
      <c r="U184" s="97" t="s">
        <v>557</v>
      </c>
      <c r="V184" s="97" t="s">
        <v>557</v>
      </c>
      <c r="W184" s="97" t="s">
        <v>567</v>
      </c>
      <c r="X184" s="97" t="s">
        <v>567</v>
      </c>
      <c r="Y184" s="97" t="s">
        <v>567</v>
      </c>
      <c r="Z184" s="97" t="s">
        <v>567</v>
      </c>
      <c r="AA184" s="97" t="s">
        <v>567</v>
      </c>
      <c r="AB184" s="97" t="s">
        <v>557</v>
      </c>
      <c r="AC184" s="97" t="s">
        <v>557</v>
      </c>
      <c r="AD184" s="97" t="s">
        <v>567</v>
      </c>
      <c r="AE184" s="97" t="s">
        <v>567</v>
      </c>
      <c r="AF184" s="97" t="s">
        <v>567</v>
      </c>
      <c r="AG184" s="97" t="s">
        <v>567</v>
      </c>
      <c r="AH184" s="97" t="s">
        <v>567</v>
      </c>
      <c r="AI184" s="97" t="s">
        <v>557</v>
      </c>
      <c r="AJ184" s="97" t="s">
        <v>567</v>
      </c>
      <c r="AK184" s="97" t="s">
        <v>567</v>
      </c>
      <c r="AL184" s="97" t="s">
        <v>567</v>
      </c>
      <c r="AM184" s="97" t="s">
        <v>567</v>
      </c>
      <c r="AO184" s="116">
        <f t="shared" si="14"/>
        <v>0</v>
      </c>
      <c r="AP184" s="116">
        <f t="shared" si="15"/>
        <v>0</v>
      </c>
      <c r="AQ184" s="116">
        <f t="shared" si="15"/>
        <v>6</v>
      </c>
      <c r="AR184" s="116">
        <f t="shared" si="15"/>
        <v>0</v>
      </c>
      <c r="AS184" s="116">
        <f t="shared" si="15"/>
        <v>0</v>
      </c>
      <c r="AT184" s="116">
        <f t="shared" si="15"/>
        <v>0</v>
      </c>
      <c r="AU184" s="116">
        <f t="shared" si="15"/>
        <v>0</v>
      </c>
      <c r="AV184" s="116">
        <f t="shared" si="15"/>
        <v>0</v>
      </c>
      <c r="AW184" s="116">
        <f t="shared" si="15"/>
        <v>0</v>
      </c>
      <c r="AX184" s="116">
        <f t="shared" si="15"/>
        <v>0</v>
      </c>
      <c r="AY184" s="116">
        <f t="shared" si="15"/>
        <v>0</v>
      </c>
      <c r="AZ184" s="116">
        <f t="shared" si="15"/>
        <v>0</v>
      </c>
      <c r="BA184" s="116">
        <f t="shared" si="15"/>
        <v>24</v>
      </c>
      <c r="BB184" s="117">
        <f t="shared" si="11"/>
        <v>30</v>
      </c>
      <c r="BD184" s="137">
        <v>30</v>
      </c>
    </row>
    <row r="185" spans="2:56" ht="48.95" customHeight="1">
      <c r="B185" s="112">
        <v>177</v>
      </c>
      <c r="C185" s="113">
        <v>52740829</v>
      </c>
      <c r="D185" s="114" t="s">
        <v>1132</v>
      </c>
      <c r="E185" s="217" t="s">
        <v>794</v>
      </c>
      <c r="F185" s="78" t="s">
        <v>506</v>
      </c>
      <c r="G185" s="263" t="s">
        <v>484</v>
      </c>
      <c r="H185" s="114" t="s">
        <v>1133</v>
      </c>
      <c r="I185" s="259" t="s">
        <v>894</v>
      </c>
      <c r="J185" s="97" t="s">
        <v>567</v>
      </c>
      <c r="K185" s="97" t="s">
        <v>567</v>
      </c>
      <c r="L185" s="97" t="s">
        <v>567</v>
      </c>
      <c r="M185" s="97" t="s">
        <v>567</v>
      </c>
      <c r="N185" s="97" t="s">
        <v>557</v>
      </c>
      <c r="O185" s="97" t="s">
        <v>567</v>
      </c>
      <c r="P185" s="97" t="s">
        <v>567</v>
      </c>
      <c r="Q185" s="97" t="s">
        <v>567</v>
      </c>
      <c r="R185" s="97" t="s">
        <v>567</v>
      </c>
      <c r="S185" s="97" t="s">
        <v>567</v>
      </c>
      <c r="T185" s="97" t="s">
        <v>567</v>
      </c>
      <c r="U185" s="97" t="s">
        <v>557</v>
      </c>
      <c r="V185" s="97" t="s">
        <v>557</v>
      </c>
      <c r="W185" s="97" t="s">
        <v>567</v>
      </c>
      <c r="X185" s="97" t="s">
        <v>567</v>
      </c>
      <c r="Y185" s="97" t="s">
        <v>567</v>
      </c>
      <c r="Z185" s="97" t="s">
        <v>567</v>
      </c>
      <c r="AA185" s="97" t="s">
        <v>567</v>
      </c>
      <c r="AB185" s="97" t="s">
        <v>557</v>
      </c>
      <c r="AC185" s="97" t="s">
        <v>557</v>
      </c>
      <c r="AD185" s="97" t="s">
        <v>567</v>
      </c>
      <c r="AE185" s="97" t="s">
        <v>567</v>
      </c>
      <c r="AF185" s="97" t="s">
        <v>567</v>
      </c>
      <c r="AG185" s="97" t="s">
        <v>567</v>
      </c>
      <c r="AH185" s="97" t="s">
        <v>567</v>
      </c>
      <c r="AI185" s="97" t="s">
        <v>557</v>
      </c>
      <c r="AJ185" s="97" t="s">
        <v>567</v>
      </c>
      <c r="AK185" s="97" t="s">
        <v>567</v>
      </c>
      <c r="AL185" s="97" t="s">
        <v>567</v>
      </c>
      <c r="AM185" s="97" t="s">
        <v>567</v>
      </c>
      <c r="AO185" s="116">
        <f t="shared" si="14"/>
        <v>0</v>
      </c>
      <c r="AP185" s="116">
        <f t="shared" si="15"/>
        <v>0</v>
      </c>
      <c r="AQ185" s="116">
        <f t="shared" si="15"/>
        <v>6</v>
      </c>
      <c r="AR185" s="116">
        <f t="shared" si="15"/>
        <v>0</v>
      </c>
      <c r="AS185" s="116">
        <f t="shared" si="15"/>
        <v>0</v>
      </c>
      <c r="AT185" s="116">
        <f t="shared" si="15"/>
        <v>0</v>
      </c>
      <c r="AU185" s="116">
        <f t="shared" si="15"/>
        <v>0</v>
      </c>
      <c r="AV185" s="116">
        <f t="shared" si="15"/>
        <v>0</v>
      </c>
      <c r="AW185" s="116">
        <f t="shared" si="15"/>
        <v>0</v>
      </c>
      <c r="AX185" s="116">
        <f t="shared" si="15"/>
        <v>0</v>
      </c>
      <c r="AY185" s="116">
        <f t="shared" si="15"/>
        <v>0</v>
      </c>
      <c r="AZ185" s="116">
        <f t="shared" si="15"/>
        <v>0</v>
      </c>
      <c r="BA185" s="116">
        <f t="shared" si="15"/>
        <v>24</v>
      </c>
      <c r="BB185" s="117">
        <f t="shared" si="11"/>
        <v>30</v>
      </c>
      <c r="BD185" s="137">
        <v>30</v>
      </c>
    </row>
    <row r="186" spans="2:56" ht="48.95" customHeight="1">
      <c r="B186" s="112">
        <v>178</v>
      </c>
      <c r="C186" s="113">
        <v>1020807797</v>
      </c>
      <c r="D186" s="114" t="s">
        <v>1134</v>
      </c>
      <c r="E186" s="217" t="s">
        <v>794</v>
      </c>
      <c r="F186" s="78" t="s">
        <v>506</v>
      </c>
      <c r="G186" s="263" t="s">
        <v>484</v>
      </c>
      <c r="H186" s="114" t="s">
        <v>1135</v>
      </c>
      <c r="I186" s="259" t="s">
        <v>894</v>
      </c>
      <c r="J186" s="97" t="s">
        <v>567</v>
      </c>
      <c r="K186" s="97" t="s">
        <v>567</v>
      </c>
      <c r="L186" s="97" t="s">
        <v>567</v>
      </c>
      <c r="M186" s="97" t="s">
        <v>567</v>
      </c>
      <c r="N186" s="97" t="s">
        <v>557</v>
      </c>
      <c r="O186" s="97" t="s">
        <v>567</v>
      </c>
      <c r="P186" s="97" t="s">
        <v>567</v>
      </c>
      <c r="Q186" s="97" t="s">
        <v>567</v>
      </c>
      <c r="R186" s="97" t="s">
        <v>567</v>
      </c>
      <c r="S186" s="97" t="s">
        <v>567</v>
      </c>
      <c r="T186" s="97" t="s">
        <v>567</v>
      </c>
      <c r="U186" s="97" t="s">
        <v>557</v>
      </c>
      <c r="V186" s="97" t="s">
        <v>557</v>
      </c>
      <c r="W186" s="97" t="s">
        <v>567</v>
      </c>
      <c r="X186" s="97" t="s">
        <v>567</v>
      </c>
      <c r="Y186" s="97" t="s">
        <v>567</v>
      </c>
      <c r="Z186" s="97" t="s">
        <v>567</v>
      </c>
      <c r="AA186" s="97" t="s">
        <v>567</v>
      </c>
      <c r="AB186" s="97" t="s">
        <v>557</v>
      </c>
      <c r="AC186" s="97" t="s">
        <v>557</v>
      </c>
      <c r="AD186" s="97" t="s">
        <v>567</v>
      </c>
      <c r="AE186" s="97" t="s">
        <v>567</v>
      </c>
      <c r="AF186" s="97" t="s">
        <v>567</v>
      </c>
      <c r="AG186" s="97" t="s">
        <v>567</v>
      </c>
      <c r="AH186" s="97" t="s">
        <v>567</v>
      </c>
      <c r="AI186" s="97" t="s">
        <v>557</v>
      </c>
      <c r="AJ186" s="97" t="s">
        <v>567</v>
      </c>
      <c r="AK186" s="97" t="s">
        <v>567</v>
      </c>
      <c r="AL186" s="97" t="s">
        <v>567</v>
      </c>
      <c r="AM186" s="97" t="s">
        <v>567</v>
      </c>
      <c r="AO186" s="116">
        <f t="shared" si="14"/>
        <v>0</v>
      </c>
      <c r="AP186" s="116">
        <f t="shared" si="15"/>
        <v>0</v>
      </c>
      <c r="AQ186" s="116">
        <f t="shared" si="15"/>
        <v>6</v>
      </c>
      <c r="AR186" s="116">
        <f t="shared" si="15"/>
        <v>0</v>
      </c>
      <c r="AS186" s="116">
        <f t="shared" si="15"/>
        <v>0</v>
      </c>
      <c r="AT186" s="116">
        <f t="shared" si="15"/>
        <v>0</v>
      </c>
      <c r="AU186" s="116">
        <f t="shared" si="15"/>
        <v>0</v>
      </c>
      <c r="AV186" s="116">
        <f t="shared" si="15"/>
        <v>0</v>
      </c>
      <c r="AW186" s="116">
        <f t="shared" si="15"/>
        <v>0</v>
      </c>
      <c r="AX186" s="116">
        <f t="shared" si="15"/>
        <v>0</v>
      </c>
      <c r="AY186" s="116">
        <f t="shared" si="15"/>
        <v>0</v>
      </c>
      <c r="AZ186" s="116">
        <f t="shared" si="15"/>
        <v>0</v>
      </c>
      <c r="BA186" s="116">
        <f t="shared" si="15"/>
        <v>24</v>
      </c>
      <c r="BB186" s="117">
        <f t="shared" si="11"/>
        <v>30</v>
      </c>
      <c r="BD186" s="137">
        <v>30</v>
      </c>
    </row>
    <row r="187" spans="2:56" ht="48.95" customHeight="1">
      <c r="B187" s="112">
        <v>179</v>
      </c>
      <c r="C187" s="113">
        <v>1020805845</v>
      </c>
      <c r="D187" s="114" t="s">
        <v>1136</v>
      </c>
      <c r="E187" s="217" t="s">
        <v>794</v>
      </c>
      <c r="F187" s="78" t="s">
        <v>507</v>
      </c>
      <c r="G187" s="82" t="s">
        <v>487</v>
      </c>
      <c r="H187" s="114" t="s">
        <v>1137</v>
      </c>
      <c r="I187" s="114" t="s">
        <v>597</v>
      </c>
      <c r="J187" s="97" t="s">
        <v>567</v>
      </c>
      <c r="K187" s="97" t="s">
        <v>567</v>
      </c>
      <c r="L187" s="97" t="s">
        <v>567</v>
      </c>
      <c r="M187" s="97" t="s">
        <v>567</v>
      </c>
      <c r="N187" s="97" t="s">
        <v>557</v>
      </c>
      <c r="O187" s="97" t="s">
        <v>567</v>
      </c>
      <c r="P187" s="97" t="s">
        <v>567</v>
      </c>
      <c r="Q187" s="97" t="s">
        <v>567</v>
      </c>
      <c r="R187" s="97" t="s">
        <v>567</v>
      </c>
      <c r="S187" s="97" t="s">
        <v>567</v>
      </c>
      <c r="T187" s="97" t="s">
        <v>567</v>
      </c>
      <c r="U187" s="97" t="s">
        <v>557</v>
      </c>
      <c r="V187" s="97" t="s">
        <v>557</v>
      </c>
      <c r="W187" s="97" t="s">
        <v>567</v>
      </c>
      <c r="X187" s="97" t="s">
        <v>567</v>
      </c>
      <c r="Y187" s="97" t="s">
        <v>567</v>
      </c>
      <c r="Z187" s="97" t="s">
        <v>567</v>
      </c>
      <c r="AA187" s="97" t="s">
        <v>567</v>
      </c>
      <c r="AB187" s="97" t="s">
        <v>557</v>
      </c>
      <c r="AC187" s="97" t="s">
        <v>557</v>
      </c>
      <c r="AD187" s="97" t="s">
        <v>567</v>
      </c>
      <c r="AE187" s="97" t="s">
        <v>567</v>
      </c>
      <c r="AF187" s="97" t="s">
        <v>567</v>
      </c>
      <c r="AG187" s="97" t="s">
        <v>567</v>
      </c>
      <c r="AH187" s="97" t="s">
        <v>567</v>
      </c>
      <c r="AI187" s="97" t="s">
        <v>557</v>
      </c>
      <c r="AJ187" s="97" t="s">
        <v>567</v>
      </c>
      <c r="AK187" s="97" t="s">
        <v>567</v>
      </c>
      <c r="AL187" s="97" t="s">
        <v>567</v>
      </c>
      <c r="AM187" s="97" t="s">
        <v>567</v>
      </c>
      <c r="AO187" s="116">
        <f t="shared" si="14"/>
        <v>0</v>
      </c>
      <c r="AP187" s="116">
        <f t="shared" si="15"/>
        <v>0</v>
      </c>
      <c r="AQ187" s="116">
        <f t="shared" si="15"/>
        <v>6</v>
      </c>
      <c r="AR187" s="116">
        <f t="shared" si="15"/>
        <v>0</v>
      </c>
      <c r="AS187" s="116">
        <f t="shared" si="15"/>
        <v>0</v>
      </c>
      <c r="AT187" s="116">
        <f t="shared" si="15"/>
        <v>0</v>
      </c>
      <c r="AU187" s="116">
        <f t="shared" si="15"/>
        <v>0</v>
      </c>
      <c r="AV187" s="116">
        <f t="shared" si="15"/>
        <v>0</v>
      </c>
      <c r="AW187" s="116">
        <f t="shared" si="15"/>
        <v>0</v>
      </c>
      <c r="AX187" s="116">
        <f t="shared" si="15"/>
        <v>0</v>
      </c>
      <c r="AY187" s="116">
        <f t="shared" si="15"/>
        <v>0</v>
      </c>
      <c r="AZ187" s="116">
        <f t="shared" si="15"/>
        <v>0</v>
      </c>
      <c r="BA187" s="116">
        <f t="shared" si="15"/>
        <v>24</v>
      </c>
      <c r="BB187" s="117">
        <f t="shared" si="11"/>
        <v>30</v>
      </c>
      <c r="BD187" s="137">
        <v>30</v>
      </c>
    </row>
    <row r="188" spans="2:56" ht="48.95" customHeight="1">
      <c r="B188" s="112">
        <v>180</v>
      </c>
      <c r="C188" s="113">
        <v>1019060189</v>
      </c>
      <c r="D188" s="114" t="s">
        <v>1138</v>
      </c>
      <c r="E188" s="217" t="s">
        <v>794</v>
      </c>
      <c r="F188" s="78" t="s">
        <v>506</v>
      </c>
      <c r="G188" s="263" t="s">
        <v>487</v>
      </c>
      <c r="H188" s="114" t="s">
        <v>1139</v>
      </c>
      <c r="I188" s="114" t="s">
        <v>597</v>
      </c>
      <c r="J188" s="97" t="s">
        <v>567</v>
      </c>
      <c r="K188" s="97" t="s">
        <v>567</v>
      </c>
      <c r="L188" s="97" t="s">
        <v>567</v>
      </c>
      <c r="M188" s="97" t="s">
        <v>567</v>
      </c>
      <c r="N188" s="97" t="s">
        <v>557</v>
      </c>
      <c r="O188" s="97" t="s">
        <v>567</v>
      </c>
      <c r="P188" s="97" t="s">
        <v>567</v>
      </c>
      <c r="Q188" s="97" t="s">
        <v>567</v>
      </c>
      <c r="R188" s="97" t="s">
        <v>567</v>
      </c>
      <c r="S188" s="97" t="s">
        <v>567</v>
      </c>
      <c r="T188" s="97" t="s">
        <v>567</v>
      </c>
      <c r="U188" s="97" t="s">
        <v>557</v>
      </c>
      <c r="V188" s="97" t="s">
        <v>557</v>
      </c>
      <c r="W188" s="97" t="s">
        <v>567</v>
      </c>
      <c r="X188" s="97" t="s">
        <v>567</v>
      </c>
      <c r="Y188" s="97" t="s">
        <v>567</v>
      </c>
      <c r="Z188" s="97" t="s">
        <v>567</v>
      </c>
      <c r="AA188" s="97" t="s">
        <v>567</v>
      </c>
      <c r="AB188" s="97" t="s">
        <v>557</v>
      </c>
      <c r="AC188" s="97" t="s">
        <v>557</v>
      </c>
      <c r="AD188" s="97" t="s">
        <v>567</v>
      </c>
      <c r="AE188" s="97" t="s">
        <v>567</v>
      </c>
      <c r="AF188" s="97" t="s">
        <v>567</v>
      </c>
      <c r="AG188" s="97" t="s">
        <v>567</v>
      </c>
      <c r="AH188" s="97" t="s">
        <v>567</v>
      </c>
      <c r="AI188" s="97" t="s">
        <v>557</v>
      </c>
      <c r="AJ188" s="97" t="s">
        <v>567</v>
      </c>
      <c r="AK188" s="97" t="s">
        <v>567</v>
      </c>
      <c r="AL188" s="97" t="s">
        <v>567</v>
      </c>
      <c r="AM188" s="97" t="s">
        <v>567</v>
      </c>
      <c r="AO188" s="116">
        <f t="shared" si="14"/>
        <v>0</v>
      </c>
      <c r="AP188" s="116">
        <f t="shared" si="15"/>
        <v>0</v>
      </c>
      <c r="AQ188" s="116">
        <f t="shared" si="15"/>
        <v>6</v>
      </c>
      <c r="AR188" s="116">
        <f t="shared" si="15"/>
        <v>0</v>
      </c>
      <c r="AS188" s="116">
        <f t="shared" si="15"/>
        <v>0</v>
      </c>
      <c r="AT188" s="116">
        <f t="shared" si="15"/>
        <v>0</v>
      </c>
      <c r="AU188" s="116">
        <f t="shared" si="15"/>
        <v>0</v>
      </c>
      <c r="AV188" s="116">
        <f t="shared" si="15"/>
        <v>0</v>
      </c>
      <c r="AW188" s="116">
        <f t="shared" si="15"/>
        <v>0</v>
      </c>
      <c r="AX188" s="116">
        <f t="shared" si="15"/>
        <v>0</v>
      </c>
      <c r="AY188" s="116">
        <f t="shared" si="15"/>
        <v>0</v>
      </c>
      <c r="AZ188" s="116">
        <f t="shared" si="15"/>
        <v>0</v>
      </c>
      <c r="BA188" s="116">
        <f t="shared" si="15"/>
        <v>24</v>
      </c>
      <c r="BB188" s="117">
        <f t="shared" si="11"/>
        <v>30</v>
      </c>
      <c r="BD188" s="137">
        <v>30</v>
      </c>
    </row>
    <row r="189" spans="2:56" ht="48.95" customHeight="1">
      <c r="B189" s="112">
        <v>181</v>
      </c>
      <c r="C189" s="113">
        <v>1043030599</v>
      </c>
      <c r="D189" s="114" t="s">
        <v>1140</v>
      </c>
      <c r="E189" s="217" t="s">
        <v>794</v>
      </c>
      <c r="F189" s="78" t="s">
        <v>506</v>
      </c>
      <c r="G189" s="263" t="s">
        <v>487</v>
      </c>
      <c r="H189" s="114" t="s">
        <v>1141</v>
      </c>
      <c r="I189" s="114" t="s">
        <v>597</v>
      </c>
      <c r="J189" s="97" t="s">
        <v>567</v>
      </c>
      <c r="K189" s="97" t="s">
        <v>567</v>
      </c>
      <c r="L189" s="97" t="s">
        <v>567</v>
      </c>
      <c r="M189" s="97" t="s">
        <v>567</v>
      </c>
      <c r="N189" s="97" t="s">
        <v>557</v>
      </c>
      <c r="O189" s="97" t="s">
        <v>567</v>
      </c>
      <c r="P189" s="97" t="s">
        <v>567</v>
      </c>
      <c r="Q189" s="97" t="s">
        <v>567</v>
      </c>
      <c r="R189" s="97" t="s">
        <v>567</v>
      </c>
      <c r="S189" s="97" t="s">
        <v>567</v>
      </c>
      <c r="T189" s="97" t="s">
        <v>567</v>
      </c>
      <c r="U189" s="97" t="s">
        <v>557</v>
      </c>
      <c r="V189" s="97" t="s">
        <v>557</v>
      </c>
      <c r="W189" s="97" t="s">
        <v>567</v>
      </c>
      <c r="X189" s="97" t="s">
        <v>567</v>
      </c>
      <c r="Y189" s="97" t="s">
        <v>567</v>
      </c>
      <c r="Z189" s="97" t="s">
        <v>567</v>
      </c>
      <c r="AA189" s="97" t="s">
        <v>567</v>
      </c>
      <c r="AB189" s="97" t="s">
        <v>557</v>
      </c>
      <c r="AC189" s="97" t="s">
        <v>557</v>
      </c>
      <c r="AD189" s="97" t="s">
        <v>567</v>
      </c>
      <c r="AE189" s="97" t="s">
        <v>567</v>
      </c>
      <c r="AF189" s="97" t="s">
        <v>567</v>
      </c>
      <c r="AG189" s="97" t="s">
        <v>567</v>
      </c>
      <c r="AH189" s="97" t="s">
        <v>567</v>
      </c>
      <c r="AI189" s="97" t="s">
        <v>557</v>
      </c>
      <c r="AJ189" s="97" t="s">
        <v>567</v>
      </c>
      <c r="AK189" s="97" t="s">
        <v>567</v>
      </c>
      <c r="AL189" s="97" t="s">
        <v>567</v>
      </c>
      <c r="AM189" s="97" t="s">
        <v>567</v>
      </c>
      <c r="AO189" s="116">
        <f t="shared" si="14"/>
        <v>0</v>
      </c>
      <c r="AP189" s="116">
        <f t="shared" si="15"/>
        <v>0</v>
      </c>
      <c r="AQ189" s="116">
        <f t="shared" si="15"/>
        <v>6</v>
      </c>
      <c r="AR189" s="116">
        <f t="shared" si="15"/>
        <v>0</v>
      </c>
      <c r="AS189" s="116">
        <f t="shared" si="15"/>
        <v>0</v>
      </c>
      <c r="AT189" s="116">
        <f t="shared" si="15"/>
        <v>0</v>
      </c>
      <c r="AU189" s="116">
        <f t="shared" si="15"/>
        <v>0</v>
      </c>
      <c r="AV189" s="116">
        <f t="shared" si="15"/>
        <v>0</v>
      </c>
      <c r="AW189" s="116">
        <f t="shared" si="15"/>
        <v>0</v>
      </c>
      <c r="AX189" s="116">
        <f t="shared" si="15"/>
        <v>0</v>
      </c>
      <c r="AY189" s="116">
        <f t="shared" si="15"/>
        <v>0</v>
      </c>
      <c r="AZ189" s="116">
        <f t="shared" si="15"/>
        <v>0</v>
      </c>
      <c r="BA189" s="116">
        <f t="shared" si="15"/>
        <v>24</v>
      </c>
      <c r="BB189" s="117">
        <f t="shared" si="11"/>
        <v>30</v>
      </c>
      <c r="BD189" s="137">
        <v>30</v>
      </c>
    </row>
    <row r="190" spans="2:56" ht="48.95" customHeight="1">
      <c r="B190" s="112">
        <v>182</v>
      </c>
      <c r="C190" s="113">
        <v>1052077081</v>
      </c>
      <c r="D190" s="114" t="s">
        <v>1142</v>
      </c>
      <c r="E190" s="217" t="s">
        <v>794</v>
      </c>
      <c r="F190" s="78" t="s">
        <v>506</v>
      </c>
      <c r="G190" s="263" t="s">
        <v>496</v>
      </c>
      <c r="H190" s="114" t="s">
        <v>1143</v>
      </c>
      <c r="I190" s="114" t="s">
        <v>1144</v>
      </c>
      <c r="J190" s="97" t="s">
        <v>567</v>
      </c>
      <c r="K190" s="97" t="s">
        <v>567</v>
      </c>
      <c r="L190" s="97" t="s">
        <v>567</v>
      </c>
      <c r="M190" s="97" t="s">
        <v>567</v>
      </c>
      <c r="N190" s="97" t="s">
        <v>557</v>
      </c>
      <c r="O190" s="97" t="s">
        <v>567</v>
      </c>
      <c r="P190" s="97" t="s">
        <v>567</v>
      </c>
      <c r="Q190" s="97" t="s">
        <v>567</v>
      </c>
      <c r="R190" s="97" t="s">
        <v>567</v>
      </c>
      <c r="S190" s="97" t="s">
        <v>567</v>
      </c>
      <c r="T190" s="97" t="s">
        <v>567</v>
      </c>
      <c r="U190" s="97" t="s">
        <v>557</v>
      </c>
      <c r="V190" s="97" t="s">
        <v>557</v>
      </c>
      <c r="W190" s="97" t="s">
        <v>567</v>
      </c>
      <c r="X190" s="97" t="s">
        <v>567</v>
      </c>
      <c r="Y190" s="97" t="s">
        <v>567</v>
      </c>
      <c r="Z190" s="97" t="s">
        <v>567</v>
      </c>
      <c r="AA190" s="97" t="s">
        <v>567</v>
      </c>
      <c r="AB190" s="97" t="s">
        <v>557</v>
      </c>
      <c r="AC190" s="97" t="s">
        <v>557</v>
      </c>
      <c r="AD190" s="97" t="s">
        <v>567</v>
      </c>
      <c r="AE190" s="97" t="s">
        <v>558</v>
      </c>
      <c r="AF190" s="97" t="s">
        <v>558</v>
      </c>
      <c r="AG190" s="97" t="s">
        <v>567</v>
      </c>
      <c r="AH190" s="97" t="s">
        <v>567</v>
      </c>
      <c r="AI190" s="97" t="s">
        <v>557</v>
      </c>
      <c r="AJ190" s="97" t="s">
        <v>567</v>
      </c>
      <c r="AK190" s="97" t="s">
        <v>567</v>
      </c>
      <c r="AL190" s="97" t="s">
        <v>567</v>
      </c>
      <c r="AM190" s="97" t="s">
        <v>567</v>
      </c>
      <c r="AO190" s="116">
        <f t="shared" si="14"/>
        <v>0</v>
      </c>
      <c r="AP190" s="116">
        <f t="shared" si="15"/>
        <v>0</v>
      </c>
      <c r="AQ190" s="116">
        <f t="shared" si="15"/>
        <v>6</v>
      </c>
      <c r="AR190" s="116">
        <f t="shared" si="15"/>
        <v>2</v>
      </c>
      <c r="AS190" s="116">
        <f t="shared" si="15"/>
        <v>0</v>
      </c>
      <c r="AT190" s="116">
        <f t="shared" si="15"/>
        <v>0</v>
      </c>
      <c r="AU190" s="116">
        <f t="shared" si="15"/>
        <v>0</v>
      </c>
      <c r="AV190" s="116">
        <f t="shared" si="15"/>
        <v>0</v>
      </c>
      <c r="AW190" s="116">
        <f t="shared" si="15"/>
        <v>0</v>
      </c>
      <c r="AX190" s="116">
        <f t="shared" si="15"/>
        <v>0</v>
      </c>
      <c r="AY190" s="116">
        <f t="shared" si="15"/>
        <v>0</v>
      </c>
      <c r="AZ190" s="116">
        <f t="shared" si="15"/>
        <v>0</v>
      </c>
      <c r="BA190" s="116">
        <f t="shared" si="15"/>
        <v>22</v>
      </c>
      <c r="BB190" s="117">
        <f t="shared" si="11"/>
        <v>28</v>
      </c>
      <c r="BD190" s="137">
        <v>30</v>
      </c>
    </row>
    <row r="191" spans="2:56" ht="48.95" customHeight="1">
      <c r="B191" s="112">
        <v>183</v>
      </c>
      <c r="C191" s="113">
        <v>52990959</v>
      </c>
      <c r="D191" s="114" t="s">
        <v>1145</v>
      </c>
      <c r="E191" s="217" t="s">
        <v>794</v>
      </c>
      <c r="F191" s="78" t="s">
        <v>506</v>
      </c>
      <c r="G191" s="263" t="s">
        <v>496</v>
      </c>
      <c r="H191" s="114" t="s">
        <v>1146</v>
      </c>
      <c r="I191" s="114" t="s">
        <v>600</v>
      </c>
      <c r="J191" s="97" t="s">
        <v>567</v>
      </c>
      <c r="K191" s="97" t="s">
        <v>567</v>
      </c>
      <c r="L191" s="97" t="s">
        <v>567</v>
      </c>
      <c r="M191" s="97" t="s">
        <v>567</v>
      </c>
      <c r="N191" s="97" t="s">
        <v>557</v>
      </c>
      <c r="O191" s="97" t="s">
        <v>567</v>
      </c>
      <c r="P191" s="97" t="s">
        <v>567</v>
      </c>
      <c r="Q191" s="97" t="s">
        <v>567</v>
      </c>
      <c r="R191" s="97" t="s">
        <v>567</v>
      </c>
      <c r="S191" s="97" t="s">
        <v>567</v>
      </c>
      <c r="T191" s="97" t="s">
        <v>567</v>
      </c>
      <c r="U191" s="97" t="s">
        <v>557</v>
      </c>
      <c r="V191" s="97" t="s">
        <v>557</v>
      </c>
      <c r="W191" s="97" t="s">
        <v>567</v>
      </c>
      <c r="X191" s="97" t="s">
        <v>567</v>
      </c>
      <c r="Y191" s="97" t="s">
        <v>567</v>
      </c>
      <c r="Z191" s="97" t="s">
        <v>567</v>
      </c>
      <c r="AA191" s="97" t="s">
        <v>567</v>
      </c>
      <c r="AB191" s="97" t="s">
        <v>557</v>
      </c>
      <c r="AC191" s="97" t="s">
        <v>557</v>
      </c>
      <c r="AD191" s="97" t="s">
        <v>567</v>
      </c>
      <c r="AE191" s="97" t="s">
        <v>567</v>
      </c>
      <c r="AF191" s="97" t="s">
        <v>567</v>
      </c>
      <c r="AG191" s="97" t="s">
        <v>567</v>
      </c>
      <c r="AH191" s="97" t="s">
        <v>567</v>
      </c>
      <c r="AI191" s="97" t="s">
        <v>557</v>
      </c>
      <c r="AJ191" s="97" t="s">
        <v>567</v>
      </c>
      <c r="AK191" s="97" t="s">
        <v>567</v>
      </c>
      <c r="AL191" s="97" t="s">
        <v>567</v>
      </c>
      <c r="AM191" s="97" t="s">
        <v>567</v>
      </c>
      <c r="AO191" s="116">
        <f t="shared" si="14"/>
        <v>0</v>
      </c>
      <c r="AP191" s="116">
        <f t="shared" si="15"/>
        <v>0</v>
      </c>
      <c r="AQ191" s="116">
        <f t="shared" si="15"/>
        <v>6</v>
      </c>
      <c r="AR191" s="116">
        <f t="shared" si="15"/>
        <v>0</v>
      </c>
      <c r="AS191" s="116">
        <f t="shared" si="15"/>
        <v>0</v>
      </c>
      <c r="AT191" s="116">
        <f t="shared" si="15"/>
        <v>0</v>
      </c>
      <c r="AU191" s="116">
        <f t="shared" si="15"/>
        <v>0</v>
      </c>
      <c r="AV191" s="116">
        <f t="shared" si="15"/>
        <v>0</v>
      </c>
      <c r="AW191" s="116">
        <f t="shared" si="15"/>
        <v>0</v>
      </c>
      <c r="AX191" s="116">
        <f t="shared" si="15"/>
        <v>0</v>
      </c>
      <c r="AY191" s="116">
        <f t="shared" si="15"/>
        <v>0</v>
      </c>
      <c r="AZ191" s="116">
        <f t="shared" si="15"/>
        <v>0</v>
      </c>
      <c r="BA191" s="116">
        <f t="shared" si="15"/>
        <v>24</v>
      </c>
      <c r="BB191" s="117">
        <f t="shared" si="11"/>
        <v>30</v>
      </c>
      <c r="BD191" s="137">
        <v>30</v>
      </c>
    </row>
    <row r="192" spans="2:56" ht="48.95" customHeight="1">
      <c r="B192" s="112">
        <v>184</v>
      </c>
      <c r="C192" s="113">
        <v>1233899199</v>
      </c>
      <c r="D192" s="114" t="s">
        <v>1147</v>
      </c>
      <c r="E192" s="217" t="s">
        <v>794</v>
      </c>
      <c r="F192" s="78" t="s">
        <v>506</v>
      </c>
      <c r="G192" s="263" t="s">
        <v>488</v>
      </c>
      <c r="H192" s="114" t="s">
        <v>1148</v>
      </c>
      <c r="I192" s="114" t="s">
        <v>1149</v>
      </c>
      <c r="J192" s="97" t="s">
        <v>567</v>
      </c>
      <c r="K192" s="97" t="s">
        <v>567</v>
      </c>
      <c r="L192" s="97" t="s">
        <v>558</v>
      </c>
      <c r="M192" s="97" t="s">
        <v>558</v>
      </c>
      <c r="N192" s="97" t="s">
        <v>558</v>
      </c>
      <c r="O192" s="97" t="s">
        <v>567</v>
      </c>
      <c r="P192" s="97" t="s">
        <v>567</v>
      </c>
      <c r="Q192" s="97" t="s">
        <v>567</v>
      </c>
      <c r="R192" s="97" t="s">
        <v>567</v>
      </c>
      <c r="S192" s="97" t="s">
        <v>567</v>
      </c>
      <c r="T192" s="97" t="s">
        <v>567</v>
      </c>
      <c r="U192" s="97" t="s">
        <v>557</v>
      </c>
      <c r="V192" s="97" t="s">
        <v>557</v>
      </c>
      <c r="W192" s="97" t="s">
        <v>567</v>
      </c>
      <c r="X192" s="97" t="s">
        <v>567</v>
      </c>
      <c r="Y192" s="97" t="s">
        <v>567</v>
      </c>
      <c r="Z192" s="97" t="s">
        <v>567</v>
      </c>
      <c r="AA192" s="97" t="s">
        <v>567</v>
      </c>
      <c r="AB192" s="97" t="s">
        <v>557</v>
      </c>
      <c r="AC192" s="97" t="s">
        <v>557</v>
      </c>
      <c r="AD192" s="97" t="s">
        <v>567</v>
      </c>
      <c r="AE192" s="97" t="s">
        <v>567</v>
      </c>
      <c r="AF192" s="97" t="s">
        <v>567</v>
      </c>
      <c r="AG192" s="97" t="s">
        <v>567</v>
      </c>
      <c r="AH192" s="97" t="s">
        <v>567</v>
      </c>
      <c r="AI192" s="97" t="s">
        <v>557</v>
      </c>
      <c r="AJ192" s="97" t="s">
        <v>567</v>
      </c>
      <c r="AK192" s="97" t="s">
        <v>567</v>
      </c>
      <c r="AL192" s="97" t="s">
        <v>567</v>
      </c>
      <c r="AM192" s="97" t="s">
        <v>567</v>
      </c>
      <c r="AO192" s="116">
        <f t="shared" si="14"/>
        <v>0</v>
      </c>
      <c r="AP192" s="116">
        <f t="shared" si="15"/>
        <v>0</v>
      </c>
      <c r="AQ192" s="116">
        <f t="shared" si="15"/>
        <v>5</v>
      </c>
      <c r="AR192" s="116">
        <f t="shared" si="15"/>
        <v>3</v>
      </c>
      <c r="AS192" s="116">
        <f t="shared" si="15"/>
        <v>0</v>
      </c>
      <c r="AT192" s="116">
        <f t="shared" si="15"/>
        <v>0</v>
      </c>
      <c r="AU192" s="116">
        <f t="shared" si="15"/>
        <v>0</v>
      </c>
      <c r="AV192" s="116">
        <f t="shared" si="15"/>
        <v>0</v>
      </c>
      <c r="AW192" s="116">
        <f t="shared" si="15"/>
        <v>0</v>
      </c>
      <c r="AX192" s="116">
        <f t="shared" si="15"/>
        <v>0</v>
      </c>
      <c r="AY192" s="116">
        <f t="shared" si="15"/>
        <v>0</v>
      </c>
      <c r="AZ192" s="116">
        <f t="shared" si="15"/>
        <v>0</v>
      </c>
      <c r="BA192" s="116">
        <f t="shared" si="15"/>
        <v>22</v>
      </c>
      <c r="BB192" s="117">
        <f t="shared" si="11"/>
        <v>27</v>
      </c>
      <c r="BD192" s="137">
        <v>30</v>
      </c>
    </row>
    <row r="193" spans="1:56" ht="48.95" customHeight="1">
      <c r="A193" s="256" t="s">
        <v>713</v>
      </c>
      <c r="B193" s="112">
        <v>185</v>
      </c>
      <c r="C193" s="113">
        <v>39659470</v>
      </c>
      <c r="D193" s="258" t="s">
        <v>758</v>
      </c>
      <c r="E193" s="217" t="s">
        <v>794</v>
      </c>
      <c r="F193" s="78" t="s">
        <v>506</v>
      </c>
      <c r="G193" s="264" t="s">
        <v>488</v>
      </c>
      <c r="H193" s="114" t="s">
        <v>759</v>
      </c>
      <c r="I193" s="114" t="s">
        <v>597</v>
      </c>
      <c r="J193" s="97" t="s">
        <v>567</v>
      </c>
      <c r="K193" s="97" t="s">
        <v>567</v>
      </c>
      <c r="L193" s="97" t="s">
        <v>567</v>
      </c>
      <c r="M193" s="97" t="s">
        <v>567</v>
      </c>
      <c r="N193" s="97" t="s">
        <v>557</v>
      </c>
      <c r="O193" s="97" t="s">
        <v>567</v>
      </c>
      <c r="P193" s="97" t="s">
        <v>567</v>
      </c>
      <c r="Q193" s="97" t="s">
        <v>567</v>
      </c>
      <c r="R193" s="97" t="s">
        <v>567</v>
      </c>
      <c r="S193" s="97" t="s">
        <v>567</v>
      </c>
      <c r="T193" s="97" t="s">
        <v>567</v>
      </c>
      <c r="U193" s="97" t="s">
        <v>557</v>
      </c>
      <c r="V193" s="97" t="s">
        <v>557</v>
      </c>
      <c r="W193" s="97" t="s">
        <v>567</v>
      </c>
      <c r="X193" s="97" t="s">
        <v>567</v>
      </c>
      <c r="Y193" s="97" t="s">
        <v>567</v>
      </c>
      <c r="Z193" s="97" t="s">
        <v>567</v>
      </c>
      <c r="AA193" s="97" t="s">
        <v>567</v>
      </c>
      <c r="AB193" s="97" t="s">
        <v>557</v>
      </c>
      <c r="AC193" s="97" t="s">
        <v>557</v>
      </c>
      <c r="AD193" s="97" t="s">
        <v>1150</v>
      </c>
      <c r="AE193" s="97" t="s">
        <v>1150</v>
      </c>
      <c r="AF193" s="97" t="s">
        <v>1150</v>
      </c>
      <c r="AG193" s="97" t="s">
        <v>1150</v>
      </c>
      <c r="AH193" s="97" t="s">
        <v>1150</v>
      </c>
      <c r="AI193" s="97" t="s">
        <v>1150</v>
      </c>
      <c r="AJ193" s="97" t="s">
        <v>1150</v>
      </c>
      <c r="AK193" s="97" t="s">
        <v>1150</v>
      </c>
      <c r="AL193" s="97" t="s">
        <v>1150</v>
      </c>
      <c r="AM193" s="97" t="s">
        <v>1150</v>
      </c>
      <c r="AO193" s="116">
        <f t="shared" si="14"/>
        <v>0</v>
      </c>
      <c r="AP193" s="116">
        <f t="shared" si="15"/>
        <v>0</v>
      </c>
      <c r="AQ193" s="116">
        <f t="shared" si="15"/>
        <v>5</v>
      </c>
      <c r="AR193" s="116">
        <f t="shared" si="15"/>
        <v>0</v>
      </c>
      <c r="AS193" s="116">
        <f t="shared" si="15"/>
        <v>0</v>
      </c>
      <c r="AT193" s="116">
        <f t="shared" si="15"/>
        <v>0</v>
      </c>
      <c r="AU193" s="116">
        <f t="shared" si="15"/>
        <v>0</v>
      </c>
      <c r="AV193" s="116">
        <f t="shared" si="15"/>
        <v>0</v>
      </c>
      <c r="AW193" s="116">
        <f t="shared" si="15"/>
        <v>0</v>
      </c>
      <c r="AX193" s="116">
        <f t="shared" si="15"/>
        <v>0</v>
      </c>
      <c r="AY193" s="116">
        <f t="shared" si="15"/>
        <v>0</v>
      </c>
      <c r="AZ193" s="116">
        <f t="shared" si="15"/>
        <v>0</v>
      </c>
      <c r="BA193" s="116">
        <f t="shared" si="15"/>
        <v>15</v>
      </c>
      <c r="BB193" s="117">
        <f t="shared" si="11"/>
        <v>20</v>
      </c>
      <c r="BD193" s="137">
        <v>20</v>
      </c>
    </row>
    <row r="194" spans="1:56" ht="48.95" customHeight="1">
      <c r="B194" s="112">
        <v>186</v>
      </c>
      <c r="C194" s="113">
        <v>53026098</v>
      </c>
      <c r="D194" s="114" t="s">
        <v>1151</v>
      </c>
      <c r="E194" s="217" t="s">
        <v>794</v>
      </c>
      <c r="F194" s="78" t="s">
        <v>506</v>
      </c>
      <c r="G194" s="263" t="s">
        <v>488</v>
      </c>
      <c r="H194" s="114" t="s">
        <v>1152</v>
      </c>
      <c r="I194" s="114" t="s">
        <v>882</v>
      </c>
      <c r="J194" s="97" t="s">
        <v>567</v>
      </c>
      <c r="K194" s="97" t="s">
        <v>567</v>
      </c>
      <c r="L194" s="97" t="s">
        <v>567</v>
      </c>
      <c r="M194" s="97" t="s">
        <v>567</v>
      </c>
      <c r="N194" s="97" t="s">
        <v>557</v>
      </c>
      <c r="O194" s="97" t="s">
        <v>567</v>
      </c>
      <c r="P194" s="97" t="s">
        <v>567</v>
      </c>
      <c r="Q194" s="97" t="s">
        <v>567</v>
      </c>
      <c r="R194" s="97" t="s">
        <v>567</v>
      </c>
      <c r="S194" s="97" t="s">
        <v>567</v>
      </c>
      <c r="T194" s="97" t="s">
        <v>567</v>
      </c>
      <c r="U194" s="97" t="s">
        <v>557</v>
      </c>
      <c r="V194" s="97" t="s">
        <v>557</v>
      </c>
      <c r="W194" s="97" t="s">
        <v>567</v>
      </c>
      <c r="X194" s="97" t="s">
        <v>567</v>
      </c>
      <c r="Y194" s="97" t="s">
        <v>567</v>
      </c>
      <c r="Z194" s="97" t="s">
        <v>567</v>
      </c>
      <c r="AA194" s="97" t="s">
        <v>567</v>
      </c>
      <c r="AB194" s="97" t="s">
        <v>557</v>
      </c>
      <c r="AC194" s="97" t="s">
        <v>557</v>
      </c>
      <c r="AD194" s="97" t="s">
        <v>567</v>
      </c>
      <c r="AE194" s="97" t="s">
        <v>567</v>
      </c>
      <c r="AF194" s="97" t="s">
        <v>567</v>
      </c>
      <c r="AG194" s="97" t="s">
        <v>567</v>
      </c>
      <c r="AH194" s="97" t="s">
        <v>567</v>
      </c>
      <c r="AI194" s="97" t="s">
        <v>557</v>
      </c>
      <c r="AJ194" s="97" t="s">
        <v>567</v>
      </c>
      <c r="AK194" s="97" t="s">
        <v>567</v>
      </c>
      <c r="AL194" s="97" t="s">
        <v>567</v>
      </c>
      <c r="AM194" s="97" t="s">
        <v>567</v>
      </c>
      <c r="AO194" s="116">
        <f t="shared" si="14"/>
        <v>0</v>
      </c>
      <c r="AP194" s="116">
        <f t="shared" si="15"/>
        <v>0</v>
      </c>
      <c r="AQ194" s="116">
        <f t="shared" si="15"/>
        <v>6</v>
      </c>
      <c r="AR194" s="116">
        <f t="shared" si="15"/>
        <v>0</v>
      </c>
      <c r="AS194" s="116">
        <f t="shared" si="15"/>
        <v>0</v>
      </c>
      <c r="AT194" s="116">
        <f t="shared" si="15"/>
        <v>0</v>
      </c>
      <c r="AU194" s="116">
        <f t="shared" si="15"/>
        <v>0</v>
      </c>
      <c r="AV194" s="116">
        <f t="shared" si="15"/>
        <v>0</v>
      </c>
      <c r="AW194" s="116">
        <f t="shared" si="15"/>
        <v>0</v>
      </c>
      <c r="AX194" s="116">
        <f t="shared" si="15"/>
        <v>0</v>
      </c>
      <c r="AY194" s="116">
        <f t="shared" si="15"/>
        <v>0</v>
      </c>
      <c r="AZ194" s="116">
        <f t="shared" si="15"/>
        <v>0</v>
      </c>
      <c r="BA194" s="116">
        <f t="shared" si="15"/>
        <v>24</v>
      </c>
      <c r="BB194" s="117">
        <f t="shared" si="11"/>
        <v>30</v>
      </c>
      <c r="BD194" s="137">
        <v>30</v>
      </c>
    </row>
    <row r="195" spans="1:56" ht="48.95" customHeight="1">
      <c r="B195" s="112">
        <v>187</v>
      </c>
      <c r="C195" s="113">
        <v>1016049175</v>
      </c>
      <c r="D195" s="114" t="s">
        <v>1153</v>
      </c>
      <c r="E195" s="217" t="s">
        <v>794</v>
      </c>
      <c r="F195" s="78" t="s">
        <v>507</v>
      </c>
      <c r="G195" s="77" t="s">
        <v>488</v>
      </c>
      <c r="H195" s="114" t="s">
        <v>1154</v>
      </c>
      <c r="I195" s="114" t="s">
        <v>597</v>
      </c>
      <c r="J195" s="97" t="s">
        <v>567</v>
      </c>
      <c r="K195" s="97" t="s">
        <v>567</v>
      </c>
      <c r="L195" s="97" t="s">
        <v>567</v>
      </c>
      <c r="M195" s="97" t="s">
        <v>567</v>
      </c>
      <c r="N195" s="97" t="s">
        <v>557</v>
      </c>
      <c r="O195" s="97" t="s">
        <v>567</v>
      </c>
      <c r="P195" s="97" t="s">
        <v>567</v>
      </c>
      <c r="Q195" s="97" t="s">
        <v>567</v>
      </c>
      <c r="R195" s="97" t="s">
        <v>567</v>
      </c>
      <c r="S195" s="97" t="s">
        <v>567</v>
      </c>
      <c r="T195" s="97" t="s">
        <v>567</v>
      </c>
      <c r="U195" s="97" t="s">
        <v>557</v>
      </c>
      <c r="V195" s="97" t="s">
        <v>557</v>
      </c>
      <c r="W195" s="97" t="s">
        <v>567</v>
      </c>
      <c r="X195" s="97" t="s">
        <v>567</v>
      </c>
      <c r="Y195" s="97" t="s">
        <v>567</v>
      </c>
      <c r="Z195" s="97" t="s">
        <v>567</v>
      </c>
      <c r="AA195" s="97" t="s">
        <v>567</v>
      </c>
      <c r="AB195" s="97" t="s">
        <v>557</v>
      </c>
      <c r="AC195" s="97" t="s">
        <v>557</v>
      </c>
      <c r="AD195" s="97" t="s">
        <v>567</v>
      </c>
      <c r="AE195" s="97" t="s">
        <v>567</v>
      </c>
      <c r="AF195" s="97" t="s">
        <v>567</v>
      </c>
      <c r="AG195" s="97" t="s">
        <v>567</v>
      </c>
      <c r="AH195" s="97" t="s">
        <v>567</v>
      </c>
      <c r="AI195" s="97" t="s">
        <v>557</v>
      </c>
      <c r="AJ195" s="97" t="s">
        <v>567</v>
      </c>
      <c r="AK195" s="97" t="s">
        <v>567</v>
      </c>
      <c r="AL195" s="97" t="s">
        <v>558</v>
      </c>
      <c r="AM195" s="97" t="s">
        <v>558</v>
      </c>
      <c r="AO195" s="116">
        <f t="shared" si="14"/>
        <v>0</v>
      </c>
      <c r="AP195" s="116">
        <f t="shared" si="15"/>
        <v>0</v>
      </c>
      <c r="AQ195" s="116">
        <f t="shared" si="15"/>
        <v>6</v>
      </c>
      <c r="AR195" s="116">
        <f t="shared" si="15"/>
        <v>2</v>
      </c>
      <c r="AS195" s="116">
        <f t="shared" si="15"/>
        <v>0</v>
      </c>
      <c r="AT195" s="116">
        <f t="shared" si="15"/>
        <v>0</v>
      </c>
      <c r="AU195" s="116">
        <f t="shared" si="15"/>
        <v>0</v>
      </c>
      <c r="AV195" s="116">
        <f t="shared" si="15"/>
        <v>0</v>
      </c>
      <c r="AW195" s="116">
        <f t="shared" si="15"/>
        <v>0</v>
      </c>
      <c r="AX195" s="116">
        <f t="shared" si="15"/>
        <v>0</v>
      </c>
      <c r="AY195" s="116">
        <f t="shared" si="15"/>
        <v>0</v>
      </c>
      <c r="AZ195" s="116">
        <f t="shared" si="15"/>
        <v>0</v>
      </c>
      <c r="BA195" s="116">
        <f t="shared" si="15"/>
        <v>22</v>
      </c>
      <c r="BB195" s="117">
        <f t="shared" si="11"/>
        <v>28</v>
      </c>
      <c r="BD195" s="137">
        <v>30</v>
      </c>
    </row>
    <row r="196" spans="1:56" ht="48.95" customHeight="1">
      <c r="B196" s="112">
        <v>188</v>
      </c>
      <c r="C196" s="113">
        <v>1104224004</v>
      </c>
      <c r="D196" s="114" t="s">
        <v>728</v>
      </c>
      <c r="E196" s="217" t="s">
        <v>794</v>
      </c>
      <c r="F196" s="78" t="s">
        <v>507</v>
      </c>
      <c r="G196" s="77" t="s">
        <v>488</v>
      </c>
      <c r="H196" s="114" t="s">
        <v>729</v>
      </c>
      <c r="I196" s="114" t="s">
        <v>597</v>
      </c>
      <c r="J196" s="97" t="s">
        <v>567</v>
      </c>
      <c r="K196" s="97" t="s">
        <v>567</v>
      </c>
      <c r="L196" s="97" t="s">
        <v>567</v>
      </c>
      <c r="M196" s="97" t="s">
        <v>567</v>
      </c>
      <c r="N196" s="97" t="s">
        <v>557</v>
      </c>
      <c r="O196" s="97" t="s">
        <v>567</v>
      </c>
      <c r="P196" s="97" t="s">
        <v>567</v>
      </c>
      <c r="Q196" s="97" t="s">
        <v>567</v>
      </c>
      <c r="R196" s="97" t="s">
        <v>567</v>
      </c>
      <c r="S196" s="97" t="s">
        <v>567</v>
      </c>
      <c r="T196" s="97" t="s">
        <v>567</v>
      </c>
      <c r="U196" s="97" t="s">
        <v>557</v>
      </c>
      <c r="V196" s="97" t="s">
        <v>558</v>
      </c>
      <c r="W196" s="97" t="s">
        <v>558</v>
      </c>
      <c r="X196" s="97" t="s">
        <v>558</v>
      </c>
      <c r="Y196" s="97" t="s">
        <v>558</v>
      </c>
      <c r="Z196" s="97" t="s">
        <v>558</v>
      </c>
      <c r="AA196" s="97" t="s">
        <v>567</v>
      </c>
      <c r="AB196" s="97" t="s">
        <v>557</v>
      </c>
      <c r="AC196" s="97" t="s">
        <v>557</v>
      </c>
      <c r="AD196" s="97" t="s">
        <v>567</v>
      </c>
      <c r="AE196" s="97" t="s">
        <v>567</v>
      </c>
      <c r="AF196" s="97" t="s">
        <v>567</v>
      </c>
      <c r="AG196" s="97" t="s">
        <v>567</v>
      </c>
      <c r="AH196" s="97" t="s">
        <v>567</v>
      </c>
      <c r="AI196" s="97" t="s">
        <v>557</v>
      </c>
      <c r="AJ196" s="97" t="s">
        <v>567</v>
      </c>
      <c r="AK196" s="97" t="s">
        <v>567</v>
      </c>
      <c r="AL196" s="97" t="s">
        <v>567</v>
      </c>
      <c r="AM196" s="97" t="s">
        <v>567</v>
      </c>
      <c r="AO196" s="116">
        <f t="shared" si="14"/>
        <v>0</v>
      </c>
      <c r="AP196" s="116">
        <f t="shared" si="15"/>
        <v>0</v>
      </c>
      <c r="AQ196" s="116">
        <f t="shared" si="15"/>
        <v>5</v>
      </c>
      <c r="AR196" s="116">
        <f t="shared" si="15"/>
        <v>5</v>
      </c>
      <c r="AS196" s="116">
        <f t="shared" si="15"/>
        <v>0</v>
      </c>
      <c r="AT196" s="116">
        <f t="shared" si="15"/>
        <v>0</v>
      </c>
      <c r="AU196" s="116">
        <f t="shared" si="15"/>
        <v>0</v>
      </c>
      <c r="AV196" s="116">
        <f t="shared" si="15"/>
        <v>0</v>
      </c>
      <c r="AW196" s="116">
        <f t="shared" si="15"/>
        <v>0</v>
      </c>
      <c r="AX196" s="116">
        <f t="shared" si="15"/>
        <v>0</v>
      </c>
      <c r="AY196" s="116">
        <f t="shared" si="15"/>
        <v>0</v>
      </c>
      <c r="AZ196" s="116">
        <f t="shared" si="15"/>
        <v>0</v>
      </c>
      <c r="BA196" s="116">
        <f t="shared" si="15"/>
        <v>20</v>
      </c>
      <c r="BB196" s="117">
        <f t="shared" si="11"/>
        <v>25</v>
      </c>
      <c r="BD196" s="137">
        <v>30</v>
      </c>
    </row>
    <row r="197" spans="1:56" ht="48.95" customHeight="1">
      <c r="B197" s="112">
        <v>189</v>
      </c>
      <c r="C197" s="113">
        <v>1143366323</v>
      </c>
      <c r="D197" s="114" t="s">
        <v>1155</v>
      </c>
      <c r="E197" s="217" t="s">
        <v>794</v>
      </c>
      <c r="F197" s="78" t="s">
        <v>506</v>
      </c>
      <c r="G197" s="263" t="s">
        <v>488</v>
      </c>
      <c r="H197" s="114" t="s">
        <v>1156</v>
      </c>
      <c r="I197" s="259" t="s">
        <v>1157</v>
      </c>
      <c r="J197" s="97">
        <v>0</v>
      </c>
      <c r="K197" s="97">
        <v>0</v>
      </c>
      <c r="L197" s="97">
        <v>0</v>
      </c>
      <c r="M197" s="97">
        <v>0</v>
      </c>
      <c r="N197" s="97" t="s">
        <v>557</v>
      </c>
      <c r="O197" s="97">
        <v>0</v>
      </c>
      <c r="P197" s="97">
        <v>0</v>
      </c>
      <c r="Q197" s="97">
        <v>0</v>
      </c>
      <c r="R197" s="97">
        <v>0</v>
      </c>
      <c r="S197" s="97">
        <v>0</v>
      </c>
      <c r="T197" s="97">
        <v>0</v>
      </c>
      <c r="U197" s="97" t="s">
        <v>557</v>
      </c>
      <c r="V197" s="97" t="s">
        <v>557</v>
      </c>
      <c r="W197" s="97">
        <v>0</v>
      </c>
      <c r="X197" s="97" t="s">
        <v>567</v>
      </c>
      <c r="Y197" s="97" t="s">
        <v>562</v>
      </c>
      <c r="Z197" s="97" t="s">
        <v>567</v>
      </c>
      <c r="AA197" s="97" t="s">
        <v>567</v>
      </c>
      <c r="AB197" s="97" t="s">
        <v>557</v>
      </c>
      <c r="AC197" s="97" t="s">
        <v>557</v>
      </c>
      <c r="AD197" s="97" t="s">
        <v>567</v>
      </c>
      <c r="AE197" s="97" t="s">
        <v>567</v>
      </c>
      <c r="AF197" s="97" t="s">
        <v>567</v>
      </c>
      <c r="AG197" s="97" t="s">
        <v>567</v>
      </c>
      <c r="AH197" s="97" t="s">
        <v>567</v>
      </c>
      <c r="AI197" s="97" t="s">
        <v>557</v>
      </c>
      <c r="AJ197" s="97" t="s">
        <v>555</v>
      </c>
      <c r="AK197" s="97" t="s">
        <v>567</v>
      </c>
      <c r="AL197" s="97" t="s">
        <v>567</v>
      </c>
      <c r="AM197" s="97" t="s">
        <v>563</v>
      </c>
      <c r="AO197" s="116">
        <f t="shared" si="14"/>
        <v>1</v>
      </c>
      <c r="AP197" s="116">
        <f t="shared" si="15"/>
        <v>0</v>
      </c>
      <c r="AQ197" s="116">
        <f t="shared" si="15"/>
        <v>6</v>
      </c>
      <c r="AR197" s="116">
        <f t="shared" si="15"/>
        <v>0</v>
      </c>
      <c r="AS197" s="116">
        <f t="shared" si="15"/>
        <v>0</v>
      </c>
      <c r="AT197" s="116">
        <f t="shared" si="15"/>
        <v>0</v>
      </c>
      <c r="AU197" s="116">
        <f t="shared" si="15"/>
        <v>0</v>
      </c>
      <c r="AV197" s="116">
        <f t="shared" si="15"/>
        <v>1</v>
      </c>
      <c r="AW197" s="116">
        <f t="shared" si="15"/>
        <v>1</v>
      </c>
      <c r="AX197" s="116">
        <f t="shared" si="15"/>
        <v>0</v>
      </c>
      <c r="AY197" s="116">
        <f t="shared" si="15"/>
        <v>0</v>
      </c>
      <c r="AZ197" s="116">
        <f t="shared" si="15"/>
        <v>0</v>
      </c>
      <c r="BA197" s="116">
        <f t="shared" si="15"/>
        <v>10</v>
      </c>
      <c r="BB197" s="117">
        <f t="shared" si="11"/>
        <v>16</v>
      </c>
      <c r="BD197" s="137">
        <v>19</v>
      </c>
    </row>
    <row r="198" spans="1:56" ht="48.95" customHeight="1">
      <c r="B198" s="112">
        <v>190</v>
      </c>
      <c r="C198" s="113">
        <v>1233911895</v>
      </c>
      <c r="D198" s="114" t="s">
        <v>1158</v>
      </c>
      <c r="E198" s="217" t="s">
        <v>794</v>
      </c>
      <c r="F198" s="78" t="s">
        <v>506</v>
      </c>
      <c r="G198" s="263" t="s">
        <v>485</v>
      </c>
      <c r="H198" s="114" t="s">
        <v>1159</v>
      </c>
      <c r="I198" s="114" t="s">
        <v>882</v>
      </c>
      <c r="J198" s="97" t="s">
        <v>567</v>
      </c>
      <c r="K198" s="97" t="s">
        <v>558</v>
      </c>
      <c r="L198" s="97" t="s">
        <v>567</v>
      </c>
      <c r="M198" s="97" t="s">
        <v>567</v>
      </c>
      <c r="N198" s="97" t="s">
        <v>557</v>
      </c>
      <c r="O198" s="97" t="s">
        <v>567</v>
      </c>
      <c r="P198" s="97" t="s">
        <v>567</v>
      </c>
      <c r="Q198" s="97" t="s">
        <v>567</v>
      </c>
      <c r="R198" s="97" t="s">
        <v>567</v>
      </c>
      <c r="S198" s="97" t="s">
        <v>567</v>
      </c>
      <c r="T198" s="97" t="s">
        <v>567</v>
      </c>
      <c r="U198" s="97" t="s">
        <v>557</v>
      </c>
      <c r="V198" s="97" t="s">
        <v>557</v>
      </c>
      <c r="W198" s="97" t="s">
        <v>567</v>
      </c>
      <c r="X198" s="97" t="s">
        <v>567</v>
      </c>
      <c r="Y198" s="97" t="s">
        <v>567</v>
      </c>
      <c r="Z198" s="97" t="s">
        <v>567</v>
      </c>
      <c r="AA198" s="97" t="s">
        <v>567</v>
      </c>
      <c r="AB198" s="97" t="s">
        <v>557</v>
      </c>
      <c r="AC198" s="97" t="s">
        <v>557</v>
      </c>
      <c r="AD198" s="97" t="s">
        <v>567</v>
      </c>
      <c r="AE198" s="97" t="s">
        <v>567</v>
      </c>
      <c r="AF198" s="97" t="s">
        <v>567</v>
      </c>
      <c r="AG198" s="97" t="s">
        <v>567</v>
      </c>
      <c r="AH198" s="97" t="s">
        <v>567</v>
      </c>
      <c r="AI198" s="97" t="s">
        <v>557</v>
      </c>
      <c r="AJ198" s="97" t="s">
        <v>558</v>
      </c>
      <c r="AK198" s="97" t="s">
        <v>558</v>
      </c>
      <c r="AL198" s="97" t="s">
        <v>558</v>
      </c>
      <c r="AM198" s="97" t="s">
        <v>558</v>
      </c>
      <c r="AO198" s="116">
        <f t="shared" si="14"/>
        <v>0</v>
      </c>
      <c r="AP198" s="116">
        <f t="shared" si="15"/>
        <v>0</v>
      </c>
      <c r="AQ198" s="116">
        <f t="shared" si="15"/>
        <v>6</v>
      </c>
      <c r="AR198" s="116">
        <f t="shared" si="15"/>
        <v>5</v>
      </c>
      <c r="AS198" s="116">
        <f t="shared" si="15"/>
        <v>0</v>
      </c>
      <c r="AT198" s="116">
        <f t="shared" si="15"/>
        <v>0</v>
      </c>
      <c r="AU198" s="116">
        <f t="shared" si="15"/>
        <v>0</v>
      </c>
      <c r="AV198" s="116">
        <f t="shared" si="15"/>
        <v>0</v>
      </c>
      <c r="AW198" s="116">
        <f t="shared" si="15"/>
        <v>0</v>
      </c>
      <c r="AX198" s="116">
        <f t="shared" si="15"/>
        <v>0</v>
      </c>
      <c r="AY198" s="116">
        <f t="shared" si="15"/>
        <v>0</v>
      </c>
      <c r="AZ198" s="116">
        <f t="shared" si="15"/>
        <v>0</v>
      </c>
      <c r="BA198" s="116">
        <f t="shared" si="15"/>
        <v>19</v>
      </c>
      <c r="BB198" s="117">
        <f t="shared" si="11"/>
        <v>25</v>
      </c>
      <c r="BD198" s="137">
        <v>30</v>
      </c>
    </row>
    <row r="199" spans="1:56" ht="48.95" customHeight="1">
      <c r="B199" s="112">
        <v>191</v>
      </c>
      <c r="C199" s="113">
        <v>1020781448</v>
      </c>
      <c r="D199" s="114" t="s">
        <v>1160</v>
      </c>
      <c r="E199" s="217" t="s">
        <v>794</v>
      </c>
      <c r="F199" s="78" t="s">
        <v>506</v>
      </c>
      <c r="G199" s="263" t="s">
        <v>485</v>
      </c>
      <c r="H199" s="114" t="s">
        <v>1161</v>
      </c>
      <c r="I199" s="114" t="s">
        <v>603</v>
      </c>
      <c r="J199" s="97" t="s">
        <v>567</v>
      </c>
      <c r="K199" s="97" t="s">
        <v>567</v>
      </c>
      <c r="L199" s="97" t="s">
        <v>567</v>
      </c>
      <c r="M199" s="97" t="s">
        <v>567</v>
      </c>
      <c r="N199" s="97" t="s">
        <v>557</v>
      </c>
      <c r="O199" s="97" t="s">
        <v>567</v>
      </c>
      <c r="P199" s="97" t="s">
        <v>567</v>
      </c>
      <c r="Q199" s="97" t="s">
        <v>567</v>
      </c>
      <c r="R199" s="97" t="s">
        <v>567</v>
      </c>
      <c r="S199" s="97" t="s">
        <v>567</v>
      </c>
      <c r="T199" s="97" t="s">
        <v>567</v>
      </c>
      <c r="U199" s="97" t="s">
        <v>557</v>
      </c>
      <c r="V199" s="97" t="s">
        <v>557</v>
      </c>
      <c r="W199" s="97" t="s">
        <v>567</v>
      </c>
      <c r="X199" s="97" t="s">
        <v>567</v>
      </c>
      <c r="Y199" s="97" t="s">
        <v>567</v>
      </c>
      <c r="Z199" s="97" t="s">
        <v>567</v>
      </c>
      <c r="AA199" s="97" t="s">
        <v>567</v>
      </c>
      <c r="AB199" s="97" t="s">
        <v>557</v>
      </c>
      <c r="AC199" s="97" t="s">
        <v>557</v>
      </c>
      <c r="AD199" s="97" t="s">
        <v>567</v>
      </c>
      <c r="AE199" s="97" t="s">
        <v>567</v>
      </c>
      <c r="AF199" s="97" t="s">
        <v>567</v>
      </c>
      <c r="AG199" s="97" t="s">
        <v>567</v>
      </c>
      <c r="AH199" s="97" t="s">
        <v>567</v>
      </c>
      <c r="AI199" s="97" t="s">
        <v>557</v>
      </c>
      <c r="AJ199" s="97" t="s">
        <v>567</v>
      </c>
      <c r="AK199" s="97" t="s">
        <v>567</v>
      </c>
      <c r="AL199" s="97" t="s">
        <v>567</v>
      </c>
      <c r="AM199" s="97" t="s">
        <v>567</v>
      </c>
      <c r="AO199" s="116">
        <f t="shared" si="14"/>
        <v>0</v>
      </c>
      <c r="AP199" s="116">
        <f t="shared" si="15"/>
        <v>0</v>
      </c>
      <c r="AQ199" s="116">
        <f t="shared" si="15"/>
        <v>6</v>
      </c>
      <c r="AR199" s="116">
        <f t="shared" si="15"/>
        <v>0</v>
      </c>
      <c r="AS199" s="116">
        <f t="shared" si="15"/>
        <v>0</v>
      </c>
      <c r="AT199" s="116">
        <f t="shared" si="15"/>
        <v>0</v>
      </c>
      <c r="AU199" s="116">
        <f t="shared" si="15"/>
        <v>0</v>
      </c>
      <c r="AV199" s="116">
        <f t="shared" si="15"/>
        <v>0</v>
      </c>
      <c r="AW199" s="116">
        <f t="shared" si="15"/>
        <v>0</v>
      </c>
      <c r="AX199" s="116">
        <f t="shared" si="15"/>
        <v>0</v>
      </c>
      <c r="AY199" s="116">
        <f t="shared" si="15"/>
        <v>0</v>
      </c>
      <c r="AZ199" s="116">
        <f t="shared" si="15"/>
        <v>0</v>
      </c>
      <c r="BA199" s="116">
        <f t="shared" si="15"/>
        <v>24</v>
      </c>
      <c r="BB199" s="117">
        <f t="shared" si="11"/>
        <v>30</v>
      </c>
      <c r="BD199" s="137">
        <v>30</v>
      </c>
    </row>
    <row r="200" spans="1:56" ht="48.95" customHeight="1">
      <c r="B200" s="112">
        <v>192</v>
      </c>
      <c r="C200" s="113">
        <v>52919244</v>
      </c>
      <c r="D200" s="114" t="s">
        <v>1162</v>
      </c>
      <c r="E200" s="217" t="s">
        <v>794</v>
      </c>
      <c r="F200" s="78" t="s">
        <v>506</v>
      </c>
      <c r="G200" s="263" t="s">
        <v>172</v>
      </c>
      <c r="H200" s="114" t="s">
        <v>1163</v>
      </c>
      <c r="I200" s="114" t="s">
        <v>597</v>
      </c>
      <c r="J200" s="97" t="s">
        <v>567</v>
      </c>
      <c r="K200" s="97" t="s">
        <v>567</v>
      </c>
      <c r="L200" s="97" t="s">
        <v>567</v>
      </c>
      <c r="M200" s="97" t="s">
        <v>567</v>
      </c>
      <c r="N200" s="97" t="s">
        <v>557</v>
      </c>
      <c r="O200" s="97" t="s">
        <v>567</v>
      </c>
      <c r="P200" s="97" t="s">
        <v>567</v>
      </c>
      <c r="Q200" s="97" t="s">
        <v>567</v>
      </c>
      <c r="R200" s="97" t="s">
        <v>567</v>
      </c>
      <c r="S200" s="97" t="s">
        <v>567</v>
      </c>
      <c r="T200" s="97" t="s">
        <v>567</v>
      </c>
      <c r="U200" s="97" t="s">
        <v>557</v>
      </c>
      <c r="V200" s="97" t="s">
        <v>557</v>
      </c>
      <c r="W200" s="97" t="s">
        <v>567</v>
      </c>
      <c r="X200" s="97" t="s">
        <v>567</v>
      </c>
      <c r="Y200" s="97" t="s">
        <v>567</v>
      </c>
      <c r="Z200" s="97" t="s">
        <v>567</v>
      </c>
      <c r="AA200" s="97" t="s">
        <v>567</v>
      </c>
      <c r="AB200" s="97" t="s">
        <v>557</v>
      </c>
      <c r="AC200" s="97" t="s">
        <v>557</v>
      </c>
      <c r="AD200" s="97" t="s">
        <v>567</v>
      </c>
      <c r="AE200" s="97" t="s">
        <v>567</v>
      </c>
      <c r="AF200" s="97" t="s">
        <v>567</v>
      </c>
      <c r="AG200" s="97" t="s">
        <v>567</v>
      </c>
      <c r="AH200" s="97" t="s">
        <v>567</v>
      </c>
      <c r="AI200" s="97" t="s">
        <v>557</v>
      </c>
      <c r="AJ200" s="97" t="s">
        <v>567</v>
      </c>
      <c r="AK200" s="97" t="s">
        <v>567</v>
      </c>
      <c r="AL200" s="97" t="s">
        <v>567</v>
      </c>
      <c r="AM200" s="97" t="s">
        <v>567</v>
      </c>
      <c r="AO200" s="116">
        <f t="shared" si="14"/>
        <v>0</v>
      </c>
      <c r="AP200" s="116">
        <f t="shared" si="15"/>
        <v>0</v>
      </c>
      <c r="AQ200" s="116">
        <f t="shared" si="15"/>
        <v>6</v>
      </c>
      <c r="AR200" s="116">
        <f t="shared" si="15"/>
        <v>0</v>
      </c>
      <c r="AS200" s="116">
        <f t="shared" si="15"/>
        <v>0</v>
      </c>
      <c r="AT200" s="116">
        <f t="shared" si="15"/>
        <v>0</v>
      </c>
      <c r="AU200" s="116">
        <f t="shared" si="15"/>
        <v>0</v>
      </c>
      <c r="AV200" s="116">
        <f t="shared" si="15"/>
        <v>0</v>
      </c>
      <c r="AW200" s="116">
        <f t="shared" si="15"/>
        <v>0</v>
      </c>
      <c r="AX200" s="116">
        <f t="shared" si="15"/>
        <v>0</v>
      </c>
      <c r="AY200" s="116">
        <f t="shared" si="15"/>
        <v>0</v>
      </c>
      <c r="AZ200" s="116">
        <f t="shared" si="15"/>
        <v>0</v>
      </c>
      <c r="BA200" s="116">
        <f t="shared" si="15"/>
        <v>24</v>
      </c>
      <c r="BB200" s="117">
        <f t="shared" si="11"/>
        <v>30</v>
      </c>
      <c r="BD200" s="137">
        <v>30</v>
      </c>
    </row>
    <row r="201" spans="1:56" ht="48.95" customHeight="1">
      <c r="B201" s="112">
        <v>193</v>
      </c>
      <c r="C201" s="113">
        <v>52832379</v>
      </c>
      <c r="D201" s="114" t="s">
        <v>1164</v>
      </c>
      <c r="E201" s="217" t="s">
        <v>794</v>
      </c>
      <c r="F201" s="78" t="s">
        <v>506</v>
      </c>
      <c r="G201" s="263" t="s">
        <v>172</v>
      </c>
      <c r="H201" s="114" t="s">
        <v>1165</v>
      </c>
      <c r="I201" s="114" t="s">
        <v>597</v>
      </c>
      <c r="J201" s="97" t="s">
        <v>567</v>
      </c>
      <c r="K201" s="97" t="s">
        <v>567</v>
      </c>
      <c r="L201" s="97" t="s">
        <v>567</v>
      </c>
      <c r="M201" s="97" t="s">
        <v>567</v>
      </c>
      <c r="N201" s="97" t="s">
        <v>557</v>
      </c>
      <c r="O201" s="97" t="s">
        <v>567</v>
      </c>
      <c r="P201" s="97" t="s">
        <v>567</v>
      </c>
      <c r="Q201" s="97" t="s">
        <v>567</v>
      </c>
      <c r="R201" s="97" t="s">
        <v>567</v>
      </c>
      <c r="S201" s="97" t="s">
        <v>567</v>
      </c>
      <c r="T201" s="97" t="s">
        <v>567</v>
      </c>
      <c r="U201" s="97" t="s">
        <v>557</v>
      </c>
      <c r="V201" s="97" t="s">
        <v>557</v>
      </c>
      <c r="W201" s="97" t="s">
        <v>567</v>
      </c>
      <c r="X201" s="97" t="s">
        <v>567</v>
      </c>
      <c r="Y201" s="97" t="s">
        <v>567</v>
      </c>
      <c r="Z201" s="97" t="s">
        <v>567</v>
      </c>
      <c r="AA201" s="97" t="s">
        <v>567</v>
      </c>
      <c r="AB201" s="97" t="s">
        <v>557</v>
      </c>
      <c r="AC201" s="97" t="s">
        <v>557</v>
      </c>
      <c r="AD201" s="97" t="s">
        <v>567</v>
      </c>
      <c r="AE201" s="97" t="s">
        <v>567</v>
      </c>
      <c r="AF201" s="97" t="s">
        <v>567</v>
      </c>
      <c r="AG201" s="97" t="s">
        <v>567</v>
      </c>
      <c r="AH201" s="97" t="s">
        <v>567</v>
      </c>
      <c r="AI201" s="97" t="s">
        <v>557</v>
      </c>
      <c r="AJ201" s="97" t="s">
        <v>567</v>
      </c>
      <c r="AK201" s="97" t="s">
        <v>567</v>
      </c>
      <c r="AL201" s="97" t="s">
        <v>567</v>
      </c>
      <c r="AM201" s="97" t="s">
        <v>567</v>
      </c>
      <c r="AO201" s="116">
        <f t="shared" si="14"/>
        <v>0</v>
      </c>
      <c r="AP201" s="116">
        <f t="shared" si="15"/>
        <v>0</v>
      </c>
      <c r="AQ201" s="116">
        <f t="shared" si="15"/>
        <v>6</v>
      </c>
      <c r="AR201" s="116">
        <f t="shared" si="15"/>
        <v>0</v>
      </c>
      <c r="AS201" s="116">
        <f t="shared" si="15"/>
        <v>0</v>
      </c>
      <c r="AT201" s="116">
        <f t="shared" si="15"/>
        <v>0</v>
      </c>
      <c r="AU201" s="116">
        <f t="shared" si="15"/>
        <v>0</v>
      </c>
      <c r="AV201" s="116">
        <f t="shared" si="15"/>
        <v>0</v>
      </c>
      <c r="AW201" s="116">
        <f t="shared" si="15"/>
        <v>0</v>
      </c>
      <c r="AX201" s="116">
        <f t="shared" si="15"/>
        <v>0</v>
      </c>
      <c r="AY201" s="116">
        <f t="shared" si="15"/>
        <v>0</v>
      </c>
      <c r="AZ201" s="116">
        <f t="shared" si="15"/>
        <v>0</v>
      </c>
      <c r="BA201" s="116">
        <f t="shared" si="15"/>
        <v>24</v>
      </c>
      <c r="BB201" s="117">
        <f t="shared" si="11"/>
        <v>30</v>
      </c>
      <c r="BD201" s="137">
        <v>30</v>
      </c>
    </row>
    <row r="202" spans="1:56" ht="48.95" customHeight="1">
      <c r="B202" s="112">
        <v>194</v>
      </c>
      <c r="C202" s="113">
        <v>52035420</v>
      </c>
      <c r="D202" s="114" t="s">
        <v>1166</v>
      </c>
      <c r="E202" s="217" t="s">
        <v>794</v>
      </c>
      <c r="F202" s="78" t="s">
        <v>506</v>
      </c>
      <c r="G202" s="263" t="s">
        <v>723</v>
      </c>
      <c r="H202" s="114" t="s">
        <v>1167</v>
      </c>
      <c r="I202" s="114" t="s">
        <v>597</v>
      </c>
      <c r="J202" s="97" t="s">
        <v>567</v>
      </c>
      <c r="K202" s="97" t="s">
        <v>567</v>
      </c>
      <c r="L202" s="97" t="s">
        <v>567</v>
      </c>
      <c r="M202" s="97" t="s">
        <v>567</v>
      </c>
      <c r="N202" s="97" t="s">
        <v>557</v>
      </c>
      <c r="O202" s="97" t="s">
        <v>567</v>
      </c>
      <c r="P202" s="97" t="s">
        <v>567</v>
      </c>
      <c r="Q202" s="97" t="s">
        <v>567</v>
      </c>
      <c r="R202" s="97" t="s">
        <v>567</v>
      </c>
      <c r="S202" s="97" t="s">
        <v>567</v>
      </c>
      <c r="T202" s="97" t="s">
        <v>567</v>
      </c>
      <c r="U202" s="97" t="s">
        <v>557</v>
      </c>
      <c r="V202" s="97" t="s">
        <v>557</v>
      </c>
      <c r="W202" s="97" t="s">
        <v>567</v>
      </c>
      <c r="X202" s="97" t="s">
        <v>567</v>
      </c>
      <c r="Y202" s="97" t="s">
        <v>567</v>
      </c>
      <c r="Z202" s="97" t="s">
        <v>567</v>
      </c>
      <c r="AA202" s="97" t="s">
        <v>567</v>
      </c>
      <c r="AB202" s="97" t="s">
        <v>557</v>
      </c>
      <c r="AC202" s="97" t="s">
        <v>557</v>
      </c>
      <c r="AD202" s="97" t="s">
        <v>567</v>
      </c>
      <c r="AE202" s="97" t="s">
        <v>567</v>
      </c>
      <c r="AF202" s="97" t="s">
        <v>567</v>
      </c>
      <c r="AG202" s="97" t="s">
        <v>567</v>
      </c>
      <c r="AH202" s="97" t="s">
        <v>567</v>
      </c>
      <c r="AI202" s="97" t="s">
        <v>557</v>
      </c>
      <c r="AJ202" s="97" t="s">
        <v>567</v>
      </c>
      <c r="AK202" s="97" t="s">
        <v>567</v>
      </c>
      <c r="AL202" s="97" t="s">
        <v>567</v>
      </c>
      <c r="AM202" s="97" t="s">
        <v>567</v>
      </c>
      <c r="AO202" s="116">
        <f t="shared" si="14"/>
        <v>0</v>
      </c>
      <c r="AP202" s="116">
        <f t="shared" si="15"/>
        <v>0</v>
      </c>
      <c r="AQ202" s="116">
        <f t="shared" si="15"/>
        <v>6</v>
      </c>
      <c r="AR202" s="116">
        <f t="shared" si="15"/>
        <v>0</v>
      </c>
      <c r="AS202" s="116">
        <f t="shared" si="15"/>
        <v>0</v>
      </c>
      <c r="AT202" s="116">
        <f t="shared" si="15"/>
        <v>0</v>
      </c>
      <c r="AU202" s="116">
        <f t="shared" si="15"/>
        <v>0</v>
      </c>
      <c r="AV202" s="116">
        <f t="shared" si="15"/>
        <v>0</v>
      </c>
      <c r="AW202" s="116">
        <f t="shared" si="15"/>
        <v>0</v>
      </c>
      <c r="AX202" s="116">
        <f t="shared" si="15"/>
        <v>0</v>
      </c>
      <c r="AY202" s="116">
        <f t="shared" si="15"/>
        <v>0</v>
      </c>
      <c r="AZ202" s="116">
        <f t="shared" si="15"/>
        <v>0</v>
      </c>
      <c r="BA202" s="116">
        <f t="shared" si="15"/>
        <v>24</v>
      </c>
      <c r="BB202" s="117">
        <f t="shared" ref="BB202:BB208" si="16">+BA202+AQ202</f>
        <v>30</v>
      </c>
      <c r="BD202" s="137">
        <v>30</v>
      </c>
    </row>
    <row r="203" spans="1:56" ht="48.95" customHeight="1">
      <c r="B203" s="112">
        <v>195</v>
      </c>
      <c r="C203" s="113">
        <v>52389391</v>
      </c>
      <c r="D203" s="114" t="s">
        <v>1168</v>
      </c>
      <c r="E203" s="217" t="s">
        <v>794</v>
      </c>
      <c r="F203" s="78" t="s">
        <v>506</v>
      </c>
      <c r="G203" s="263" t="s">
        <v>723</v>
      </c>
      <c r="H203" s="114" t="s">
        <v>1169</v>
      </c>
      <c r="I203" s="114" t="s">
        <v>597</v>
      </c>
      <c r="J203" s="97" t="s">
        <v>567</v>
      </c>
      <c r="K203" s="97" t="s">
        <v>567</v>
      </c>
      <c r="L203" s="97" t="s">
        <v>567</v>
      </c>
      <c r="M203" s="97" t="s">
        <v>567</v>
      </c>
      <c r="N203" s="97" t="s">
        <v>557</v>
      </c>
      <c r="O203" s="97" t="s">
        <v>567</v>
      </c>
      <c r="P203" s="97" t="s">
        <v>567</v>
      </c>
      <c r="Q203" s="97" t="s">
        <v>567</v>
      </c>
      <c r="R203" s="97" t="s">
        <v>567</v>
      </c>
      <c r="S203" s="97" t="s">
        <v>567</v>
      </c>
      <c r="T203" s="97" t="s">
        <v>567</v>
      </c>
      <c r="U203" s="97" t="s">
        <v>557</v>
      </c>
      <c r="V203" s="97" t="s">
        <v>557</v>
      </c>
      <c r="W203" s="97" t="s">
        <v>567</v>
      </c>
      <c r="X203" s="97" t="s">
        <v>567</v>
      </c>
      <c r="Y203" s="97" t="s">
        <v>567</v>
      </c>
      <c r="Z203" s="97" t="s">
        <v>567</v>
      </c>
      <c r="AA203" s="97" t="s">
        <v>567</v>
      </c>
      <c r="AB203" s="97" t="s">
        <v>557</v>
      </c>
      <c r="AC203" s="97" t="s">
        <v>557</v>
      </c>
      <c r="AD203" s="97" t="s">
        <v>567</v>
      </c>
      <c r="AE203" s="97" t="s">
        <v>567</v>
      </c>
      <c r="AF203" s="97" t="s">
        <v>567</v>
      </c>
      <c r="AG203" s="97" t="s">
        <v>567</v>
      </c>
      <c r="AH203" s="97" t="s">
        <v>567</v>
      </c>
      <c r="AI203" s="97" t="s">
        <v>557</v>
      </c>
      <c r="AJ203" s="97" t="s">
        <v>567</v>
      </c>
      <c r="AK203" s="97" t="s">
        <v>567</v>
      </c>
      <c r="AL203" s="97" t="s">
        <v>567</v>
      </c>
      <c r="AM203" s="97" t="s">
        <v>567</v>
      </c>
      <c r="AO203" s="116">
        <f t="shared" si="14"/>
        <v>0</v>
      </c>
      <c r="AP203" s="116">
        <f t="shared" si="15"/>
        <v>0</v>
      </c>
      <c r="AQ203" s="116">
        <f t="shared" si="15"/>
        <v>6</v>
      </c>
      <c r="AR203" s="116">
        <f t="shared" si="15"/>
        <v>0</v>
      </c>
      <c r="AS203" s="116">
        <f t="shared" si="15"/>
        <v>0</v>
      </c>
      <c r="AT203" s="116">
        <f t="shared" si="15"/>
        <v>0</v>
      </c>
      <c r="AU203" s="116">
        <f t="shared" si="15"/>
        <v>0</v>
      </c>
      <c r="AV203" s="116">
        <f t="shared" si="15"/>
        <v>0</v>
      </c>
      <c r="AW203" s="116">
        <f t="shared" si="15"/>
        <v>0</v>
      </c>
      <c r="AX203" s="116">
        <f t="shared" si="15"/>
        <v>0</v>
      </c>
      <c r="AY203" s="116">
        <f t="shared" si="15"/>
        <v>0</v>
      </c>
      <c r="AZ203" s="116">
        <f t="shared" si="15"/>
        <v>0</v>
      </c>
      <c r="BA203" s="116">
        <f t="shared" si="15"/>
        <v>24</v>
      </c>
      <c r="BB203" s="117">
        <f t="shared" si="16"/>
        <v>30</v>
      </c>
      <c r="BD203" s="137">
        <v>30</v>
      </c>
    </row>
    <row r="204" spans="1:56" ht="48.95" customHeight="1">
      <c r="B204" s="112">
        <v>196</v>
      </c>
      <c r="C204" s="113">
        <v>5070700</v>
      </c>
      <c r="D204" s="114" t="s">
        <v>720</v>
      </c>
      <c r="E204" s="217" t="s">
        <v>794</v>
      </c>
      <c r="F204" s="214" t="s">
        <v>712</v>
      </c>
      <c r="G204" s="212" t="s">
        <v>484</v>
      </c>
      <c r="H204" s="114" t="s">
        <v>608</v>
      </c>
      <c r="I204" s="114" t="s">
        <v>604</v>
      </c>
      <c r="J204" s="97" t="s">
        <v>567</v>
      </c>
      <c r="K204" s="97" t="s">
        <v>567</v>
      </c>
      <c r="L204" s="97" t="s">
        <v>567</v>
      </c>
      <c r="M204" s="97" t="s">
        <v>567</v>
      </c>
      <c r="N204" s="97" t="s">
        <v>557</v>
      </c>
      <c r="O204" s="97" t="s">
        <v>567</v>
      </c>
      <c r="P204" s="97" t="s">
        <v>567</v>
      </c>
      <c r="Q204" s="97" t="s">
        <v>567</v>
      </c>
      <c r="R204" s="97" t="s">
        <v>567</v>
      </c>
      <c r="S204" s="97" t="s">
        <v>567</v>
      </c>
      <c r="T204" s="97" t="s">
        <v>567</v>
      </c>
      <c r="U204" s="97" t="s">
        <v>557</v>
      </c>
      <c r="V204" s="97" t="s">
        <v>557</v>
      </c>
      <c r="W204" s="97" t="s">
        <v>567</v>
      </c>
      <c r="X204" s="97" t="s">
        <v>567</v>
      </c>
      <c r="Y204" s="97" t="s">
        <v>567</v>
      </c>
      <c r="Z204" s="97" t="s">
        <v>567</v>
      </c>
      <c r="AA204" s="97" t="s">
        <v>567</v>
      </c>
      <c r="AB204" s="97" t="s">
        <v>557</v>
      </c>
      <c r="AC204" s="97" t="s">
        <v>557</v>
      </c>
      <c r="AD204" s="97" t="s">
        <v>558</v>
      </c>
      <c r="AE204" s="97" t="s">
        <v>558</v>
      </c>
      <c r="AF204" s="97" t="s">
        <v>567</v>
      </c>
      <c r="AG204" s="97" t="s">
        <v>567</v>
      </c>
      <c r="AH204" s="97" t="s">
        <v>567</v>
      </c>
      <c r="AI204" s="97" t="s">
        <v>557</v>
      </c>
      <c r="AJ204" s="97" t="s">
        <v>567</v>
      </c>
      <c r="AK204" s="97" t="s">
        <v>567</v>
      </c>
      <c r="AL204" s="97" t="s">
        <v>567</v>
      </c>
      <c r="AM204" s="97" t="s">
        <v>567</v>
      </c>
      <c r="AO204" s="116">
        <f t="shared" si="14"/>
        <v>0</v>
      </c>
      <c r="AP204" s="116">
        <f t="shared" si="15"/>
        <v>0</v>
      </c>
      <c r="AQ204" s="116">
        <f t="shared" si="15"/>
        <v>6</v>
      </c>
      <c r="AR204" s="116">
        <f t="shared" si="15"/>
        <v>2</v>
      </c>
      <c r="AS204" s="116">
        <f t="shared" si="15"/>
        <v>0</v>
      </c>
      <c r="AT204" s="116">
        <f t="shared" si="15"/>
        <v>0</v>
      </c>
      <c r="AU204" s="116">
        <f t="shared" ref="AP204:BA208" si="17">COUNTIF($J204:$AM204,AU$7)</f>
        <v>0</v>
      </c>
      <c r="AV204" s="116">
        <f t="shared" si="17"/>
        <v>0</v>
      </c>
      <c r="AW204" s="116">
        <f t="shared" si="17"/>
        <v>0</v>
      </c>
      <c r="AX204" s="116">
        <f t="shared" si="17"/>
        <v>0</v>
      </c>
      <c r="AY204" s="116">
        <f t="shared" si="17"/>
        <v>0</v>
      </c>
      <c r="AZ204" s="116">
        <f t="shared" si="17"/>
        <v>0</v>
      </c>
      <c r="BA204" s="116">
        <f t="shared" si="17"/>
        <v>22</v>
      </c>
      <c r="BB204" s="117">
        <f t="shared" si="16"/>
        <v>28</v>
      </c>
      <c r="BD204" s="137">
        <v>30</v>
      </c>
    </row>
    <row r="205" spans="1:56" ht="48.95" customHeight="1">
      <c r="B205" s="112">
        <v>197</v>
      </c>
      <c r="C205" s="113">
        <v>39019862</v>
      </c>
      <c r="D205" s="114" t="s">
        <v>1170</v>
      </c>
      <c r="E205" s="217" t="s">
        <v>794</v>
      </c>
      <c r="F205" s="78" t="s">
        <v>506</v>
      </c>
      <c r="G205" s="263" t="s">
        <v>484</v>
      </c>
      <c r="H205" s="114" t="s">
        <v>1171</v>
      </c>
      <c r="I205" s="114" t="s">
        <v>597</v>
      </c>
      <c r="J205" s="97" t="s">
        <v>567</v>
      </c>
      <c r="K205" s="97" t="s">
        <v>567</v>
      </c>
      <c r="L205" s="97" t="s">
        <v>567</v>
      </c>
      <c r="M205" s="97" t="s">
        <v>567</v>
      </c>
      <c r="N205" s="97" t="s">
        <v>557</v>
      </c>
      <c r="O205" s="97" t="s">
        <v>567</v>
      </c>
      <c r="P205" s="97" t="s">
        <v>567</v>
      </c>
      <c r="Q205" s="97" t="s">
        <v>567</v>
      </c>
      <c r="R205" s="97" t="s">
        <v>567</v>
      </c>
      <c r="S205" s="97" t="s">
        <v>567</v>
      </c>
      <c r="T205" s="97" t="s">
        <v>567</v>
      </c>
      <c r="U205" s="97" t="s">
        <v>557</v>
      </c>
      <c r="V205" s="97" t="s">
        <v>557</v>
      </c>
      <c r="W205" s="97" t="s">
        <v>567</v>
      </c>
      <c r="X205" s="97" t="s">
        <v>567</v>
      </c>
      <c r="Y205" s="97" t="s">
        <v>567</v>
      </c>
      <c r="Z205" s="97" t="s">
        <v>567</v>
      </c>
      <c r="AA205" s="97" t="s">
        <v>567</v>
      </c>
      <c r="AB205" s="97" t="s">
        <v>557</v>
      </c>
      <c r="AC205" s="97" t="s">
        <v>557</v>
      </c>
      <c r="AD205" s="97" t="s">
        <v>567</v>
      </c>
      <c r="AE205" s="97" t="s">
        <v>556</v>
      </c>
      <c r="AF205" s="97" t="s">
        <v>556</v>
      </c>
      <c r="AG205" s="97" t="s">
        <v>556</v>
      </c>
      <c r="AH205" s="97" t="s">
        <v>556</v>
      </c>
      <c r="AI205" s="97" t="s">
        <v>557</v>
      </c>
      <c r="AJ205" s="97" t="s">
        <v>567</v>
      </c>
      <c r="AK205" s="97" t="s">
        <v>567</v>
      </c>
      <c r="AL205" s="97" t="s">
        <v>567</v>
      </c>
      <c r="AM205" s="97" t="s">
        <v>567</v>
      </c>
      <c r="AO205" s="116">
        <f t="shared" si="14"/>
        <v>0</v>
      </c>
      <c r="AP205" s="116">
        <f t="shared" si="17"/>
        <v>4</v>
      </c>
      <c r="AQ205" s="116">
        <f t="shared" si="17"/>
        <v>6</v>
      </c>
      <c r="AR205" s="116">
        <f t="shared" si="17"/>
        <v>0</v>
      </c>
      <c r="AS205" s="116">
        <f t="shared" si="17"/>
        <v>0</v>
      </c>
      <c r="AT205" s="116">
        <f t="shared" si="17"/>
        <v>0</v>
      </c>
      <c r="AU205" s="116">
        <f t="shared" si="17"/>
        <v>0</v>
      </c>
      <c r="AV205" s="116">
        <f t="shared" si="17"/>
        <v>0</v>
      </c>
      <c r="AW205" s="116">
        <f t="shared" si="17"/>
        <v>0</v>
      </c>
      <c r="AX205" s="116">
        <f t="shared" si="17"/>
        <v>0</v>
      </c>
      <c r="AY205" s="116">
        <f t="shared" si="17"/>
        <v>0</v>
      </c>
      <c r="AZ205" s="116">
        <f t="shared" si="17"/>
        <v>0</v>
      </c>
      <c r="BA205" s="116">
        <f t="shared" si="17"/>
        <v>20</v>
      </c>
      <c r="BB205" s="117">
        <f t="shared" si="16"/>
        <v>26</v>
      </c>
      <c r="BD205" s="137">
        <v>30</v>
      </c>
    </row>
    <row r="206" spans="1:56" ht="48.95" customHeight="1">
      <c r="B206" s="112">
        <v>198</v>
      </c>
      <c r="C206" s="113">
        <v>1032395283</v>
      </c>
      <c r="D206" s="114" t="s">
        <v>1172</v>
      </c>
      <c r="E206" s="217" t="s">
        <v>794</v>
      </c>
      <c r="F206" s="78" t="s">
        <v>506</v>
      </c>
      <c r="G206" s="263" t="s">
        <v>484</v>
      </c>
      <c r="H206" s="114" t="s">
        <v>1173</v>
      </c>
      <c r="I206" s="114" t="s">
        <v>600</v>
      </c>
      <c r="J206" s="97" t="s">
        <v>567</v>
      </c>
      <c r="K206" s="97" t="s">
        <v>567</v>
      </c>
      <c r="L206" s="97" t="s">
        <v>567</v>
      </c>
      <c r="M206" s="97" t="s">
        <v>567</v>
      </c>
      <c r="N206" s="97" t="s">
        <v>557</v>
      </c>
      <c r="O206" s="97" t="s">
        <v>567</v>
      </c>
      <c r="P206" s="97" t="s">
        <v>567</v>
      </c>
      <c r="Q206" s="97" t="s">
        <v>567</v>
      </c>
      <c r="R206" s="97" t="s">
        <v>567</v>
      </c>
      <c r="S206" s="97" t="s">
        <v>567</v>
      </c>
      <c r="T206" s="97" t="s">
        <v>567</v>
      </c>
      <c r="U206" s="97" t="s">
        <v>557</v>
      </c>
      <c r="V206" s="97" t="s">
        <v>557</v>
      </c>
      <c r="W206" s="97" t="s">
        <v>567</v>
      </c>
      <c r="X206" s="97" t="s">
        <v>567</v>
      </c>
      <c r="Y206" s="97" t="s">
        <v>567</v>
      </c>
      <c r="Z206" s="97" t="s">
        <v>567</v>
      </c>
      <c r="AA206" s="97" t="s">
        <v>567</v>
      </c>
      <c r="AB206" s="97" t="s">
        <v>557</v>
      </c>
      <c r="AC206" s="97" t="s">
        <v>557</v>
      </c>
      <c r="AD206" s="97" t="s">
        <v>567</v>
      </c>
      <c r="AE206" s="97" t="s">
        <v>567</v>
      </c>
      <c r="AF206" s="97" t="s">
        <v>567</v>
      </c>
      <c r="AG206" s="97" t="s">
        <v>567</v>
      </c>
      <c r="AH206" s="97" t="s">
        <v>567</v>
      </c>
      <c r="AI206" s="97" t="s">
        <v>557</v>
      </c>
      <c r="AJ206" s="97" t="s">
        <v>567</v>
      </c>
      <c r="AK206" s="97" t="s">
        <v>567</v>
      </c>
      <c r="AL206" s="97" t="s">
        <v>567</v>
      </c>
      <c r="AM206" s="97" t="s">
        <v>567</v>
      </c>
      <c r="AO206" s="116">
        <f t="shared" si="14"/>
        <v>0</v>
      </c>
      <c r="AP206" s="116">
        <f t="shared" si="17"/>
        <v>0</v>
      </c>
      <c r="AQ206" s="116">
        <f t="shared" si="17"/>
        <v>6</v>
      </c>
      <c r="AR206" s="116">
        <f t="shared" si="17"/>
        <v>0</v>
      </c>
      <c r="AS206" s="116">
        <f t="shared" si="17"/>
        <v>0</v>
      </c>
      <c r="AT206" s="116">
        <f t="shared" si="17"/>
        <v>0</v>
      </c>
      <c r="AU206" s="116">
        <f t="shared" si="17"/>
        <v>0</v>
      </c>
      <c r="AV206" s="116">
        <f t="shared" si="17"/>
        <v>0</v>
      </c>
      <c r="AW206" s="116">
        <f t="shared" si="17"/>
        <v>0</v>
      </c>
      <c r="AX206" s="116">
        <f t="shared" si="17"/>
        <v>0</v>
      </c>
      <c r="AY206" s="116">
        <f t="shared" si="17"/>
        <v>0</v>
      </c>
      <c r="AZ206" s="116">
        <f t="shared" si="17"/>
        <v>0</v>
      </c>
      <c r="BA206" s="116">
        <f t="shared" si="17"/>
        <v>24</v>
      </c>
      <c r="BB206" s="117">
        <f t="shared" si="16"/>
        <v>30</v>
      </c>
      <c r="BD206" s="137">
        <v>30</v>
      </c>
    </row>
    <row r="207" spans="1:56" ht="48.95" customHeight="1">
      <c r="A207" s="256" t="s">
        <v>713</v>
      </c>
      <c r="B207" s="112">
        <v>199</v>
      </c>
      <c r="C207" s="113">
        <v>45479518</v>
      </c>
      <c r="D207" s="254" t="s">
        <v>1063</v>
      </c>
      <c r="E207" s="217" t="s">
        <v>794</v>
      </c>
      <c r="F207" s="78" t="s">
        <v>506</v>
      </c>
      <c r="G207" s="263" t="s">
        <v>488</v>
      </c>
      <c r="H207" s="114" t="s">
        <v>1064</v>
      </c>
      <c r="I207" s="259" t="s">
        <v>1065</v>
      </c>
      <c r="J207" s="97" t="s">
        <v>567</v>
      </c>
      <c r="K207" s="97" t="s">
        <v>567</v>
      </c>
      <c r="L207" s="97" t="s">
        <v>567</v>
      </c>
      <c r="M207" s="97" t="s">
        <v>567</v>
      </c>
      <c r="N207" s="97" t="s">
        <v>567</v>
      </c>
      <c r="O207" s="97" t="s">
        <v>567</v>
      </c>
      <c r="P207" s="97" t="s">
        <v>567</v>
      </c>
      <c r="Q207" s="97" t="s">
        <v>567</v>
      </c>
      <c r="R207" s="97" t="s">
        <v>567</v>
      </c>
      <c r="S207" s="97" t="s">
        <v>567</v>
      </c>
      <c r="T207" s="97" t="s">
        <v>567</v>
      </c>
      <c r="U207" s="97" t="s">
        <v>567</v>
      </c>
      <c r="V207" s="97" t="s">
        <v>567</v>
      </c>
      <c r="W207" s="97" t="s">
        <v>1150</v>
      </c>
      <c r="X207" s="97" t="s">
        <v>1150</v>
      </c>
      <c r="Y207" s="97" t="s">
        <v>1150</v>
      </c>
      <c r="Z207" s="97" t="s">
        <v>1150</v>
      </c>
      <c r="AA207" s="97" t="s">
        <v>1150</v>
      </c>
      <c r="AB207" s="97" t="s">
        <v>1150</v>
      </c>
      <c r="AC207" s="97" t="s">
        <v>1150</v>
      </c>
      <c r="AD207" s="97" t="s">
        <v>567</v>
      </c>
      <c r="AE207" s="97" t="s">
        <v>567</v>
      </c>
      <c r="AF207" s="97" t="s">
        <v>567</v>
      </c>
      <c r="AG207" s="97" t="s">
        <v>567</v>
      </c>
      <c r="AH207" s="97" t="s">
        <v>567</v>
      </c>
      <c r="AI207" s="97" t="s">
        <v>557</v>
      </c>
      <c r="AJ207" s="97" t="s">
        <v>567</v>
      </c>
      <c r="AK207" s="97" t="s">
        <v>558</v>
      </c>
      <c r="AL207" s="97" t="s">
        <v>558</v>
      </c>
      <c r="AM207" s="97" t="s">
        <v>567</v>
      </c>
      <c r="AO207" s="116">
        <f t="shared" si="14"/>
        <v>0</v>
      </c>
      <c r="AP207" s="116">
        <f t="shared" si="17"/>
        <v>0</v>
      </c>
      <c r="AQ207" s="116">
        <f t="shared" si="17"/>
        <v>1</v>
      </c>
      <c r="AR207" s="116">
        <f t="shared" si="17"/>
        <v>2</v>
      </c>
      <c r="AS207" s="116">
        <f t="shared" si="17"/>
        <v>0</v>
      </c>
      <c r="AT207" s="116">
        <f t="shared" si="17"/>
        <v>0</v>
      </c>
      <c r="AU207" s="116">
        <f t="shared" si="17"/>
        <v>0</v>
      </c>
      <c r="AV207" s="116">
        <f t="shared" si="17"/>
        <v>0</v>
      </c>
      <c r="AW207" s="116">
        <f t="shared" si="17"/>
        <v>0</v>
      </c>
      <c r="AX207" s="116">
        <f t="shared" si="17"/>
        <v>0</v>
      </c>
      <c r="AY207" s="116">
        <f t="shared" si="17"/>
        <v>0</v>
      </c>
      <c r="AZ207" s="116">
        <f t="shared" si="17"/>
        <v>0</v>
      </c>
      <c r="BA207" s="116">
        <f t="shared" si="17"/>
        <v>20</v>
      </c>
      <c r="BB207" s="117">
        <f t="shared" si="16"/>
        <v>21</v>
      </c>
      <c r="BD207" s="137">
        <v>23</v>
      </c>
    </row>
    <row r="208" spans="1:56" ht="48.95" customHeight="1">
      <c r="A208" s="90" t="s">
        <v>511</v>
      </c>
      <c r="B208" s="112">
        <v>200</v>
      </c>
      <c r="C208" s="113">
        <v>53093292</v>
      </c>
      <c r="D208" s="114" t="s">
        <v>1174</v>
      </c>
      <c r="E208" s="217" t="s">
        <v>794</v>
      </c>
      <c r="F208" s="78" t="s">
        <v>509</v>
      </c>
      <c r="G208" s="84" t="s">
        <v>484</v>
      </c>
      <c r="H208" s="114" t="s">
        <v>1175</v>
      </c>
      <c r="I208" s="114" t="s">
        <v>1176</v>
      </c>
      <c r="J208" s="97" t="s">
        <v>567</v>
      </c>
      <c r="K208" s="97" t="s">
        <v>567</v>
      </c>
      <c r="L208" s="97" t="s">
        <v>567</v>
      </c>
      <c r="M208" s="97" t="s">
        <v>567</v>
      </c>
      <c r="N208" s="97" t="s">
        <v>557</v>
      </c>
      <c r="O208" s="97" t="s">
        <v>567</v>
      </c>
      <c r="P208" s="97" t="s">
        <v>567</v>
      </c>
      <c r="Q208" s="97" t="s">
        <v>567</v>
      </c>
      <c r="R208" s="97" t="s">
        <v>567</v>
      </c>
      <c r="S208" s="97" t="s">
        <v>567</v>
      </c>
      <c r="T208" s="97" t="s">
        <v>567</v>
      </c>
      <c r="U208" s="97" t="s">
        <v>557</v>
      </c>
      <c r="V208" s="97" t="s">
        <v>557</v>
      </c>
      <c r="W208" s="97" t="s">
        <v>567</v>
      </c>
      <c r="X208" s="97" t="s">
        <v>567</v>
      </c>
      <c r="Y208" s="97" t="s">
        <v>567</v>
      </c>
      <c r="Z208" s="97" t="s">
        <v>567</v>
      </c>
      <c r="AA208" s="97" t="s">
        <v>567</v>
      </c>
      <c r="AB208" s="97" t="s">
        <v>557</v>
      </c>
      <c r="AC208" s="97" t="s">
        <v>557</v>
      </c>
      <c r="AD208" s="97" t="s">
        <v>567</v>
      </c>
      <c r="AE208" s="97" t="s">
        <v>567</v>
      </c>
      <c r="AF208" s="97" t="s">
        <v>567</v>
      </c>
      <c r="AG208" s="97" t="s">
        <v>567</v>
      </c>
      <c r="AH208" s="97" t="s">
        <v>567</v>
      </c>
      <c r="AI208" s="97" t="s">
        <v>557</v>
      </c>
      <c r="AJ208" s="97" t="s">
        <v>567</v>
      </c>
      <c r="AK208" s="97" t="s">
        <v>567</v>
      </c>
      <c r="AL208" s="97" t="s">
        <v>567</v>
      </c>
      <c r="AM208" s="97" t="s">
        <v>567</v>
      </c>
      <c r="AO208" s="116">
        <f t="shared" si="14"/>
        <v>0</v>
      </c>
      <c r="AP208" s="116">
        <f t="shared" si="17"/>
        <v>0</v>
      </c>
      <c r="AQ208" s="116">
        <f t="shared" si="17"/>
        <v>6</v>
      </c>
      <c r="AR208" s="116">
        <f t="shared" si="17"/>
        <v>0</v>
      </c>
      <c r="AS208" s="116">
        <f t="shared" si="17"/>
        <v>0</v>
      </c>
      <c r="AT208" s="116">
        <f t="shared" si="17"/>
        <v>0</v>
      </c>
      <c r="AU208" s="116">
        <f t="shared" si="17"/>
        <v>0</v>
      </c>
      <c r="AV208" s="116">
        <f t="shared" si="17"/>
        <v>0</v>
      </c>
      <c r="AW208" s="116">
        <f t="shared" si="17"/>
        <v>0</v>
      </c>
      <c r="AX208" s="116">
        <f t="shared" si="17"/>
        <v>0</v>
      </c>
      <c r="AY208" s="116">
        <f t="shared" si="17"/>
        <v>0</v>
      </c>
      <c r="AZ208" s="116">
        <f t="shared" si="17"/>
        <v>0</v>
      </c>
      <c r="BA208" s="116">
        <f t="shared" si="17"/>
        <v>24</v>
      </c>
      <c r="BB208" s="117">
        <f t="shared" si="16"/>
        <v>30</v>
      </c>
      <c r="BD208" s="137">
        <v>30</v>
      </c>
    </row>
    <row r="209" spans="41:58" ht="98.45" customHeight="1">
      <c r="AO209" s="138">
        <f t="shared" ref="AO209:BA209" si="18">SUM(AO9:AO208)</f>
        <v>7</v>
      </c>
      <c r="AP209" s="138">
        <f t="shared" si="18"/>
        <v>4</v>
      </c>
      <c r="AQ209" s="138">
        <f t="shared" si="18"/>
        <v>1149</v>
      </c>
      <c r="AR209" s="138">
        <f t="shared" si="18"/>
        <v>64</v>
      </c>
      <c r="AS209" s="138">
        <f t="shared" si="18"/>
        <v>0</v>
      </c>
      <c r="AT209" s="138">
        <f t="shared" si="18"/>
        <v>0</v>
      </c>
      <c r="AU209" s="138">
        <f t="shared" si="18"/>
        <v>0</v>
      </c>
      <c r="AV209" s="138">
        <f t="shared" si="18"/>
        <v>6</v>
      </c>
      <c r="AW209" s="138">
        <f t="shared" si="18"/>
        <v>22</v>
      </c>
      <c r="AX209" s="138">
        <f t="shared" si="18"/>
        <v>7</v>
      </c>
      <c r="AY209" s="138">
        <f t="shared" si="18"/>
        <v>11</v>
      </c>
      <c r="AZ209" s="138">
        <f t="shared" si="18"/>
        <v>90</v>
      </c>
      <c r="BA209" s="138">
        <f t="shared" si="18"/>
        <v>4532</v>
      </c>
      <c r="BB209" s="138">
        <f>SUM(BB9:BB208)</f>
        <v>5681</v>
      </c>
      <c r="BD209" s="90">
        <f>SUM(BD9:BD208)</f>
        <v>5892</v>
      </c>
      <c r="BE209" s="90">
        <f>+AO209+AP209+AR209+AV209+AW209+AX209+AY209+AZ209</f>
        <v>211</v>
      </c>
      <c r="BF209" s="90">
        <f>+BB209-BD209</f>
        <v>-211</v>
      </c>
    </row>
  </sheetData>
  <autoFilter ref="A8:BF208" xr:uid="{00000000-0009-0000-0000-000002000000}"/>
  <mergeCells count="10">
    <mergeCell ref="I7:I8"/>
    <mergeCell ref="B2:C2"/>
    <mergeCell ref="B7:B8"/>
    <mergeCell ref="C7:C8"/>
    <mergeCell ref="D7:D8"/>
    <mergeCell ref="E7:E8"/>
    <mergeCell ref="F7:F8"/>
    <mergeCell ref="G7:G8"/>
    <mergeCell ref="B4:AM5"/>
    <mergeCell ref="H7:H8"/>
  </mergeCells>
  <conditionalFormatting sqref="C1:C1048576">
    <cfRule type="duplicateValues" dxfId="885" priority="1"/>
    <cfRule type="duplicateValues" dxfId="884" priority="2"/>
    <cfRule type="duplicateValues" dxfId="883" priority="3"/>
    <cfRule type="duplicateValues" dxfId="882" priority="4"/>
    <cfRule type="duplicateValues" dxfId="881" priority="21"/>
    <cfRule type="duplicateValues" dxfId="880" priority="22"/>
    <cfRule type="duplicateValues" dxfId="879" priority="23"/>
  </conditionalFormatting>
  <conditionalFormatting sqref="C9:C176">
    <cfRule type="duplicateValues" dxfId="878" priority="202"/>
  </conditionalFormatting>
  <conditionalFormatting sqref="C134:C176">
    <cfRule type="duplicateValues" dxfId="877" priority="201"/>
  </conditionalFormatting>
  <conditionalFormatting sqref="C157">
    <cfRule type="duplicateValues" dxfId="876" priority="40"/>
  </conditionalFormatting>
  <conditionalFormatting sqref="C177:C208">
    <cfRule type="duplicateValues" dxfId="875" priority="200"/>
  </conditionalFormatting>
  <conditionalFormatting sqref="C209:C1048576 C1:C176">
    <cfRule type="duplicateValues" dxfId="874" priority="41"/>
  </conditionalFormatting>
  <conditionalFormatting sqref="I1:I3 I6:I8 I209:I1048576">
    <cfRule type="containsText" dxfId="873" priority="186" operator="containsText" text="RENUNCIA">
      <formula>NOT(ISERROR(SEARCH("RENUNCIA",I1)))</formula>
    </cfRule>
  </conditionalFormatting>
  <conditionalFormatting sqref="J7:AM8">
    <cfRule type="expression" dxfId="871" priority="196">
      <formula>AND(J$7="dom")</formula>
    </cfRule>
  </conditionalFormatting>
  <conditionalFormatting sqref="J9:AM208">
    <cfRule type="containsText" dxfId="869" priority="5" operator="containsText" text="TS">
      <formula>NOT(ISERROR(SEARCH("TS",J9)))</formula>
    </cfRule>
    <cfRule type="containsText" dxfId="868" priority="6" operator="containsText" text="&quot; &quot;">
      <formula>NOT(ISERROR(SEARCH(""" """,J9)))</formula>
    </cfRule>
    <cfRule type="containsText" dxfId="867" priority="7" operator="containsText" text="CD">
      <formula>NOT(ISERROR(SEARCH("CD",J9)))</formula>
    </cfRule>
    <cfRule type="containsText" dxfId="866" priority="8" operator="containsText" text="VAC">
      <formula>NOT(ISERROR(SEARCH("VAC",J9)))</formula>
    </cfRule>
    <cfRule type="containsText" dxfId="865" priority="9" operator="containsText" text="LT">
      <formula>NOT(ISERROR(SEARCH("LT",J9)))</formula>
    </cfRule>
    <cfRule type="containsText" dxfId="864" priority="10" operator="containsText" text="REN">
      <formula>NOT(ISERROR(SEARCH("REN",J9)))</formula>
    </cfRule>
    <cfRule type="containsText" dxfId="863" priority="11" operator="containsText" text="INC">
      <formula>NOT(ISERROR(SEARCH("INC",J9)))</formula>
    </cfRule>
    <cfRule type="containsText" dxfId="862" priority="12" operator="containsText" text="LNR">
      <formula>NOT(ISERROR(SEARCH("LNR",J9)))</formula>
    </cfRule>
    <cfRule type="containsText" dxfId="861" priority="13" operator="containsText" text="INC">
      <formula>NOT(ISERROR(SEARCH("INC",J9)))</formula>
    </cfRule>
    <cfRule type="containsText" dxfId="860" priority="14" operator="containsText" text="TC">
      <formula>NOT(ISERROR(SEARCH("TC",J9)))</formula>
    </cfRule>
    <cfRule type="containsText" dxfId="859" priority="15" operator="containsText" text="PNR">
      <formula>NOT(ISERROR(SEARCH("PNR",J9)))</formula>
    </cfRule>
    <cfRule type="containsText" dxfId="858" priority="16" operator="containsText" text="AUS">
      <formula>NOT(ISERROR(SEARCH("AUS",J9)))</formula>
    </cfRule>
    <cfRule type="containsText" dxfId="857" priority="17" operator="containsText" text="D">
      <formula>NOT(ISERROR(SEARCH("D",J9)))</formula>
    </cfRule>
    <cfRule type="containsText" dxfId="856" priority="18" stopIfTrue="1" operator="containsText" text="OK">
      <formula>NOT(ISERROR(SEARCH("OK",J9)))</formula>
    </cfRule>
    <cfRule type="containsText" dxfId="855" priority="19" operator="containsText" text="D">
      <formula>NOT(ISERROR(SEARCH("D",J9)))</formula>
    </cfRule>
    <cfRule type="containsBlanks" dxfId="854" priority="20">
      <formula>LEN(TRIM(J9))=0</formula>
    </cfRule>
  </conditionalFormatting>
  <conditionalFormatting sqref="AO7">
    <cfRule type="duplicateValues" dxfId="853" priority="195"/>
  </conditionalFormatting>
  <conditionalFormatting sqref="AP7">
    <cfRule type="containsText" dxfId="852" priority="52" operator="containsText" text="&quot; &quot;">
      <formula>NOT(ISERROR(SEARCH(""" """,AP7)))</formula>
    </cfRule>
    <cfRule type="containsText" dxfId="851" priority="53" operator="containsText" text="CD">
      <formula>NOT(ISERROR(SEARCH("CD",AP7)))</formula>
    </cfRule>
    <cfRule type="containsText" dxfId="850" priority="54" operator="containsText" text="VAC">
      <formula>NOT(ISERROR(SEARCH("VAC",AP7)))</formula>
    </cfRule>
    <cfRule type="containsText" dxfId="849" priority="55" operator="containsText" text="LT">
      <formula>NOT(ISERROR(SEARCH("LT",AP7)))</formula>
    </cfRule>
    <cfRule type="containsText" dxfId="848" priority="56" operator="containsText" text="INC">
      <formula>NOT(ISERROR(SEARCH("INC",AP7)))</formula>
    </cfRule>
    <cfRule type="containsText" dxfId="847" priority="57" operator="containsText" text="LNR">
      <formula>NOT(ISERROR(SEARCH("LNR",AP7)))</formula>
    </cfRule>
    <cfRule type="containsText" dxfId="846" priority="58" operator="containsText" text="INC">
      <formula>NOT(ISERROR(SEARCH("INC",AP7)))</formula>
    </cfRule>
    <cfRule type="containsText" dxfId="845" priority="59" operator="containsText" text="TC">
      <formula>NOT(ISERROR(SEARCH("TC",AP7)))</formula>
    </cfRule>
    <cfRule type="containsText" dxfId="844" priority="60" operator="containsText" text="PNR">
      <formula>NOT(ISERROR(SEARCH("PNR",AP7)))</formula>
    </cfRule>
    <cfRule type="containsText" dxfId="843" priority="61" operator="containsText" text="AUS">
      <formula>NOT(ISERROR(SEARCH("AUS",AP7)))</formula>
    </cfRule>
    <cfRule type="containsText" dxfId="842" priority="62" operator="containsText" text="D">
      <formula>NOT(ISERROR(SEARCH("D",AP7)))</formula>
    </cfRule>
    <cfRule type="containsText" dxfId="841" priority="63" stopIfTrue="1" operator="containsText" text="OK">
      <formula>NOT(ISERROR(SEARCH("OK",AP7)))</formula>
    </cfRule>
    <cfRule type="containsText" dxfId="840" priority="64" operator="containsText" text="D">
      <formula>NOT(ISERROR(SEARCH("D",AP7)))</formula>
    </cfRule>
    <cfRule type="containsBlanks" dxfId="839" priority="65">
      <formula>LEN(TRIM(AP7))=0</formula>
    </cfRule>
    <cfRule type="containsText" dxfId="838" priority="66" operator="containsText" text="OK">
      <formula>NOT(ISERROR(SEARCH("OK",AP7)))</formula>
    </cfRule>
    <cfRule type="containsText" dxfId="837" priority="67" operator="containsText" text="LT">
      <formula>NOT(ISERROR(SEARCH("LT",AP7)))</formula>
    </cfRule>
    <cfRule type="containsText" dxfId="836" priority="68" operator="containsText" text="TC">
      <formula>NOT(ISERROR(SEARCH("TC",AP7)))</formula>
    </cfRule>
    <cfRule type="containsText" dxfId="835" priority="69" operator="containsText" text="REN">
      <formula>NOT(ISERROR(SEARCH("REN",AP7)))</formula>
    </cfRule>
    <cfRule type="containsText" dxfId="834" priority="70" operator="containsText" text="CD">
      <formula>NOT(ISERROR(SEARCH("CD",AP7)))</formula>
    </cfRule>
    <cfRule type="containsText" dxfId="833" priority="71" operator="containsText" text="VAC">
      <formula>NOT(ISERROR(SEARCH("VAC",AP7)))</formula>
    </cfRule>
    <cfRule type="containsText" dxfId="832" priority="72" operator="containsText" text="LNR">
      <formula>NOT(ISERROR(SEARCH("LNR",AP7)))</formula>
    </cfRule>
    <cfRule type="containsText" dxfId="831" priority="73" operator="containsText" text="S">
      <formula>NOT(ISERROR(SEARCH("S",AP7)))</formula>
    </cfRule>
    <cfRule type="containsText" dxfId="830" priority="74" operator="containsText" text="INC">
      <formula>NOT(ISERROR(SEARCH("INC",AP7)))</formula>
    </cfRule>
    <cfRule type="containsText" dxfId="829" priority="75" operator="containsText" text="D">
      <formula>NOT(ISERROR(SEARCH("D",AP7)))</formula>
    </cfRule>
    <cfRule type="containsText" dxfId="828" priority="76" operator="containsText" text="PNR">
      <formula>NOT(ISERROR(SEARCH("PNR",AP7)))</formula>
    </cfRule>
    <cfRule type="containsText" dxfId="827" priority="77" operator="containsText" text="AUS">
      <formula>NOT(ISERROR(SEARCH("AUS",AP7)))</formula>
    </cfRule>
    <cfRule type="duplicateValues" dxfId="826" priority="78"/>
  </conditionalFormatting>
  <conditionalFormatting sqref="AQ7 AS7 AU7 AY7 BA7">
    <cfRule type="duplicateValues" dxfId="825" priority="198"/>
  </conditionalFormatting>
  <conditionalFormatting sqref="AR7">
    <cfRule type="containsText" dxfId="824" priority="173" operator="containsText" text="OK">
      <formula>NOT(ISERROR(SEARCH("OK",AR7)))</formula>
    </cfRule>
    <cfRule type="containsText" dxfId="823" priority="174" operator="containsText" text="LT">
      <formula>NOT(ISERROR(SEARCH("LT",AR7)))</formula>
    </cfRule>
    <cfRule type="containsText" dxfId="822" priority="175" operator="containsText" text="TC">
      <formula>NOT(ISERROR(SEARCH("TC",AR7)))</formula>
    </cfRule>
    <cfRule type="containsText" dxfId="821" priority="176" operator="containsText" text="REN">
      <formula>NOT(ISERROR(SEARCH("REN",AR7)))</formula>
    </cfRule>
    <cfRule type="containsText" dxfId="820" priority="177" operator="containsText" text="CD">
      <formula>NOT(ISERROR(SEARCH("CD",AR7)))</formula>
    </cfRule>
    <cfRule type="containsText" dxfId="819" priority="178" operator="containsText" text="VAC">
      <formula>NOT(ISERROR(SEARCH("VAC",AR7)))</formula>
    </cfRule>
    <cfRule type="containsText" dxfId="818" priority="179" operator="containsText" text="LNR">
      <formula>NOT(ISERROR(SEARCH("LNR",AR7)))</formula>
    </cfRule>
    <cfRule type="containsText" dxfId="817" priority="180" operator="containsText" text="S">
      <formula>NOT(ISERROR(SEARCH("S",AR7)))</formula>
    </cfRule>
    <cfRule type="containsText" dxfId="816" priority="181" operator="containsText" text="INC">
      <formula>NOT(ISERROR(SEARCH("INC",AR7)))</formula>
    </cfRule>
    <cfRule type="containsText" dxfId="815" priority="182" operator="containsText" text="D">
      <formula>NOT(ISERROR(SEARCH("D",AR7)))</formula>
    </cfRule>
    <cfRule type="containsText" dxfId="814" priority="183" operator="containsText" text="PNR">
      <formula>NOT(ISERROR(SEARCH("PNR",AR7)))</formula>
    </cfRule>
    <cfRule type="containsText" dxfId="813" priority="184" operator="containsText" text="AUS">
      <formula>NOT(ISERROR(SEARCH("AUS",AR7)))</formula>
    </cfRule>
    <cfRule type="duplicateValues" dxfId="812" priority="185"/>
  </conditionalFormatting>
  <conditionalFormatting sqref="AT7">
    <cfRule type="containsText" dxfId="811" priority="160" operator="containsText" text="OK">
      <formula>NOT(ISERROR(SEARCH("OK",AT7)))</formula>
    </cfRule>
    <cfRule type="containsText" dxfId="810" priority="161" operator="containsText" text="LT">
      <formula>NOT(ISERROR(SEARCH("LT",AT7)))</formula>
    </cfRule>
    <cfRule type="containsText" dxfId="809" priority="162" operator="containsText" text="TC">
      <formula>NOT(ISERROR(SEARCH("TC",AT7)))</formula>
    </cfRule>
    <cfRule type="containsText" dxfId="808" priority="163" operator="containsText" text="REN">
      <formula>NOT(ISERROR(SEARCH("REN",AT7)))</formula>
    </cfRule>
    <cfRule type="containsText" dxfId="807" priority="164" operator="containsText" text="CD">
      <formula>NOT(ISERROR(SEARCH("CD",AT7)))</formula>
    </cfRule>
    <cfRule type="containsText" dxfId="806" priority="165" operator="containsText" text="VAC">
      <formula>NOT(ISERROR(SEARCH("VAC",AT7)))</formula>
    </cfRule>
    <cfRule type="containsText" dxfId="805" priority="166" operator="containsText" text="LNR">
      <formula>NOT(ISERROR(SEARCH("LNR",AT7)))</formula>
    </cfRule>
    <cfRule type="containsText" dxfId="804" priority="167" operator="containsText" text="S">
      <formula>NOT(ISERROR(SEARCH("S",AT7)))</formula>
    </cfRule>
    <cfRule type="containsText" dxfId="803" priority="168" operator="containsText" text="INC">
      <formula>NOT(ISERROR(SEARCH("INC",AT7)))</formula>
    </cfRule>
    <cfRule type="containsText" dxfId="802" priority="169" operator="containsText" text="D">
      <formula>NOT(ISERROR(SEARCH("D",AT7)))</formula>
    </cfRule>
    <cfRule type="containsText" dxfId="801" priority="170" operator="containsText" text="PNR">
      <formula>NOT(ISERROR(SEARCH("PNR",AT7)))</formula>
    </cfRule>
    <cfRule type="containsText" dxfId="800" priority="171" operator="containsText" text="AUS">
      <formula>NOT(ISERROR(SEARCH("AUS",AT7)))</formula>
    </cfRule>
    <cfRule type="duplicateValues" dxfId="799" priority="172"/>
  </conditionalFormatting>
  <conditionalFormatting sqref="AV7">
    <cfRule type="containsText" dxfId="798" priority="143" operator="containsText" text="PNR">
      <formula>NOT(ISERROR(SEARCH("PNR",AV7)))</formula>
    </cfRule>
    <cfRule type="containsText" dxfId="797" priority="144" operator="containsText" text="AUS">
      <formula>NOT(ISERROR(SEARCH("AUS",AV7)))</formula>
    </cfRule>
    <cfRule type="duplicateValues" dxfId="796" priority="145"/>
    <cfRule type="containsText" dxfId="795" priority="146" operator="containsText" text="&quot; &quot;">
      <formula>NOT(ISERROR(SEARCH(""" """,AV7)))</formula>
    </cfRule>
    <cfRule type="containsText" dxfId="794" priority="147" operator="containsText" text="CD">
      <formula>NOT(ISERROR(SEARCH("CD",AV7)))</formula>
    </cfRule>
    <cfRule type="containsText" dxfId="793" priority="148" operator="containsText" text="VAC">
      <formula>NOT(ISERROR(SEARCH("VAC",AV7)))</formula>
    </cfRule>
    <cfRule type="containsText" dxfId="792" priority="149" operator="containsText" text="LT">
      <formula>NOT(ISERROR(SEARCH("LT",AV7)))</formula>
    </cfRule>
    <cfRule type="containsText" dxfId="791" priority="150" operator="containsText" text="INC">
      <formula>NOT(ISERROR(SEARCH("INC",AV7)))</formula>
    </cfRule>
    <cfRule type="containsText" dxfId="790" priority="151" operator="containsText" text="LNR">
      <formula>NOT(ISERROR(SEARCH("LNR",AV7)))</formula>
    </cfRule>
    <cfRule type="containsText" dxfId="789" priority="152" operator="containsText" text="INC">
      <formula>NOT(ISERROR(SEARCH("INC",AV7)))</formula>
    </cfRule>
    <cfRule type="containsText" dxfId="788" priority="153" operator="containsText" text="TC">
      <formula>NOT(ISERROR(SEARCH("TC",AV7)))</formula>
    </cfRule>
    <cfRule type="containsText" dxfId="787" priority="154" operator="containsText" text="PNR">
      <formula>NOT(ISERROR(SEARCH("PNR",AV7)))</formula>
    </cfRule>
    <cfRule type="containsText" dxfId="786" priority="155" operator="containsText" text="AUS">
      <formula>NOT(ISERROR(SEARCH("AUS",AV7)))</formula>
    </cfRule>
    <cfRule type="containsText" dxfId="785" priority="156" operator="containsText" text="D">
      <formula>NOT(ISERROR(SEARCH("D",AV7)))</formula>
    </cfRule>
    <cfRule type="containsText" dxfId="784" priority="157" stopIfTrue="1" operator="containsText" text="OK">
      <formula>NOT(ISERROR(SEARCH("OK",AV7)))</formula>
    </cfRule>
    <cfRule type="containsText" dxfId="783" priority="158" operator="containsText" text="D">
      <formula>NOT(ISERROR(SEARCH("D",AV7)))</formula>
    </cfRule>
    <cfRule type="containsBlanks" dxfId="782" priority="159">
      <formula>LEN(TRIM(AV7))=0</formula>
    </cfRule>
  </conditionalFormatting>
  <conditionalFormatting sqref="AV7:AW7">
    <cfRule type="containsText" dxfId="781" priority="129" operator="containsText" text="D">
      <formula>NOT(ISERROR(SEARCH("D",AV7)))</formula>
    </cfRule>
  </conditionalFormatting>
  <conditionalFormatting sqref="AV7:AX7">
    <cfRule type="containsText" dxfId="780" priority="79" operator="containsText" text="OK">
      <formula>NOT(ISERROR(SEARCH("OK",AV7)))</formula>
    </cfRule>
    <cfRule type="containsText" dxfId="779" priority="80" operator="containsText" text="LT">
      <formula>NOT(ISERROR(SEARCH("LT",AV7)))</formula>
    </cfRule>
    <cfRule type="containsText" dxfId="778" priority="81" operator="containsText" text="TC">
      <formula>NOT(ISERROR(SEARCH("TC",AV7)))</formula>
    </cfRule>
    <cfRule type="containsText" dxfId="777" priority="82" operator="containsText" text="REN">
      <formula>NOT(ISERROR(SEARCH("REN",AV7)))</formula>
    </cfRule>
    <cfRule type="containsText" dxfId="776" priority="83" operator="containsText" text="CD">
      <formula>NOT(ISERROR(SEARCH("CD",AV7)))</formula>
    </cfRule>
    <cfRule type="containsText" dxfId="775" priority="84" operator="containsText" text="VAC">
      <formula>NOT(ISERROR(SEARCH("VAC",AV7)))</formula>
    </cfRule>
    <cfRule type="containsText" dxfId="774" priority="85" operator="containsText" text="LNR">
      <formula>NOT(ISERROR(SEARCH("LNR",AV7)))</formula>
    </cfRule>
    <cfRule type="containsText" dxfId="773" priority="86" operator="containsText" text="S">
      <formula>NOT(ISERROR(SEARCH("S",AV7)))</formula>
    </cfRule>
    <cfRule type="containsText" dxfId="772" priority="87" operator="containsText" text="INC">
      <formula>NOT(ISERROR(SEARCH("INC",AV7)))</formula>
    </cfRule>
  </conditionalFormatting>
  <conditionalFormatting sqref="AW7">
    <cfRule type="containsText" dxfId="771" priority="116" operator="containsText" text="PNR">
      <formula>NOT(ISERROR(SEARCH("PNR",AW7)))</formula>
    </cfRule>
    <cfRule type="containsText" dxfId="770" priority="117" operator="containsText" text="AUS">
      <formula>NOT(ISERROR(SEARCH("AUS",AW7)))</formula>
    </cfRule>
    <cfRule type="duplicateValues" dxfId="769" priority="118"/>
    <cfRule type="containsText" dxfId="768" priority="119" operator="containsText" text="&quot; &quot;">
      <formula>NOT(ISERROR(SEARCH(""" """,AW7)))</formula>
    </cfRule>
    <cfRule type="containsText" dxfId="767" priority="120" operator="containsText" text="CD">
      <formula>NOT(ISERROR(SEARCH("CD",AW7)))</formula>
    </cfRule>
    <cfRule type="containsText" dxfId="766" priority="121" operator="containsText" text="VAC">
      <formula>NOT(ISERROR(SEARCH("VAC",AW7)))</formula>
    </cfRule>
    <cfRule type="containsText" dxfId="765" priority="122" operator="containsText" text="LT">
      <formula>NOT(ISERROR(SEARCH("LT",AW7)))</formula>
    </cfRule>
    <cfRule type="containsText" dxfId="764" priority="123" operator="containsText" text="INC">
      <formula>NOT(ISERROR(SEARCH("INC",AW7)))</formula>
    </cfRule>
    <cfRule type="containsText" dxfId="763" priority="124" operator="containsText" text="LNR">
      <formula>NOT(ISERROR(SEARCH("LNR",AW7)))</formula>
    </cfRule>
    <cfRule type="containsText" dxfId="762" priority="125" operator="containsText" text="INC">
      <formula>NOT(ISERROR(SEARCH("INC",AW7)))</formula>
    </cfRule>
    <cfRule type="containsText" dxfId="761" priority="126" operator="containsText" text="TC">
      <formula>NOT(ISERROR(SEARCH("TC",AW7)))</formula>
    </cfRule>
    <cfRule type="containsText" dxfId="760" priority="127" operator="containsText" text="PNR">
      <formula>NOT(ISERROR(SEARCH("PNR",AW7)))</formula>
    </cfRule>
    <cfRule type="containsText" dxfId="759" priority="128" operator="containsText" text="AUS">
      <formula>NOT(ISERROR(SEARCH("AUS",AW7)))</formula>
    </cfRule>
    <cfRule type="containsText" dxfId="758" priority="130" stopIfTrue="1" operator="containsText" text="OK">
      <formula>NOT(ISERROR(SEARCH("OK",AW7)))</formula>
    </cfRule>
    <cfRule type="containsText" dxfId="757" priority="131" operator="containsText" text="D">
      <formula>NOT(ISERROR(SEARCH("D",AW7)))</formula>
    </cfRule>
    <cfRule type="containsBlanks" dxfId="756" priority="132">
      <formula>LEN(TRIM(AW7))=0</formula>
    </cfRule>
  </conditionalFormatting>
  <conditionalFormatting sqref="AW7:AX7">
    <cfRule type="containsText" dxfId="755" priority="102" operator="containsText" text="D">
      <formula>NOT(ISERROR(SEARCH("D",AW7)))</formula>
    </cfRule>
  </conditionalFormatting>
  <conditionalFormatting sqref="AX7">
    <cfRule type="containsText" dxfId="754" priority="88" operator="containsText" text="D">
      <formula>NOT(ISERROR(SEARCH("D",AX7)))</formula>
    </cfRule>
    <cfRule type="containsText" dxfId="753" priority="89" operator="containsText" text="PNR">
      <formula>NOT(ISERROR(SEARCH("PNR",AX7)))</formula>
    </cfRule>
    <cfRule type="containsText" dxfId="752" priority="90" operator="containsText" text="AUS">
      <formula>NOT(ISERROR(SEARCH("AUS",AX7)))</formula>
    </cfRule>
    <cfRule type="duplicateValues" dxfId="751" priority="91"/>
    <cfRule type="containsText" dxfId="750" priority="92" operator="containsText" text="&quot; &quot;">
      <formula>NOT(ISERROR(SEARCH(""" """,AX7)))</formula>
    </cfRule>
    <cfRule type="containsText" dxfId="749" priority="93" operator="containsText" text="CD">
      <formula>NOT(ISERROR(SEARCH("CD",AX7)))</formula>
    </cfRule>
    <cfRule type="containsText" dxfId="748" priority="94" operator="containsText" text="VAC">
      <formula>NOT(ISERROR(SEARCH("VAC",AX7)))</formula>
    </cfRule>
    <cfRule type="containsText" dxfId="747" priority="95" operator="containsText" text="LT">
      <formula>NOT(ISERROR(SEARCH("LT",AX7)))</formula>
    </cfRule>
    <cfRule type="containsText" dxfId="746" priority="96" operator="containsText" text="INC">
      <formula>NOT(ISERROR(SEARCH("INC",AX7)))</formula>
    </cfRule>
    <cfRule type="containsText" dxfId="745" priority="97" operator="containsText" text="LNR">
      <formula>NOT(ISERROR(SEARCH("LNR",AX7)))</formula>
    </cfRule>
    <cfRule type="containsText" dxfId="744" priority="98" operator="containsText" text="INC">
      <formula>NOT(ISERROR(SEARCH("INC",AX7)))</formula>
    </cfRule>
    <cfRule type="containsText" dxfId="743" priority="99" operator="containsText" text="TC">
      <formula>NOT(ISERROR(SEARCH("TC",AX7)))</formula>
    </cfRule>
    <cfRule type="containsText" dxfId="742" priority="100" operator="containsText" text="PNR">
      <formula>NOT(ISERROR(SEARCH("PNR",AX7)))</formula>
    </cfRule>
    <cfRule type="containsText" dxfId="741" priority="101" operator="containsText" text="AUS">
      <formula>NOT(ISERROR(SEARCH("AUS",AX7)))</formula>
    </cfRule>
    <cfRule type="containsText" dxfId="740" priority="103" stopIfTrue="1" operator="containsText" text="OK">
      <formula>NOT(ISERROR(SEARCH("OK",AX7)))</formula>
    </cfRule>
    <cfRule type="containsText" dxfId="739" priority="104" operator="containsText" text="D">
      <formula>NOT(ISERROR(SEARCH("D",AX7)))</formula>
    </cfRule>
    <cfRule type="containsBlanks" dxfId="738" priority="105">
      <formula>LEN(TRIM(AX7))=0</formula>
    </cfRule>
  </conditionalFormatting>
  <conditionalFormatting sqref="AZ7">
    <cfRule type="duplicateValues" dxfId="737" priority="42"/>
  </conditionalFormatting>
  <conditionalFormatting sqref="BB7">
    <cfRule type="duplicateValues" dxfId="736" priority="193"/>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51" id="{8EB057E9-3477-43BF-8E30-304805FEAEA9}">
            <xm:f>MATCH(J$8,'C:\Users\jcrodriguez\OneDrive - Serviasesorias SAS\Documentos\JUAN CARLOS OPERACIONES 2025\ALCALDIA DE BOGOTA\7. JULIO\[PLANILLA CONTROL PERSONAL JULIO ALCALDIA SUPERVISORES.xlsx]FECHAS'!#REF!,0)&gt;0</xm:f>
            <x14:dxf>
              <font>
                <b/>
                <i val="0"/>
                <color theme="0"/>
              </font>
              <fill>
                <patternFill>
                  <bgColor rgb="FFFF0000"/>
                </patternFill>
              </fill>
            </x14:dxf>
          </x14:cfRule>
          <x14:cfRule type="expression" priority="197" id="{7EB09AF1-4E61-413F-B44C-782075E059CA}">
            <xm:f>MATCH(J$8,'C:\Users\jcrodriguez\OneDrive - Serviasesorias SAS\Documentos\DIAN\[NOMINA COORDINADORES ENERO 2026.xlsm]FECHA'!#REF!,0)&gt;0</xm:f>
            <x14:dxf>
              <font>
                <b/>
                <i val="0"/>
                <color theme="0"/>
              </font>
              <fill>
                <patternFill>
                  <bgColor rgb="FFFF0000"/>
                </patternFill>
              </fill>
            </x14:dxf>
          </x14:cfRule>
          <xm:sqref>J7:AM8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FFFF"/>
  </sheetPr>
  <dimension ref="B1:BF12"/>
  <sheetViews>
    <sheetView topLeftCell="D4" zoomScale="60" zoomScaleNormal="60" workbookViewId="0">
      <selection activeCell="BC12" sqref="BC12"/>
    </sheetView>
  </sheetViews>
  <sheetFormatPr baseColWidth="10" defaultColWidth="11.42578125" defaultRowHeight="255" customHeight="1"/>
  <cols>
    <col min="1" max="1" width="24.140625" style="90" customWidth="1"/>
    <col min="2" max="2" width="7" style="90" bestFit="1" customWidth="1"/>
    <col min="3" max="3" width="16.42578125" style="136" customWidth="1"/>
    <col min="4" max="4" width="49.85546875" style="90" customWidth="1"/>
    <col min="5" max="5" width="39.5703125" style="90" customWidth="1"/>
    <col min="6" max="6" width="54.85546875" style="90" customWidth="1"/>
    <col min="7" max="7" width="75.5703125" style="90" customWidth="1"/>
    <col min="8" max="8" width="23.28515625" style="90" hidden="1" customWidth="1"/>
    <col min="9" max="9" width="25.140625" style="90" hidden="1" customWidth="1"/>
    <col min="10" max="10" width="8.140625" style="90" hidden="1" customWidth="1"/>
    <col min="11" max="18" width="6.7109375" style="90" hidden="1" customWidth="1"/>
    <col min="19" max="19" width="6.7109375" style="137" hidden="1" customWidth="1"/>
    <col min="20" max="20" width="6.42578125" style="137" hidden="1" customWidth="1"/>
    <col min="21" max="21" width="6.5703125" style="137" hidden="1" customWidth="1"/>
    <col min="22" max="25" width="6.7109375" style="137" hidden="1" customWidth="1"/>
    <col min="26" max="28" width="6.7109375" style="90" hidden="1" customWidth="1"/>
    <col min="29" max="32" width="6.7109375" style="137" hidden="1" customWidth="1"/>
    <col min="33" max="39" width="6.7109375" style="90" hidden="1" customWidth="1"/>
    <col min="40" max="41" width="18.85546875" style="90" hidden="1" customWidth="1"/>
    <col min="42" max="42" width="16.5703125" style="90" hidden="1" customWidth="1"/>
    <col min="43" max="43" width="15.28515625" style="90" hidden="1" customWidth="1"/>
    <col min="44" max="44" width="19.42578125" style="90" hidden="1" customWidth="1"/>
    <col min="45" max="45" width="15.7109375" style="90" hidden="1" customWidth="1"/>
    <col min="46" max="46" width="17.140625" style="90" hidden="1" customWidth="1"/>
    <col min="47" max="47" width="16.140625" style="90" hidden="1" customWidth="1"/>
    <col min="48" max="48" width="14.85546875" style="90" hidden="1" customWidth="1"/>
    <col min="49" max="49" width="14" style="90" hidden="1" customWidth="1"/>
    <col min="50" max="50" width="16.140625" style="90" hidden="1" customWidth="1"/>
    <col min="51" max="51" width="11.42578125" style="90" hidden="1" customWidth="1"/>
    <col min="52" max="52" width="13.42578125" style="90" hidden="1" customWidth="1"/>
    <col min="53" max="53" width="11.42578125" style="90" hidden="1" customWidth="1"/>
    <col min="54" max="54" width="15.5703125" style="90" customWidth="1"/>
    <col min="55" max="16384" width="11.42578125" style="90"/>
  </cols>
  <sheetData>
    <row r="1" spans="2:58" ht="73.5" customHeight="1">
      <c r="B1" s="87"/>
      <c r="C1" s="88"/>
      <c r="D1" s="89"/>
      <c r="E1" s="89"/>
      <c r="F1" s="89"/>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2:58" ht="89.1" customHeight="1">
      <c r="B2" s="284" t="s">
        <v>791</v>
      </c>
      <c r="C2" s="285"/>
      <c r="D2" s="91"/>
      <c r="E2" s="92"/>
      <c r="F2" s="92"/>
      <c r="G2" s="93"/>
      <c r="H2" s="93"/>
      <c r="I2" s="93"/>
      <c r="P2" s="87"/>
      <c r="Q2" s="87"/>
      <c r="R2" s="87"/>
      <c r="S2" s="87"/>
      <c r="T2" s="87"/>
      <c r="U2" s="87"/>
      <c r="V2" s="87"/>
      <c r="W2" s="87"/>
      <c r="X2" s="87"/>
      <c r="Y2" s="87"/>
      <c r="Z2" s="87"/>
      <c r="AA2" s="87"/>
      <c r="AB2" s="87"/>
      <c r="AC2" s="87"/>
      <c r="AD2" s="87"/>
      <c r="AE2" s="87"/>
      <c r="AF2" s="87"/>
      <c r="AG2" s="87"/>
      <c r="AH2" s="87"/>
      <c r="AI2" s="87"/>
      <c r="AJ2" s="87"/>
      <c r="AK2" s="87"/>
    </row>
    <row r="3" spans="2:58" ht="57.6" customHeight="1">
      <c r="B3" s="87"/>
      <c r="C3" s="93"/>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row>
    <row r="4" spans="2:58" ht="42.95" customHeight="1">
      <c r="B4" s="293" t="s">
        <v>548</v>
      </c>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row>
    <row r="5" spans="2:58" ht="60.95" customHeight="1">
      <c r="B5" s="293"/>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row>
    <row r="6" spans="2:58" ht="44.1" customHeight="1">
      <c r="B6" s="87"/>
      <c r="C6" s="93"/>
      <c r="D6" s="87"/>
      <c r="E6" s="87"/>
      <c r="F6" s="87"/>
      <c r="G6" s="87"/>
      <c r="H6" s="87"/>
      <c r="I6" s="87"/>
      <c r="J6" s="94">
        <v>1</v>
      </c>
      <c r="K6" s="94">
        <v>2</v>
      </c>
      <c r="L6" s="94">
        <v>3</v>
      </c>
      <c r="M6" s="94">
        <v>4</v>
      </c>
      <c r="N6" s="94">
        <v>5</v>
      </c>
      <c r="O6" s="94">
        <v>6</v>
      </c>
      <c r="P6" s="94">
        <v>7</v>
      </c>
      <c r="Q6" s="94">
        <v>8</v>
      </c>
      <c r="R6" s="94">
        <v>9</v>
      </c>
      <c r="S6" s="94">
        <v>10</v>
      </c>
      <c r="T6" s="94">
        <v>11</v>
      </c>
      <c r="U6" s="94">
        <v>12</v>
      </c>
      <c r="V6" s="94">
        <v>13</v>
      </c>
      <c r="W6" s="94">
        <v>14</v>
      </c>
      <c r="X6" s="94">
        <v>15</v>
      </c>
      <c r="Y6" s="94">
        <v>16</v>
      </c>
      <c r="Z6" s="94">
        <v>17</v>
      </c>
      <c r="AA6" s="94">
        <v>18</v>
      </c>
      <c r="AB6" s="94">
        <v>19</v>
      </c>
      <c r="AC6" s="94">
        <v>20</v>
      </c>
      <c r="AD6" s="94">
        <v>21</v>
      </c>
      <c r="AE6" s="94">
        <v>22</v>
      </c>
      <c r="AF6" s="94">
        <v>23</v>
      </c>
      <c r="AG6" s="94">
        <v>24</v>
      </c>
      <c r="AH6" s="94">
        <v>25</v>
      </c>
      <c r="AI6" s="94">
        <v>26</v>
      </c>
      <c r="AJ6" s="94">
        <v>27</v>
      </c>
      <c r="AK6" s="94">
        <v>28</v>
      </c>
      <c r="AL6" s="94">
        <v>29</v>
      </c>
      <c r="AM6" s="94">
        <v>30</v>
      </c>
    </row>
    <row r="7" spans="2:58" ht="40.5" customHeight="1">
      <c r="B7" s="286" t="s">
        <v>1</v>
      </c>
      <c r="C7" s="286" t="s">
        <v>549</v>
      </c>
      <c r="D7" s="287" t="s">
        <v>550</v>
      </c>
      <c r="E7" s="286" t="s">
        <v>551</v>
      </c>
      <c r="F7" s="289" t="s">
        <v>552</v>
      </c>
      <c r="G7" s="291" t="s">
        <v>119</v>
      </c>
      <c r="H7" s="291" t="s">
        <v>553</v>
      </c>
      <c r="I7" s="282" t="s">
        <v>554</v>
      </c>
      <c r="J7" s="95" t="s">
        <v>798</v>
      </c>
      <c r="K7" s="95" t="s">
        <v>799</v>
      </c>
      <c r="L7" s="95" t="s">
        <v>800</v>
      </c>
      <c r="M7" s="95" t="s">
        <v>801</v>
      </c>
      <c r="N7" s="95" t="s">
        <v>802</v>
      </c>
      <c r="O7" s="95" t="s">
        <v>803</v>
      </c>
      <c r="P7" s="95" t="s">
        <v>804</v>
      </c>
      <c r="Q7" s="95" t="s">
        <v>798</v>
      </c>
      <c r="R7" s="95" t="s">
        <v>799</v>
      </c>
      <c r="S7" s="95" t="s">
        <v>800</v>
      </c>
      <c r="T7" s="95" t="s">
        <v>801</v>
      </c>
      <c r="U7" s="95" t="s">
        <v>802</v>
      </c>
      <c r="V7" s="95" t="s">
        <v>803</v>
      </c>
      <c r="W7" s="95" t="s">
        <v>804</v>
      </c>
      <c r="X7" s="95" t="s">
        <v>798</v>
      </c>
      <c r="Y7" s="95" t="s">
        <v>799</v>
      </c>
      <c r="Z7" s="95" t="s">
        <v>800</v>
      </c>
      <c r="AA7" s="95" t="s">
        <v>801</v>
      </c>
      <c r="AB7" s="95" t="s">
        <v>802</v>
      </c>
      <c r="AC7" s="95" t="s">
        <v>803</v>
      </c>
      <c r="AD7" s="95" t="s">
        <v>804</v>
      </c>
      <c r="AE7" s="95" t="s">
        <v>798</v>
      </c>
      <c r="AF7" s="95" t="s">
        <v>799</v>
      </c>
      <c r="AG7" s="95" t="s">
        <v>800</v>
      </c>
      <c r="AH7" s="95" t="s">
        <v>801</v>
      </c>
      <c r="AI7" s="95" t="s">
        <v>802</v>
      </c>
      <c r="AJ7" s="95" t="s">
        <v>803</v>
      </c>
      <c r="AK7" s="95" t="s">
        <v>804</v>
      </c>
      <c r="AL7" s="95" t="s">
        <v>802</v>
      </c>
      <c r="AM7" s="95" t="s">
        <v>803</v>
      </c>
      <c r="AO7" s="96" t="s">
        <v>555</v>
      </c>
      <c r="AP7" s="97" t="s">
        <v>556</v>
      </c>
      <c r="AQ7" s="98" t="s">
        <v>557</v>
      </c>
      <c r="AR7" s="99" t="s">
        <v>558</v>
      </c>
      <c r="AS7" s="96" t="s">
        <v>559</v>
      </c>
      <c r="AT7" s="100" t="s">
        <v>560</v>
      </c>
      <c r="AU7" s="101" t="s">
        <v>561</v>
      </c>
      <c r="AV7" s="102" t="s">
        <v>562</v>
      </c>
      <c r="AW7" s="103" t="s">
        <v>563</v>
      </c>
      <c r="AX7" s="104" t="s">
        <v>564</v>
      </c>
      <c r="AY7" s="105" t="s">
        <v>565</v>
      </c>
      <c r="AZ7" s="106" t="s">
        <v>566</v>
      </c>
      <c r="BA7" s="97" t="s">
        <v>567</v>
      </c>
      <c r="BB7" s="107" t="s">
        <v>568</v>
      </c>
    </row>
    <row r="8" spans="2:58" ht="40.5" customHeight="1">
      <c r="B8" s="287"/>
      <c r="C8" s="287"/>
      <c r="D8" s="288"/>
      <c r="E8" s="287"/>
      <c r="F8" s="290"/>
      <c r="G8" s="292"/>
      <c r="H8" s="292"/>
      <c r="I8" s="283"/>
      <c r="J8" s="108">
        <v>46204</v>
      </c>
      <c r="K8" s="109">
        <v>46205</v>
      </c>
      <c r="L8" s="109">
        <v>46206</v>
      </c>
      <c r="M8" s="109">
        <v>46207</v>
      </c>
      <c r="N8" s="109">
        <v>46208</v>
      </c>
      <c r="O8" s="109">
        <v>46209</v>
      </c>
      <c r="P8" s="109">
        <v>46210</v>
      </c>
      <c r="Q8" s="109">
        <v>46211</v>
      </c>
      <c r="R8" s="109">
        <v>46212</v>
      </c>
      <c r="S8" s="109">
        <v>46213</v>
      </c>
      <c r="T8" s="109">
        <v>46214</v>
      </c>
      <c r="U8" s="109">
        <v>46215</v>
      </c>
      <c r="V8" s="109">
        <v>46216</v>
      </c>
      <c r="W8" s="109">
        <v>46217</v>
      </c>
      <c r="X8" s="109">
        <v>46218</v>
      </c>
      <c r="Y8" s="109">
        <v>46219</v>
      </c>
      <c r="Z8" s="109">
        <v>46220</v>
      </c>
      <c r="AA8" s="109">
        <v>46221</v>
      </c>
      <c r="AB8" s="109">
        <v>46222</v>
      </c>
      <c r="AC8" s="109">
        <v>46223</v>
      </c>
      <c r="AD8" s="109">
        <v>46224</v>
      </c>
      <c r="AE8" s="109">
        <v>46225</v>
      </c>
      <c r="AF8" s="109">
        <v>46226</v>
      </c>
      <c r="AG8" s="109">
        <v>46227</v>
      </c>
      <c r="AH8" s="109">
        <v>46228</v>
      </c>
      <c r="AI8" s="109">
        <v>46229</v>
      </c>
      <c r="AJ8" s="109">
        <v>46230</v>
      </c>
      <c r="AK8" s="109">
        <v>46231</v>
      </c>
      <c r="AL8" s="109">
        <v>29</v>
      </c>
      <c r="AM8" s="109">
        <v>30</v>
      </c>
      <c r="AO8" s="110" t="s">
        <v>569</v>
      </c>
      <c r="AP8" s="111" t="s">
        <v>570</v>
      </c>
      <c r="AQ8" s="110" t="s">
        <v>571</v>
      </c>
      <c r="AR8" s="110" t="s">
        <v>572</v>
      </c>
      <c r="AS8" s="110" t="s">
        <v>573</v>
      </c>
      <c r="AT8" s="111" t="s">
        <v>574</v>
      </c>
      <c r="AU8" s="110" t="s">
        <v>575</v>
      </c>
      <c r="AV8" s="111" t="s">
        <v>576</v>
      </c>
      <c r="AW8" s="110" t="s">
        <v>577</v>
      </c>
      <c r="AX8" s="111" t="s">
        <v>578</v>
      </c>
      <c r="AY8" s="111" t="s">
        <v>579</v>
      </c>
      <c r="AZ8" s="111" t="s">
        <v>580</v>
      </c>
      <c r="BA8" s="110" t="s">
        <v>581</v>
      </c>
      <c r="BB8" s="111"/>
    </row>
    <row r="9" spans="2:58" ht="48.95" customHeight="1">
      <c r="B9" s="112">
        <v>65</v>
      </c>
      <c r="C9" s="113">
        <v>52033728</v>
      </c>
      <c r="D9" s="114" t="s">
        <v>715</v>
      </c>
      <c r="E9" s="134" t="s">
        <v>792</v>
      </c>
      <c r="F9" s="214" t="s">
        <v>712</v>
      </c>
      <c r="G9" s="262" t="s">
        <v>161</v>
      </c>
      <c r="H9" s="114" t="s">
        <v>605</v>
      </c>
      <c r="I9" s="114" t="s">
        <v>606</v>
      </c>
      <c r="J9" s="97" t="s">
        <v>567</v>
      </c>
      <c r="K9" s="97" t="s">
        <v>567</v>
      </c>
      <c r="L9" s="97" t="s">
        <v>567</v>
      </c>
      <c r="M9" s="97" t="s">
        <v>567</v>
      </c>
      <c r="N9" s="97" t="s">
        <v>557</v>
      </c>
      <c r="O9" s="97" t="s">
        <v>567</v>
      </c>
      <c r="P9" s="97" t="s">
        <v>567</v>
      </c>
      <c r="Q9" s="97" t="s">
        <v>567</v>
      </c>
      <c r="R9" s="97" t="s">
        <v>567</v>
      </c>
      <c r="S9" s="97" t="s">
        <v>567</v>
      </c>
      <c r="T9" s="97" t="s">
        <v>567</v>
      </c>
      <c r="U9" s="97" t="s">
        <v>557</v>
      </c>
      <c r="V9" s="97" t="s">
        <v>557</v>
      </c>
      <c r="W9" s="97" t="s">
        <v>567</v>
      </c>
      <c r="X9" s="97" t="s">
        <v>567</v>
      </c>
      <c r="Y9" s="97" t="s">
        <v>567</v>
      </c>
      <c r="Z9" s="97" t="s">
        <v>567</v>
      </c>
      <c r="AA9" s="97" t="s">
        <v>567</v>
      </c>
      <c r="AB9" s="97" t="s">
        <v>557</v>
      </c>
      <c r="AC9" s="97" t="s">
        <v>557</v>
      </c>
      <c r="AD9" s="97" t="s">
        <v>567</v>
      </c>
      <c r="AE9" s="97" t="s">
        <v>567</v>
      </c>
      <c r="AF9" s="97" t="s">
        <v>567</v>
      </c>
      <c r="AG9" s="97" t="s">
        <v>567</v>
      </c>
      <c r="AH9" s="97" t="s">
        <v>567</v>
      </c>
      <c r="AI9" s="97" t="s">
        <v>567</v>
      </c>
      <c r="AJ9" s="97" t="s">
        <v>557</v>
      </c>
      <c r="AK9" s="97" t="s">
        <v>567</v>
      </c>
      <c r="AL9" s="97" t="s">
        <v>567</v>
      </c>
      <c r="AM9" s="97" t="s">
        <v>567</v>
      </c>
      <c r="AO9" s="116">
        <f t="shared" ref="AO9:BA9" si="0">COUNTIF($J9:$AM9,AO$7)</f>
        <v>0</v>
      </c>
      <c r="AP9" s="116">
        <f t="shared" si="0"/>
        <v>0</v>
      </c>
      <c r="AQ9" s="116">
        <f t="shared" si="0"/>
        <v>6</v>
      </c>
      <c r="AR9" s="116">
        <f t="shared" si="0"/>
        <v>0</v>
      </c>
      <c r="AS9" s="116">
        <f t="shared" si="0"/>
        <v>0</v>
      </c>
      <c r="AT9" s="116">
        <f t="shared" si="0"/>
        <v>0</v>
      </c>
      <c r="AU9" s="116">
        <f t="shared" si="0"/>
        <v>0</v>
      </c>
      <c r="AV9" s="116">
        <f t="shared" si="0"/>
        <v>0</v>
      </c>
      <c r="AW9" s="116">
        <f t="shared" si="0"/>
        <v>0</v>
      </c>
      <c r="AX9" s="116">
        <f t="shared" si="0"/>
        <v>0</v>
      </c>
      <c r="AY9" s="116">
        <f t="shared" si="0"/>
        <v>0</v>
      </c>
      <c r="AZ9" s="116">
        <f t="shared" si="0"/>
        <v>0</v>
      </c>
      <c r="BA9" s="116">
        <f t="shared" si="0"/>
        <v>24</v>
      </c>
      <c r="BB9" s="117">
        <f t="shared" ref="BB9" si="1">+BA9+AQ9</f>
        <v>30</v>
      </c>
      <c r="BD9" s="137">
        <v>30</v>
      </c>
    </row>
    <row r="10" spans="2:58" ht="48.95" customHeight="1">
      <c r="B10" s="112">
        <v>167</v>
      </c>
      <c r="C10" s="113">
        <v>1010176179</v>
      </c>
      <c r="D10" s="114" t="s">
        <v>725</v>
      </c>
      <c r="E10" s="134" t="s">
        <v>592</v>
      </c>
      <c r="F10" s="214" t="s">
        <v>712</v>
      </c>
      <c r="G10" s="77" t="s">
        <v>495</v>
      </c>
      <c r="H10" s="114" t="s">
        <v>598</v>
      </c>
      <c r="I10" s="114" t="s">
        <v>599</v>
      </c>
      <c r="J10" s="97" t="s">
        <v>567</v>
      </c>
      <c r="K10" s="97" t="s">
        <v>567</v>
      </c>
      <c r="L10" s="97" t="s">
        <v>567</v>
      </c>
      <c r="M10" s="97" t="s">
        <v>567</v>
      </c>
      <c r="N10" s="97" t="s">
        <v>557</v>
      </c>
      <c r="O10" s="97" t="s">
        <v>567</v>
      </c>
      <c r="P10" s="97" t="s">
        <v>567</v>
      </c>
      <c r="Q10" s="97" t="s">
        <v>567</v>
      </c>
      <c r="R10" s="97" t="s">
        <v>567</v>
      </c>
      <c r="S10" s="97" t="s">
        <v>567</v>
      </c>
      <c r="T10" s="97" t="s">
        <v>567</v>
      </c>
      <c r="U10" s="97" t="s">
        <v>557</v>
      </c>
      <c r="V10" s="97" t="s">
        <v>557</v>
      </c>
      <c r="W10" s="97" t="s">
        <v>567</v>
      </c>
      <c r="X10" s="97" t="s">
        <v>567</v>
      </c>
      <c r="Y10" s="97" t="s">
        <v>567</v>
      </c>
      <c r="Z10" s="97" t="s">
        <v>567</v>
      </c>
      <c r="AA10" s="97" t="s">
        <v>567</v>
      </c>
      <c r="AB10" s="97" t="s">
        <v>557</v>
      </c>
      <c r="AC10" s="97" t="s">
        <v>557</v>
      </c>
      <c r="AD10" s="97" t="s">
        <v>567</v>
      </c>
      <c r="AE10" s="97" t="s">
        <v>567</v>
      </c>
      <c r="AF10" s="97" t="s">
        <v>567</v>
      </c>
      <c r="AG10" s="97" t="s">
        <v>567</v>
      </c>
      <c r="AH10" s="97" t="s">
        <v>567</v>
      </c>
      <c r="AI10" s="97" t="s">
        <v>557</v>
      </c>
      <c r="AJ10" s="97" t="s">
        <v>567</v>
      </c>
      <c r="AK10" s="97" t="s">
        <v>567</v>
      </c>
      <c r="AL10" s="97" t="s">
        <v>567</v>
      </c>
      <c r="AM10" s="97" t="s">
        <v>567</v>
      </c>
      <c r="AO10" s="116">
        <f t="shared" ref="AO10:BA10" si="2">COUNTIF($J10:$AM10,AO$7)</f>
        <v>0</v>
      </c>
      <c r="AP10" s="116">
        <f t="shared" si="2"/>
        <v>0</v>
      </c>
      <c r="AQ10" s="116">
        <f t="shared" si="2"/>
        <v>6</v>
      </c>
      <c r="AR10" s="116">
        <f t="shared" si="2"/>
        <v>0</v>
      </c>
      <c r="AS10" s="116">
        <f t="shared" si="2"/>
        <v>0</v>
      </c>
      <c r="AT10" s="116">
        <f t="shared" si="2"/>
        <v>0</v>
      </c>
      <c r="AU10" s="116">
        <f t="shared" si="2"/>
        <v>0</v>
      </c>
      <c r="AV10" s="116">
        <f t="shared" si="2"/>
        <v>0</v>
      </c>
      <c r="AW10" s="116">
        <f t="shared" si="2"/>
        <v>0</v>
      </c>
      <c r="AX10" s="116">
        <f t="shared" si="2"/>
        <v>0</v>
      </c>
      <c r="AY10" s="116">
        <f t="shared" si="2"/>
        <v>0</v>
      </c>
      <c r="AZ10" s="116">
        <f t="shared" si="2"/>
        <v>0</v>
      </c>
      <c r="BA10" s="116">
        <f t="shared" si="2"/>
        <v>24</v>
      </c>
      <c r="BB10" s="117">
        <f t="shared" ref="BB10" si="3">+BA10+AQ10</f>
        <v>30</v>
      </c>
      <c r="BD10" s="137">
        <v>30</v>
      </c>
    </row>
    <row r="11" spans="2:58" ht="48.95" customHeight="1">
      <c r="B11" s="112">
        <v>196</v>
      </c>
      <c r="C11" s="113">
        <v>5070700</v>
      </c>
      <c r="D11" s="114" t="s">
        <v>720</v>
      </c>
      <c r="E11" s="217" t="s">
        <v>794</v>
      </c>
      <c r="F11" s="214" t="s">
        <v>712</v>
      </c>
      <c r="G11" s="212" t="s">
        <v>484</v>
      </c>
      <c r="H11" s="114" t="s">
        <v>608</v>
      </c>
      <c r="I11" s="114" t="s">
        <v>604</v>
      </c>
      <c r="J11" s="97" t="s">
        <v>567</v>
      </c>
      <c r="K11" s="97" t="s">
        <v>567</v>
      </c>
      <c r="L11" s="97" t="s">
        <v>567</v>
      </c>
      <c r="M11" s="97" t="s">
        <v>567</v>
      </c>
      <c r="N11" s="97" t="s">
        <v>557</v>
      </c>
      <c r="O11" s="97" t="s">
        <v>567</v>
      </c>
      <c r="P11" s="97" t="s">
        <v>567</v>
      </c>
      <c r="Q11" s="97" t="s">
        <v>567</v>
      </c>
      <c r="R11" s="97" t="s">
        <v>567</v>
      </c>
      <c r="S11" s="97" t="s">
        <v>567</v>
      </c>
      <c r="T11" s="97" t="s">
        <v>567</v>
      </c>
      <c r="U11" s="97" t="s">
        <v>557</v>
      </c>
      <c r="V11" s="97" t="s">
        <v>557</v>
      </c>
      <c r="W11" s="97" t="s">
        <v>567</v>
      </c>
      <c r="X11" s="97" t="s">
        <v>567</v>
      </c>
      <c r="Y11" s="97" t="s">
        <v>567</v>
      </c>
      <c r="Z11" s="97" t="s">
        <v>567</v>
      </c>
      <c r="AA11" s="97" t="s">
        <v>567</v>
      </c>
      <c r="AB11" s="97" t="s">
        <v>557</v>
      </c>
      <c r="AC11" s="97" t="s">
        <v>557</v>
      </c>
      <c r="AD11" s="97" t="s">
        <v>558</v>
      </c>
      <c r="AE11" s="97" t="s">
        <v>558</v>
      </c>
      <c r="AF11" s="97" t="s">
        <v>567</v>
      </c>
      <c r="AG11" s="97" t="s">
        <v>567</v>
      </c>
      <c r="AH11" s="97" t="s">
        <v>567</v>
      </c>
      <c r="AI11" s="97" t="s">
        <v>557</v>
      </c>
      <c r="AJ11" s="97" t="s">
        <v>567</v>
      </c>
      <c r="AK11" s="97" t="s">
        <v>567</v>
      </c>
      <c r="AL11" s="97" t="s">
        <v>567</v>
      </c>
      <c r="AM11" s="97" t="s">
        <v>567</v>
      </c>
      <c r="AO11" s="116">
        <f t="shared" ref="AO11:BA11" si="4">COUNTIF($J11:$AM11,AO$7)</f>
        <v>0</v>
      </c>
      <c r="AP11" s="116">
        <f t="shared" si="4"/>
        <v>0</v>
      </c>
      <c r="AQ11" s="116">
        <f t="shared" si="4"/>
        <v>6</v>
      </c>
      <c r="AR11" s="116">
        <f t="shared" si="4"/>
        <v>2</v>
      </c>
      <c r="AS11" s="116">
        <f t="shared" si="4"/>
        <v>0</v>
      </c>
      <c r="AT11" s="116">
        <f t="shared" si="4"/>
        <v>0</v>
      </c>
      <c r="AU11" s="116">
        <f t="shared" si="4"/>
        <v>0</v>
      </c>
      <c r="AV11" s="116">
        <f t="shared" si="4"/>
        <v>0</v>
      </c>
      <c r="AW11" s="116">
        <f t="shared" si="4"/>
        <v>0</v>
      </c>
      <c r="AX11" s="116">
        <f t="shared" si="4"/>
        <v>0</v>
      </c>
      <c r="AY11" s="116">
        <f t="shared" si="4"/>
        <v>0</v>
      </c>
      <c r="AZ11" s="116">
        <f t="shared" si="4"/>
        <v>0</v>
      </c>
      <c r="BA11" s="116">
        <f t="shared" si="4"/>
        <v>22</v>
      </c>
      <c r="BB11" s="117">
        <f t="shared" ref="BB11" si="5">+BA11+AQ11</f>
        <v>28</v>
      </c>
      <c r="BD11" s="137">
        <v>30</v>
      </c>
    </row>
    <row r="12" spans="2:58" ht="98.45" customHeight="1">
      <c r="AO12" s="138">
        <f t="shared" ref="AO12:BB12" si="6">SUM(AO9:AO11)</f>
        <v>0</v>
      </c>
      <c r="AP12" s="138">
        <f t="shared" si="6"/>
        <v>0</v>
      </c>
      <c r="AQ12" s="138">
        <f t="shared" si="6"/>
        <v>18</v>
      </c>
      <c r="AR12" s="138">
        <f t="shared" si="6"/>
        <v>2</v>
      </c>
      <c r="AS12" s="138">
        <f t="shared" si="6"/>
        <v>0</v>
      </c>
      <c r="AT12" s="138">
        <f t="shared" si="6"/>
        <v>0</v>
      </c>
      <c r="AU12" s="138">
        <f t="shared" si="6"/>
        <v>0</v>
      </c>
      <c r="AV12" s="138">
        <f t="shared" si="6"/>
        <v>0</v>
      </c>
      <c r="AW12" s="138">
        <f t="shared" si="6"/>
        <v>0</v>
      </c>
      <c r="AX12" s="138">
        <f t="shared" si="6"/>
        <v>0</v>
      </c>
      <c r="AY12" s="138">
        <f t="shared" si="6"/>
        <v>0</v>
      </c>
      <c r="AZ12" s="138">
        <f t="shared" si="6"/>
        <v>0</v>
      </c>
      <c r="BA12" s="138">
        <f t="shared" si="6"/>
        <v>70</v>
      </c>
      <c r="BB12" s="138">
        <f t="shared" si="6"/>
        <v>88</v>
      </c>
      <c r="BD12" s="90">
        <f>SUM(BD9:BD11)</f>
        <v>90</v>
      </c>
      <c r="BE12" s="90">
        <f>+AO12+AP12+AR12+AV12+AW12+AX12+AY12+AZ12</f>
        <v>2</v>
      </c>
      <c r="BF12" s="90">
        <f>+BB12-BD12</f>
        <v>-2</v>
      </c>
    </row>
  </sheetData>
  <autoFilter ref="A8:BF11" xr:uid="{00000000-0009-0000-0000-000003000000}"/>
  <mergeCells count="10">
    <mergeCell ref="B2:C2"/>
    <mergeCell ref="B4:AM5"/>
    <mergeCell ref="B7:B8"/>
    <mergeCell ref="C7:C8"/>
    <mergeCell ref="D7:D8"/>
    <mergeCell ref="E7:E8"/>
    <mergeCell ref="F7:F8"/>
    <mergeCell ref="G7:G8"/>
    <mergeCell ref="H7:H8"/>
    <mergeCell ref="I7:I8"/>
  </mergeCells>
  <conditionalFormatting sqref="C1:C1048576">
    <cfRule type="duplicateValues" dxfId="735" priority="1"/>
    <cfRule type="duplicateValues" dxfId="734" priority="2"/>
    <cfRule type="duplicateValues" dxfId="733" priority="3"/>
    <cfRule type="duplicateValues" dxfId="732" priority="4"/>
    <cfRule type="duplicateValues" dxfId="731" priority="21"/>
    <cfRule type="duplicateValues" dxfId="730" priority="22"/>
    <cfRule type="duplicateValues" dxfId="729" priority="23"/>
  </conditionalFormatting>
  <conditionalFormatting sqref="C9:C10">
    <cfRule type="duplicateValues" dxfId="728" priority="14701"/>
  </conditionalFormatting>
  <conditionalFormatting sqref="C10">
    <cfRule type="duplicateValues" dxfId="727" priority="14660"/>
  </conditionalFormatting>
  <conditionalFormatting sqref="C11">
    <cfRule type="duplicateValues" dxfId="726" priority="14620"/>
  </conditionalFormatting>
  <conditionalFormatting sqref="C12:C1048576 C1:C10">
    <cfRule type="duplicateValues" dxfId="725" priority="41"/>
  </conditionalFormatting>
  <conditionalFormatting sqref="I1:I3 I6:I8 I12:I1048576">
    <cfRule type="containsText" dxfId="724" priority="186" operator="containsText" text="RENUNCIA">
      <formula>NOT(ISERROR(SEARCH("RENUNCIA",I1)))</formula>
    </cfRule>
  </conditionalFormatting>
  <conditionalFormatting sqref="J7:AM8">
    <cfRule type="expression" dxfId="722" priority="196">
      <formula>AND(J$7="dom")</formula>
    </cfRule>
  </conditionalFormatting>
  <conditionalFormatting sqref="J9:AM11">
    <cfRule type="containsText" dxfId="720" priority="43" operator="containsText" text="TS">
      <formula>NOT(ISERROR(SEARCH("TS",J9)))</formula>
    </cfRule>
    <cfRule type="containsText" dxfId="719" priority="44" operator="containsText" text="&quot; &quot;">
      <formula>NOT(ISERROR(SEARCH(""" """,J9)))</formula>
    </cfRule>
    <cfRule type="containsText" dxfId="718" priority="45" operator="containsText" text="CD">
      <formula>NOT(ISERROR(SEARCH("CD",J9)))</formula>
    </cfRule>
    <cfRule type="containsText" dxfId="717" priority="46" operator="containsText" text="VAC">
      <formula>NOT(ISERROR(SEARCH("VAC",J9)))</formula>
    </cfRule>
    <cfRule type="containsText" dxfId="716" priority="47" operator="containsText" text="LT">
      <formula>NOT(ISERROR(SEARCH("LT",J9)))</formula>
    </cfRule>
    <cfRule type="containsText" dxfId="715" priority="48" operator="containsText" text="REN">
      <formula>NOT(ISERROR(SEARCH("REN",J9)))</formula>
    </cfRule>
    <cfRule type="containsText" dxfId="714" priority="49" operator="containsText" text="INC">
      <formula>NOT(ISERROR(SEARCH("INC",J9)))</formula>
    </cfRule>
    <cfRule type="containsText" dxfId="713" priority="50" operator="containsText" text="LNR">
      <formula>NOT(ISERROR(SEARCH("LNR",J9)))</formula>
    </cfRule>
    <cfRule type="containsText" dxfId="712" priority="187" operator="containsText" text="INC">
      <formula>NOT(ISERROR(SEARCH("INC",J9)))</formula>
    </cfRule>
    <cfRule type="containsText" dxfId="711" priority="188" operator="containsText" text="TC">
      <formula>NOT(ISERROR(SEARCH("TC",J9)))</formula>
    </cfRule>
    <cfRule type="containsText" dxfId="710" priority="189" operator="containsText" text="PNR">
      <formula>NOT(ISERROR(SEARCH("PNR",J9)))</formula>
    </cfRule>
    <cfRule type="containsText" dxfId="709" priority="190" operator="containsText" text="AUS">
      <formula>NOT(ISERROR(SEARCH("AUS",J9)))</formula>
    </cfRule>
    <cfRule type="containsText" dxfId="708" priority="191" operator="containsText" text="D">
      <formula>NOT(ISERROR(SEARCH("D",J9)))</formula>
    </cfRule>
    <cfRule type="containsText" dxfId="707" priority="192" stopIfTrue="1" operator="containsText" text="OK">
      <formula>NOT(ISERROR(SEARCH("OK",J9)))</formula>
    </cfRule>
    <cfRule type="containsText" dxfId="706" priority="194" operator="containsText" text="D">
      <formula>NOT(ISERROR(SEARCH("D",J9)))</formula>
    </cfRule>
    <cfRule type="containsBlanks" dxfId="705" priority="199">
      <formula>LEN(TRIM(J9))=0</formula>
    </cfRule>
  </conditionalFormatting>
  <conditionalFormatting sqref="AO7">
    <cfRule type="duplicateValues" dxfId="704" priority="195"/>
  </conditionalFormatting>
  <conditionalFormatting sqref="AP7">
    <cfRule type="containsText" dxfId="703" priority="52" operator="containsText" text="&quot; &quot;">
      <formula>NOT(ISERROR(SEARCH(""" """,AP7)))</formula>
    </cfRule>
    <cfRule type="containsText" dxfId="702" priority="53" operator="containsText" text="CD">
      <formula>NOT(ISERROR(SEARCH("CD",AP7)))</formula>
    </cfRule>
    <cfRule type="containsText" dxfId="701" priority="54" operator="containsText" text="VAC">
      <formula>NOT(ISERROR(SEARCH("VAC",AP7)))</formula>
    </cfRule>
    <cfRule type="containsText" dxfId="700" priority="55" operator="containsText" text="LT">
      <formula>NOT(ISERROR(SEARCH("LT",AP7)))</formula>
    </cfRule>
    <cfRule type="containsText" dxfId="699" priority="56" operator="containsText" text="INC">
      <formula>NOT(ISERROR(SEARCH("INC",AP7)))</formula>
    </cfRule>
    <cfRule type="containsText" dxfId="698" priority="57" operator="containsText" text="LNR">
      <formula>NOT(ISERROR(SEARCH("LNR",AP7)))</formula>
    </cfRule>
    <cfRule type="containsText" dxfId="697" priority="58" operator="containsText" text="INC">
      <formula>NOT(ISERROR(SEARCH("INC",AP7)))</formula>
    </cfRule>
    <cfRule type="containsText" dxfId="696" priority="59" operator="containsText" text="TC">
      <formula>NOT(ISERROR(SEARCH("TC",AP7)))</formula>
    </cfRule>
    <cfRule type="containsText" dxfId="695" priority="60" operator="containsText" text="PNR">
      <formula>NOT(ISERROR(SEARCH("PNR",AP7)))</formula>
    </cfRule>
    <cfRule type="containsText" dxfId="694" priority="61" operator="containsText" text="AUS">
      <formula>NOT(ISERROR(SEARCH("AUS",AP7)))</formula>
    </cfRule>
    <cfRule type="containsText" dxfId="693" priority="62" operator="containsText" text="D">
      <formula>NOT(ISERROR(SEARCH("D",AP7)))</formula>
    </cfRule>
    <cfRule type="containsText" dxfId="692" priority="63" stopIfTrue="1" operator="containsText" text="OK">
      <formula>NOT(ISERROR(SEARCH("OK",AP7)))</formula>
    </cfRule>
    <cfRule type="containsText" dxfId="691" priority="64" operator="containsText" text="D">
      <formula>NOT(ISERROR(SEARCH("D",AP7)))</formula>
    </cfRule>
    <cfRule type="containsBlanks" dxfId="690" priority="65">
      <formula>LEN(TRIM(AP7))=0</formula>
    </cfRule>
    <cfRule type="containsText" dxfId="689" priority="66" operator="containsText" text="OK">
      <formula>NOT(ISERROR(SEARCH("OK",AP7)))</formula>
    </cfRule>
    <cfRule type="containsText" dxfId="688" priority="67" operator="containsText" text="LT">
      <formula>NOT(ISERROR(SEARCH("LT",AP7)))</formula>
    </cfRule>
    <cfRule type="containsText" dxfId="687" priority="68" operator="containsText" text="TC">
      <formula>NOT(ISERROR(SEARCH("TC",AP7)))</formula>
    </cfRule>
    <cfRule type="containsText" dxfId="686" priority="69" operator="containsText" text="REN">
      <formula>NOT(ISERROR(SEARCH("REN",AP7)))</formula>
    </cfRule>
    <cfRule type="containsText" dxfId="685" priority="70" operator="containsText" text="CD">
      <formula>NOT(ISERROR(SEARCH("CD",AP7)))</formula>
    </cfRule>
    <cfRule type="containsText" dxfId="684" priority="71" operator="containsText" text="VAC">
      <formula>NOT(ISERROR(SEARCH("VAC",AP7)))</formula>
    </cfRule>
    <cfRule type="containsText" dxfId="683" priority="72" operator="containsText" text="LNR">
      <formula>NOT(ISERROR(SEARCH("LNR",AP7)))</formula>
    </cfRule>
    <cfRule type="containsText" dxfId="682" priority="73" operator="containsText" text="S">
      <formula>NOT(ISERROR(SEARCH("S",AP7)))</formula>
    </cfRule>
    <cfRule type="containsText" dxfId="681" priority="74" operator="containsText" text="INC">
      <formula>NOT(ISERROR(SEARCH("INC",AP7)))</formula>
    </cfRule>
    <cfRule type="containsText" dxfId="680" priority="75" operator="containsText" text="D">
      <formula>NOT(ISERROR(SEARCH("D",AP7)))</formula>
    </cfRule>
    <cfRule type="containsText" dxfId="679" priority="76" operator="containsText" text="PNR">
      <formula>NOT(ISERROR(SEARCH("PNR",AP7)))</formula>
    </cfRule>
    <cfRule type="containsText" dxfId="678" priority="77" operator="containsText" text="AUS">
      <formula>NOT(ISERROR(SEARCH("AUS",AP7)))</formula>
    </cfRule>
    <cfRule type="duplicateValues" dxfId="677" priority="78"/>
  </conditionalFormatting>
  <conditionalFormatting sqref="AQ7 AS7 AU7 AY7 BA7">
    <cfRule type="duplicateValues" dxfId="676" priority="198"/>
  </conditionalFormatting>
  <conditionalFormatting sqref="AR7">
    <cfRule type="containsText" dxfId="675" priority="173" operator="containsText" text="OK">
      <formula>NOT(ISERROR(SEARCH("OK",AR7)))</formula>
    </cfRule>
    <cfRule type="containsText" dxfId="674" priority="174" operator="containsText" text="LT">
      <formula>NOT(ISERROR(SEARCH("LT",AR7)))</formula>
    </cfRule>
    <cfRule type="containsText" dxfId="673" priority="175" operator="containsText" text="TC">
      <formula>NOT(ISERROR(SEARCH("TC",AR7)))</formula>
    </cfRule>
    <cfRule type="containsText" dxfId="672" priority="176" operator="containsText" text="REN">
      <formula>NOT(ISERROR(SEARCH("REN",AR7)))</formula>
    </cfRule>
    <cfRule type="containsText" dxfId="671" priority="177" operator="containsText" text="CD">
      <formula>NOT(ISERROR(SEARCH("CD",AR7)))</formula>
    </cfRule>
    <cfRule type="containsText" dxfId="670" priority="178" operator="containsText" text="VAC">
      <formula>NOT(ISERROR(SEARCH("VAC",AR7)))</formula>
    </cfRule>
    <cfRule type="containsText" dxfId="669" priority="179" operator="containsText" text="LNR">
      <formula>NOT(ISERROR(SEARCH("LNR",AR7)))</formula>
    </cfRule>
    <cfRule type="containsText" dxfId="668" priority="180" operator="containsText" text="S">
      <formula>NOT(ISERROR(SEARCH("S",AR7)))</formula>
    </cfRule>
    <cfRule type="containsText" dxfId="667" priority="181" operator="containsText" text="INC">
      <formula>NOT(ISERROR(SEARCH("INC",AR7)))</formula>
    </cfRule>
    <cfRule type="containsText" dxfId="666" priority="182" operator="containsText" text="D">
      <formula>NOT(ISERROR(SEARCH("D",AR7)))</formula>
    </cfRule>
    <cfRule type="containsText" dxfId="665" priority="183" operator="containsText" text="PNR">
      <formula>NOT(ISERROR(SEARCH("PNR",AR7)))</formula>
    </cfRule>
    <cfRule type="containsText" dxfId="664" priority="184" operator="containsText" text="AUS">
      <formula>NOT(ISERROR(SEARCH("AUS",AR7)))</formula>
    </cfRule>
    <cfRule type="duplicateValues" dxfId="663" priority="185"/>
  </conditionalFormatting>
  <conditionalFormatting sqref="AT7">
    <cfRule type="containsText" dxfId="662" priority="160" operator="containsText" text="OK">
      <formula>NOT(ISERROR(SEARCH("OK",AT7)))</formula>
    </cfRule>
    <cfRule type="containsText" dxfId="661" priority="161" operator="containsText" text="LT">
      <formula>NOT(ISERROR(SEARCH("LT",AT7)))</formula>
    </cfRule>
    <cfRule type="containsText" dxfId="660" priority="162" operator="containsText" text="TC">
      <formula>NOT(ISERROR(SEARCH("TC",AT7)))</formula>
    </cfRule>
    <cfRule type="containsText" dxfId="659" priority="163" operator="containsText" text="REN">
      <formula>NOT(ISERROR(SEARCH("REN",AT7)))</formula>
    </cfRule>
    <cfRule type="containsText" dxfId="658" priority="164" operator="containsText" text="CD">
      <formula>NOT(ISERROR(SEARCH("CD",AT7)))</formula>
    </cfRule>
    <cfRule type="containsText" dxfId="657" priority="165" operator="containsText" text="VAC">
      <formula>NOT(ISERROR(SEARCH("VAC",AT7)))</formula>
    </cfRule>
    <cfRule type="containsText" dxfId="656" priority="166" operator="containsText" text="LNR">
      <formula>NOT(ISERROR(SEARCH("LNR",AT7)))</formula>
    </cfRule>
    <cfRule type="containsText" dxfId="655" priority="167" operator="containsText" text="S">
      <formula>NOT(ISERROR(SEARCH("S",AT7)))</formula>
    </cfRule>
    <cfRule type="containsText" dxfId="654" priority="168" operator="containsText" text="INC">
      <formula>NOT(ISERROR(SEARCH("INC",AT7)))</formula>
    </cfRule>
    <cfRule type="containsText" dxfId="653" priority="169" operator="containsText" text="D">
      <formula>NOT(ISERROR(SEARCH("D",AT7)))</formula>
    </cfRule>
    <cfRule type="containsText" dxfId="652" priority="170" operator="containsText" text="PNR">
      <formula>NOT(ISERROR(SEARCH("PNR",AT7)))</formula>
    </cfRule>
    <cfRule type="containsText" dxfId="651" priority="171" operator="containsText" text="AUS">
      <formula>NOT(ISERROR(SEARCH("AUS",AT7)))</formula>
    </cfRule>
    <cfRule type="duplicateValues" dxfId="650" priority="172"/>
  </conditionalFormatting>
  <conditionalFormatting sqref="AV7">
    <cfRule type="containsText" dxfId="649" priority="143" operator="containsText" text="PNR">
      <formula>NOT(ISERROR(SEARCH("PNR",AV7)))</formula>
    </cfRule>
    <cfRule type="containsText" dxfId="648" priority="144" operator="containsText" text="AUS">
      <formula>NOT(ISERROR(SEARCH("AUS",AV7)))</formula>
    </cfRule>
    <cfRule type="duplicateValues" dxfId="647" priority="145"/>
    <cfRule type="containsText" dxfId="646" priority="146" operator="containsText" text="&quot; &quot;">
      <formula>NOT(ISERROR(SEARCH(""" """,AV7)))</formula>
    </cfRule>
    <cfRule type="containsText" dxfId="645" priority="147" operator="containsText" text="CD">
      <formula>NOT(ISERROR(SEARCH("CD",AV7)))</formula>
    </cfRule>
    <cfRule type="containsText" dxfId="644" priority="148" operator="containsText" text="VAC">
      <formula>NOT(ISERROR(SEARCH("VAC",AV7)))</formula>
    </cfRule>
    <cfRule type="containsText" dxfId="643" priority="149" operator="containsText" text="LT">
      <formula>NOT(ISERROR(SEARCH("LT",AV7)))</formula>
    </cfRule>
    <cfRule type="containsText" dxfId="642" priority="150" operator="containsText" text="INC">
      <formula>NOT(ISERROR(SEARCH("INC",AV7)))</formula>
    </cfRule>
    <cfRule type="containsText" dxfId="641" priority="151" operator="containsText" text="LNR">
      <formula>NOT(ISERROR(SEARCH("LNR",AV7)))</formula>
    </cfRule>
    <cfRule type="containsText" dxfId="640" priority="152" operator="containsText" text="INC">
      <formula>NOT(ISERROR(SEARCH("INC",AV7)))</formula>
    </cfRule>
    <cfRule type="containsText" dxfId="639" priority="153" operator="containsText" text="TC">
      <formula>NOT(ISERROR(SEARCH("TC",AV7)))</formula>
    </cfRule>
    <cfRule type="containsText" dxfId="638" priority="154" operator="containsText" text="PNR">
      <formula>NOT(ISERROR(SEARCH("PNR",AV7)))</formula>
    </cfRule>
    <cfRule type="containsText" dxfId="637" priority="155" operator="containsText" text="AUS">
      <formula>NOT(ISERROR(SEARCH("AUS",AV7)))</formula>
    </cfRule>
    <cfRule type="containsText" dxfId="636" priority="156" operator="containsText" text="D">
      <formula>NOT(ISERROR(SEARCH("D",AV7)))</formula>
    </cfRule>
    <cfRule type="containsText" dxfId="635" priority="157" stopIfTrue="1" operator="containsText" text="OK">
      <formula>NOT(ISERROR(SEARCH("OK",AV7)))</formula>
    </cfRule>
    <cfRule type="containsText" dxfId="634" priority="158" operator="containsText" text="D">
      <formula>NOT(ISERROR(SEARCH("D",AV7)))</formula>
    </cfRule>
    <cfRule type="containsBlanks" dxfId="633" priority="159">
      <formula>LEN(TRIM(AV7))=0</formula>
    </cfRule>
  </conditionalFormatting>
  <conditionalFormatting sqref="AV7:AW7">
    <cfRule type="containsText" dxfId="632" priority="129" operator="containsText" text="D">
      <formula>NOT(ISERROR(SEARCH("D",AV7)))</formula>
    </cfRule>
  </conditionalFormatting>
  <conditionalFormatting sqref="AV7:AX7">
    <cfRule type="containsText" dxfId="631" priority="79" operator="containsText" text="OK">
      <formula>NOT(ISERROR(SEARCH("OK",AV7)))</formula>
    </cfRule>
    <cfRule type="containsText" dxfId="630" priority="80" operator="containsText" text="LT">
      <formula>NOT(ISERROR(SEARCH("LT",AV7)))</formula>
    </cfRule>
    <cfRule type="containsText" dxfId="629" priority="81" operator="containsText" text="TC">
      <formula>NOT(ISERROR(SEARCH("TC",AV7)))</formula>
    </cfRule>
    <cfRule type="containsText" dxfId="628" priority="82" operator="containsText" text="REN">
      <formula>NOT(ISERROR(SEARCH("REN",AV7)))</formula>
    </cfRule>
    <cfRule type="containsText" dxfId="627" priority="83" operator="containsText" text="CD">
      <formula>NOT(ISERROR(SEARCH("CD",AV7)))</formula>
    </cfRule>
    <cfRule type="containsText" dxfId="626" priority="84" operator="containsText" text="VAC">
      <formula>NOT(ISERROR(SEARCH("VAC",AV7)))</formula>
    </cfRule>
    <cfRule type="containsText" dxfId="625" priority="85" operator="containsText" text="LNR">
      <formula>NOT(ISERROR(SEARCH("LNR",AV7)))</formula>
    </cfRule>
    <cfRule type="containsText" dxfId="624" priority="86" operator="containsText" text="S">
      <formula>NOT(ISERROR(SEARCH("S",AV7)))</formula>
    </cfRule>
    <cfRule type="containsText" dxfId="623" priority="87" operator="containsText" text="INC">
      <formula>NOT(ISERROR(SEARCH("INC",AV7)))</formula>
    </cfRule>
  </conditionalFormatting>
  <conditionalFormatting sqref="AW7">
    <cfRule type="containsText" dxfId="622" priority="116" operator="containsText" text="PNR">
      <formula>NOT(ISERROR(SEARCH("PNR",AW7)))</formula>
    </cfRule>
    <cfRule type="containsText" dxfId="621" priority="117" operator="containsText" text="AUS">
      <formula>NOT(ISERROR(SEARCH("AUS",AW7)))</formula>
    </cfRule>
    <cfRule type="duplicateValues" dxfId="620" priority="118"/>
    <cfRule type="containsText" dxfId="619" priority="119" operator="containsText" text="&quot; &quot;">
      <formula>NOT(ISERROR(SEARCH(""" """,AW7)))</formula>
    </cfRule>
    <cfRule type="containsText" dxfId="618" priority="120" operator="containsText" text="CD">
      <formula>NOT(ISERROR(SEARCH("CD",AW7)))</formula>
    </cfRule>
    <cfRule type="containsText" dxfId="617" priority="121" operator="containsText" text="VAC">
      <formula>NOT(ISERROR(SEARCH("VAC",AW7)))</formula>
    </cfRule>
    <cfRule type="containsText" dxfId="616" priority="122" operator="containsText" text="LT">
      <formula>NOT(ISERROR(SEARCH("LT",AW7)))</formula>
    </cfRule>
    <cfRule type="containsText" dxfId="615" priority="123" operator="containsText" text="INC">
      <formula>NOT(ISERROR(SEARCH("INC",AW7)))</formula>
    </cfRule>
    <cfRule type="containsText" dxfId="614" priority="124" operator="containsText" text="LNR">
      <formula>NOT(ISERROR(SEARCH("LNR",AW7)))</formula>
    </cfRule>
    <cfRule type="containsText" dxfId="613" priority="125" operator="containsText" text="INC">
      <formula>NOT(ISERROR(SEARCH("INC",AW7)))</formula>
    </cfRule>
    <cfRule type="containsText" dxfId="612" priority="126" operator="containsText" text="TC">
      <formula>NOT(ISERROR(SEARCH("TC",AW7)))</formula>
    </cfRule>
    <cfRule type="containsText" dxfId="611" priority="127" operator="containsText" text="PNR">
      <formula>NOT(ISERROR(SEARCH("PNR",AW7)))</formula>
    </cfRule>
    <cfRule type="containsText" dxfId="610" priority="128" operator="containsText" text="AUS">
      <formula>NOT(ISERROR(SEARCH("AUS",AW7)))</formula>
    </cfRule>
    <cfRule type="containsText" dxfId="609" priority="130" stopIfTrue="1" operator="containsText" text="OK">
      <formula>NOT(ISERROR(SEARCH("OK",AW7)))</formula>
    </cfRule>
    <cfRule type="containsText" dxfId="608" priority="131" operator="containsText" text="D">
      <formula>NOT(ISERROR(SEARCH("D",AW7)))</formula>
    </cfRule>
    <cfRule type="containsBlanks" dxfId="607" priority="132">
      <formula>LEN(TRIM(AW7))=0</formula>
    </cfRule>
  </conditionalFormatting>
  <conditionalFormatting sqref="AW7:AX7">
    <cfRule type="containsText" dxfId="606" priority="102" operator="containsText" text="D">
      <formula>NOT(ISERROR(SEARCH("D",AW7)))</formula>
    </cfRule>
  </conditionalFormatting>
  <conditionalFormatting sqref="AX7">
    <cfRule type="containsText" dxfId="605" priority="88" operator="containsText" text="D">
      <formula>NOT(ISERROR(SEARCH("D",AX7)))</formula>
    </cfRule>
    <cfRule type="containsText" dxfId="604" priority="89" operator="containsText" text="PNR">
      <formula>NOT(ISERROR(SEARCH("PNR",AX7)))</formula>
    </cfRule>
    <cfRule type="containsText" dxfId="603" priority="90" operator="containsText" text="AUS">
      <formula>NOT(ISERROR(SEARCH("AUS",AX7)))</formula>
    </cfRule>
    <cfRule type="duplicateValues" dxfId="602" priority="91"/>
    <cfRule type="containsText" dxfId="601" priority="92" operator="containsText" text="&quot; &quot;">
      <formula>NOT(ISERROR(SEARCH(""" """,AX7)))</formula>
    </cfRule>
    <cfRule type="containsText" dxfId="600" priority="93" operator="containsText" text="CD">
      <formula>NOT(ISERROR(SEARCH("CD",AX7)))</formula>
    </cfRule>
    <cfRule type="containsText" dxfId="599" priority="94" operator="containsText" text="VAC">
      <formula>NOT(ISERROR(SEARCH("VAC",AX7)))</formula>
    </cfRule>
    <cfRule type="containsText" dxfId="598" priority="95" operator="containsText" text="LT">
      <formula>NOT(ISERROR(SEARCH("LT",AX7)))</formula>
    </cfRule>
    <cfRule type="containsText" dxfId="597" priority="96" operator="containsText" text="INC">
      <formula>NOT(ISERROR(SEARCH("INC",AX7)))</formula>
    </cfRule>
    <cfRule type="containsText" dxfId="596" priority="97" operator="containsText" text="LNR">
      <formula>NOT(ISERROR(SEARCH("LNR",AX7)))</formula>
    </cfRule>
    <cfRule type="containsText" dxfId="595" priority="98" operator="containsText" text="INC">
      <formula>NOT(ISERROR(SEARCH("INC",AX7)))</formula>
    </cfRule>
    <cfRule type="containsText" dxfId="594" priority="99" operator="containsText" text="TC">
      <formula>NOT(ISERROR(SEARCH("TC",AX7)))</formula>
    </cfRule>
    <cfRule type="containsText" dxfId="593" priority="100" operator="containsText" text="PNR">
      <formula>NOT(ISERROR(SEARCH("PNR",AX7)))</formula>
    </cfRule>
    <cfRule type="containsText" dxfId="592" priority="101" operator="containsText" text="AUS">
      <formula>NOT(ISERROR(SEARCH("AUS",AX7)))</formula>
    </cfRule>
    <cfRule type="containsText" dxfId="591" priority="103" stopIfTrue="1" operator="containsText" text="OK">
      <formula>NOT(ISERROR(SEARCH("OK",AX7)))</formula>
    </cfRule>
    <cfRule type="containsText" dxfId="590" priority="104" operator="containsText" text="D">
      <formula>NOT(ISERROR(SEARCH("D",AX7)))</formula>
    </cfRule>
    <cfRule type="containsBlanks" dxfId="589" priority="105">
      <formula>LEN(TRIM(AX7))=0</formula>
    </cfRule>
  </conditionalFormatting>
  <conditionalFormatting sqref="AZ7">
    <cfRule type="duplicateValues" dxfId="588" priority="42"/>
  </conditionalFormatting>
  <conditionalFormatting sqref="BB7">
    <cfRule type="duplicateValues" dxfId="587" priority="193"/>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51" id="{FFF5E7CC-6B05-4E23-B0BB-F6A0DBD54E10}">
            <xm:f>MATCH(J$8,'C:\Users\jcrodriguez\OneDrive - Serviasesorias SAS\Documentos\JUAN CARLOS OPERACIONES 2025\ALCALDIA DE BOGOTA\7. JULIO\[PLANILLA CONTROL PERSONAL JULIO ALCALDIA SUPERVISORES.xlsx]FECHAS'!#REF!,0)&gt;0</xm:f>
            <x14:dxf>
              <font>
                <b/>
                <i val="0"/>
                <color theme="0"/>
              </font>
              <fill>
                <patternFill>
                  <bgColor rgb="FFFF0000"/>
                </patternFill>
              </fill>
            </x14:dxf>
          </x14:cfRule>
          <x14:cfRule type="expression" priority="197" id="{F117F607-6492-45C3-8C97-AC65E09FE6C7}">
            <xm:f>MATCH(J$8,'C:\Users\jcrodriguez\OneDrive - Serviasesorias SAS\Documentos\DIAN\[NOMINA COORDINADORES ENERO 2026.xlsm]FECHA'!#REF!,0)&gt;0</xm:f>
            <x14:dxf>
              <font>
                <b/>
                <i val="0"/>
                <color theme="0"/>
              </font>
              <fill>
                <patternFill>
                  <bgColor rgb="FFFF0000"/>
                </patternFill>
              </fill>
            </x14:dxf>
          </x14:cfRule>
          <xm:sqref>J7:AM8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FFFF"/>
  </sheetPr>
  <dimension ref="A1:O117"/>
  <sheetViews>
    <sheetView topLeftCell="A41" zoomScale="110" zoomScaleNormal="110" workbookViewId="0">
      <selection activeCell="O62" sqref="O62"/>
    </sheetView>
  </sheetViews>
  <sheetFormatPr baseColWidth="10" defaultRowHeight="15"/>
  <cols>
    <col min="1" max="1" width="43.42578125" customWidth="1"/>
    <col min="2" max="2" width="28.28515625" customWidth="1"/>
    <col min="3" max="3" width="9" style="56" customWidth="1"/>
    <col min="4" max="4" width="9.140625" style="56" customWidth="1"/>
    <col min="5" max="5" width="9" style="56" customWidth="1"/>
    <col min="6" max="6" width="13.28515625" style="51" customWidth="1"/>
    <col min="7" max="7" width="16.5703125" style="51" bestFit="1" customWidth="1"/>
    <col min="8" max="8" width="20.28515625" style="51" customWidth="1"/>
    <col min="9" max="10" width="28.42578125" style="51" hidden="1" customWidth="1"/>
    <col min="11" max="11" width="22" style="51" customWidth="1"/>
    <col min="12" max="12" width="16.85546875" bestFit="1" customWidth="1"/>
    <col min="13" max="13" width="15.7109375" bestFit="1" customWidth="1"/>
    <col min="14" max="14" width="18.42578125" bestFit="1" customWidth="1"/>
    <col min="15" max="15" width="16.85546875" bestFit="1" customWidth="1"/>
  </cols>
  <sheetData>
    <row r="1" spans="1:15" ht="20.25" customHeight="1">
      <c r="A1" s="79" t="s">
        <v>498</v>
      </c>
      <c r="B1" s="80"/>
      <c r="C1" s="281" t="s">
        <v>499</v>
      </c>
      <c r="D1" s="281"/>
      <c r="E1" s="281"/>
      <c r="F1" s="281"/>
      <c r="G1" s="281"/>
      <c r="H1" s="281"/>
      <c r="I1" s="281"/>
      <c r="J1" s="281"/>
      <c r="K1" s="281"/>
    </row>
    <row r="2" spans="1:15" ht="20.25" customHeight="1"/>
    <row r="3" spans="1:15" ht="19.5" customHeight="1">
      <c r="A3" s="301" t="s">
        <v>537</v>
      </c>
      <c r="B3" s="302"/>
      <c r="C3" s="302"/>
      <c r="D3" s="302"/>
      <c r="E3" s="302"/>
      <c r="F3" s="302"/>
      <c r="G3" s="302"/>
      <c r="H3" s="302"/>
      <c r="I3" s="302"/>
      <c r="J3" s="302"/>
      <c r="K3" s="303"/>
    </row>
    <row r="4" spans="1:15" ht="24">
      <c r="A4" s="72" t="s">
        <v>538</v>
      </c>
      <c r="B4" s="72"/>
      <c r="C4" s="72" t="s">
        <v>539</v>
      </c>
      <c r="D4" s="72" t="s">
        <v>540</v>
      </c>
      <c r="E4" s="72" t="s">
        <v>541</v>
      </c>
      <c r="F4" s="72" t="s">
        <v>500</v>
      </c>
      <c r="G4" s="72" t="s">
        <v>501</v>
      </c>
      <c r="H4" s="72" t="s">
        <v>502</v>
      </c>
      <c r="I4" s="72" t="s">
        <v>503</v>
      </c>
      <c r="J4" s="72" t="s">
        <v>504</v>
      </c>
      <c r="K4" s="72" t="s">
        <v>505</v>
      </c>
      <c r="L4" s="240" t="s">
        <v>1184</v>
      </c>
      <c r="M4" s="240" t="s">
        <v>146</v>
      </c>
      <c r="N4" s="240" t="s">
        <v>1185</v>
      </c>
      <c r="O4" s="240" t="s">
        <v>788</v>
      </c>
    </row>
    <row r="5" spans="1:15">
      <c r="A5" s="77" t="s">
        <v>161</v>
      </c>
      <c r="B5" s="78" t="s">
        <v>506</v>
      </c>
      <c r="C5" s="56">
        <v>5</v>
      </c>
      <c r="D5" s="81">
        <f>COUNTIFS('NOMINA JULIO'!$G$9:$G$208,'PERSONAL JULIO'!A5,'NOMINA JULIO'!$F$9:$F$208,'PERSONAL JULIO'!B5,'NOMINA JULIO'!$BB$9:$BB$208,'PERSONAL JULIO'!C5)</f>
        <v>1</v>
      </c>
      <c r="E5" s="81">
        <f>+C5*D5</f>
        <v>5</v>
      </c>
      <c r="F5" s="47">
        <f t="shared" ref="F5:F66" si="0">G5/30</f>
        <v>116146.91983269999</v>
      </c>
      <c r="G5" s="47">
        <v>3484407.5949809998</v>
      </c>
      <c r="H5" s="47">
        <f>G5*D5</f>
        <v>3484407.5949809998</v>
      </c>
      <c r="I5" s="73"/>
      <c r="J5" s="73"/>
      <c r="K5" s="47">
        <f t="shared" ref="K5:K9" si="1">+C5*D5*F5</f>
        <v>580734.59916349989</v>
      </c>
      <c r="L5" s="52">
        <f>K5+K6+K7+K8+K9+K10+K11+K70+K71+K96+K105+K106+K107+K64+K63+K65+K66</f>
        <v>184905896.37365845</v>
      </c>
      <c r="M5" s="52">
        <f>L5*0.1</f>
        <v>18490589.637365844</v>
      </c>
      <c r="N5" s="52">
        <f>M5*0.19</f>
        <v>3513212.0310995104</v>
      </c>
      <c r="O5" s="275">
        <f>L5+M5+N5</f>
        <v>206909698.04212379</v>
      </c>
    </row>
    <row r="6" spans="1:15">
      <c r="A6" s="77" t="s">
        <v>161</v>
      </c>
      <c r="B6" s="78" t="s">
        <v>506</v>
      </c>
      <c r="C6" s="56">
        <v>24</v>
      </c>
      <c r="D6" s="81">
        <f>COUNTIFS('NOMINA JULIO'!$G$9:$G$208,'PERSONAL JULIO'!A6,'NOMINA JULIO'!$F$9:$F$208,'PERSONAL JULIO'!B6,'NOMINA JULIO'!$BB$9:$BB$208,'PERSONAL JULIO'!C6)</f>
        <v>4</v>
      </c>
      <c r="E6" s="81">
        <f t="shared" ref="E6:E12" si="2">+C6*D6</f>
        <v>96</v>
      </c>
      <c r="F6" s="47">
        <f t="shared" si="0"/>
        <v>116146.91983269999</v>
      </c>
      <c r="G6" s="47">
        <v>3484407.5949809998</v>
      </c>
      <c r="H6" s="47">
        <f t="shared" ref="H6:H66" si="3">G6*D6</f>
        <v>13937630.379923999</v>
      </c>
      <c r="I6" s="73"/>
      <c r="J6" s="73"/>
      <c r="K6" s="47">
        <f t="shared" si="1"/>
        <v>11150104.303939199</v>
      </c>
    </row>
    <row r="7" spans="1:15">
      <c r="A7" s="77" t="s">
        <v>161</v>
      </c>
      <c r="B7" s="78" t="s">
        <v>506</v>
      </c>
      <c r="C7" s="56">
        <v>27</v>
      </c>
      <c r="D7" s="81">
        <f>COUNTIFS('NOMINA JULIO'!$G$9:$G$208,'PERSONAL JULIO'!A7,'NOMINA JULIO'!$F$9:$F$208,'PERSONAL JULIO'!B7,'NOMINA JULIO'!$BB$9:$BB$208,'PERSONAL JULIO'!C7)</f>
        <v>2</v>
      </c>
      <c r="E7" s="81">
        <f t="shared" si="2"/>
        <v>54</v>
      </c>
      <c r="F7" s="47">
        <f t="shared" si="0"/>
        <v>116146.91983269999</v>
      </c>
      <c r="G7" s="47">
        <v>3484407.5949809998</v>
      </c>
      <c r="H7" s="47">
        <f t="shared" si="3"/>
        <v>6968815.1899619997</v>
      </c>
      <c r="I7" s="73"/>
      <c r="J7" s="73"/>
      <c r="K7" s="47">
        <f t="shared" si="1"/>
        <v>6271933.6709657991</v>
      </c>
    </row>
    <row r="8" spans="1:15">
      <c r="A8" s="77" t="s">
        <v>161</v>
      </c>
      <c r="B8" s="78" t="s">
        <v>506</v>
      </c>
      <c r="C8" s="56">
        <v>28</v>
      </c>
      <c r="D8" s="81">
        <f>COUNTIFS('NOMINA JULIO'!$G$9:$G$208,'PERSONAL JULIO'!A8,'NOMINA JULIO'!$F$9:$F$208,'PERSONAL JULIO'!B8,'NOMINA JULIO'!$BB$9:$BB$208,'PERSONAL JULIO'!C8)</f>
        <v>2</v>
      </c>
      <c r="E8" s="81">
        <f t="shared" si="2"/>
        <v>56</v>
      </c>
      <c r="F8" s="47">
        <f t="shared" si="0"/>
        <v>116146.91983269999</v>
      </c>
      <c r="G8" s="47">
        <v>3484407.5949809998</v>
      </c>
      <c r="H8" s="47">
        <f t="shared" si="3"/>
        <v>6968815.1899619997</v>
      </c>
      <c r="I8" s="73"/>
      <c r="J8" s="73"/>
      <c r="K8" s="47">
        <f t="shared" si="1"/>
        <v>6504227.5106311999</v>
      </c>
    </row>
    <row r="9" spans="1:15">
      <c r="A9" s="77" t="s">
        <v>161</v>
      </c>
      <c r="B9" s="78" t="s">
        <v>506</v>
      </c>
      <c r="C9" s="56">
        <v>29</v>
      </c>
      <c r="D9" s="81">
        <f>COUNTIFS('NOMINA JULIO'!$G$9:$G$208,'PERSONAL JULIO'!A9,'NOMINA JULIO'!$F$9:$F$208,'PERSONAL JULIO'!B9,'NOMINA JULIO'!$BB$9:$BB$208,'PERSONAL JULIO'!C9)</f>
        <v>1</v>
      </c>
      <c r="E9" s="81">
        <f t="shared" si="2"/>
        <v>29</v>
      </c>
      <c r="F9" s="47">
        <f t="shared" si="0"/>
        <v>116146.91983269999</v>
      </c>
      <c r="G9" s="47">
        <v>3484407.5949809998</v>
      </c>
      <c r="H9" s="47">
        <f t="shared" si="3"/>
        <v>3484407.5949809998</v>
      </c>
      <c r="I9" s="73"/>
      <c r="J9" s="73"/>
      <c r="K9" s="47">
        <f t="shared" si="1"/>
        <v>3368260.6751482999</v>
      </c>
    </row>
    <row r="10" spans="1:15" ht="14.45" customHeight="1">
      <c r="A10" s="77" t="s">
        <v>161</v>
      </c>
      <c r="B10" s="78" t="s">
        <v>506</v>
      </c>
      <c r="C10" s="56">
        <v>30</v>
      </c>
      <c r="D10" s="81">
        <f>COUNTIFS('NOMINA JULIO'!$G$9:$G$208,'PERSONAL JULIO'!A10,'NOMINA JULIO'!$F$9:$F$208,'PERSONAL JULIO'!B10,'NOMINA JULIO'!$BB$9:$BB$208,'PERSONAL JULIO'!C10)</f>
        <v>24</v>
      </c>
      <c r="E10" s="81">
        <f t="shared" si="2"/>
        <v>720</v>
      </c>
      <c r="F10" s="47">
        <f t="shared" si="0"/>
        <v>116146.91983269999</v>
      </c>
      <c r="G10" s="47">
        <v>3484407.5949809998</v>
      </c>
      <c r="H10" s="47">
        <f t="shared" si="3"/>
        <v>83625782.279543996</v>
      </c>
      <c r="I10" s="73"/>
      <c r="J10" s="73"/>
      <c r="K10" s="47">
        <f t="shared" ref="K10" si="4">+C10*D10*F10</f>
        <v>83625782.279543996</v>
      </c>
    </row>
    <row r="11" spans="1:15" ht="14.45" customHeight="1">
      <c r="A11" s="213" t="s">
        <v>161</v>
      </c>
      <c r="B11" s="214" t="s">
        <v>712</v>
      </c>
      <c r="C11" s="56">
        <v>30</v>
      </c>
      <c r="D11" s="81">
        <f>COUNTIFS('NOMINA JULIO'!$G$9:$G$208,'PERSONAL JULIO'!A11,'NOMINA JULIO'!$F$9:$F$208,'PERSONAL JULIO'!B11,'NOMINA JULIO'!$BB$9:$BB$208,'PERSONAL JULIO'!C11)</f>
        <v>1</v>
      </c>
      <c r="E11" s="81">
        <f t="shared" si="2"/>
        <v>30</v>
      </c>
      <c r="F11" s="47">
        <f t="shared" ref="F11:F12" si="5">G11/30</f>
        <v>116146.91983269999</v>
      </c>
      <c r="G11" s="47">
        <v>3484407.5949809998</v>
      </c>
      <c r="H11" s="47">
        <f t="shared" ref="H11:H12" si="6">G11*D11</f>
        <v>3484407.5949809998</v>
      </c>
      <c r="I11" s="73"/>
      <c r="J11" s="73"/>
      <c r="K11" s="47">
        <f t="shared" ref="K11:K12" si="7">+C11*D11*F11</f>
        <v>3484407.5949809998</v>
      </c>
    </row>
    <row r="12" spans="1:15">
      <c r="A12" s="77" t="s">
        <v>476</v>
      </c>
      <c r="B12" s="78" t="s">
        <v>506</v>
      </c>
      <c r="C12" s="192">
        <v>19</v>
      </c>
      <c r="D12" s="81">
        <f>COUNTIFS('NOMINA JULIO'!$G$9:$G$208,'PERSONAL JULIO'!A12,'NOMINA JULIO'!$F$9:$F$208,'PERSONAL JULIO'!B12,'NOMINA JULIO'!$BB$9:$BB$208,'PERSONAL JULIO'!C12)</f>
        <v>1</v>
      </c>
      <c r="E12" s="81">
        <f t="shared" si="2"/>
        <v>19</v>
      </c>
      <c r="F12" s="47">
        <f t="shared" si="5"/>
        <v>116146.91983269999</v>
      </c>
      <c r="G12" s="47">
        <v>3484407.5949809998</v>
      </c>
      <c r="H12" s="47">
        <f t="shared" si="6"/>
        <v>3484407.5949809998</v>
      </c>
      <c r="I12" s="73"/>
      <c r="J12" s="73"/>
      <c r="K12" s="47">
        <f t="shared" si="7"/>
        <v>2206791.4768212996</v>
      </c>
      <c r="L12" s="52">
        <f>K12+K13+K14+K72+K73+K97</f>
        <v>53892170.802372798</v>
      </c>
      <c r="M12" s="52">
        <f>L12*0.1</f>
        <v>5389217.0802372806</v>
      </c>
      <c r="N12" s="52">
        <f>+M12*0.19</f>
        <v>1023951.2452450834</v>
      </c>
      <c r="O12" s="275">
        <f>N12+M12+L12</f>
        <v>60305339.127855159</v>
      </c>
    </row>
    <row r="13" spans="1:15">
      <c r="A13" s="77" t="s">
        <v>476</v>
      </c>
      <c r="B13" s="78" t="s">
        <v>506</v>
      </c>
      <c r="C13" s="192">
        <v>27</v>
      </c>
      <c r="D13" s="81">
        <f>COUNTIFS('NOMINA JULIO'!$G$9:$G$208,'PERSONAL JULIO'!A13,'NOMINA JULIO'!$F$9:$F$208,'PERSONAL JULIO'!B13,'NOMINA JULIO'!$BB$9:$BB$208,'PERSONAL JULIO'!C13)</f>
        <v>1</v>
      </c>
      <c r="E13" s="81">
        <f t="shared" ref="E13:E14" si="8">+C13*D13</f>
        <v>27</v>
      </c>
      <c r="F13" s="47">
        <f t="shared" si="0"/>
        <v>116146.91983269999</v>
      </c>
      <c r="G13" s="47">
        <v>3484407.5949809998</v>
      </c>
      <c r="H13" s="47">
        <f t="shared" si="3"/>
        <v>3484407.5949809998</v>
      </c>
      <c r="I13" s="73"/>
      <c r="J13" s="73"/>
      <c r="K13" s="47">
        <f t="shared" ref="K13:K62" si="9">+C13*D13*F13</f>
        <v>3135966.8354828996</v>
      </c>
    </row>
    <row r="14" spans="1:15">
      <c r="A14" s="77" t="s">
        <v>476</v>
      </c>
      <c r="B14" s="78" t="s">
        <v>506</v>
      </c>
      <c r="C14" s="192">
        <v>30</v>
      </c>
      <c r="D14" s="81">
        <f>COUNTIFS('NOMINA JULIO'!$G$9:$G$208,'PERSONAL JULIO'!A14,'NOMINA JULIO'!$F$9:$F$208,'PERSONAL JULIO'!B14,'NOMINA JULIO'!$BB$9:$BB$208,'PERSONAL JULIO'!C14)</f>
        <v>10</v>
      </c>
      <c r="E14" s="81">
        <f t="shared" si="8"/>
        <v>300</v>
      </c>
      <c r="F14" s="47">
        <f t="shared" si="0"/>
        <v>116146.91983269999</v>
      </c>
      <c r="G14" s="47">
        <v>3484407.5949809998</v>
      </c>
      <c r="H14" s="47">
        <f t="shared" si="3"/>
        <v>34844075.949809998</v>
      </c>
      <c r="I14" s="73"/>
      <c r="J14" s="73"/>
      <c r="K14" s="47">
        <f t="shared" ref="K14" si="10">+C14*D14*F14</f>
        <v>34844075.949809998</v>
      </c>
    </row>
    <row r="15" spans="1:15">
      <c r="A15" s="77" t="s">
        <v>163</v>
      </c>
      <c r="B15" s="78" t="s">
        <v>506</v>
      </c>
      <c r="C15" s="192">
        <v>30</v>
      </c>
      <c r="D15" s="81">
        <f>COUNTIFS('NOMINA JULIO'!$G$9:$G$208,'PERSONAL JULIO'!A15,'NOMINA JULIO'!$F$9:$F$208,'PERSONAL JULIO'!B15,'NOMINA JULIO'!$BB$9:$BB$208,'PERSONAL JULIO'!C15)</f>
        <v>2</v>
      </c>
      <c r="E15" s="81">
        <f t="shared" ref="E15:E66" si="11">+C15*D15</f>
        <v>60</v>
      </c>
      <c r="F15" s="47">
        <f t="shared" si="0"/>
        <v>116146.91983269999</v>
      </c>
      <c r="G15" s="47">
        <v>3484407.5949809998</v>
      </c>
      <c r="H15" s="47">
        <f t="shared" si="3"/>
        <v>6968815.1899619997</v>
      </c>
      <c r="I15" s="73"/>
      <c r="J15" s="73"/>
      <c r="K15" s="47">
        <f t="shared" si="9"/>
        <v>6968815.1899619997</v>
      </c>
      <c r="L15" s="52">
        <f>K15+K74+K98</f>
        <v>13937630.379923999</v>
      </c>
      <c r="M15" s="52">
        <f>L15*0.1</f>
        <v>1393763.0379924001</v>
      </c>
      <c r="N15" s="52">
        <f>M15*0.19</f>
        <v>264814.97721855604</v>
      </c>
      <c r="O15" s="275">
        <f>N15+M15+L15</f>
        <v>15596208.395134956</v>
      </c>
    </row>
    <row r="16" spans="1:15">
      <c r="A16" s="77" t="s">
        <v>477</v>
      </c>
      <c r="B16" s="78" t="s">
        <v>506</v>
      </c>
      <c r="C16" s="192">
        <v>30</v>
      </c>
      <c r="D16" s="81">
        <f>COUNTIFS('NOMINA JULIO'!$G$9:$G$208,'PERSONAL JULIO'!A16,'NOMINA JULIO'!$F$9:$F$208,'PERSONAL JULIO'!B16,'NOMINA JULIO'!$BB$9:$BB$208,'PERSONAL JULIO'!C16)</f>
        <v>2</v>
      </c>
      <c r="E16" s="81">
        <f t="shared" si="11"/>
        <v>60</v>
      </c>
      <c r="F16" s="47">
        <f t="shared" si="0"/>
        <v>116146.91983269999</v>
      </c>
      <c r="G16" s="47">
        <v>3484407.5949809998</v>
      </c>
      <c r="H16" s="47">
        <f t="shared" si="3"/>
        <v>6968815.1899619997</v>
      </c>
      <c r="I16" s="73"/>
      <c r="J16" s="73"/>
      <c r="K16" s="47">
        <f t="shared" si="9"/>
        <v>6968815.1899619997</v>
      </c>
      <c r="L16" s="52">
        <f>K16</f>
        <v>6968815.1899619997</v>
      </c>
      <c r="M16" s="52">
        <f>L16*0.1</f>
        <v>696881.51899620006</v>
      </c>
      <c r="N16" s="52">
        <f>M16*0.19</f>
        <v>132407.48860927802</v>
      </c>
      <c r="O16" s="275">
        <f>N16+M16+L16</f>
        <v>7798104.1975674778</v>
      </c>
    </row>
    <row r="17" spans="1:15">
      <c r="A17" s="77" t="s">
        <v>478</v>
      </c>
      <c r="B17" s="78" t="s">
        <v>506</v>
      </c>
      <c r="C17" s="56">
        <v>10</v>
      </c>
      <c r="D17" s="81">
        <f>COUNTIFS('NOMINA JULIO'!$G$9:$G$208,'PERSONAL JULIO'!A17,'NOMINA JULIO'!$F$9:$F$208,'PERSONAL JULIO'!B17,'NOMINA JULIO'!$BB$9:$BB$208,'PERSONAL JULIO'!C17)</f>
        <v>1</v>
      </c>
      <c r="E17" s="81">
        <f t="shared" si="11"/>
        <v>10</v>
      </c>
      <c r="F17" s="47">
        <f t="shared" si="0"/>
        <v>116146.91983269999</v>
      </c>
      <c r="G17" s="47">
        <v>3484407.5949809998</v>
      </c>
      <c r="H17" s="47">
        <f t="shared" si="3"/>
        <v>3484407.5949809998</v>
      </c>
      <c r="I17" s="73"/>
      <c r="J17" s="73"/>
      <c r="K17" s="47">
        <f t="shared" si="9"/>
        <v>1161469.1983269998</v>
      </c>
      <c r="L17" s="52">
        <f>K17+K18+K19+K20+K21+K75</f>
        <v>41464450.380273893</v>
      </c>
      <c r="M17" s="52">
        <f t="shared" ref="M17:M62" si="12">L17*0.1</f>
        <v>4146445.0380273894</v>
      </c>
      <c r="N17" s="52">
        <f t="shared" ref="N17:N62" si="13">M17*0.19</f>
        <v>787824.55722520396</v>
      </c>
      <c r="O17" s="275">
        <f t="shared" ref="O17:O42" si="14">N17+M17+L17</f>
        <v>46398719.975526489</v>
      </c>
    </row>
    <row r="18" spans="1:15">
      <c r="A18" s="77" t="s">
        <v>478</v>
      </c>
      <c r="B18" s="78" t="s">
        <v>506</v>
      </c>
      <c r="C18" s="56">
        <v>25</v>
      </c>
      <c r="D18" s="81">
        <f>COUNTIFS('NOMINA JULIO'!$G$9:$G$208,'PERSONAL JULIO'!A18,'NOMINA JULIO'!$F$9:$F$208,'PERSONAL JULIO'!B18,'NOMINA JULIO'!$BB$9:$BB$208,'PERSONAL JULIO'!C18)</f>
        <v>1</v>
      </c>
      <c r="E18" s="81">
        <f t="shared" ref="E18:E21" si="15">+C18*D18</f>
        <v>25</v>
      </c>
      <c r="F18" s="47">
        <f t="shared" ref="F18:F21" si="16">G18/30</f>
        <v>116146.91983269999</v>
      </c>
      <c r="G18" s="47">
        <v>3484407.5949809998</v>
      </c>
      <c r="H18" s="47">
        <f t="shared" ref="H18:H21" si="17">G18*D18</f>
        <v>3484407.5949809998</v>
      </c>
      <c r="I18" s="73"/>
      <c r="J18" s="73"/>
      <c r="K18" s="47">
        <f t="shared" ref="K18:K21" si="18">+C18*D18*F18</f>
        <v>2903672.9958174997</v>
      </c>
      <c r="M18" s="52"/>
      <c r="N18" s="52"/>
      <c r="O18" s="52"/>
    </row>
    <row r="19" spans="1:15">
      <c r="A19" s="77" t="s">
        <v>478</v>
      </c>
      <c r="B19" s="78" t="s">
        <v>506</v>
      </c>
      <c r="C19" s="56">
        <v>27</v>
      </c>
      <c r="D19" s="81">
        <f>COUNTIFS('NOMINA JULIO'!$G$9:$G$208,'PERSONAL JULIO'!A19,'NOMINA JULIO'!$F$9:$F$208,'PERSONAL JULIO'!B19,'NOMINA JULIO'!$BB$9:$BB$208,'PERSONAL JULIO'!C19)</f>
        <v>2</v>
      </c>
      <c r="E19" s="81">
        <f t="shared" si="15"/>
        <v>54</v>
      </c>
      <c r="F19" s="47">
        <f t="shared" si="16"/>
        <v>116146.91983269999</v>
      </c>
      <c r="G19" s="47">
        <v>3484407.5949809998</v>
      </c>
      <c r="H19" s="47">
        <f t="shared" si="17"/>
        <v>6968815.1899619997</v>
      </c>
      <c r="I19" s="73"/>
      <c r="J19" s="73"/>
      <c r="K19" s="47">
        <f t="shared" si="18"/>
        <v>6271933.6709657991</v>
      </c>
      <c r="M19" s="52"/>
      <c r="N19" s="52"/>
      <c r="O19" s="52"/>
    </row>
    <row r="20" spans="1:15">
      <c r="A20" s="77" t="s">
        <v>478</v>
      </c>
      <c r="B20" s="78" t="s">
        <v>506</v>
      </c>
      <c r="C20" s="56">
        <v>28</v>
      </c>
      <c r="D20" s="81">
        <f>COUNTIFS('NOMINA JULIO'!$G$9:$G$208,'PERSONAL JULIO'!A20,'NOMINA JULIO'!$F$9:$F$208,'PERSONAL JULIO'!B20,'NOMINA JULIO'!$BB$9:$BB$208,'PERSONAL JULIO'!C20)</f>
        <v>1</v>
      </c>
      <c r="E20" s="81">
        <f t="shared" si="15"/>
        <v>28</v>
      </c>
      <c r="F20" s="47">
        <f t="shared" si="16"/>
        <v>116146.91983269999</v>
      </c>
      <c r="G20" s="47">
        <v>3484407.5949809998</v>
      </c>
      <c r="H20" s="47">
        <f t="shared" si="17"/>
        <v>3484407.5949809998</v>
      </c>
      <c r="I20" s="73"/>
      <c r="J20" s="73"/>
      <c r="K20" s="47">
        <f t="shared" si="18"/>
        <v>3252113.7553156</v>
      </c>
      <c r="M20" s="52"/>
      <c r="N20" s="52"/>
      <c r="O20" s="52"/>
    </row>
    <row r="21" spans="1:15">
      <c r="A21" s="77" t="s">
        <v>478</v>
      </c>
      <c r="B21" s="78" t="s">
        <v>506</v>
      </c>
      <c r="C21" s="56">
        <v>30</v>
      </c>
      <c r="D21" s="81">
        <f>COUNTIFS('NOMINA JULIO'!$G$9:$G$208,'PERSONAL JULIO'!A21,'NOMINA JULIO'!$F$9:$F$208,'PERSONAL JULIO'!B21,'NOMINA JULIO'!$BB$9:$BB$208,'PERSONAL JULIO'!C21)</f>
        <v>6</v>
      </c>
      <c r="E21" s="81">
        <f t="shared" si="15"/>
        <v>180</v>
      </c>
      <c r="F21" s="47">
        <f t="shared" si="16"/>
        <v>116146.91983269999</v>
      </c>
      <c r="G21" s="47">
        <v>3484407.5949809998</v>
      </c>
      <c r="H21" s="47">
        <f t="shared" si="17"/>
        <v>20906445.569885999</v>
      </c>
      <c r="I21" s="73"/>
      <c r="J21" s="73"/>
      <c r="K21" s="47">
        <f t="shared" si="18"/>
        <v>20906445.569885999</v>
      </c>
      <c r="M21" s="52"/>
      <c r="N21" s="52"/>
      <c r="O21" s="52"/>
    </row>
    <row r="22" spans="1:15">
      <c r="A22" s="77" t="s">
        <v>479</v>
      </c>
      <c r="B22" s="78" t="s">
        <v>506</v>
      </c>
      <c r="C22" s="192">
        <v>29</v>
      </c>
      <c r="D22" s="81">
        <f>COUNTIFS('NOMINA JULIO'!$G$9:$G$208,'PERSONAL JULIO'!A22,'NOMINA JULIO'!$F$9:$F$208,'PERSONAL JULIO'!B22,'NOMINA JULIO'!$BB$9:$BB$208,'PERSONAL JULIO'!C22)</f>
        <v>1</v>
      </c>
      <c r="E22" s="81">
        <f t="shared" si="11"/>
        <v>29</v>
      </c>
      <c r="F22" s="47">
        <f t="shared" si="0"/>
        <v>116146.91983269999</v>
      </c>
      <c r="G22" s="47">
        <v>3484407.5949809998</v>
      </c>
      <c r="H22" s="47">
        <f t="shared" si="3"/>
        <v>3484407.5949809998</v>
      </c>
      <c r="I22" s="73"/>
      <c r="J22" s="73"/>
      <c r="K22" s="47">
        <f t="shared" si="9"/>
        <v>3368260.6751482999</v>
      </c>
      <c r="L22" s="52">
        <f>K22+K23+K76</f>
        <v>34727929.029977299</v>
      </c>
      <c r="M22" s="52">
        <f t="shared" si="12"/>
        <v>3472792.9029977303</v>
      </c>
      <c r="N22" s="52">
        <f t="shared" si="13"/>
        <v>659830.65156956878</v>
      </c>
      <c r="O22" s="275">
        <f t="shared" si="14"/>
        <v>38860552.584544599</v>
      </c>
    </row>
    <row r="23" spans="1:15">
      <c r="A23" s="77" t="s">
        <v>479</v>
      </c>
      <c r="B23" s="78" t="s">
        <v>506</v>
      </c>
      <c r="C23" s="192">
        <v>30</v>
      </c>
      <c r="D23" s="81">
        <f>COUNTIFS('NOMINA JULIO'!$G$9:$G$208,'PERSONAL JULIO'!A23,'NOMINA JULIO'!$F$9:$F$208,'PERSONAL JULIO'!B23,'NOMINA JULIO'!$BB$9:$BB$208,'PERSONAL JULIO'!C23)</f>
        <v>7</v>
      </c>
      <c r="E23" s="81">
        <f t="shared" ref="E23" si="19">+C23*D23</f>
        <v>210</v>
      </c>
      <c r="F23" s="47">
        <f t="shared" ref="F23" si="20">G23/30</f>
        <v>116146.91983269999</v>
      </c>
      <c r="G23" s="47">
        <v>3484407.5949809998</v>
      </c>
      <c r="H23" s="47">
        <f t="shared" ref="H23" si="21">G23*D23</f>
        <v>24390853.164866999</v>
      </c>
      <c r="I23" s="73"/>
      <c r="J23" s="73"/>
      <c r="K23" s="47">
        <f t="shared" ref="K23" si="22">+C23*D23*F23</f>
        <v>24390853.164866999</v>
      </c>
      <c r="M23" s="52"/>
      <c r="N23" s="52"/>
      <c r="O23" s="52"/>
    </row>
    <row r="24" spans="1:15">
      <c r="A24" s="77" t="s">
        <v>480</v>
      </c>
      <c r="B24" s="78" t="s">
        <v>506</v>
      </c>
      <c r="C24" s="192">
        <v>27</v>
      </c>
      <c r="D24" s="81">
        <f>COUNTIFS('NOMINA JULIO'!$G$9:$G$208,'PERSONAL JULIO'!A24,'NOMINA JULIO'!$F$9:$F$208,'PERSONAL JULIO'!B24,'NOMINA JULIO'!$BB$9:$BB$208,'PERSONAL JULIO'!C24)</f>
        <v>1</v>
      </c>
      <c r="E24" s="81">
        <f t="shared" si="11"/>
        <v>27</v>
      </c>
      <c r="F24" s="47">
        <f t="shared" si="0"/>
        <v>116146.91983269999</v>
      </c>
      <c r="G24" s="47">
        <v>3484407.5949809998</v>
      </c>
      <c r="H24" s="47">
        <f t="shared" si="3"/>
        <v>3484407.5949809998</v>
      </c>
      <c r="I24" s="73"/>
      <c r="J24" s="73"/>
      <c r="K24" s="47">
        <f t="shared" si="9"/>
        <v>3135966.8354828996</v>
      </c>
      <c r="L24" s="52">
        <f>K25+K24+K77+K78</f>
        <v>30778933.755665496</v>
      </c>
      <c r="M24" s="52">
        <f t="shared" si="12"/>
        <v>3077893.3755665496</v>
      </c>
      <c r="N24" s="52">
        <f t="shared" si="13"/>
        <v>584799.74135764444</v>
      </c>
      <c r="O24" s="275">
        <f t="shared" si="14"/>
        <v>34441626.872589692</v>
      </c>
    </row>
    <row r="25" spans="1:15">
      <c r="A25" s="77" t="s">
        <v>480</v>
      </c>
      <c r="B25" s="78" t="s">
        <v>506</v>
      </c>
      <c r="C25" s="192">
        <v>30</v>
      </c>
      <c r="D25" s="81">
        <f>COUNTIFS('NOMINA JULIO'!$G$9:$G$208,'PERSONAL JULIO'!A25,'NOMINA JULIO'!$F$9:$F$208,'PERSONAL JULIO'!B25,'NOMINA JULIO'!$BB$9:$BB$208,'PERSONAL JULIO'!C25)</f>
        <v>6</v>
      </c>
      <c r="E25" s="81">
        <f t="shared" si="11"/>
        <v>180</v>
      </c>
      <c r="F25" s="47">
        <f t="shared" si="0"/>
        <v>116146.91983269999</v>
      </c>
      <c r="G25" s="47">
        <v>3484407.5949809998</v>
      </c>
      <c r="H25" s="47">
        <f t="shared" si="3"/>
        <v>20906445.569885999</v>
      </c>
      <c r="I25" s="73"/>
      <c r="J25" s="73"/>
      <c r="K25" s="47">
        <f t="shared" si="9"/>
        <v>20906445.569885999</v>
      </c>
      <c r="M25" s="52"/>
      <c r="N25" s="52"/>
      <c r="O25" s="52"/>
    </row>
    <row r="26" spans="1:15">
      <c r="A26" s="77" t="s">
        <v>481</v>
      </c>
      <c r="B26" s="78" t="s">
        <v>506</v>
      </c>
      <c r="C26" s="192">
        <v>6</v>
      </c>
      <c r="D26" s="81">
        <f>COUNTIFS('NOMINA JULIO'!$G$9:$G$208,'PERSONAL JULIO'!A26,'NOMINA JULIO'!$F$9:$F$208,'PERSONAL JULIO'!B26,'NOMINA JULIO'!$BB$9:$BB$208,'PERSONAL JULIO'!C26)</f>
        <v>1</v>
      </c>
      <c r="E26" s="81">
        <f t="shared" ref="E26:E31" si="23">+C26*D26</f>
        <v>6</v>
      </c>
      <c r="F26" s="47">
        <f t="shared" si="0"/>
        <v>116146.91983269999</v>
      </c>
      <c r="G26" s="47">
        <v>3484407.5949809998</v>
      </c>
      <c r="H26" s="47">
        <f t="shared" si="3"/>
        <v>3484407.5949809998</v>
      </c>
      <c r="I26" s="73"/>
      <c r="J26" s="73"/>
      <c r="K26" s="47">
        <f t="shared" si="9"/>
        <v>696881.51899619994</v>
      </c>
      <c r="L26" s="52">
        <f>K26+K27+K28+K79</f>
        <v>8478725.1477870997</v>
      </c>
      <c r="M26" s="52">
        <f t="shared" si="12"/>
        <v>847872.51477870997</v>
      </c>
      <c r="N26" s="52">
        <f t="shared" si="13"/>
        <v>161095.7778079549</v>
      </c>
      <c r="O26" s="275">
        <f t="shared" si="14"/>
        <v>9487693.4403737653</v>
      </c>
    </row>
    <row r="27" spans="1:15">
      <c r="A27" s="77" t="s">
        <v>481</v>
      </c>
      <c r="B27" s="78" t="s">
        <v>506</v>
      </c>
      <c r="C27" s="192">
        <v>7</v>
      </c>
      <c r="D27" s="81">
        <f>COUNTIFS('NOMINA JULIO'!$G$9:$G$208,'PERSONAL JULIO'!A27,'NOMINA JULIO'!$F$9:$F$208,'PERSONAL JULIO'!B27,'NOMINA JULIO'!$BB$9:$BB$208,'PERSONAL JULIO'!C27)</f>
        <v>1</v>
      </c>
      <c r="E27" s="81">
        <f t="shared" ref="E27" si="24">+C27*D27</f>
        <v>7</v>
      </c>
      <c r="F27" s="47">
        <f t="shared" si="0"/>
        <v>116146.91983269999</v>
      </c>
      <c r="G27" s="47">
        <v>3484407.5949809998</v>
      </c>
      <c r="H27" s="47">
        <f t="shared" si="3"/>
        <v>3484407.5949809998</v>
      </c>
      <c r="I27" s="73"/>
      <c r="J27" s="73"/>
      <c r="K27" s="47">
        <f t="shared" si="9"/>
        <v>813028.43882889999</v>
      </c>
      <c r="M27" s="52"/>
      <c r="N27" s="52"/>
      <c r="O27" s="52"/>
    </row>
    <row r="28" spans="1:15">
      <c r="A28" s="77" t="s">
        <v>481</v>
      </c>
      <c r="B28" s="78" t="s">
        <v>506</v>
      </c>
      <c r="C28" s="192">
        <v>30</v>
      </c>
      <c r="D28" s="81">
        <f>COUNTIFS('NOMINA JULIO'!$G$9:$G$208,'PERSONAL JULIO'!A28,'NOMINA JULIO'!$F$9:$F$208,'PERSONAL JULIO'!B28,'NOMINA JULIO'!$BB$9:$BB$208,'PERSONAL JULIO'!C28)</f>
        <v>1</v>
      </c>
      <c r="E28" s="81">
        <f t="shared" si="23"/>
        <v>30</v>
      </c>
      <c r="F28" s="47">
        <f t="shared" ref="F28" si="25">G28/30</f>
        <v>116146.91983269999</v>
      </c>
      <c r="G28" s="47">
        <v>3484407.5949809998</v>
      </c>
      <c r="H28" s="47">
        <f t="shared" ref="H28" si="26">G28*D28</f>
        <v>3484407.5949809998</v>
      </c>
      <c r="I28" s="73"/>
      <c r="J28" s="73"/>
      <c r="K28" s="47">
        <f t="shared" ref="K28" si="27">+C28*D28*F28</f>
        <v>3484407.5949809998</v>
      </c>
      <c r="M28" s="52"/>
      <c r="N28" s="52"/>
      <c r="O28" s="52"/>
    </row>
    <row r="29" spans="1:15">
      <c r="A29" s="77" t="s">
        <v>482</v>
      </c>
      <c r="B29" s="78" t="s">
        <v>506</v>
      </c>
      <c r="C29" s="192">
        <v>30</v>
      </c>
      <c r="D29" s="81">
        <f>COUNTIFS('NOMINA JULIO'!$G$9:$G$208,'PERSONAL JULIO'!A29,'NOMINA JULIO'!$F$9:$F$208,'PERSONAL JULIO'!B29,'NOMINA JULIO'!$BB$9:$BB$208,'PERSONAL JULIO'!C29)</f>
        <v>6</v>
      </c>
      <c r="E29" s="81">
        <f t="shared" si="23"/>
        <v>180</v>
      </c>
      <c r="F29" s="47">
        <f t="shared" si="0"/>
        <v>116146.91983269999</v>
      </c>
      <c r="G29" s="47">
        <v>3484407.5949809998</v>
      </c>
      <c r="H29" s="47">
        <f t="shared" si="3"/>
        <v>20906445.569885999</v>
      </c>
      <c r="I29" s="73"/>
      <c r="J29" s="73"/>
      <c r="K29" s="47">
        <f t="shared" si="9"/>
        <v>20906445.569885999</v>
      </c>
      <c r="L29" s="52">
        <f>K29+K80</f>
        <v>27875260.759847999</v>
      </c>
      <c r="M29" s="52">
        <f t="shared" si="12"/>
        <v>2787526.0759848002</v>
      </c>
      <c r="N29" s="52">
        <f t="shared" si="13"/>
        <v>529629.95443711209</v>
      </c>
      <c r="O29" s="275">
        <f t="shared" si="14"/>
        <v>31192416.790269911</v>
      </c>
    </row>
    <row r="30" spans="1:15">
      <c r="A30" s="77" t="s">
        <v>483</v>
      </c>
      <c r="B30" s="78" t="s">
        <v>506</v>
      </c>
      <c r="C30" s="192">
        <v>28</v>
      </c>
      <c r="D30" s="81">
        <f>COUNTIFS('NOMINA JULIO'!$G$9:$G$208,'PERSONAL JULIO'!A30,'NOMINA JULIO'!$F$9:$F$208,'PERSONAL JULIO'!B30,'NOMINA JULIO'!$BB$9:$BB$208,'PERSONAL JULIO'!C30)</f>
        <v>1</v>
      </c>
      <c r="E30" s="81">
        <f t="shared" si="23"/>
        <v>28</v>
      </c>
      <c r="F30" s="47">
        <f t="shared" si="0"/>
        <v>116146.91983269999</v>
      </c>
      <c r="G30" s="47">
        <v>3484407.5949809998</v>
      </c>
      <c r="H30" s="47">
        <f t="shared" si="3"/>
        <v>3484407.5949809998</v>
      </c>
      <c r="I30" s="73"/>
      <c r="J30" s="73"/>
      <c r="K30" s="47">
        <f t="shared" si="9"/>
        <v>3252113.7553156</v>
      </c>
      <c r="L30" s="52">
        <f>K30+K31+K81+K82+K108</f>
        <v>44948857.975254901</v>
      </c>
      <c r="M30" s="52">
        <f t="shared" si="12"/>
        <v>4494885.7975254906</v>
      </c>
      <c r="N30" s="52">
        <f t="shared" si="13"/>
        <v>854028.30152984324</v>
      </c>
      <c r="O30" s="275">
        <f t="shared" si="14"/>
        <v>50297772.074310236</v>
      </c>
    </row>
    <row r="31" spans="1:15">
      <c r="A31" s="77" t="s">
        <v>483</v>
      </c>
      <c r="B31" s="78" t="s">
        <v>506</v>
      </c>
      <c r="C31" s="192">
        <v>30</v>
      </c>
      <c r="D31" s="81">
        <f>COUNTIFS('NOMINA JULIO'!$G$9:$G$208,'PERSONAL JULIO'!A31,'NOMINA JULIO'!$F$9:$F$208,'PERSONAL JULIO'!B31,'NOMINA JULIO'!$BB$9:$BB$208,'PERSONAL JULIO'!C31)</f>
        <v>8</v>
      </c>
      <c r="E31" s="81">
        <f t="shared" si="23"/>
        <v>240</v>
      </c>
      <c r="F31" s="47">
        <f t="shared" si="0"/>
        <v>116146.91983269999</v>
      </c>
      <c r="G31" s="47">
        <v>3484407.5949809998</v>
      </c>
      <c r="H31" s="47">
        <f t="shared" si="3"/>
        <v>27875260.759847999</v>
      </c>
      <c r="I31" s="73"/>
      <c r="J31" s="73"/>
      <c r="K31" s="47">
        <f t="shared" si="9"/>
        <v>27875260.759847999</v>
      </c>
      <c r="M31" s="52"/>
      <c r="N31" s="52"/>
      <c r="O31" s="52"/>
    </row>
    <row r="32" spans="1:15">
      <c r="A32" s="212" t="s">
        <v>484</v>
      </c>
      <c r="B32" s="78" t="s">
        <v>506</v>
      </c>
      <c r="C32" s="56">
        <v>26</v>
      </c>
      <c r="D32" s="81">
        <f>COUNTIFS('NOMINA JULIO'!$G$9:$G$208,'PERSONAL JULIO'!A32,'NOMINA JULIO'!$F$9:$F$208,'PERSONAL JULIO'!B32,'NOMINA JULIO'!$BB$9:$BB$208,'PERSONAL JULIO'!C32)</f>
        <v>1</v>
      </c>
      <c r="E32" s="81">
        <f t="shared" si="11"/>
        <v>26</v>
      </c>
      <c r="F32" s="47">
        <f t="shared" si="0"/>
        <v>116146.91983269999</v>
      </c>
      <c r="G32" s="47">
        <v>3484407.5949809998</v>
      </c>
      <c r="H32" s="47">
        <f t="shared" si="3"/>
        <v>3484407.5949809998</v>
      </c>
      <c r="I32" s="73"/>
      <c r="J32" s="73"/>
      <c r="K32" s="47">
        <f t="shared" si="9"/>
        <v>3019819.9156501996</v>
      </c>
      <c r="L32" s="52">
        <f>K32+K33+K34+K35+K83+K109</f>
        <v>47968677.890905097</v>
      </c>
      <c r="M32" s="52">
        <f t="shared" si="12"/>
        <v>4796867.7890905095</v>
      </c>
      <c r="N32" s="52">
        <f t="shared" si="13"/>
        <v>911404.87992719677</v>
      </c>
      <c r="O32" s="275">
        <f t="shared" si="14"/>
        <v>53676950.559922799</v>
      </c>
    </row>
    <row r="33" spans="1:15">
      <c r="A33" s="212" t="s">
        <v>484</v>
      </c>
      <c r="B33" s="78" t="s">
        <v>506</v>
      </c>
      <c r="C33" s="56">
        <v>29</v>
      </c>
      <c r="D33" s="81">
        <f>COUNTIFS('NOMINA JULIO'!$G$9:$G$208,'PERSONAL JULIO'!A33,'NOMINA JULIO'!$F$9:$F$208,'PERSONAL JULIO'!B33,'NOMINA JULIO'!$BB$9:$BB$208,'PERSONAL JULIO'!C33)</f>
        <v>1</v>
      </c>
      <c r="E33" s="81">
        <f t="shared" si="11"/>
        <v>29</v>
      </c>
      <c r="F33" s="47">
        <f t="shared" si="0"/>
        <v>116146.91983269999</v>
      </c>
      <c r="G33" s="47">
        <v>3484407.5949809998</v>
      </c>
      <c r="H33" s="47">
        <f t="shared" si="3"/>
        <v>3484407.5949809998</v>
      </c>
      <c r="I33" s="73"/>
      <c r="J33" s="73"/>
      <c r="K33" s="47">
        <f t="shared" si="9"/>
        <v>3368260.6751482999</v>
      </c>
      <c r="M33" s="52"/>
      <c r="N33" s="52"/>
      <c r="O33" s="52"/>
    </row>
    <row r="34" spans="1:15">
      <c r="A34" s="212" t="s">
        <v>484</v>
      </c>
      <c r="B34" s="78" t="s">
        <v>506</v>
      </c>
      <c r="C34" s="56">
        <v>30</v>
      </c>
      <c r="D34" s="81">
        <f>COUNTIFS('NOMINA JULIO'!$G$9:$G$208,'PERSONAL JULIO'!A34,'NOMINA JULIO'!$F$9:$F$208,'PERSONAL JULIO'!B34,'NOMINA JULIO'!$BB$9:$BB$208,'PERSONAL JULIO'!C34)</f>
        <v>8</v>
      </c>
      <c r="E34" s="81">
        <f t="shared" ref="E34" si="28">+C34*D34</f>
        <v>240</v>
      </c>
      <c r="F34" s="47">
        <f t="shared" ref="F34" si="29">G34/30</f>
        <v>116146.91983269999</v>
      </c>
      <c r="G34" s="47">
        <v>3484407.5949809998</v>
      </c>
      <c r="H34" s="47">
        <f t="shared" ref="H34" si="30">G34*D34</f>
        <v>27875260.759847999</v>
      </c>
      <c r="I34" s="73"/>
      <c r="J34" s="73"/>
      <c r="K34" s="47">
        <f t="shared" ref="K34" si="31">+C34*D34*F34</f>
        <v>27875260.759847999</v>
      </c>
      <c r="M34" s="52"/>
      <c r="N34" s="52"/>
      <c r="O34" s="52"/>
    </row>
    <row r="35" spans="1:15">
      <c r="A35" s="212" t="s">
        <v>484</v>
      </c>
      <c r="B35" s="214" t="s">
        <v>712</v>
      </c>
      <c r="C35" s="56">
        <v>28</v>
      </c>
      <c r="D35" s="81">
        <f>COUNTIFS('NOMINA JULIO'!$G$9:$G$208,'PERSONAL JULIO'!A35,'NOMINA JULIO'!$F$9:$F$208,'PERSONAL JULIO'!B35,'NOMINA JULIO'!$BB$9:$BB$208,'PERSONAL JULIO'!C35)</f>
        <v>1</v>
      </c>
      <c r="E35" s="81">
        <f t="shared" ref="E35" si="32">+C35*D35</f>
        <v>28</v>
      </c>
      <c r="F35" s="47">
        <f t="shared" ref="F35" si="33">G35/30</f>
        <v>116146.91983269999</v>
      </c>
      <c r="G35" s="47">
        <v>3484407.5949809998</v>
      </c>
      <c r="H35" s="47">
        <f t="shared" ref="H35" si="34">G35*D35</f>
        <v>3484407.5949809998</v>
      </c>
      <c r="I35" s="73"/>
      <c r="J35" s="73"/>
      <c r="K35" s="47">
        <f t="shared" ref="K35" si="35">+C35*D35*F35</f>
        <v>3252113.7553156</v>
      </c>
      <c r="M35" s="52"/>
      <c r="N35" s="52"/>
      <c r="O35" s="52"/>
    </row>
    <row r="36" spans="1:15">
      <c r="A36" s="77" t="s">
        <v>172</v>
      </c>
      <c r="B36" s="78" t="s">
        <v>506</v>
      </c>
      <c r="C36" s="56">
        <v>30</v>
      </c>
      <c r="D36" s="81">
        <f>COUNTIFS('NOMINA JULIO'!$G$9:$G$208,'PERSONAL JULIO'!A36,'NOMINA JULIO'!$F$9:$F$208,'PERSONAL JULIO'!B36,'NOMINA JULIO'!$BB$9:$BB$208,'PERSONAL JULIO'!C36)</f>
        <v>2</v>
      </c>
      <c r="E36" s="81">
        <f t="shared" si="11"/>
        <v>60</v>
      </c>
      <c r="F36" s="47">
        <f t="shared" si="0"/>
        <v>116146.91983269999</v>
      </c>
      <c r="G36" s="47">
        <v>3484407.5949809998</v>
      </c>
      <c r="H36" s="47">
        <f t="shared" si="3"/>
        <v>6968815.1899619997</v>
      </c>
      <c r="I36" s="73"/>
      <c r="J36" s="73"/>
      <c r="K36" s="47">
        <f t="shared" si="9"/>
        <v>6968815.1899619997</v>
      </c>
      <c r="L36" s="52">
        <f>K36</f>
        <v>6968815.1899619997</v>
      </c>
      <c r="M36" s="52">
        <f t="shared" si="12"/>
        <v>696881.51899620006</v>
      </c>
      <c r="N36" s="52">
        <f t="shared" si="13"/>
        <v>132407.48860927802</v>
      </c>
      <c r="O36" s="275">
        <f t="shared" si="14"/>
        <v>7798104.1975674778</v>
      </c>
    </row>
    <row r="37" spans="1:15">
      <c r="A37" s="77" t="s">
        <v>485</v>
      </c>
      <c r="B37" s="78" t="s">
        <v>506</v>
      </c>
      <c r="C37" s="56">
        <v>25</v>
      </c>
      <c r="D37" s="81">
        <f>COUNTIFS('NOMINA JULIO'!$G$9:$G$208,'PERSONAL JULIO'!A37,'NOMINA JULIO'!$F$9:$F$208,'PERSONAL JULIO'!B37,'NOMINA JULIO'!$BB$9:$BB$208,'PERSONAL JULIO'!C37)</f>
        <v>1</v>
      </c>
      <c r="E37" s="81">
        <f t="shared" si="11"/>
        <v>25</v>
      </c>
      <c r="F37" s="47">
        <f t="shared" si="0"/>
        <v>116146.91983269999</v>
      </c>
      <c r="G37" s="47">
        <v>3484407.5949809998</v>
      </c>
      <c r="H37" s="47">
        <f t="shared" si="3"/>
        <v>3484407.5949809998</v>
      </c>
      <c r="I37" s="73"/>
      <c r="J37" s="73"/>
      <c r="K37" s="47">
        <f t="shared" si="9"/>
        <v>2903672.9958174997</v>
      </c>
      <c r="L37" s="52">
        <f>K37+K38</f>
        <v>6388080.5907984991</v>
      </c>
      <c r="M37" s="52">
        <f t="shared" si="12"/>
        <v>638808.05907984998</v>
      </c>
      <c r="N37" s="52">
        <f t="shared" si="13"/>
        <v>121373.53122517149</v>
      </c>
      <c r="O37" s="275">
        <f t="shared" si="14"/>
        <v>7148262.1811035201</v>
      </c>
    </row>
    <row r="38" spans="1:15">
      <c r="A38" s="77" t="s">
        <v>485</v>
      </c>
      <c r="B38" s="78" t="s">
        <v>506</v>
      </c>
      <c r="C38" s="56">
        <v>30</v>
      </c>
      <c r="D38" s="81">
        <f>COUNTIFS('NOMINA JULIO'!$G$9:$G$208,'PERSONAL JULIO'!A38,'NOMINA JULIO'!$F$9:$F$208,'PERSONAL JULIO'!B38,'NOMINA JULIO'!$BB$9:$BB$208,'PERSONAL JULIO'!C38)</f>
        <v>1</v>
      </c>
      <c r="E38" s="81">
        <f t="shared" ref="E38" si="36">+C38*D38</f>
        <v>30</v>
      </c>
      <c r="F38" s="47">
        <f t="shared" ref="F38" si="37">G38/30</f>
        <v>116146.91983269999</v>
      </c>
      <c r="G38" s="47">
        <v>3484407.5949809998</v>
      </c>
      <c r="H38" s="47">
        <f t="shared" ref="H38" si="38">G38*D38</f>
        <v>3484407.5949809998</v>
      </c>
      <c r="I38" s="73"/>
      <c r="J38" s="73"/>
      <c r="K38" s="47">
        <f t="shared" ref="K38" si="39">+C38*D38*F38</f>
        <v>3484407.5949809998</v>
      </c>
      <c r="M38" s="52"/>
      <c r="N38" s="52"/>
      <c r="O38" s="52"/>
    </row>
    <row r="39" spans="1:15">
      <c r="A39" s="77" t="s">
        <v>486</v>
      </c>
      <c r="B39" s="78" t="s">
        <v>506</v>
      </c>
      <c r="C39" s="56">
        <v>29</v>
      </c>
      <c r="D39" s="81">
        <f>COUNTIFS('NOMINA JULIO'!$G$9:$G$208,'PERSONAL JULIO'!A39,'NOMINA JULIO'!$F$9:$F$208,'PERSONAL JULIO'!B39,'NOMINA JULIO'!$BB$9:$BB$208,'PERSONAL JULIO'!C39)</f>
        <v>1</v>
      </c>
      <c r="E39" s="81">
        <f t="shared" si="11"/>
        <v>29</v>
      </c>
      <c r="F39" s="47">
        <f t="shared" si="0"/>
        <v>116146.91983269999</v>
      </c>
      <c r="G39" s="47">
        <v>3484407.5949809998</v>
      </c>
      <c r="H39" s="47">
        <f t="shared" si="3"/>
        <v>3484407.5949809998</v>
      </c>
      <c r="I39" s="73"/>
      <c r="J39" s="73"/>
      <c r="K39" s="47">
        <f t="shared" si="9"/>
        <v>3368260.6751482999</v>
      </c>
      <c r="L39" s="52">
        <f>K39+K40+K84</f>
        <v>10337075.8651103</v>
      </c>
      <c r="M39" s="52">
        <f t="shared" si="12"/>
        <v>1033707.5865110301</v>
      </c>
      <c r="N39" s="52">
        <f t="shared" si="13"/>
        <v>196404.44143709572</v>
      </c>
      <c r="O39" s="275">
        <f t="shared" si="14"/>
        <v>11567187.893058427</v>
      </c>
    </row>
    <row r="40" spans="1:15">
      <c r="A40" s="77" t="s">
        <v>486</v>
      </c>
      <c r="B40" s="78" t="s">
        <v>506</v>
      </c>
      <c r="C40" s="56">
        <v>30</v>
      </c>
      <c r="D40" s="81">
        <f>COUNTIFS('NOMINA JULIO'!$G$9:$G$208,'PERSONAL JULIO'!A40,'NOMINA JULIO'!$F$9:$F$208,'PERSONAL JULIO'!B40,'NOMINA JULIO'!$BB$9:$BB$208,'PERSONAL JULIO'!C40)</f>
        <v>1</v>
      </c>
      <c r="E40" s="81">
        <f t="shared" ref="E40" si="40">+C40*D40</f>
        <v>30</v>
      </c>
      <c r="F40" s="47">
        <f t="shared" ref="F40" si="41">G40/30</f>
        <v>116146.91983269999</v>
      </c>
      <c r="G40" s="47">
        <v>3484407.5949809998</v>
      </c>
      <c r="H40" s="47">
        <f t="shared" ref="H40" si="42">G40*D40</f>
        <v>3484407.5949809998</v>
      </c>
      <c r="I40" s="73"/>
      <c r="J40" s="73"/>
      <c r="K40" s="47">
        <f t="shared" ref="K40" si="43">+C40*D40*F40</f>
        <v>3484407.5949809998</v>
      </c>
      <c r="M40" s="52"/>
      <c r="N40" s="52"/>
      <c r="O40" s="52"/>
    </row>
    <row r="41" spans="1:15">
      <c r="A41" s="77" t="s">
        <v>487</v>
      </c>
      <c r="B41" s="78" t="s">
        <v>506</v>
      </c>
      <c r="C41" s="56">
        <v>30</v>
      </c>
      <c r="D41" s="81">
        <f>COUNTIFS('NOMINA JULIO'!$G$9:$G$208,'PERSONAL JULIO'!A41,'NOMINA JULIO'!$F$9:$F$208,'PERSONAL JULIO'!B41,'NOMINA JULIO'!$BB$9:$BB$208,'PERSONAL JULIO'!C41)</f>
        <v>2</v>
      </c>
      <c r="E41" s="81">
        <f t="shared" si="11"/>
        <v>60</v>
      </c>
      <c r="F41" s="47">
        <f t="shared" si="0"/>
        <v>116146.91983269999</v>
      </c>
      <c r="G41" s="47">
        <v>3484407.5949809998</v>
      </c>
      <c r="H41" s="47">
        <f t="shared" si="3"/>
        <v>6968815.1899619997</v>
      </c>
      <c r="I41" s="73"/>
      <c r="J41" s="73"/>
      <c r="K41" s="47">
        <f t="shared" si="9"/>
        <v>6968815.1899619997</v>
      </c>
      <c r="L41" s="51">
        <f>K41+K85</f>
        <v>10453222.784942999</v>
      </c>
      <c r="M41" s="52">
        <f t="shared" si="12"/>
        <v>1045322.2784943</v>
      </c>
      <c r="N41" s="52">
        <f t="shared" si="13"/>
        <v>198611.23291391699</v>
      </c>
      <c r="O41" s="275">
        <f t="shared" si="14"/>
        <v>11697156.296351217</v>
      </c>
    </row>
    <row r="42" spans="1:15">
      <c r="A42" s="77" t="s">
        <v>488</v>
      </c>
      <c r="B42" s="78" t="s">
        <v>506</v>
      </c>
      <c r="C42" s="56">
        <v>16</v>
      </c>
      <c r="D42" s="81">
        <f>COUNTIFS('NOMINA JULIO'!$G$9:$G$208,'PERSONAL JULIO'!A42,'NOMINA JULIO'!$F$9:$F$208,'PERSONAL JULIO'!B42,'NOMINA JULIO'!$BB$9:$BB$208,'PERSONAL JULIO'!C42)</f>
        <v>1</v>
      </c>
      <c r="E42" s="81">
        <f t="shared" si="11"/>
        <v>16</v>
      </c>
      <c r="F42" s="47">
        <f t="shared" si="0"/>
        <v>116146.91983269999</v>
      </c>
      <c r="G42" s="47">
        <v>3484407.5949809998</v>
      </c>
      <c r="H42" s="47">
        <f t="shared" si="3"/>
        <v>3484407.5949809998</v>
      </c>
      <c r="I42" s="73"/>
      <c r="J42" s="73"/>
      <c r="K42" s="47">
        <f t="shared" si="9"/>
        <v>1858350.7173231998</v>
      </c>
      <c r="L42" s="52">
        <f>K42+K43+K44+K45+K46+K86+K87</f>
        <v>19396535.612060897</v>
      </c>
      <c r="M42" s="52">
        <f t="shared" si="12"/>
        <v>1939653.5612060898</v>
      </c>
      <c r="N42" s="52">
        <f t="shared" si="13"/>
        <v>368534.17662915704</v>
      </c>
      <c r="O42" s="275">
        <f t="shared" si="14"/>
        <v>21704723.349896144</v>
      </c>
    </row>
    <row r="43" spans="1:15">
      <c r="A43" s="77" t="s">
        <v>488</v>
      </c>
      <c r="B43" s="78" t="s">
        <v>506</v>
      </c>
      <c r="C43" s="56">
        <v>20</v>
      </c>
      <c r="D43" s="81">
        <f>COUNTIFS('NOMINA JULIO'!$G$9:$G$208,'PERSONAL JULIO'!A43,'NOMINA JULIO'!$F$9:$F$208,'PERSONAL JULIO'!B43,'NOMINA JULIO'!$BB$9:$BB$208,'PERSONAL JULIO'!C43)</f>
        <v>1</v>
      </c>
      <c r="E43" s="81">
        <f t="shared" ref="E43:E46" si="44">+C43*D43</f>
        <v>20</v>
      </c>
      <c r="F43" s="47">
        <f t="shared" ref="F43:F46" si="45">G43/30</f>
        <v>116146.91983269999</v>
      </c>
      <c r="G43" s="47">
        <v>3484407.5949809998</v>
      </c>
      <c r="H43" s="47">
        <f t="shared" ref="H43:H46" si="46">G43*D43</f>
        <v>3484407.5949809998</v>
      </c>
      <c r="I43" s="73"/>
      <c r="J43" s="73"/>
      <c r="K43" s="47">
        <f t="shared" ref="K43:K46" si="47">+C43*D43*F43</f>
        <v>2322938.3966539996</v>
      </c>
      <c r="L43" s="204"/>
      <c r="M43" s="52"/>
      <c r="N43" s="52"/>
      <c r="O43" s="52"/>
    </row>
    <row r="44" spans="1:15">
      <c r="A44" s="77" t="s">
        <v>488</v>
      </c>
      <c r="B44" s="78" t="s">
        <v>506</v>
      </c>
      <c r="C44" s="56">
        <v>21</v>
      </c>
      <c r="D44" s="81">
        <f>COUNTIFS('NOMINA JULIO'!$G$9:$G$208,'PERSONAL JULIO'!A44,'NOMINA JULIO'!$F$9:$F$208,'PERSONAL JULIO'!B44,'NOMINA JULIO'!$BB$9:$BB$208,'PERSONAL JULIO'!C44)</f>
        <v>1</v>
      </c>
      <c r="E44" s="81">
        <f t="shared" si="44"/>
        <v>21</v>
      </c>
      <c r="F44" s="47">
        <f t="shared" si="45"/>
        <v>116146.91983269999</v>
      </c>
      <c r="G44" s="47">
        <v>3484407.5949809998</v>
      </c>
      <c r="H44" s="47">
        <f t="shared" si="46"/>
        <v>3484407.5949809998</v>
      </c>
      <c r="I44" s="73"/>
      <c r="J44" s="73"/>
      <c r="K44" s="47">
        <f t="shared" si="47"/>
        <v>2439085.3164867</v>
      </c>
      <c r="L44" s="204"/>
      <c r="M44" s="52"/>
      <c r="N44" s="52"/>
      <c r="O44" s="52"/>
    </row>
    <row r="45" spans="1:15">
      <c r="A45" s="77" t="s">
        <v>488</v>
      </c>
      <c r="B45" s="78" t="s">
        <v>506</v>
      </c>
      <c r="C45" s="56">
        <v>27</v>
      </c>
      <c r="D45" s="81">
        <f>COUNTIFS('NOMINA JULIO'!$G$9:$G$208,'PERSONAL JULIO'!A45,'NOMINA JULIO'!$F$9:$F$208,'PERSONAL JULIO'!B45,'NOMINA JULIO'!$BB$9:$BB$208,'PERSONAL JULIO'!C45)</f>
        <v>1</v>
      </c>
      <c r="E45" s="81">
        <f t="shared" si="44"/>
        <v>27</v>
      </c>
      <c r="F45" s="47">
        <f t="shared" si="45"/>
        <v>116146.91983269999</v>
      </c>
      <c r="G45" s="47">
        <v>3484407.5949809998</v>
      </c>
      <c r="H45" s="47">
        <f t="shared" si="46"/>
        <v>3484407.5949809998</v>
      </c>
      <c r="I45" s="73"/>
      <c r="J45" s="73"/>
      <c r="K45" s="47">
        <f t="shared" si="47"/>
        <v>3135966.8354828996</v>
      </c>
      <c r="L45" s="204"/>
      <c r="M45" s="52"/>
      <c r="N45" s="52"/>
      <c r="O45" s="52"/>
    </row>
    <row r="46" spans="1:15">
      <c r="A46" s="77" t="s">
        <v>488</v>
      </c>
      <c r="B46" s="78" t="s">
        <v>506</v>
      </c>
      <c r="C46" s="56">
        <v>30</v>
      </c>
      <c r="D46" s="81">
        <f>COUNTIFS('NOMINA JULIO'!$G$9:$G$208,'PERSONAL JULIO'!A46,'NOMINA JULIO'!$F$9:$F$208,'PERSONAL JULIO'!B46,'NOMINA JULIO'!$BB$9:$BB$208,'PERSONAL JULIO'!C46)</f>
        <v>1</v>
      </c>
      <c r="E46" s="81">
        <f t="shared" si="44"/>
        <v>30</v>
      </c>
      <c r="F46" s="47">
        <f t="shared" si="45"/>
        <v>116146.91983269999</v>
      </c>
      <c r="G46" s="47">
        <v>3484407.5949809998</v>
      </c>
      <c r="H46" s="47">
        <f t="shared" si="46"/>
        <v>3484407.5949809998</v>
      </c>
      <c r="I46" s="73"/>
      <c r="J46" s="73"/>
      <c r="K46" s="47">
        <f t="shared" si="47"/>
        <v>3484407.5949809998</v>
      </c>
      <c r="L46" s="52"/>
      <c r="M46" s="52"/>
      <c r="N46" s="52"/>
      <c r="O46" s="52"/>
    </row>
    <row r="47" spans="1:15">
      <c r="A47" s="77" t="s">
        <v>588</v>
      </c>
      <c r="B47" s="78" t="s">
        <v>506</v>
      </c>
      <c r="C47" s="56">
        <v>30</v>
      </c>
      <c r="D47" s="81">
        <f>COUNTIFS('NOMINA JULIO'!$G$9:$G$208,'PERSONAL JULIO'!A47,'NOMINA JULIO'!$F$9:$F$208,'PERSONAL JULIO'!B47,'NOMINA JULIO'!$BB$9:$BB$208,'PERSONAL JULIO'!C47)</f>
        <v>1</v>
      </c>
      <c r="E47" s="81">
        <f t="shared" si="11"/>
        <v>30</v>
      </c>
      <c r="F47" s="47">
        <f t="shared" si="0"/>
        <v>116146.91983269999</v>
      </c>
      <c r="G47" s="47">
        <v>3484407.5949809998</v>
      </c>
      <c r="H47" s="47">
        <f t="shared" si="3"/>
        <v>3484407.5949809998</v>
      </c>
      <c r="I47" s="73"/>
      <c r="J47" s="73"/>
      <c r="K47" s="47">
        <f t="shared" si="9"/>
        <v>3484407.5949809998</v>
      </c>
      <c r="L47" s="51">
        <f>K47</f>
        <v>3484407.5949809998</v>
      </c>
      <c r="M47" s="52">
        <f t="shared" si="12"/>
        <v>348440.75949810003</v>
      </c>
      <c r="N47" s="52">
        <f t="shared" si="13"/>
        <v>66203.744304639011</v>
      </c>
      <c r="O47" s="275">
        <f t="shared" ref="O47:O62" si="48">N47+M47+L47</f>
        <v>3899052.0987837389</v>
      </c>
    </row>
    <row r="48" spans="1:15">
      <c r="A48" s="77" t="s">
        <v>490</v>
      </c>
      <c r="B48" s="78" t="s">
        <v>506</v>
      </c>
      <c r="C48" s="56">
        <v>28</v>
      </c>
      <c r="D48" s="81">
        <f>COUNTIFS('NOMINA JULIO'!$G$9:$G$208,'PERSONAL JULIO'!A48,'NOMINA JULIO'!$F$9:$F$208,'PERSONAL JULIO'!B48,'NOMINA JULIO'!$BB$9:$BB$208,'PERSONAL JULIO'!C48)</f>
        <v>1</v>
      </c>
      <c r="E48" s="81">
        <f t="shared" si="11"/>
        <v>28</v>
      </c>
      <c r="F48" s="47">
        <f t="shared" si="0"/>
        <v>116146.91983269999</v>
      </c>
      <c r="G48" s="47">
        <v>3484407.5949809998</v>
      </c>
      <c r="H48" s="47">
        <f t="shared" si="3"/>
        <v>3484407.5949809998</v>
      </c>
      <c r="I48" s="73"/>
      <c r="J48" s="73"/>
      <c r="K48" s="47">
        <f t="shared" si="9"/>
        <v>3252113.7553156</v>
      </c>
      <c r="L48" s="51">
        <f>K48+K49+K88+K99+K110</f>
        <v>27642966.920182601</v>
      </c>
      <c r="M48" s="52">
        <f t="shared" si="12"/>
        <v>2764296.6920182602</v>
      </c>
      <c r="N48" s="52">
        <f t="shared" si="13"/>
        <v>525216.3714834695</v>
      </c>
      <c r="O48" s="275">
        <f t="shared" si="48"/>
        <v>30932479.983684331</v>
      </c>
    </row>
    <row r="49" spans="1:15">
      <c r="A49" s="77" t="s">
        <v>490</v>
      </c>
      <c r="B49" s="78" t="s">
        <v>506</v>
      </c>
      <c r="C49" s="56">
        <v>30</v>
      </c>
      <c r="D49" s="81">
        <f>COUNTIFS('NOMINA JULIO'!$G$9:$G$208,'PERSONAL JULIO'!A49,'NOMINA JULIO'!$F$9:$F$208,'PERSONAL JULIO'!B49,'NOMINA JULIO'!$BB$9:$BB$208,'PERSONAL JULIO'!C49)</f>
        <v>3</v>
      </c>
      <c r="E49" s="81">
        <f t="shared" ref="E49" si="49">+C49*D49</f>
        <v>90</v>
      </c>
      <c r="F49" s="47">
        <f t="shared" ref="F49" si="50">G49/30</f>
        <v>116146.91983269999</v>
      </c>
      <c r="G49" s="47">
        <v>3484407.5949809998</v>
      </c>
      <c r="H49" s="47">
        <f t="shared" ref="H49" si="51">G49*D49</f>
        <v>10453222.784942999</v>
      </c>
      <c r="I49" s="73"/>
      <c r="J49" s="73"/>
      <c r="K49" s="47">
        <f t="shared" ref="K49" si="52">+C49*D49*F49</f>
        <v>10453222.784942999</v>
      </c>
      <c r="L49" s="51"/>
      <c r="M49" s="52"/>
      <c r="N49" s="52"/>
      <c r="O49" s="52"/>
    </row>
    <row r="50" spans="1:15">
      <c r="A50" s="77" t="s">
        <v>491</v>
      </c>
      <c r="B50" s="78" t="s">
        <v>506</v>
      </c>
      <c r="C50" s="56">
        <v>24</v>
      </c>
      <c r="D50" s="81">
        <f>COUNTIFS('NOMINA JULIO'!$G$9:$G$208,'PERSONAL JULIO'!A50,'NOMINA JULIO'!$F$9:$F$208,'PERSONAL JULIO'!B50,'NOMINA JULIO'!$BB$9:$BB$208,'PERSONAL JULIO'!C50)</f>
        <v>1</v>
      </c>
      <c r="E50" s="81">
        <f t="shared" si="11"/>
        <v>24</v>
      </c>
      <c r="F50" s="47">
        <f t="shared" si="0"/>
        <v>116146.91983269999</v>
      </c>
      <c r="G50" s="47">
        <v>3484407.5949809998</v>
      </c>
      <c r="H50" s="47">
        <f t="shared" si="3"/>
        <v>3484407.5949809998</v>
      </c>
      <c r="I50" s="73"/>
      <c r="J50" s="73"/>
      <c r="K50" s="47">
        <f t="shared" si="9"/>
        <v>2787526.0759847998</v>
      </c>
      <c r="L50" s="51">
        <f>K50+K51+K89+K100</f>
        <v>16725156.4559088</v>
      </c>
      <c r="M50" s="52">
        <f t="shared" si="12"/>
        <v>1672515.64559088</v>
      </c>
      <c r="N50" s="52">
        <f t="shared" si="13"/>
        <v>317777.97266226722</v>
      </c>
      <c r="O50" s="275">
        <f t="shared" si="48"/>
        <v>18715450.074161947</v>
      </c>
    </row>
    <row r="51" spans="1:15">
      <c r="A51" s="77" t="s">
        <v>491</v>
      </c>
      <c r="B51" s="78" t="s">
        <v>506</v>
      </c>
      <c r="C51" s="56">
        <v>30</v>
      </c>
      <c r="D51" s="81">
        <f>COUNTIFS('NOMINA JULIO'!$G$9:$G$208,'PERSONAL JULIO'!A51,'NOMINA JULIO'!$F$9:$F$208,'PERSONAL JULIO'!B51,'NOMINA JULIO'!$BB$9:$BB$208,'PERSONAL JULIO'!C51)</f>
        <v>2</v>
      </c>
      <c r="E51" s="81">
        <f t="shared" si="11"/>
        <v>60</v>
      </c>
      <c r="F51" s="47">
        <f t="shared" si="0"/>
        <v>116146.91983269999</v>
      </c>
      <c r="G51" s="47">
        <v>3484407.5949809998</v>
      </c>
      <c r="H51" s="47">
        <f t="shared" si="3"/>
        <v>6968815.1899619997</v>
      </c>
      <c r="I51" s="73"/>
      <c r="J51" s="73"/>
      <c r="K51" s="47">
        <f t="shared" si="9"/>
        <v>6968815.1899619997</v>
      </c>
      <c r="L51" s="51"/>
      <c r="M51" s="52"/>
      <c r="N51" s="52"/>
      <c r="O51" s="52"/>
    </row>
    <row r="52" spans="1:15">
      <c r="A52" s="82" t="s">
        <v>181</v>
      </c>
      <c r="B52" s="78" t="s">
        <v>506</v>
      </c>
      <c r="C52" s="56">
        <v>30</v>
      </c>
      <c r="D52" s="81">
        <f>COUNTIFS('NOMINA JULIO'!$G$9:$G$208,'PERSONAL JULIO'!A52,'NOMINA JULIO'!$F$9:$F$208,'PERSONAL JULIO'!B52,'NOMINA JULIO'!$BB$9:$BB$208,'PERSONAL JULIO'!C52)</f>
        <v>2</v>
      </c>
      <c r="E52" s="81">
        <f t="shared" si="11"/>
        <v>60</v>
      </c>
      <c r="F52" s="47">
        <f t="shared" ref="F52" si="53">G52/30</f>
        <v>116146.91983269999</v>
      </c>
      <c r="G52" s="47">
        <v>3484407.5949809998</v>
      </c>
      <c r="H52" s="47">
        <f t="shared" ref="H52" si="54">G52*D52</f>
        <v>6968815.1899619997</v>
      </c>
      <c r="I52" s="73"/>
      <c r="J52" s="73"/>
      <c r="K52" s="47">
        <f t="shared" ref="K52" si="55">+C52*D52*F52</f>
        <v>6968815.1899619997</v>
      </c>
      <c r="L52" s="52">
        <f>K52</f>
        <v>6968815.1899619997</v>
      </c>
      <c r="M52" s="52">
        <f t="shared" si="12"/>
        <v>696881.51899620006</v>
      </c>
      <c r="N52" s="52">
        <f t="shared" si="13"/>
        <v>132407.48860927802</v>
      </c>
      <c r="O52" s="275">
        <f>N52+M52+L52+O47</f>
        <v>11697156.296351217</v>
      </c>
    </row>
    <row r="53" spans="1:15">
      <c r="A53" s="77" t="s">
        <v>494</v>
      </c>
      <c r="B53" s="78" t="s">
        <v>506</v>
      </c>
      <c r="C53" s="56">
        <v>30</v>
      </c>
      <c r="D53" s="81">
        <f>COUNTIFS('NOMINA JULIO'!$G$9:$G$208,'PERSONAL JULIO'!A53,'NOMINA JULIO'!$F$9:$F$208,'PERSONAL JULIO'!B53,'NOMINA JULIO'!$BB$9:$BB$208,'PERSONAL JULIO'!C53)</f>
        <v>3</v>
      </c>
      <c r="E53" s="81">
        <f t="shared" si="11"/>
        <v>90</v>
      </c>
      <c r="F53" s="47">
        <f t="shared" si="0"/>
        <v>116146.91983269999</v>
      </c>
      <c r="G53" s="47">
        <v>3484407.5949809998</v>
      </c>
      <c r="H53" s="47">
        <f t="shared" si="3"/>
        <v>10453222.784942999</v>
      </c>
      <c r="I53" s="73"/>
      <c r="J53" s="73"/>
      <c r="K53" s="47">
        <f t="shared" si="9"/>
        <v>10453222.784942999</v>
      </c>
      <c r="L53" s="52">
        <f>K53</f>
        <v>10453222.784942999</v>
      </c>
      <c r="M53" s="52">
        <f t="shared" si="12"/>
        <v>1045322.2784943</v>
      </c>
      <c r="N53" s="52">
        <f t="shared" si="13"/>
        <v>198611.23291391699</v>
      </c>
      <c r="O53" s="275">
        <f t="shared" si="48"/>
        <v>11697156.296351217</v>
      </c>
    </row>
    <row r="54" spans="1:15">
      <c r="A54" s="77" t="s">
        <v>495</v>
      </c>
      <c r="B54" s="78" t="s">
        <v>506</v>
      </c>
      <c r="C54" s="56">
        <v>9</v>
      </c>
      <c r="D54" s="81">
        <f>COUNTIFS('NOMINA JULIO'!$G$9:$G$208,'PERSONAL JULIO'!A54,'NOMINA JULIO'!$F$9:$F$208,'PERSONAL JULIO'!B54,'NOMINA JULIO'!$BB$9:$BB$208,'PERSONAL JULIO'!C54)</f>
        <v>1</v>
      </c>
      <c r="E54" s="265">
        <f t="shared" si="11"/>
        <v>9</v>
      </c>
      <c r="F54" s="47">
        <f t="shared" si="0"/>
        <v>116146.91983269999</v>
      </c>
      <c r="G54" s="47">
        <v>3484407.5949809998</v>
      </c>
      <c r="H54" s="47">
        <f t="shared" si="3"/>
        <v>3484407.5949809998</v>
      </c>
      <c r="I54" s="73"/>
      <c r="J54" s="73"/>
      <c r="K54" s="47">
        <f t="shared" si="9"/>
        <v>1045322.2784942999</v>
      </c>
      <c r="L54" s="52">
        <f>K54+K55+K56+K57+K58+K59+K91</f>
        <v>18235066.4137339</v>
      </c>
      <c r="M54" s="52">
        <f t="shared" si="12"/>
        <v>1823506.6413733901</v>
      </c>
      <c r="N54" s="52">
        <f t="shared" si="13"/>
        <v>346466.2618609441</v>
      </c>
      <c r="O54" s="275">
        <f t="shared" si="48"/>
        <v>20405039.316968232</v>
      </c>
    </row>
    <row r="55" spans="1:15">
      <c r="A55" s="77" t="s">
        <v>495</v>
      </c>
      <c r="B55" s="78" t="s">
        <v>506</v>
      </c>
      <c r="C55" s="56">
        <v>11</v>
      </c>
      <c r="D55" s="81">
        <f>COUNTIFS('NOMINA JULIO'!$G$9:$G$208,'PERSONAL JULIO'!A55,'NOMINA JULIO'!$F$9:$F$208,'PERSONAL JULIO'!B55,'NOMINA JULIO'!$BB$9:$BB$208,'PERSONAL JULIO'!C55)</f>
        <v>1</v>
      </c>
      <c r="E55" s="265">
        <f t="shared" si="11"/>
        <v>11</v>
      </c>
      <c r="F55" s="47">
        <f t="shared" ref="F55:F58" si="56">G55/30</f>
        <v>116146.91983269999</v>
      </c>
      <c r="G55" s="47">
        <v>3484407.5949809998</v>
      </c>
      <c r="H55" s="47">
        <f t="shared" ref="H55:H58" si="57">G55*D55</f>
        <v>3484407.5949809998</v>
      </c>
      <c r="I55" s="73"/>
      <c r="J55" s="73"/>
      <c r="K55" s="47">
        <f t="shared" ref="K55:K58" si="58">+C55*D55*F55</f>
        <v>1277616.1181597</v>
      </c>
      <c r="M55" s="52"/>
      <c r="N55" s="52"/>
      <c r="O55" s="52"/>
    </row>
    <row r="56" spans="1:15">
      <c r="A56" s="77" t="s">
        <v>495</v>
      </c>
      <c r="B56" s="78" t="s">
        <v>506</v>
      </c>
      <c r="C56" s="56">
        <v>21</v>
      </c>
      <c r="D56" s="81">
        <f>COUNTIFS('NOMINA JULIO'!$G$9:$G$208,'PERSONAL JULIO'!A56,'NOMINA JULIO'!$F$9:$F$208,'PERSONAL JULIO'!B56,'NOMINA JULIO'!$BB$9:$BB$208,'PERSONAL JULIO'!C56)</f>
        <v>1</v>
      </c>
      <c r="E56" s="265">
        <f t="shared" ref="E56:E58" si="59">+C56*D56</f>
        <v>21</v>
      </c>
      <c r="F56" s="47">
        <f t="shared" si="56"/>
        <v>116146.91983269999</v>
      </c>
      <c r="G56" s="47">
        <v>3484407.5949809998</v>
      </c>
      <c r="H56" s="47">
        <f t="shared" si="57"/>
        <v>3484407.5949809998</v>
      </c>
      <c r="I56" s="73"/>
      <c r="J56" s="73"/>
      <c r="K56" s="47">
        <f t="shared" si="58"/>
        <v>2439085.3164867</v>
      </c>
      <c r="M56" s="52"/>
      <c r="N56" s="52"/>
      <c r="O56" s="52"/>
    </row>
    <row r="57" spans="1:15">
      <c r="A57" s="77" t="s">
        <v>495</v>
      </c>
      <c r="B57" s="78" t="s">
        <v>506</v>
      </c>
      <c r="C57" s="56">
        <v>26</v>
      </c>
      <c r="D57" s="81">
        <f>COUNTIFS('NOMINA JULIO'!$G$9:$G$208,'PERSONAL JULIO'!A57,'NOMINA JULIO'!$F$9:$F$208,'PERSONAL JULIO'!B57,'NOMINA JULIO'!$BB$9:$BB$208,'PERSONAL JULIO'!C57)</f>
        <v>1</v>
      </c>
      <c r="E57" s="265">
        <f t="shared" si="59"/>
        <v>26</v>
      </c>
      <c r="F57" s="47">
        <f t="shared" si="56"/>
        <v>116146.91983269999</v>
      </c>
      <c r="G57" s="47">
        <v>3484407.5949809998</v>
      </c>
      <c r="H57" s="47">
        <f t="shared" si="57"/>
        <v>3484407.5949809998</v>
      </c>
      <c r="I57" s="73"/>
      <c r="J57" s="73"/>
      <c r="K57" s="47">
        <f t="shared" si="58"/>
        <v>3019819.9156501996</v>
      </c>
      <c r="M57" s="52"/>
      <c r="N57" s="52"/>
      <c r="O57" s="52"/>
    </row>
    <row r="58" spans="1:15">
      <c r="A58" s="77" t="s">
        <v>495</v>
      </c>
      <c r="B58" s="78" t="s">
        <v>506</v>
      </c>
      <c r="C58" s="56">
        <v>30</v>
      </c>
      <c r="D58" s="81">
        <f>COUNTIFS('NOMINA JULIO'!$G$9:$G$208,'PERSONAL JULIO'!A58,'NOMINA JULIO'!$F$9:$F$208,'PERSONAL JULIO'!B58,'NOMINA JULIO'!$BB$9:$BB$208,'PERSONAL JULIO'!C58)</f>
        <v>1</v>
      </c>
      <c r="E58" s="265">
        <f t="shared" si="59"/>
        <v>30</v>
      </c>
      <c r="F58" s="47">
        <f t="shared" si="56"/>
        <v>116146.91983269999</v>
      </c>
      <c r="G58" s="47">
        <v>3484407.5949809998</v>
      </c>
      <c r="H58" s="47">
        <f t="shared" si="57"/>
        <v>3484407.5949809998</v>
      </c>
      <c r="I58" s="73"/>
      <c r="J58" s="73"/>
      <c r="K58" s="47">
        <f t="shared" si="58"/>
        <v>3484407.5949809998</v>
      </c>
      <c r="M58" s="52"/>
      <c r="N58" s="52"/>
      <c r="O58" s="52"/>
    </row>
    <row r="59" spans="1:15">
      <c r="A59" s="77" t="s">
        <v>495</v>
      </c>
      <c r="B59" s="214" t="s">
        <v>712</v>
      </c>
      <c r="C59" s="56">
        <v>30</v>
      </c>
      <c r="D59" s="81">
        <f>COUNTIFS('NOMINA JULIO'!$G$9:$G$208,'PERSONAL JULIO'!A59,'NOMINA JULIO'!$F$9:$F$208,'PERSONAL JULIO'!B59,'NOMINA JULIO'!$BB$9:$BB$208,'PERSONAL JULIO'!C59)</f>
        <v>1</v>
      </c>
      <c r="E59" s="265">
        <f t="shared" ref="E59" si="60">+C59*D59</f>
        <v>30</v>
      </c>
      <c r="F59" s="47">
        <f t="shared" ref="F59" si="61">G59/30</f>
        <v>116146.91983269999</v>
      </c>
      <c r="G59" s="47">
        <v>3484407.5949809998</v>
      </c>
      <c r="H59" s="47">
        <f t="shared" ref="H59" si="62">G59*D59</f>
        <v>3484407.5949809998</v>
      </c>
      <c r="I59" s="73"/>
      <c r="J59" s="73"/>
      <c r="K59" s="47">
        <f t="shared" ref="K59" si="63">+C59*D59*F59</f>
        <v>3484407.5949809998</v>
      </c>
      <c r="M59" s="52"/>
      <c r="N59" s="52"/>
      <c r="O59" s="52"/>
    </row>
    <row r="60" spans="1:15">
      <c r="A60" s="77" t="s">
        <v>496</v>
      </c>
      <c r="B60" s="78" t="s">
        <v>506</v>
      </c>
      <c r="C60" s="56">
        <v>28</v>
      </c>
      <c r="D60" s="81">
        <f>COUNTIFS('NOMINA JULIO'!$G$9:$G$208,'PERSONAL JULIO'!A60,'NOMINA JULIO'!$F$9:$F$208,'PERSONAL JULIO'!B60,'NOMINA JULIO'!$BB$9:$BB$208,'PERSONAL JULIO'!C60)</f>
        <v>1</v>
      </c>
      <c r="E60" s="265">
        <f t="shared" si="11"/>
        <v>28</v>
      </c>
      <c r="F60" s="47">
        <f t="shared" si="0"/>
        <v>116146.91983269999</v>
      </c>
      <c r="G60" s="47">
        <v>3484407.5949809998</v>
      </c>
      <c r="H60" s="47">
        <f t="shared" si="3"/>
        <v>3484407.5949809998</v>
      </c>
      <c r="I60" s="73"/>
      <c r="J60" s="73"/>
      <c r="K60" s="47">
        <f t="shared" si="9"/>
        <v>3252113.7553156</v>
      </c>
      <c r="L60" s="52">
        <f>K60+K61</f>
        <v>6736521.3502965998</v>
      </c>
      <c r="M60" s="52">
        <f t="shared" si="12"/>
        <v>673652.13502966007</v>
      </c>
      <c r="N60" s="52">
        <f t="shared" si="13"/>
        <v>127993.90565563542</v>
      </c>
      <c r="O60" s="275">
        <f t="shared" si="48"/>
        <v>7538167.3909818949</v>
      </c>
    </row>
    <row r="61" spans="1:15">
      <c r="A61" s="77" t="s">
        <v>496</v>
      </c>
      <c r="B61" s="78" t="s">
        <v>506</v>
      </c>
      <c r="C61" s="56">
        <v>30</v>
      </c>
      <c r="D61" s="81">
        <f>COUNTIFS('NOMINA JULIO'!$G$9:$G$208,'PERSONAL JULIO'!A61,'NOMINA JULIO'!$F$9:$F$208,'PERSONAL JULIO'!B61,'NOMINA JULIO'!$BB$9:$BB$208,'PERSONAL JULIO'!C61)</f>
        <v>1</v>
      </c>
      <c r="E61" s="265">
        <f t="shared" ref="E61" si="64">+C61*D61</f>
        <v>30</v>
      </c>
      <c r="F61" s="47">
        <f t="shared" ref="F61" si="65">G61/30</f>
        <v>116146.91983269999</v>
      </c>
      <c r="G61" s="47">
        <v>3484407.5949809998</v>
      </c>
      <c r="H61" s="47">
        <f t="shared" ref="H61" si="66">G61*D61</f>
        <v>3484407.5949809998</v>
      </c>
      <c r="I61" s="73"/>
      <c r="J61" s="73"/>
      <c r="K61" s="47">
        <f t="shared" ref="K61" si="67">+C61*D61*F61</f>
        <v>3484407.5949809998</v>
      </c>
      <c r="M61" s="52"/>
      <c r="N61" s="52"/>
      <c r="O61" s="52"/>
    </row>
    <row r="62" spans="1:15">
      <c r="A62" s="82" t="s">
        <v>497</v>
      </c>
      <c r="B62" s="78" t="s">
        <v>506</v>
      </c>
      <c r="C62" s="56">
        <v>30</v>
      </c>
      <c r="D62" s="81">
        <f>COUNTIFS('NOMINA JULIO'!$G$9:$G$208,'PERSONAL JULIO'!A62,'NOMINA JULIO'!$F$9:$F$208,'PERSONAL JULIO'!B62,'NOMINA JULIO'!$BB$9:$BB$208,'PERSONAL JULIO'!C62)</f>
        <v>3</v>
      </c>
      <c r="E62" s="81">
        <f t="shared" si="11"/>
        <v>90</v>
      </c>
      <c r="F62" s="47">
        <f t="shared" si="0"/>
        <v>116146.91983269999</v>
      </c>
      <c r="G62" s="47">
        <v>3484407.5949809998</v>
      </c>
      <c r="H62" s="47">
        <f t="shared" si="3"/>
        <v>10453222.784942999</v>
      </c>
      <c r="I62" s="73"/>
      <c r="J62" s="73"/>
      <c r="K62" s="47">
        <f t="shared" si="9"/>
        <v>10453222.784942999</v>
      </c>
      <c r="L62" s="52">
        <f>K62+K92+K101</f>
        <v>16609009.536076099</v>
      </c>
      <c r="M62" s="52">
        <f t="shared" si="12"/>
        <v>1660900.95360761</v>
      </c>
      <c r="N62" s="52">
        <f t="shared" si="13"/>
        <v>315571.18118544592</v>
      </c>
      <c r="O62" s="275">
        <f t="shared" si="48"/>
        <v>18585481.670869153</v>
      </c>
    </row>
    <row r="63" spans="1:15">
      <c r="A63" s="82" t="s">
        <v>714</v>
      </c>
      <c r="B63" s="78" t="s">
        <v>506</v>
      </c>
      <c r="C63" s="56">
        <v>30</v>
      </c>
      <c r="D63" s="81">
        <f>COUNTIFS('NOMINA JULIO'!$G$9:$G$208,'PERSONAL JULIO'!A63,'NOMINA JULIO'!$F$9:$F$208,'PERSONAL JULIO'!B63,'NOMINA JULIO'!$BB$9:$BB$208,'PERSONAL JULIO'!C63)</f>
        <v>1</v>
      </c>
      <c r="E63" s="81">
        <f t="shared" si="11"/>
        <v>30</v>
      </c>
      <c r="F63" s="47">
        <f t="shared" si="0"/>
        <v>116146.91983269999</v>
      </c>
      <c r="G63" s="47">
        <v>3484407.5949809998</v>
      </c>
      <c r="H63" s="47">
        <f t="shared" si="3"/>
        <v>3484407.5949809998</v>
      </c>
      <c r="I63" s="73"/>
      <c r="J63" s="73"/>
      <c r="K63" s="47">
        <f t="shared" ref="K63:K66" si="68">+C63*D63*F63</f>
        <v>3484407.5949809998</v>
      </c>
      <c r="M63" s="52"/>
      <c r="N63" s="52"/>
      <c r="O63" s="52"/>
    </row>
    <row r="64" spans="1:15">
      <c r="A64" s="82" t="s">
        <v>719</v>
      </c>
      <c r="B64" s="78" t="s">
        <v>506</v>
      </c>
      <c r="C64" s="56">
        <v>28</v>
      </c>
      <c r="D64" s="81">
        <f>COUNTIFS('NOMINA JULIO'!$G$9:$G$208,'PERSONAL JULIO'!A64,'NOMINA JULIO'!$F$9:$F$208,'PERSONAL JULIO'!B64,'NOMINA JULIO'!$BB$9:$BB$208,'PERSONAL JULIO'!C64)</f>
        <v>1</v>
      </c>
      <c r="E64" s="81">
        <f t="shared" si="11"/>
        <v>28</v>
      </c>
      <c r="F64" s="47">
        <f t="shared" si="0"/>
        <v>116146.91983269999</v>
      </c>
      <c r="G64" s="47">
        <v>3484407.5949809998</v>
      </c>
      <c r="H64" s="47">
        <f t="shared" si="3"/>
        <v>3484407.5949809998</v>
      </c>
      <c r="I64" s="73"/>
      <c r="J64" s="73"/>
      <c r="K64" s="47">
        <f t="shared" si="68"/>
        <v>3252113.7553156</v>
      </c>
      <c r="M64" s="52"/>
      <c r="N64" s="52"/>
      <c r="O64" s="52"/>
    </row>
    <row r="65" spans="1:15">
      <c r="A65" s="82" t="s">
        <v>719</v>
      </c>
      <c r="B65" s="78" t="s">
        <v>506</v>
      </c>
      <c r="C65" s="56">
        <v>30</v>
      </c>
      <c r="D65" s="81">
        <f>COUNTIFS('NOMINA JULIO'!$G$9:$G$208,'PERSONAL JULIO'!A65,'NOMINA JULIO'!$F$9:$F$208,'PERSONAL JULIO'!B65,'NOMINA JULIO'!$BB$9:$BB$208,'PERSONAL JULIO'!C65)</f>
        <v>1</v>
      </c>
      <c r="E65" s="81">
        <f t="shared" si="11"/>
        <v>30</v>
      </c>
      <c r="F65" s="47">
        <f t="shared" si="0"/>
        <v>116146.91983269999</v>
      </c>
      <c r="G65" s="47">
        <v>3484407.5949809998</v>
      </c>
      <c r="H65" s="47">
        <f t="shared" si="3"/>
        <v>3484407.5949809998</v>
      </c>
      <c r="I65" s="73"/>
      <c r="J65" s="73"/>
      <c r="K65" s="47">
        <f t="shared" ref="K65" si="69">+C65*D65*F65</f>
        <v>3484407.5949809998</v>
      </c>
      <c r="M65" s="52"/>
      <c r="N65" s="52"/>
      <c r="O65" s="52"/>
    </row>
    <row r="66" spans="1:15">
      <c r="A66" s="82" t="s">
        <v>723</v>
      </c>
      <c r="B66" s="78" t="s">
        <v>506</v>
      </c>
      <c r="C66" s="56">
        <v>30</v>
      </c>
      <c r="D66" s="81">
        <f>COUNTIFS('NOMINA JULIO'!$G$9:$G$208,'PERSONAL JULIO'!A66,'NOMINA JULIO'!$F$9:$F$208,'PERSONAL JULIO'!B66,'NOMINA JULIO'!$BB$9:$BB$208,'PERSONAL JULIO'!C66)</f>
        <v>2</v>
      </c>
      <c r="E66" s="81">
        <f t="shared" si="11"/>
        <v>60</v>
      </c>
      <c r="F66" s="47">
        <f t="shared" si="0"/>
        <v>116146.91983269999</v>
      </c>
      <c r="G66" s="47">
        <v>3484407.5949809998</v>
      </c>
      <c r="H66" s="47">
        <f t="shared" si="3"/>
        <v>6968815.1899619997</v>
      </c>
      <c r="I66" s="73"/>
      <c r="J66" s="73"/>
      <c r="K66" s="47">
        <f t="shared" si="68"/>
        <v>6968815.1899619997</v>
      </c>
      <c r="M66" s="52"/>
      <c r="N66" s="52"/>
      <c r="O66" s="52"/>
    </row>
    <row r="67" spans="1:15">
      <c r="A67" s="295" t="s">
        <v>542</v>
      </c>
      <c r="B67" s="296"/>
      <c r="C67" s="296"/>
      <c r="D67" s="296"/>
      <c r="E67" s="296"/>
      <c r="F67" s="296"/>
      <c r="G67" s="296"/>
      <c r="H67" s="296"/>
      <c r="I67" s="296"/>
      <c r="J67" s="297"/>
      <c r="K67" s="83">
        <f>SUM(K5:K66)</f>
        <v>483868068.02302837</v>
      </c>
      <c r="L67" s="52">
        <f>SUM(L5:L66)</f>
        <v>656346243.97458756</v>
      </c>
      <c r="M67" s="52">
        <f t="shared" ref="M67:O67" si="70">SUM(M5:M66)</f>
        <v>65634624.397458762</v>
      </c>
      <c r="N67" s="52">
        <f t="shared" si="70"/>
        <v>12470578.635517167</v>
      </c>
      <c r="O67" s="52">
        <f t="shared" si="70"/>
        <v>738350499.10634732</v>
      </c>
    </row>
    <row r="68" spans="1:15">
      <c r="A68" s="298" t="s">
        <v>543</v>
      </c>
      <c r="B68" s="299"/>
      <c r="C68" s="299"/>
      <c r="D68" s="299"/>
      <c r="E68" s="299"/>
      <c r="F68" s="299"/>
      <c r="G68" s="299"/>
      <c r="H68" s="299"/>
      <c r="I68" s="299"/>
      <c r="J68" s="299"/>
      <c r="K68" s="300"/>
    </row>
    <row r="69" spans="1:15" ht="24">
      <c r="A69" s="72" t="s">
        <v>538</v>
      </c>
      <c r="B69" s="72"/>
      <c r="C69" s="72" t="s">
        <v>539</v>
      </c>
      <c r="D69" s="72" t="s">
        <v>540</v>
      </c>
      <c r="E69" s="72" t="s">
        <v>541</v>
      </c>
      <c r="F69" s="72" t="s">
        <v>500</v>
      </c>
      <c r="G69" s="72" t="s">
        <v>501</v>
      </c>
      <c r="H69" s="72" t="s">
        <v>502</v>
      </c>
      <c r="I69" s="72" t="s">
        <v>503</v>
      </c>
      <c r="J69" s="72" t="s">
        <v>504</v>
      </c>
      <c r="K69" s="72" t="s">
        <v>505</v>
      </c>
    </row>
    <row r="70" spans="1:15">
      <c r="A70" s="82" t="s">
        <v>161</v>
      </c>
      <c r="B70" s="78" t="s">
        <v>507</v>
      </c>
      <c r="C70" s="56">
        <v>28</v>
      </c>
      <c r="D70" s="81">
        <f>COUNTIFS('NOMINA JULIO'!$G$9:$G$208,'PERSONAL JULIO'!A70,'NOMINA JULIO'!$F$9:$F$208,'PERSONAL JULIO'!B70,'NOMINA JULIO'!$BB$9:$BB$208,'PERSONAL JULIO'!C70)</f>
        <v>2</v>
      </c>
      <c r="E70" s="81">
        <f t="shared" ref="E70" si="71">+C70*D70</f>
        <v>56</v>
      </c>
      <c r="F70" s="47">
        <f t="shared" ref="F70" si="72">G70/30</f>
        <v>116146.91983269999</v>
      </c>
      <c r="G70" s="47">
        <v>3484407.5949809998</v>
      </c>
      <c r="H70" s="47">
        <f t="shared" ref="H70" si="73">G70*D70</f>
        <v>6968815.1899619997</v>
      </c>
      <c r="I70" s="73"/>
      <c r="J70" s="73"/>
      <c r="K70" s="47">
        <f t="shared" ref="K70" si="74">+C70*D70*F70</f>
        <v>6504227.5106311999</v>
      </c>
    </row>
    <row r="71" spans="1:15">
      <c r="A71" s="82" t="s">
        <v>161</v>
      </c>
      <c r="B71" s="78" t="s">
        <v>507</v>
      </c>
      <c r="C71" s="56">
        <v>30</v>
      </c>
      <c r="D71" s="81">
        <f>COUNTIFS('NOMINA JULIO'!$G$9:$G$208,'PERSONAL JULIO'!A71,'NOMINA JULIO'!$F$9:$F$208,'PERSONAL JULIO'!B71,'NOMINA JULIO'!$BB$9:$BB$208,'PERSONAL JULIO'!C71)</f>
        <v>10</v>
      </c>
      <c r="E71" s="81">
        <f t="shared" ref="E71:E74" si="75">+C71*D71</f>
        <v>300</v>
      </c>
      <c r="F71" s="47">
        <f t="shared" ref="F71:F77" si="76">G71/30</f>
        <v>116146.91983269999</v>
      </c>
      <c r="G71" s="47">
        <v>3484407.5949809998</v>
      </c>
      <c r="H71" s="47">
        <f t="shared" ref="H71:H77" si="77">G71*D71</f>
        <v>34844075.949809998</v>
      </c>
      <c r="I71" s="73"/>
      <c r="J71" s="73"/>
      <c r="K71" s="47">
        <f t="shared" ref="K71:K77" si="78">+C71*D71*F71</f>
        <v>34844075.949809998</v>
      </c>
    </row>
    <row r="72" spans="1:15">
      <c r="A72" s="77" t="s">
        <v>476</v>
      </c>
      <c r="B72" s="78" t="s">
        <v>507</v>
      </c>
      <c r="C72" s="56">
        <v>28</v>
      </c>
      <c r="D72" s="81">
        <f>COUNTIFS('NOMINA JULIO'!$G$9:$G$208,'PERSONAL JULIO'!A72,'NOMINA JULIO'!$F$9:$F$208,'PERSONAL JULIO'!B72,'NOMINA JULIO'!$BB$9:$BB$208,'PERSONAL JULIO'!C72)</f>
        <v>1</v>
      </c>
      <c r="E72" s="81">
        <f t="shared" si="75"/>
        <v>28</v>
      </c>
      <c r="F72" s="47">
        <f t="shared" si="76"/>
        <v>116146.91983269999</v>
      </c>
      <c r="G72" s="47">
        <v>3484407.5949809998</v>
      </c>
      <c r="H72" s="47">
        <f t="shared" si="77"/>
        <v>3484407.5949809998</v>
      </c>
      <c r="I72" s="73"/>
      <c r="J72" s="73"/>
      <c r="K72" s="47">
        <f t="shared" si="78"/>
        <v>3252113.7553156</v>
      </c>
    </row>
    <row r="73" spans="1:15">
      <c r="A73" s="77" t="s">
        <v>476</v>
      </c>
      <c r="B73" s="78" t="s">
        <v>507</v>
      </c>
      <c r="C73" s="56">
        <v>30</v>
      </c>
      <c r="D73" s="81">
        <f>COUNTIFS('NOMINA JULIO'!$G$9:$G$208,'PERSONAL JULIO'!A73,'NOMINA JULIO'!$F$9:$F$208,'PERSONAL JULIO'!B73,'NOMINA JULIO'!$BB$9:$BB$208,'PERSONAL JULIO'!C73)</f>
        <v>2</v>
      </c>
      <c r="E73" s="81">
        <f t="shared" si="75"/>
        <v>60</v>
      </c>
      <c r="F73" s="47">
        <f t="shared" si="76"/>
        <v>116146.91983269999</v>
      </c>
      <c r="G73" s="47">
        <v>3484407.5949809998</v>
      </c>
      <c r="H73" s="47">
        <f t="shared" si="77"/>
        <v>6968815.1899619997</v>
      </c>
      <c r="I73" s="73"/>
      <c r="J73" s="73"/>
      <c r="K73" s="47">
        <f t="shared" si="78"/>
        <v>6968815.1899619997</v>
      </c>
    </row>
    <row r="74" spans="1:15">
      <c r="A74" s="77" t="s">
        <v>163</v>
      </c>
      <c r="B74" s="78" t="s">
        <v>507</v>
      </c>
      <c r="C74" s="56">
        <v>30</v>
      </c>
      <c r="D74" s="81">
        <f>COUNTIFS('NOMINA JULIO'!$G$9:$G$208,'PERSONAL JULIO'!A74,'NOMINA JULIO'!$F$9:$F$208,'PERSONAL JULIO'!B74,'NOMINA JULIO'!$BB$9:$BB$208,'PERSONAL JULIO'!C74)</f>
        <v>1</v>
      </c>
      <c r="E74" s="81">
        <f t="shared" si="75"/>
        <v>30</v>
      </c>
      <c r="F74" s="47">
        <f t="shared" si="76"/>
        <v>116146.91983269999</v>
      </c>
      <c r="G74" s="47">
        <v>3484407.5949809998</v>
      </c>
      <c r="H74" s="47">
        <f t="shared" si="77"/>
        <v>3484407.5949809998</v>
      </c>
      <c r="I74" s="73"/>
      <c r="J74" s="73"/>
      <c r="K74" s="47">
        <f t="shared" si="78"/>
        <v>3484407.5949809998</v>
      </c>
    </row>
    <row r="75" spans="1:15">
      <c r="A75" s="77" t="s">
        <v>478</v>
      </c>
      <c r="B75" s="78" t="s">
        <v>507</v>
      </c>
      <c r="C75" s="56">
        <v>30</v>
      </c>
      <c r="D75" s="81">
        <f>COUNTIFS('NOMINA JULIO'!$G$9:$G$208,'PERSONAL JULIO'!A75,'NOMINA JULIO'!$F$9:$F$208,'PERSONAL JULIO'!B75,'NOMINA JULIO'!$BB$9:$BB$208,'PERSONAL JULIO'!C75)</f>
        <v>2</v>
      </c>
      <c r="E75" s="81">
        <f t="shared" ref="E75:E92" si="79">+C75*D75</f>
        <v>60</v>
      </c>
      <c r="F75" s="47">
        <f t="shared" si="76"/>
        <v>116146.91983269999</v>
      </c>
      <c r="G75" s="47">
        <v>3484407.5949809998</v>
      </c>
      <c r="H75" s="47">
        <f t="shared" si="77"/>
        <v>6968815.1899619997</v>
      </c>
      <c r="I75" s="73"/>
      <c r="J75" s="73"/>
      <c r="K75" s="47">
        <f t="shared" si="78"/>
        <v>6968815.1899619997</v>
      </c>
    </row>
    <row r="76" spans="1:15">
      <c r="A76" s="77" t="s">
        <v>479</v>
      </c>
      <c r="B76" s="78" t="s">
        <v>507</v>
      </c>
      <c r="C76" s="56">
        <v>30</v>
      </c>
      <c r="D76" s="81">
        <f>COUNTIFS('NOMINA JULIO'!$G$9:$G$208,'PERSONAL JULIO'!A76,'NOMINA JULIO'!$F$9:$F$208,'PERSONAL JULIO'!B76,'NOMINA JULIO'!$BB$9:$BB$208,'PERSONAL JULIO'!C76)</f>
        <v>2</v>
      </c>
      <c r="E76" s="81">
        <f t="shared" si="79"/>
        <v>60</v>
      </c>
      <c r="F76" s="47">
        <f t="shared" si="76"/>
        <v>116146.91983269999</v>
      </c>
      <c r="G76" s="47">
        <v>3484407.5949809998</v>
      </c>
      <c r="H76" s="47">
        <f t="shared" si="77"/>
        <v>6968815.1899619997</v>
      </c>
      <c r="I76" s="73"/>
      <c r="J76" s="73"/>
      <c r="K76" s="47">
        <f t="shared" si="78"/>
        <v>6968815.1899619997</v>
      </c>
    </row>
    <row r="77" spans="1:15">
      <c r="A77" s="77" t="s">
        <v>480</v>
      </c>
      <c r="B77" s="78" t="s">
        <v>507</v>
      </c>
      <c r="C77" s="56">
        <v>30</v>
      </c>
      <c r="D77" s="81">
        <f>COUNTIFS('NOMINA JULIO'!$G$9:$G$208,'PERSONAL JULIO'!A77,'NOMINA JULIO'!$F$9:$F$208,'PERSONAL JULIO'!B77,'NOMINA JULIO'!$BB$9:$BB$208,'PERSONAL JULIO'!C77)</f>
        <v>1</v>
      </c>
      <c r="E77" s="81">
        <f t="shared" si="79"/>
        <v>30</v>
      </c>
      <c r="F77" s="47">
        <f t="shared" si="76"/>
        <v>116146.91983269999</v>
      </c>
      <c r="G77" s="47">
        <v>3484407.5949809998</v>
      </c>
      <c r="H77" s="47">
        <f t="shared" si="77"/>
        <v>3484407.5949809998</v>
      </c>
      <c r="I77" s="73"/>
      <c r="J77" s="73"/>
      <c r="K77" s="47">
        <f t="shared" si="78"/>
        <v>3484407.5949809998</v>
      </c>
    </row>
    <row r="78" spans="1:15">
      <c r="A78" s="77" t="s">
        <v>480</v>
      </c>
      <c r="B78" s="78" t="s">
        <v>507</v>
      </c>
      <c r="C78" s="56">
        <v>28</v>
      </c>
      <c r="D78" s="81">
        <f>COUNTIFS('NOMINA JULIO'!$G$9:$G$208,'PERSONAL JULIO'!A78,'NOMINA JULIO'!$F$9:$F$208,'PERSONAL JULIO'!B78,'NOMINA JULIO'!$BB$9:$BB$208,'PERSONAL JULIO'!C78)</f>
        <v>1</v>
      </c>
      <c r="E78" s="81">
        <f t="shared" si="79"/>
        <v>28</v>
      </c>
      <c r="F78" s="47">
        <f t="shared" ref="F78" si="80">G78/30</f>
        <v>116146.91983269999</v>
      </c>
      <c r="G78" s="47">
        <v>3484407.5949809998</v>
      </c>
      <c r="H78" s="47">
        <f t="shared" ref="H78" si="81">G78*D78</f>
        <v>3484407.5949809998</v>
      </c>
      <c r="I78" s="73"/>
      <c r="J78" s="73"/>
      <c r="K78" s="47">
        <f t="shared" ref="K78" si="82">+C78*D78*F78</f>
        <v>3252113.7553156</v>
      </c>
    </row>
    <row r="79" spans="1:15">
      <c r="A79" s="82" t="s">
        <v>481</v>
      </c>
      <c r="B79" s="78" t="s">
        <v>507</v>
      </c>
      <c r="C79" s="56">
        <v>30</v>
      </c>
      <c r="D79" s="81">
        <f>COUNTIFS('NOMINA JULIO'!$G$9:$G$208,'PERSONAL JULIO'!A79,'NOMINA JULIO'!$F$9:$F$208,'PERSONAL JULIO'!B79,'NOMINA JULIO'!$BB$9:$BB$208,'PERSONAL JULIO'!C79)</f>
        <v>1</v>
      </c>
      <c r="E79" s="81">
        <f t="shared" si="79"/>
        <v>30</v>
      </c>
      <c r="F79" s="47">
        <f t="shared" ref="F79" si="83">G79/30</f>
        <v>116146.91983269999</v>
      </c>
      <c r="G79" s="47">
        <v>3484407.5949809998</v>
      </c>
      <c r="H79" s="47">
        <f t="shared" ref="H79" si="84">G79*D79</f>
        <v>3484407.5949809998</v>
      </c>
      <c r="I79" s="73"/>
      <c r="J79" s="73"/>
      <c r="K79" s="47">
        <f t="shared" ref="K79" si="85">+C79*D79*F79</f>
        <v>3484407.5949809998</v>
      </c>
    </row>
    <row r="80" spans="1:15">
      <c r="A80" s="82" t="s">
        <v>482</v>
      </c>
      <c r="B80" s="78" t="s">
        <v>507</v>
      </c>
      <c r="C80" s="56">
        <v>30</v>
      </c>
      <c r="D80" s="81">
        <f>COUNTIFS('NOMINA JULIO'!$G$9:$G$208,'PERSONAL JULIO'!A80,'NOMINA JULIO'!$F$9:$F$208,'PERSONAL JULIO'!B80,'NOMINA JULIO'!$BB$9:$BB$208,'PERSONAL JULIO'!C80)</f>
        <v>2</v>
      </c>
      <c r="E80" s="81">
        <f t="shared" si="79"/>
        <v>60</v>
      </c>
      <c r="F80" s="47">
        <f t="shared" ref="F80:F84" si="86">G80/30</f>
        <v>116146.91983269999</v>
      </c>
      <c r="G80" s="47">
        <v>3484407.5949809998</v>
      </c>
      <c r="H80" s="47">
        <f t="shared" ref="H80:H84" si="87">G80*D80</f>
        <v>6968815.1899619997</v>
      </c>
      <c r="I80" s="73"/>
      <c r="J80" s="73"/>
      <c r="K80" s="47">
        <f t="shared" ref="K80:K84" si="88">+C80*D80*F80</f>
        <v>6968815.1899619997</v>
      </c>
    </row>
    <row r="81" spans="1:15">
      <c r="A81" s="82" t="s">
        <v>483</v>
      </c>
      <c r="B81" s="78" t="s">
        <v>507</v>
      </c>
      <c r="C81" s="56">
        <v>29</v>
      </c>
      <c r="D81" s="81">
        <f>COUNTIFS('NOMINA JULIO'!$G$9:$G$208,'PERSONAL JULIO'!A81,'NOMINA JULIO'!$F$9:$F$208,'PERSONAL JULIO'!B81,'NOMINA JULIO'!$BB$9:$BB$208,'PERSONAL JULIO'!C81)</f>
        <v>1</v>
      </c>
      <c r="E81" s="81">
        <f t="shared" si="79"/>
        <v>29</v>
      </c>
      <c r="F81" s="47">
        <f t="shared" si="86"/>
        <v>116146.91983269999</v>
      </c>
      <c r="G81" s="47">
        <v>3484407.5949809998</v>
      </c>
      <c r="H81" s="47">
        <f t="shared" si="87"/>
        <v>3484407.5949809998</v>
      </c>
      <c r="I81" s="73"/>
      <c r="J81" s="73"/>
      <c r="K81" s="47">
        <f t="shared" si="88"/>
        <v>3368260.6751482999</v>
      </c>
    </row>
    <row r="82" spans="1:15">
      <c r="A82" s="82" t="s">
        <v>483</v>
      </c>
      <c r="B82" s="78" t="s">
        <v>507</v>
      </c>
      <c r="C82" s="56">
        <v>30</v>
      </c>
      <c r="D82" s="81">
        <f>COUNTIFS('NOMINA JULIO'!$G$9:$G$208,'PERSONAL JULIO'!A82,'NOMINA JULIO'!$F$9:$F$208,'PERSONAL JULIO'!B82,'NOMINA JULIO'!$BB$9:$BB$208,'PERSONAL JULIO'!C82)</f>
        <v>2</v>
      </c>
      <c r="E82" s="81">
        <f t="shared" ref="E82" si="89">+C82*D82</f>
        <v>60</v>
      </c>
      <c r="F82" s="47">
        <f t="shared" ref="F82" si="90">G82/30</f>
        <v>116146.91983269999</v>
      </c>
      <c r="G82" s="47">
        <v>3484407.5949809998</v>
      </c>
      <c r="H82" s="47">
        <f t="shared" ref="H82" si="91">G82*D82</f>
        <v>6968815.1899619997</v>
      </c>
      <c r="I82" s="73"/>
      <c r="J82" s="73"/>
      <c r="K82" s="47">
        <f t="shared" ref="K82" si="92">+C82*D82*F82</f>
        <v>6968815.1899619997</v>
      </c>
    </row>
    <row r="83" spans="1:15">
      <c r="A83" s="82" t="s">
        <v>484</v>
      </c>
      <c r="B83" s="78" t="s">
        <v>507</v>
      </c>
      <c r="C83" s="56">
        <v>30</v>
      </c>
      <c r="D83" s="81">
        <f>COUNTIFS('NOMINA JULIO'!$G$9:$G$208,'PERSONAL JULIO'!A83,'NOMINA JULIO'!$F$9:$F$208,'PERSONAL JULIO'!B83,'NOMINA JULIO'!$BB$9:$BB$208,'PERSONAL JULIO'!C83)</f>
        <v>2</v>
      </c>
      <c r="E83" s="81">
        <f t="shared" si="79"/>
        <v>60</v>
      </c>
      <c r="F83" s="47">
        <f t="shared" si="86"/>
        <v>116146.91983269999</v>
      </c>
      <c r="G83" s="47">
        <v>3484407.5949809998</v>
      </c>
      <c r="H83" s="47">
        <f t="shared" si="87"/>
        <v>6968815.1899619997</v>
      </c>
      <c r="I83" s="73"/>
      <c r="J83" s="73"/>
      <c r="K83" s="47">
        <f t="shared" si="88"/>
        <v>6968815.1899619997</v>
      </c>
    </row>
    <row r="84" spans="1:15">
      <c r="A84" s="82" t="s">
        <v>486</v>
      </c>
      <c r="B84" s="78" t="s">
        <v>507</v>
      </c>
      <c r="C84" s="56">
        <v>30</v>
      </c>
      <c r="D84" s="81">
        <f>COUNTIFS('NOMINA JULIO'!$G$9:$G$208,'PERSONAL JULIO'!A84,'NOMINA JULIO'!$F$9:$F$208,'PERSONAL JULIO'!B84,'NOMINA JULIO'!$BB$9:$BB$208,'PERSONAL JULIO'!C84)</f>
        <v>1</v>
      </c>
      <c r="E84" s="81">
        <f t="shared" si="79"/>
        <v>30</v>
      </c>
      <c r="F84" s="47">
        <f t="shared" si="86"/>
        <v>116146.91983269999</v>
      </c>
      <c r="G84" s="47">
        <v>3484407.5949809998</v>
      </c>
      <c r="H84" s="47">
        <f t="shared" si="87"/>
        <v>3484407.5949809998</v>
      </c>
      <c r="I84" s="73"/>
      <c r="J84" s="73"/>
      <c r="K84" s="47">
        <f t="shared" si="88"/>
        <v>3484407.5949809998</v>
      </c>
    </row>
    <row r="85" spans="1:15">
      <c r="A85" s="82" t="s">
        <v>487</v>
      </c>
      <c r="B85" s="78" t="s">
        <v>507</v>
      </c>
      <c r="C85" s="56">
        <v>30</v>
      </c>
      <c r="D85" s="81">
        <f>COUNTIFS('NOMINA JULIO'!$G$9:$G$208,'PERSONAL JULIO'!A85,'NOMINA JULIO'!$F$9:$F$208,'PERSONAL JULIO'!B85,'NOMINA JULIO'!$BB$9:$BB$208,'PERSONAL JULIO'!C85)</f>
        <v>1</v>
      </c>
      <c r="E85" s="81">
        <f t="shared" si="79"/>
        <v>30</v>
      </c>
      <c r="F85" s="47">
        <f t="shared" ref="F85:F89" si="93">G85/30</f>
        <v>116146.91983269999</v>
      </c>
      <c r="G85" s="47">
        <v>3484407.5949809998</v>
      </c>
      <c r="H85" s="47">
        <f t="shared" ref="H85:H89" si="94">G85*D85</f>
        <v>3484407.5949809998</v>
      </c>
      <c r="I85" s="73"/>
      <c r="J85" s="73"/>
      <c r="K85" s="47">
        <f t="shared" ref="K85:K89" si="95">+C85*D85*F85</f>
        <v>3484407.5949809998</v>
      </c>
    </row>
    <row r="86" spans="1:15">
      <c r="A86" s="77" t="s">
        <v>488</v>
      </c>
      <c r="B86" s="78" t="s">
        <v>507</v>
      </c>
      <c r="C86" s="56">
        <v>25</v>
      </c>
      <c r="D86" s="81">
        <f>COUNTIFS('NOMINA JULIO'!$G$9:$G$208,'PERSONAL JULIO'!A86,'NOMINA JULIO'!$F$9:$F$208,'PERSONAL JULIO'!B86,'NOMINA JULIO'!$BB$9:$BB$208,'PERSONAL JULIO'!C86)</f>
        <v>1</v>
      </c>
      <c r="E86" s="81">
        <f t="shared" ref="E86:E87" si="96">+C86*D86</f>
        <v>25</v>
      </c>
      <c r="F86" s="47">
        <f t="shared" ref="F86:F87" si="97">G86/30</f>
        <v>116146.91983269999</v>
      </c>
      <c r="G86" s="47">
        <v>3484407.5949809998</v>
      </c>
      <c r="H86" s="47">
        <f t="shared" ref="H86:H87" si="98">G86*D86</f>
        <v>3484407.5949809998</v>
      </c>
      <c r="I86" s="73"/>
      <c r="J86" s="73"/>
      <c r="K86" s="47">
        <f t="shared" ref="K86:K87" si="99">+C86*D86*F86</f>
        <v>2903672.9958174997</v>
      </c>
    </row>
    <row r="87" spans="1:15">
      <c r="A87" s="77" t="s">
        <v>488</v>
      </c>
      <c r="B87" s="78" t="s">
        <v>507</v>
      </c>
      <c r="C87" s="56">
        <v>28</v>
      </c>
      <c r="D87" s="81">
        <f>COUNTIFS('NOMINA JULIO'!$G$9:$G$208,'PERSONAL JULIO'!A87,'NOMINA JULIO'!$F$9:$F$208,'PERSONAL JULIO'!B87,'NOMINA JULIO'!$BB$9:$BB$208,'PERSONAL JULIO'!C87)</f>
        <v>1</v>
      </c>
      <c r="E87" s="81">
        <f t="shared" si="96"/>
        <v>28</v>
      </c>
      <c r="F87" s="47">
        <f t="shared" si="97"/>
        <v>116146.91983269999</v>
      </c>
      <c r="G87" s="47">
        <v>3484407.5949809998</v>
      </c>
      <c r="H87" s="47">
        <f t="shared" si="98"/>
        <v>3484407.5949809998</v>
      </c>
      <c r="I87" s="73"/>
      <c r="J87" s="73"/>
      <c r="K87" s="47">
        <f t="shared" si="99"/>
        <v>3252113.7553156</v>
      </c>
    </row>
    <row r="88" spans="1:15">
      <c r="A88" s="82" t="s">
        <v>490</v>
      </c>
      <c r="B88" s="78" t="s">
        <v>507</v>
      </c>
      <c r="C88" s="56">
        <v>30</v>
      </c>
      <c r="D88" s="81">
        <f>COUNTIFS('NOMINA JULIO'!$G$9:$G$208,'PERSONAL JULIO'!A88,'NOMINA JULIO'!$F$9:$F$208,'PERSONAL JULIO'!B88,'NOMINA JULIO'!$BB$9:$BB$208,'PERSONAL JULIO'!C88)</f>
        <v>2</v>
      </c>
      <c r="E88" s="81">
        <f t="shared" si="79"/>
        <v>60</v>
      </c>
      <c r="F88" s="47">
        <f t="shared" si="93"/>
        <v>116146.91983269999</v>
      </c>
      <c r="G88" s="47">
        <v>3484407.5949809998</v>
      </c>
      <c r="H88" s="47">
        <f t="shared" si="94"/>
        <v>6968815.1899619997</v>
      </c>
      <c r="I88" s="73"/>
      <c r="J88" s="73"/>
      <c r="K88" s="47">
        <f t="shared" si="95"/>
        <v>6968815.1899619997</v>
      </c>
    </row>
    <row r="89" spans="1:15">
      <c r="A89" s="82" t="s">
        <v>491</v>
      </c>
      <c r="B89" s="78" t="s">
        <v>507</v>
      </c>
      <c r="C89" s="56">
        <v>30</v>
      </c>
      <c r="D89" s="81">
        <f>COUNTIFS('NOMINA JULIO'!$G$9:$G$208,'PERSONAL JULIO'!A89,'NOMINA JULIO'!$F$9:$F$208,'PERSONAL JULIO'!B89,'NOMINA JULIO'!$BB$9:$BB$208,'PERSONAL JULIO'!C89)</f>
        <v>1</v>
      </c>
      <c r="E89" s="81">
        <f t="shared" si="79"/>
        <v>30</v>
      </c>
      <c r="F89" s="47">
        <f t="shared" si="93"/>
        <v>116146.91983269999</v>
      </c>
      <c r="G89" s="47">
        <v>3484407.5949809998</v>
      </c>
      <c r="H89" s="47">
        <f t="shared" si="94"/>
        <v>3484407.5949809998</v>
      </c>
      <c r="I89" s="73"/>
      <c r="J89" s="73"/>
      <c r="K89" s="47">
        <f t="shared" si="95"/>
        <v>3484407.5949809998</v>
      </c>
    </row>
    <row r="90" spans="1:15">
      <c r="A90" s="82" t="s">
        <v>589</v>
      </c>
      <c r="B90" s="78" t="s">
        <v>507</v>
      </c>
      <c r="C90" s="56">
        <v>30</v>
      </c>
      <c r="D90" s="81">
        <f>COUNTIFS('NOMINA JULIO'!$G$9:$G$208,'PERSONAL JULIO'!A90,'NOMINA JULIO'!$F$9:$F$208,'PERSONAL JULIO'!B90,'NOMINA JULIO'!$BB$9:$BB$208,'PERSONAL JULIO'!C90)</f>
        <v>1</v>
      </c>
      <c r="E90" s="81">
        <f t="shared" ref="E90" si="100">+C90*D90</f>
        <v>30</v>
      </c>
      <c r="F90" s="47">
        <f t="shared" ref="F90" si="101">G90/30</f>
        <v>116146.91983269999</v>
      </c>
      <c r="G90" s="47">
        <v>3484407.5949809998</v>
      </c>
      <c r="H90" s="47">
        <f t="shared" ref="H90" si="102">G90*D90</f>
        <v>3484407.5949809998</v>
      </c>
      <c r="I90" s="73"/>
      <c r="J90" s="73"/>
      <c r="K90" s="47">
        <f t="shared" ref="K90" si="103">+C90*D90*F90</f>
        <v>3484407.5949809998</v>
      </c>
      <c r="L90" s="52">
        <f>K90</f>
        <v>3484407.5949809998</v>
      </c>
    </row>
    <row r="91" spans="1:15">
      <c r="A91" s="77" t="s">
        <v>495</v>
      </c>
      <c r="B91" s="78" t="s">
        <v>507</v>
      </c>
      <c r="C91" s="56">
        <v>30</v>
      </c>
      <c r="D91" s="81">
        <f>COUNTIFS('NOMINA JULIO'!$G$9:$G$208,'PERSONAL JULIO'!A91,'NOMINA JULIO'!$F$9:$F$208,'PERSONAL JULIO'!B91,'NOMINA JULIO'!$BB$9:$BB$208,'PERSONAL JULIO'!C91)</f>
        <v>1</v>
      </c>
      <c r="E91" s="81">
        <f t="shared" si="79"/>
        <v>30</v>
      </c>
      <c r="F91" s="47">
        <f t="shared" ref="F91" si="104">G91/30</f>
        <v>116146.91983269999</v>
      </c>
      <c r="G91" s="47">
        <v>3484407.5949809998</v>
      </c>
      <c r="H91" s="47">
        <f t="shared" ref="H91" si="105">G91*D91</f>
        <v>3484407.5949809998</v>
      </c>
      <c r="I91" s="73"/>
      <c r="J91" s="73"/>
      <c r="K91" s="47">
        <f t="shared" ref="K91" si="106">+C91*D91*F91</f>
        <v>3484407.5949809998</v>
      </c>
    </row>
    <row r="92" spans="1:15">
      <c r="A92" s="82" t="s">
        <v>497</v>
      </c>
      <c r="B92" s="78" t="s">
        <v>507</v>
      </c>
      <c r="C92" s="56">
        <v>30</v>
      </c>
      <c r="D92" s="81">
        <f>COUNTIFS('NOMINA JULIO'!$G$9:$G$208,'PERSONAL JULIO'!A92,'NOMINA JULIO'!$F$9:$F$208,'PERSONAL JULIO'!B92,'NOMINA JULIO'!$BB$9:$BB$208,'PERSONAL JULIO'!C92)</f>
        <v>1</v>
      </c>
      <c r="E92" s="81">
        <f t="shared" si="79"/>
        <v>30</v>
      </c>
      <c r="F92" s="47">
        <f t="shared" ref="F92" si="107">G92/30</f>
        <v>116146.91983269999</v>
      </c>
      <c r="G92" s="47">
        <v>3484407.5949809998</v>
      </c>
      <c r="H92" s="47">
        <f t="shared" ref="H92" si="108">G92*D92</f>
        <v>3484407.5949809998</v>
      </c>
      <c r="I92" s="73"/>
      <c r="J92" s="73"/>
      <c r="K92" s="47">
        <f t="shared" ref="K92" si="109">+C92*D92*F92</f>
        <v>3484407.5949809998</v>
      </c>
    </row>
    <row r="93" spans="1:15">
      <c r="A93" s="295" t="s">
        <v>542</v>
      </c>
      <c r="B93" s="296"/>
      <c r="C93" s="296"/>
      <c r="D93" s="296"/>
      <c r="E93" s="296"/>
      <c r="F93" s="296"/>
      <c r="G93" s="296"/>
      <c r="H93" s="296"/>
      <c r="I93" s="296"/>
      <c r="J93" s="297"/>
      <c r="K93" s="83">
        <f>SUM(K70:K92)</f>
        <v>137517953.08191681</v>
      </c>
      <c r="M93">
        <f>SUM(E70:E92)</f>
        <v>1184</v>
      </c>
      <c r="N93">
        <v>1184</v>
      </c>
      <c r="O93">
        <f>+M93-N93</f>
        <v>0</v>
      </c>
    </row>
    <row r="94" spans="1:15">
      <c r="A94" s="298" t="s">
        <v>544</v>
      </c>
      <c r="B94" s="299"/>
      <c r="C94" s="299"/>
      <c r="D94" s="299"/>
      <c r="E94" s="299"/>
      <c r="F94" s="299"/>
      <c r="G94" s="299"/>
      <c r="H94" s="299"/>
      <c r="I94" s="299"/>
      <c r="J94" s="299"/>
      <c r="K94" s="300"/>
    </row>
    <row r="95" spans="1:15" ht="24">
      <c r="A95" s="72" t="s">
        <v>538</v>
      </c>
      <c r="B95" s="72"/>
      <c r="C95" s="72" t="s">
        <v>539</v>
      </c>
      <c r="D95" s="72" t="s">
        <v>540</v>
      </c>
      <c r="E95" s="72"/>
      <c r="F95" s="72" t="s">
        <v>500</v>
      </c>
      <c r="G95" s="72" t="s">
        <v>501</v>
      </c>
      <c r="H95" s="72" t="s">
        <v>502</v>
      </c>
      <c r="I95" s="72" t="s">
        <v>503</v>
      </c>
      <c r="J95" s="72" t="s">
        <v>504</v>
      </c>
      <c r="K95" s="72" t="s">
        <v>505</v>
      </c>
    </row>
    <row r="96" spans="1:15">
      <c r="A96" s="77" t="s">
        <v>161</v>
      </c>
      <c r="B96" s="78" t="s">
        <v>508</v>
      </c>
      <c r="C96" s="81">
        <v>30</v>
      </c>
      <c r="D96" s="81">
        <f>COUNTIFS('NOMINA JULIO'!$G$9:$G$208,'PERSONAL JULIO'!A96,'NOMINA JULIO'!$F$9:$F$208,'PERSONAL JULIO'!B96,'NOMINA JULIO'!$BB$9:$BB$208,'PERSONAL JULIO'!C96)</f>
        <v>1</v>
      </c>
      <c r="E96" s="81">
        <f t="shared" ref="E96:E101" si="110">+C96*D96</f>
        <v>30</v>
      </c>
      <c r="F96" s="47">
        <f t="shared" ref="F96:F101" si="111">G96/30</f>
        <v>116146.91983269999</v>
      </c>
      <c r="G96" s="47">
        <v>3484407.5949809998</v>
      </c>
      <c r="H96" s="47">
        <f t="shared" ref="H96:H101" si="112">G96*D96</f>
        <v>3484407.5949809998</v>
      </c>
      <c r="I96" s="73"/>
      <c r="J96" s="73"/>
      <c r="K96" s="47">
        <f t="shared" ref="K96:K101" si="113">+C96*D96*F96</f>
        <v>3484407.5949809998</v>
      </c>
    </row>
    <row r="97" spans="1:15">
      <c r="A97" s="77" t="s">
        <v>476</v>
      </c>
      <c r="B97" s="78" t="s">
        <v>508</v>
      </c>
      <c r="C97" s="81">
        <v>30</v>
      </c>
      <c r="D97" s="81">
        <f>COUNTIFS('NOMINA JULIO'!$G$9:$G$208,'PERSONAL JULIO'!A97,'NOMINA JULIO'!$F$9:$F$208,'PERSONAL JULIO'!B97,'NOMINA JULIO'!$BB$9:$BB$208,'PERSONAL JULIO'!C97)</f>
        <v>1</v>
      </c>
      <c r="E97" s="81">
        <f t="shared" si="110"/>
        <v>30</v>
      </c>
      <c r="F97" s="47">
        <f t="shared" si="111"/>
        <v>116146.91983269999</v>
      </c>
      <c r="G97" s="47">
        <v>3484407.5949809998</v>
      </c>
      <c r="H97" s="47">
        <f t="shared" si="112"/>
        <v>3484407.5949809998</v>
      </c>
      <c r="I97" s="73"/>
      <c r="J97" s="73"/>
      <c r="K97" s="47">
        <f t="shared" si="113"/>
        <v>3484407.5949809998</v>
      </c>
    </row>
    <row r="98" spans="1:15">
      <c r="A98" s="77" t="s">
        <v>163</v>
      </c>
      <c r="B98" s="78" t="s">
        <v>508</v>
      </c>
      <c r="C98" s="81">
        <v>30</v>
      </c>
      <c r="D98" s="81">
        <f>COUNTIFS('NOMINA JULIO'!$G$9:$G$208,'PERSONAL JULIO'!A98,'NOMINA JULIO'!$F$9:$F$208,'PERSONAL JULIO'!B98,'NOMINA JULIO'!$BB$9:$BB$208,'PERSONAL JULIO'!C98)</f>
        <v>1</v>
      </c>
      <c r="E98" s="81">
        <f t="shared" si="110"/>
        <v>30</v>
      </c>
      <c r="F98" s="47">
        <f t="shared" si="111"/>
        <v>116146.91983269999</v>
      </c>
      <c r="G98" s="47">
        <v>3484407.5949809998</v>
      </c>
      <c r="H98" s="47">
        <f t="shared" si="112"/>
        <v>3484407.5949809998</v>
      </c>
      <c r="I98" s="73"/>
      <c r="J98" s="73"/>
      <c r="K98" s="47">
        <f t="shared" si="113"/>
        <v>3484407.5949809998</v>
      </c>
    </row>
    <row r="99" spans="1:15">
      <c r="A99" s="82" t="s">
        <v>490</v>
      </c>
      <c r="B99" s="78" t="s">
        <v>508</v>
      </c>
      <c r="C99" s="81">
        <v>30</v>
      </c>
      <c r="D99" s="81">
        <f>COUNTIFS('NOMINA JULIO'!$G$9:$G$208,'PERSONAL JULIO'!A99,'NOMINA JULIO'!$F$9:$F$208,'PERSONAL JULIO'!B99,'NOMINA JULIO'!$BB$9:$BB$208,'PERSONAL JULIO'!C99)</f>
        <v>1</v>
      </c>
      <c r="E99" s="81">
        <f t="shared" si="110"/>
        <v>30</v>
      </c>
      <c r="F99" s="47">
        <f t="shared" si="111"/>
        <v>116146.91983269999</v>
      </c>
      <c r="G99" s="47">
        <v>3484407.5949809998</v>
      </c>
      <c r="H99" s="47">
        <f t="shared" ref="H99" si="114">G99*D99</f>
        <v>3484407.5949809998</v>
      </c>
      <c r="I99" s="73"/>
      <c r="J99" s="73"/>
      <c r="K99" s="47">
        <f t="shared" ref="K99" si="115">+C99*D99*F99</f>
        <v>3484407.5949809998</v>
      </c>
    </row>
    <row r="100" spans="1:15">
      <c r="A100" s="77" t="s">
        <v>491</v>
      </c>
      <c r="B100" s="78" t="s">
        <v>508</v>
      </c>
      <c r="C100" s="81">
        <v>30</v>
      </c>
      <c r="D100" s="81">
        <f>COUNTIFS('NOMINA JULIO'!$G$9:$G$208,'PERSONAL JULIO'!A100,'NOMINA JULIO'!$F$9:$F$208,'PERSONAL JULIO'!B100,'NOMINA JULIO'!$BB$9:$BB$208,'PERSONAL JULIO'!C100)</f>
        <v>1</v>
      </c>
      <c r="E100" s="81">
        <f t="shared" si="110"/>
        <v>30</v>
      </c>
      <c r="F100" s="47">
        <f t="shared" si="111"/>
        <v>116146.91983269999</v>
      </c>
      <c r="G100" s="47">
        <v>3484407.5949809998</v>
      </c>
      <c r="H100" s="47">
        <f t="shared" ref="H100" si="116">G100*D100</f>
        <v>3484407.5949809998</v>
      </c>
      <c r="I100" s="73"/>
      <c r="J100" s="73"/>
      <c r="K100" s="47">
        <f t="shared" ref="K100" si="117">+C100*D100*F100</f>
        <v>3484407.5949809998</v>
      </c>
    </row>
    <row r="101" spans="1:15">
      <c r="A101" s="82" t="s">
        <v>497</v>
      </c>
      <c r="B101" s="78" t="s">
        <v>508</v>
      </c>
      <c r="C101" s="81">
        <v>23</v>
      </c>
      <c r="D101" s="81">
        <f>COUNTIFS('NOMINA JULIO'!$G$9:$G$208,'PERSONAL JULIO'!A101,'NOMINA JULIO'!$F$9:$F$208,'PERSONAL JULIO'!B101,'NOMINA JULIO'!$BB$9:$BB$208,'PERSONAL JULIO'!C101)</f>
        <v>1</v>
      </c>
      <c r="E101" s="81">
        <f t="shared" si="110"/>
        <v>23</v>
      </c>
      <c r="F101" s="47">
        <f t="shared" si="111"/>
        <v>116146.91983269999</v>
      </c>
      <c r="G101" s="47">
        <v>3484407.5949809998</v>
      </c>
      <c r="H101" s="47">
        <f t="shared" si="112"/>
        <v>3484407.5949809998</v>
      </c>
      <c r="I101" s="73"/>
      <c r="J101" s="73"/>
      <c r="K101" s="47">
        <f t="shared" si="113"/>
        <v>2671379.1561520998</v>
      </c>
    </row>
    <row r="102" spans="1:15">
      <c r="A102" s="295" t="s">
        <v>542</v>
      </c>
      <c r="B102" s="296"/>
      <c r="C102" s="296"/>
      <c r="D102" s="296"/>
      <c r="E102" s="296"/>
      <c r="F102" s="296"/>
      <c r="G102" s="296"/>
      <c r="H102" s="296"/>
      <c r="I102" s="296"/>
      <c r="J102" s="297"/>
      <c r="K102" s="83">
        <f>SUM(K96:K101)</f>
        <v>20093417.131057099</v>
      </c>
      <c r="M102">
        <f>SUM(E96:E101)</f>
        <v>173</v>
      </c>
      <c r="N102">
        <v>173</v>
      </c>
      <c r="O102">
        <f>+M102-N102</f>
        <v>0</v>
      </c>
    </row>
    <row r="103" spans="1:15">
      <c r="A103" s="298" t="s">
        <v>545</v>
      </c>
      <c r="B103" s="299"/>
      <c r="C103" s="299"/>
      <c r="D103" s="299"/>
      <c r="E103" s="299"/>
      <c r="F103" s="299"/>
      <c r="G103" s="299"/>
      <c r="H103" s="299"/>
      <c r="I103" s="299"/>
      <c r="J103" s="299"/>
      <c r="K103" s="300"/>
    </row>
    <row r="104" spans="1:15" ht="24">
      <c r="A104" s="72" t="s">
        <v>511</v>
      </c>
      <c r="B104" s="72"/>
      <c r="C104" s="72" t="s">
        <v>539</v>
      </c>
      <c r="D104" s="72" t="s">
        <v>540</v>
      </c>
      <c r="E104" s="72"/>
      <c r="F104" s="72" t="s">
        <v>500</v>
      </c>
      <c r="G104" s="72" t="s">
        <v>501</v>
      </c>
      <c r="H104" s="72" t="s">
        <v>502</v>
      </c>
      <c r="I104" s="72" t="s">
        <v>503</v>
      </c>
      <c r="J104" s="72" t="s">
        <v>504</v>
      </c>
      <c r="K104" s="72" t="s">
        <v>505</v>
      </c>
    </row>
    <row r="105" spans="1:15" ht="23.1" customHeight="1">
      <c r="A105" s="84" t="s">
        <v>161</v>
      </c>
      <c r="B105" s="78" t="s">
        <v>509</v>
      </c>
      <c r="C105" s="81">
        <v>15</v>
      </c>
      <c r="D105" s="81">
        <f>COUNTIFS('NOMINA JULIO'!$G$9:$G$208,'PERSONAL JULIO'!A105,'NOMINA JULIO'!$F$9:$F$208,'PERSONAL JULIO'!B105,'NOMINA JULIO'!$BB$9:$BB$208,'PERSONAL JULIO'!C105)</f>
        <v>1</v>
      </c>
      <c r="E105" s="81">
        <f t="shared" ref="E105:E110" si="118">+C105*D105</f>
        <v>15</v>
      </c>
      <c r="F105" s="47">
        <f t="shared" ref="F105:F110" si="119">G105/30</f>
        <v>116146.91983269999</v>
      </c>
      <c r="G105" s="47">
        <v>3484407.5949809998</v>
      </c>
      <c r="H105" s="47">
        <f t="shared" ref="H105:H110" si="120">G105*D105</f>
        <v>3484407.5949809998</v>
      </c>
      <c r="I105" s="73"/>
      <c r="J105" s="73"/>
      <c r="K105" s="47">
        <f t="shared" ref="K105:K110" si="121">+C105*D105*F105</f>
        <v>1742203.7974904999</v>
      </c>
    </row>
    <row r="106" spans="1:15" ht="23.1" customHeight="1">
      <c r="A106" s="84" t="s">
        <v>161</v>
      </c>
      <c r="B106" s="78" t="s">
        <v>509</v>
      </c>
      <c r="C106" s="81">
        <v>23</v>
      </c>
      <c r="D106" s="81">
        <f>COUNTIFS('NOMINA JULIO'!$G$9:$G$208,'PERSONAL JULIO'!A106,'NOMINA JULIO'!$F$9:$F$208,'PERSONAL JULIO'!B106,'NOMINA JULIO'!$BB$9:$BB$208,'PERSONAL JULIO'!C106)</f>
        <v>1</v>
      </c>
      <c r="E106" s="81">
        <f t="shared" ref="E106:E107" si="122">+C106*D106</f>
        <v>23</v>
      </c>
      <c r="F106" s="47">
        <f t="shared" ref="F106:F107" si="123">G106/30</f>
        <v>116146.91983269999</v>
      </c>
      <c r="G106" s="47">
        <v>3484407.5949809998</v>
      </c>
      <c r="H106" s="47">
        <f t="shared" ref="H106:H107" si="124">G106*D106</f>
        <v>3484407.5949809998</v>
      </c>
      <c r="I106" s="73"/>
      <c r="J106" s="73"/>
      <c r="K106" s="47">
        <f t="shared" ref="K106:K107" si="125">+C106*D106*F106</f>
        <v>2671379.1561520998</v>
      </c>
    </row>
    <row r="107" spans="1:15" ht="23.1" customHeight="1">
      <c r="A107" s="84" t="s">
        <v>161</v>
      </c>
      <c r="B107" s="78" t="s">
        <v>509</v>
      </c>
      <c r="C107" s="81">
        <v>30</v>
      </c>
      <c r="D107" s="81">
        <f>COUNTIFS('NOMINA JULIO'!$G$9:$G$208,'PERSONAL JULIO'!A107,'NOMINA JULIO'!$F$9:$F$208,'PERSONAL JULIO'!B107,'NOMINA JULIO'!$BB$9:$BB$208,'PERSONAL JULIO'!C107)</f>
        <v>1</v>
      </c>
      <c r="E107" s="81">
        <f t="shared" si="122"/>
        <v>30</v>
      </c>
      <c r="F107" s="47">
        <f t="shared" si="123"/>
        <v>116146.91983269999</v>
      </c>
      <c r="G107" s="47">
        <v>3484407.5949809998</v>
      </c>
      <c r="H107" s="47">
        <f t="shared" si="124"/>
        <v>3484407.5949809998</v>
      </c>
      <c r="I107" s="73"/>
      <c r="J107" s="73"/>
      <c r="K107" s="47">
        <f t="shared" si="125"/>
        <v>3484407.5949809998</v>
      </c>
    </row>
    <row r="108" spans="1:15" ht="23.1" customHeight="1">
      <c r="A108" s="82" t="s">
        <v>483</v>
      </c>
      <c r="B108" s="78" t="s">
        <v>509</v>
      </c>
      <c r="C108" s="81">
        <v>30</v>
      </c>
      <c r="D108" s="81">
        <f>COUNTIFS('NOMINA JULIO'!$G$9:$G$208,'PERSONAL JULIO'!A108,'NOMINA JULIO'!$F$9:$F$208,'PERSONAL JULIO'!B108,'NOMINA JULIO'!$BB$9:$BB$208,'PERSONAL JULIO'!C108)</f>
        <v>1</v>
      </c>
      <c r="E108" s="81">
        <f t="shared" si="118"/>
        <v>30</v>
      </c>
      <c r="F108" s="47">
        <f t="shared" si="119"/>
        <v>116146.91983269999</v>
      </c>
      <c r="G108" s="47">
        <v>3484407.5949809998</v>
      </c>
      <c r="H108" s="47">
        <f t="shared" ref="H108" si="126">G108*D108</f>
        <v>3484407.5949809998</v>
      </c>
      <c r="I108" s="73"/>
      <c r="J108" s="73"/>
      <c r="K108" s="47">
        <f t="shared" ref="K108" si="127">+C108*D108*F108</f>
        <v>3484407.5949809998</v>
      </c>
    </row>
    <row r="109" spans="1:15">
      <c r="A109" s="84" t="s">
        <v>484</v>
      </c>
      <c r="B109" s="78" t="s">
        <v>509</v>
      </c>
      <c r="C109" s="81">
        <v>30</v>
      </c>
      <c r="D109" s="81">
        <f>COUNTIFS('NOMINA JULIO'!$G$9:$G$208,'PERSONAL JULIO'!A109,'NOMINA JULIO'!$F$9:$F$208,'PERSONAL JULIO'!B109,'NOMINA JULIO'!$BB$9:$BB$208,'PERSONAL JULIO'!C109)</f>
        <v>1</v>
      </c>
      <c r="E109" s="81">
        <f t="shared" si="118"/>
        <v>30</v>
      </c>
      <c r="F109" s="47">
        <f t="shared" si="119"/>
        <v>116146.91983269999</v>
      </c>
      <c r="G109" s="47">
        <v>3484407.5949809998</v>
      </c>
      <c r="H109" s="47">
        <f t="shared" si="120"/>
        <v>3484407.5949809998</v>
      </c>
      <c r="I109" s="73"/>
      <c r="J109" s="73"/>
      <c r="K109" s="47">
        <f t="shared" si="121"/>
        <v>3484407.5949809998</v>
      </c>
    </row>
    <row r="110" spans="1:15" ht="23.1" customHeight="1">
      <c r="A110" s="84" t="s">
        <v>490</v>
      </c>
      <c r="B110" s="78" t="s">
        <v>509</v>
      </c>
      <c r="C110" s="81">
        <v>30</v>
      </c>
      <c r="D110" s="81">
        <f>COUNTIFS('NOMINA JULIO'!$G$9:$G$208,'PERSONAL JULIO'!A110,'NOMINA JULIO'!$F$9:$F$208,'PERSONAL JULIO'!B110,'NOMINA JULIO'!$BB$9:$BB$208,'PERSONAL JULIO'!C110)</f>
        <v>1</v>
      </c>
      <c r="E110" s="81">
        <f t="shared" si="118"/>
        <v>30</v>
      </c>
      <c r="F110" s="47">
        <f t="shared" si="119"/>
        <v>116146.91983269999</v>
      </c>
      <c r="G110" s="47">
        <v>3484407.5949809998</v>
      </c>
      <c r="H110" s="47">
        <f t="shared" si="120"/>
        <v>3484407.5949809998</v>
      </c>
      <c r="I110" s="73"/>
      <c r="J110" s="73"/>
      <c r="K110" s="47">
        <f t="shared" si="121"/>
        <v>3484407.5949809998</v>
      </c>
    </row>
    <row r="111" spans="1:15">
      <c r="A111" s="295" t="s">
        <v>542</v>
      </c>
      <c r="B111" s="296"/>
      <c r="C111" s="296"/>
      <c r="D111" s="296"/>
      <c r="E111" s="296"/>
      <c r="F111" s="296"/>
      <c r="G111" s="296"/>
      <c r="H111" s="296"/>
      <c r="I111" s="296"/>
      <c r="J111" s="297"/>
      <c r="K111" s="83">
        <f>SUM(K105:K110)</f>
        <v>18351213.333566599</v>
      </c>
      <c r="N111" s="52"/>
    </row>
    <row r="112" spans="1:15">
      <c r="M112" s="204">
        <v>0.1</v>
      </c>
      <c r="N112" s="204">
        <v>0.19</v>
      </c>
    </row>
    <row r="113" spans="4:15" ht="18.75">
      <c r="D113" s="56">
        <f>SUM(D105:D110)+SUM(D96:D101)+SUM(D70:D92)+SUM(D5:D66)</f>
        <v>200</v>
      </c>
      <c r="J113" s="85" t="s">
        <v>510</v>
      </c>
      <c r="K113" s="86">
        <f>K111+K102+K93+K67</f>
        <v>659830651.56956887</v>
      </c>
      <c r="L113" s="205"/>
      <c r="M113" s="205">
        <f>+K113*M112</f>
        <v>65983065.156956889</v>
      </c>
      <c r="N113" s="205">
        <f>+M113*N112</f>
        <v>12536782.379821809</v>
      </c>
      <c r="O113" s="52">
        <f>SUM(K113:N113)</f>
        <v>738350499.10634756</v>
      </c>
    </row>
    <row r="115" spans="4:15">
      <c r="D115" s="75" t="s">
        <v>546</v>
      </c>
      <c r="E115" s="75">
        <f>SUM(E5:E66)+SUM(E70:E92)+SUM(E96:E101)+SUM(E105:E110)</f>
        <v>5681</v>
      </c>
      <c r="F115" s="205">
        <f>+E115*F110</f>
        <v>659830651.56956863</v>
      </c>
    </row>
    <row r="116" spans="4:15">
      <c r="E116" s="56">
        <f>+'NOMINA JULIO'!BB209</f>
        <v>5681</v>
      </c>
      <c r="F116" s="51">
        <f>+F115-K113</f>
        <v>0</v>
      </c>
    </row>
    <row r="117" spans="4:15">
      <c r="E117" s="56">
        <f>+E115-E116</f>
        <v>0</v>
      </c>
    </row>
  </sheetData>
  <autoFilter ref="A4:O113" xr:uid="{00000000-0001-0000-0400-000000000000}"/>
  <mergeCells count="9">
    <mergeCell ref="A102:J102"/>
    <mergeCell ref="A103:K103"/>
    <mergeCell ref="A111:J111"/>
    <mergeCell ref="C1:K1"/>
    <mergeCell ref="A3:K3"/>
    <mergeCell ref="A67:J67"/>
    <mergeCell ref="A68:K68"/>
    <mergeCell ref="A93:J93"/>
    <mergeCell ref="A94:K94"/>
  </mergeCells>
  <dataValidations count="1">
    <dataValidation type="list" allowBlank="1" showInputMessage="1" showErrorMessage="1" sqref="C1" xr:uid="{00000000-0002-0000-0400-000000000000}"/>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L67"/>
  <sheetViews>
    <sheetView topLeftCell="A35" zoomScale="110" zoomScaleNormal="110" workbookViewId="0">
      <selection activeCell="L58" sqref="L58"/>
    </sheetView>
  </sheetViews>
  <sheetFormatPr baseColWidth="10" defaultRowHeight="15"/>
  <cols>
    <col min="1" max="1" width="50.140625" customWidth="1"/>
    <col min="2" max="2" width="29.85546875" customWidth="1"/>
    <col min="3" max="4" width="10.85546875" style="56"/>
    <col min="5" max="5" width="15.5703125" style="51" customWidth="1"/>
    <col min="6" max="7" width="28.42578125" style="51" hidden="1" customWidth="1"/>
    <col min="8" max="8" width="20.140625" style="51" customWidth="1"/>
    <col min="9" max="10" width="15.7109375" bestFit="1" customWidth="1"/>
    <col min="11" max="11" width="18.42578125" bestFit="1" customWidth="1"/>
    <col min="12" max="12" width="16.85546875" bestFit="1" customWidth="1"/>
  </cols>
  <sheetData>
    <row r="1" spans="1:12" ht="20.25" customHeight="1">
      <c r="A1" s="79" t="s">
        <v>498</v>
      </c>
      <c r="B1" s="80"/>
      <c r="C1" s="281" t="s">
        <v>499</v>
      </c>
      <c r="D1" s="281"/>
      <c r="E1" s="281"/>
      <c r="F1" s="281"/>
      <c r="G1" s="281"/>
      <c r="H1" s="281"/>
    </row>
    <row r="2" spans="1:12" ht="20.25" customHeight="1"/>
    <row r="3" spans="1:12" ht="19.5" customHeight="1">
      <c r="A3" s="301" t="s">
        <v>790</v>
      </c>
      <c r="B3" s="302"/>
      <c r="C3" s="302"/>
      <c r="D3" s="302"/>
      <c r="E3" s="302"/>
      <c r="F3" s="302"/>
      <c r="G3" s="302"/>
      <c r="H3" s="303"/>
      <c r="I3" s="244">
        <v>0.1</v>
      </c>
      <c r="J3" s="244">
        <v>0.19</v>
      </c>
    </row>
    <row r="4" spans="1:12" ht="24">
      <c r="A4" s="72" t="s">
        <v>538</v>
      </c>
      <c r="B4" s="72"/>
      <c r="C4" s="72" t="s">
        <v>539</v>
      </c>
      <c r="D4" s="72" t="s">
        <v>540</v>
      </c>
      <c r="E4" s="72" t="s">
        <v>500</v>
      </c>
      <c r="F4" s="72" t="s">
        <v>503</v>
      </c>
      <c r="G4" s="72" t="s">
        <v>504</v>
      </c>
      <c r="H4" s="72" t="s">
        <v>505</v>
      </c>
      <c r="I4" s="240" t="s">
        <v>146</v>
      </c>
      <c r="J4" s="240" t="s">
        <v>147</v>
      </c>
      <c r="K4" s="240" t="s">
        <v>789</v>
      </c>
    </row>
    <row r="5" spans="1:12">
      <c r="A5" s="77" t="s">
        <v>161</v>
      </c>
      <c r="B5" s="78" t="s">
        <v>506</v>
      </c>
      <c r="C5" s="56">
        <f>SUMIFS('NOMINA JULIO'!$BB$9:$BB$208,'NOMINA JULIO'!$G$9:$G$208,'RESUMEN GENERAL POR SEDE'!A5,'NOMINA JULIO'!$F$9:$F$208,'RESUMEN GENERAL POR SEDE'!B5)</f>
        <v>960</v>
      </c>
      <c r="D5" s="81">
        <f>COUNTIFS('NOMINA JULIO'!$G$9:$G$208,'RESUMEN GENERAL POR SEDE'!A5,'NOMINA JULIO'!$F$9:$F$208,'RESUMEN GENERAL POR SEDE'!B5)</f>
        <v>34</v>
      </c>
      <c r="E5" s="47">
        <v>116146.91983269999</v>
      </c>
      <c r="F5" s="73"/>
      <c r="G5" s="73"/>
      <c r="H5" s="47">
        <f>+E5*C5</f>
        <v>111501043.03939199</v>
      </c>
      <c r="I5" s="51">
        <f>+H5*$I$3</f>
        <v>11150104.303939201</v>
      </c>
      <c r="J5" s="51">
        <f>+I5*$J$3</f>
        <v>2118519.8177484483</v>
      </c>
      <c r="K5" s="52">
        <f>SUM(H5:J5)</f>
        <v>124769667.16107963</v>
      </c>
      <c r="L5" s="52">
        <f>K5+K6+K7+K8+K9+K61+K62+K63</f>
        <v>206909698.04212368</v>
      </c>
    </row>
    <row r="6" spans="1:12">
      <c r="A6" s="77" t="s">
        <v>161</v>
      </c>
      <c r="B6" s="78" t="s">
        <v>507</v>
      </c>
      <c r="C6" s="56">
        <f>SUMIFS('NOMINA JULIO'!$BB$9:$BB$208,'NOMINA JULIO'!$G$9:$G$208,'RESUMEN GENERAL POR SEDE'!A6,'NOMINA JULIO'!$F$9:$F$208,'RESUMEN GENERAL POR SEDE'!B6)</f>
        <v>356</v>
      </c>
      <c r="D6" s="81">
        <f>COUNTIFS('NOMINA JULIO'!$G$9:$G$208,'RESUMEN GENERAL POR SEDE'!A6,'NOMINA JULIO'!$F$9:$F$208,'RESUMEN GENERAL POR SEDE'!B6)</f>
        <v>12</v>
      </c>
      <c r="E6" s="47">
        <v>116146.91983269999</v>
      </c>
      <c r="F6" s="73"/>
      <c r="G6" s="73"/>
      <c r="H6" s="47">
        <f t="shared" ref="H6:H35" si="0">+E6*C6</f>
        <v>41348303.460441194</v>
      </c>
      <c r="I6" s="51">
        <f t="shared" ref="I6:I35" si="1">+H6*$I$3</f>
        <v>4134830.3460441194</v>
      </c>
      <c r="J6" s="51">
        <f t="shared" ref="J6:J35" si="2">+I6*$J$3</f>
        <v>785617.76574838266</v>
      </c>
      <c r="K6" s="52">
        <f t="shared" ref="K6:K35" si="3">SUM(H6:J6)</f>
        <v>46268751.572233692</v>
      </c>
    </row>
    <row r="7" spans="1:12">
      <c r="A7" s="77" t="s">
        <v>161</v>
      </c>
      <c r="B7" s="78" t="s">
        <v>508</v>
      </c>
      <c r="C7" s="56">
        <f>SUMIFS('NOMINA JULIO'!$BB$9:$BB$208,'NOMINA JULIO'!$G$9:$G$208,'RESUMEN GENERAL POR SEDE'!A7,'NOMINA JULIO'!$F$9:$F$208,'RESUMEN GENERAL POR SEDE'!B7)</f>
        <v>30</v>
      </c>
      <c r="D7" s="81">
        <f>COUNTIFS('NOMINA JULIO'!$G$9:$G$208,'RESUMEN GENERAL POR SEDE'!A7,'NOMINA JULIO'!$F$9:$F$208,'RESUMEN GENERAL POR SEDE'!B7)</f>
        <v>1</v>
      </c>
      <c r="E7" s="47">
        <v>116146.91983269999</v>
      </c>
      <c r="F7" s="73"/>
      <c r="G7" s="73"/>
      <c r="H7" s="47">
        <f t="shared" si="0"/>
        <v>3484407.5949809998</v>
      </c>
      <c r="I7" s="51">
        <f t="shared" si="1"/>
        <v>348440.75949810003</v>
      </c>
      <c r="J7" s="51">
        <f t="shared" si="2"/>
        <v>66203.744304639011</v>
      </c>
      <c r="K7" s="52">
        <f t="shared" si="3"/>
        <v>3899052.0987837384</v>
      </c>
    </row>
    <row r="8" spans="1:12">
      <c r="A8" s="77" t="s">
        <v>161</v>
      </c>
      <c r="B8" s="78" t="s">
        <v>509</v>
      </c>
      <c r="C8" s="56">
        <f>SUMIFS('NOMINA JULIO'!$BB$9:$BB$208,'NOMINA JULIO'!$G$9:$G$208,'RESUMEN GENERAL POR SEDE'!A8,'NOMINA JULIO'!$F$9:$F$208,'RESUMEN GENERAL POR SEDE'!B8)</f>
        <v>68</v>
      </c>
      <c r="D8" s="81">
        <f>COUNTIFS('NOMINA JULIO'!$G$9:$G$208,'RESUMEN GENERAL POR SEDE'!A8,'NOMINA JULIO'!$F$9:$F$208,'RESUMEN GENERAL POR SEDE'!B8)</f>
        <v>3</v>
      </c>
      <c r="E8" s="47">
        <v>116146.91983269999</v>
      </c>
      <c r="F8" s="73"/>
      <c r="G8" s="73"/>
      <c r="H8" s="47">
        <f t="shared" si="0"/>
        <v>7897990.5486235991</v>
      </c>
      <c r="I8" s="51">
        <f t="shared" si="1"/>
        <v>789799.05486236</v>
      </c>
      <c r="J8" s="51">
        <f t="shared" si="2"/>
        <v>150061.8204238484</v>
      </c>
      <c r="K8" s="52">
        <f t="shared" si="3"/>
        <v>8837851.4239098076</v>
      </c>
    </row>
    <row r="9" spans="1:12">
      <c r="A9" s="77" t="s">
        <v>161</v>
      </c>
      <c r="B9" s="78" t="s">
        <v>712</v>
      </c>
      <c r="C9" s="56">
        <f>SUMIFS('NOMINA JULIO'!$BB$9:$BB$208,'NOMINA JULIO'!$G$9:$G$208,'RESUMEN GENERAL POR SEDE'!A9,'NOMINA JULIO'!$F$9:$F$208,'RESUMEN GENERAL POR SEDE'!B9)</f>
        <v>30</v>
      </c>
      <c r="D9" s="81">
        <f>COUNTIFS('NOMINA JULIO'!$G$9:$G$208,'RESUMEN GENERAL POR SEDE'!A9,'NOMINA JULIO'!$F$9:$F$208,'RESUMEN GENERAL POR SEDE'!B9)</f>
        <v>1</v>
      </c>
      <c r="E9" s="47">
        <v>116146.91983269999</v>
      </c>
      <c r="F9" s="73"/>
      <c r="G9" s="73"/>
      <c r="H9" s="47">
        <f t="shared" si="0"/>
        <v>3484407.5949809998</v>
      </c>
      <c r="I9" s="51">
        <f t="shared" si="1"/>
        <v>348440.75949810003</v>
      </c>
      <c r="J9" s="51">
        <f t="shared" si="2"/>
        <v>66203.744304639011</v>
      </c>
      <c r="K9" s="52">
        <f t="shared" si="3"/>
        <v>3899052.0987837384</v>
      </c>
    </row>
    <row r="10" spans="1:12" ht="14.45" customHeight="1">
      <c r="A10" s="77" t="s">
        <v>476</v>
      </c>
      <c r="B10" s="78" t="s">
        <v>506</v>
      </c>
      <c r="C10" s="56">
        <f>SUMIFS('NOMINA JULIO'!$BB$9:$BB$208,'NOMINA JULIO'!$G$9:$G$208,'RESUMEN GENERAL POR SEDE'!A10,'NOMINA JULIO'!$F$9:$F$208,'RESUMEN GENERAL POR SEDE'!B10)</f>
        <v>346</v>
      </c>
      <c r="D10" s="81">
        <f>COUNTIFS('NOMINA JULIO'!$G$9:$G$208,'RESUMEN GENERAL POR SEDE'!A10,'NOMINA JULIO'!$F$9:$F$208,'RESUMEN GENERAL POR SEDE'!B10)</f>
        <v>12</v>
      </c>
      <c r="E10" s="47">
        <v>116146.91983269999</v>
      </c>
      <c r="F10" s="73"/>
      <c r="G10" s="73"/>
      <c r="H10" s="47">
        <f t="shared" si="0"/>
        <v>40186834.262114197</v>
      </c>
      <c r="I10" s="51">
        <f t="shared" si="1"/>
        <v>4018683.42621142</v>
      </c>
      <c r="J10" s="51">
        <f t="shared" si="2"/>
        <v>763549.85098016984</v>
      </c>
      <c r="K10" s="52">
        <f t="shared" si="3"/>
        <v>44969067.539305784</v>
      </c>
      <c r="L10" s="52">
        <f>K10+K11+K12</f>
        <v>60305339.127855159</v>
      </c>
    </row>
    <row r="11" spans="1:12" ht="14.45" customHeight="1">
      <c r="A11" s="77" t="s">
        <v>476</v>
      </c>
      <c r="B11" s="78" t="s">
        <v>507</v>
      </c>
      <c r="C11" s="56">
        <f>SUMIFS('NOMINA JULIO'!$BB$9:$BB$208,'NOMINA JULIO'!$G$9:$G$208,'RESUMEN GENERAL POR SEDE'!A11,'NOMINA JULIO'!$F$9:$F$208,'RESUMEN GENERAL POR SEDE'!B11)</f>
        <v>88</v>
      </c>
      <c r="D11" s="81">
        <f>COUNTIFS('NOMINA JULIO'!$G$9:$G$208,'RESUMEN GENERAL POR SEDE'!A11,'NOMINA JULIO'!$F$9:$F$208,'RESUMEN GENERAL POR SEDE'!B11)</f>
        <v>3</v>
      </c>
      <c r="E11" s="47">
        <v>116146.91983269999</v>
      </c>
      <c r="F11" s="73"/>
      <c r="G11" s="73"/>
      <c r="H11" s="47">
        <f t="shared" si="0"/>
        <v>10220928.9452776</v>
      </c>
      <c r="I11" s="51">
        <f t="shared" si="1"/>
        <v>1022092.89452776</v>
      </c>
      <c r="J11" s="51">
        <f t="shared" si="2"/>
        <v>194197.6499602744</v>
      </c>
      <c r="K11" s="52">
        <f t="shared" si="3"/>
        <v>11437219.489765633</v>
      </c>
    </row>
    <row r="12" spans="1:12">
      <c r="A12" s="77" t="s">
        <v>476</v>
      </c>
      <c r="B12" s="78" t="s">
        <v>508</v>
      </c>
      <c r="C12" s="56">
        <f>SUMIFS('NOMINA JULIO'!$BB$9:$BB$208,'NOMINA JULIO'!$G$9:$G$208,'RESUMEN GENERAL POR SEDE'!A12,'NOMINA JULIO'!$F$9:$F$208,'RESUMEN GENERAL POR SEDE'!B12)</f>
        <v>30</v>
      </c>
      <c r="D12" s="81">
        <f>COUNTIFS('NOMINA JULIO'!$G$9:$G$208,'RESUMEN GENERAL POR SEDE'!A12,'NOMINA JULIO'!$F$9:$F$208,'RESUMEN GENERAL POR SEDE'!B12)</f>
        <v>1</v>
      </c>
      <c r="E12" s="47">
        <v>116146.91983269999</v>
      </c>
      <c r="F12" s="73"/>
      <c r="G12" s="73"/>
      <c r="H12" s="47">
        <f t="shared" si="0"/>
        <v>3484407.5949809998</v>
      </c>
      <c r="I12" s="51">
        <f t="shared" si="1"/>
        <v>348440.75949810003</v>
      </c>
      <c r="J12" s="51">
        <f t="shared" si="2"/>
        <v>66203.744304639011</v>
      </c>
      <c r="K12" s="52">
        <f t="shared" si="3"/>
        <v>3899052.0987837384</v>
      </c>
    </row>
    <row r="13" spans="1:12">
      <c r="A13" s="77" t="s">
        <v>163</v>
      </c>
      <c r="B13" s="78" t="s">
        <v>506</v>
      </c>
      <c r="C13" s="56">
        <f>SUMIFS('NOMINA JULIO'!$BB$9:$BB$208,'NOMINA JULIO'!$G$9:$G$208,'RESUMEN GENERAL POR SEDE'!A13,'NOMINA JULIO'!$F$9:$F$208,'RESUMEN GENERAL POR SEDE'!B13)</f>
        <v>60</v>
      </c>
      <c r="D13" s="81">
        <f>COUNTIFS('NOMINA JULIO'!$G$9:$G$208,'RESUMEN GENERAL POR SEDE'!A13,'NOMINA JULIO'!$F$9:$F$208,'RESUMEN GENERAL POR SEDE'!B13)</f>
        <v>2</v>
      </c>
      <c r="E13" s="47">
        <v>116146.91983269999</v>
      </c>
      <c r="F13" s="73"/>
      <c r="G13" s="73"/>
      <c r="H13" s="47">
        <f t="shared" si="0"/>
        <v>6968815.1899619997</v>
      </c>
      <c r="I13" s="51">
        <f t="shared" si="1"/>
        <v>696881.51899620006</v>
      </c>
      <c r="J13" s="51">
        <f t="shared" si="2"/>
        <v>132407.48860927802</v>
      </c>
      <c r="K13" s="52">
        <f t="shared" si="3"/>
        <v>7798104.1975674769</v>
      </c>
      <c r="L13" s="52">
        <f>K13+K14+K15</f>
        <v>15596208.395134954</v>
      </c>
    </row>
    <row r="14" spans="1:12">
      <c r="A14" s="77" t="s">
        <v>163</v>
      </c>
      <c r="B14" s="78" t="s">
        <v>507</v>
      </c>
      <c r="C14" s="56">
        <f>SUMIFS('NOMINA JULIO'!$BB$9:$BB$208,'NOMINA JULIO'!$G$9:$G$208,'RESUMEN GENERAL POR SEDE'!A14,'NOMINA JULIO'!$F$9:$F$208,'RESUMEN GENERAL POR SEDE'!B14)</f>
        <v>30</v>
      </c>
      <c r="D14" s="81">
        <f>COUNTIFS('NOMINA JULIO'!$G$9:$G$208,'RESUMEN GENERAL POR SEDE'!A14,'NOMINA JULIO'!$F$9:$F$208,'RESUMEN GENERAL POR SEDE'!B14)</f>
        <v>1</v>
      </c>
      <c r="E14" s="47">
        <v>116146.91983269999</v>
      </c>
      <c r="F14" s="73"/>
      <c r="G14" s="73"/>
      <c r="H14" s="47">
        <f t="shared" si="0"/>
        <v>3484407.5949809998</v>
      </c>
      <c r="I14" s="51">
        <f t="shared" si="1"/>
        <v>348440.75949810003</v>
      </c>
      <c r="J14" s="51">
        <f t="shared" si="2"/>
        <v>66203.744304639011</v>
      </c>
      <c r="K14" s="52">
        <f t="shared" si="3"/>
        <v>3899052.0987837384</v>
      </c>
    </row>
    <row r="15" spans="1:12">
      <c r="A15" s="77" t="s">
        <v>163</v>
      </c>
      <c r="B15" s="78" t="s">
        <v>508</v>
      </c>
      <c r="C15" s="56">
        <f>SUMIFS('NOMINA JULIO'!$BB$9:$BB$208,'NOMINA JULIO'!$G$9:$G$208,'RESUMEN GENERAL POR SEDE'!A15,'NOMINA JULIO'!$F$9:$F$208,'RESUMEN GENERAL POR SEDE'!B15)</f>
        <v>30</v>
      </c>
      <c r="D15" s="81">
        <f>COUNTIFS('NOMINA JULIO'!$G$9:$G$208,'RESUMEN GENERAL POR SEDE'!A15,'NOMINA JULIO'!$F$9:$F$208,'RESUMEN GENERAL POR SEDE'!B15)</f>
        <v>1</v>
      </c>
      <c r="E15" s="47">
        <v>116146.91983269999</v>
      </c>
      <c r="F15" s="73"/>
      <c r="G15" s="73"/>
      <c r="H15" s="47">
        <f t="shared" si="0"/>
        <v>3484407.5949809998</v>
      </c>
      <c r="I15" s="51">
        <f t="shared" si="1"/>
        <v>348440.75949810003</v>
      </c>
      <c r="J15" s="51">
        <f t="shared" si="2"/>
        <v>66203.744304639011</v>
      </c>
      <c r="K15" s="52">
        <f t="shared" si="3"/>
        <v>3899052.0987837384</v>
      </c>
    </row>
    <row r="16" spans="1:12">
      <c r="A16" s="77" t="s">
        <v>477</v>
      </c>
      <c r="B16" s="78" t="s">
        <v>506</v>
      </c>
      <c r="C16" s="56">
        <f>SUMIFS('NOMINA JULIO'!$BB$9:$BB$208,'NOMINA JULIO'!$G$9:$G$208,'RESUMEN GENERAL POR SEDE'!A16,'NOMINA JULIO'!$F$9:$F$208,'RESUMEN GENERAL POR SEDE'!B16)</f>
        <v>60</v>
      </c>
      <c r="D16" s="81">
        <f>COUNTIFS('NOMINA JULIO'!$G$9:$G$208,'RESUMEN GENERAL POR SEDE'!A16,'NOMINA JULIO'!$F$9:$F$208,'RESUMEN GENERAL POR SEDE'!B16)</f>
        <v>2</v>
      </c>
      <c r="E16" s="47">
        <v>116146.91983269999</v>
      </c>
      <c r="F16" s="73"/>
      <c r="G16" s="73"/>
      <c r="H16" s="47">
        <f t="shared" si="0"/>
        <v>6968815.1899619997</v>
      </c>
      <c r="I16" s="51">
        <f t="shared" si="1"/>
        <v>696881.51899620006</v>
      </c>
      <c r="J16" s="51">
        <f t="shared" si="2"/>
        <v>132407.48860927802</v>
      </c>
      <c r="K16" s="52">
        <f t="shared" si="3"/>
        <v>7798104.1975674769</v>
      </c>
      <c r="L16" s="52">
        <f>K16</f>
        <v>7798104.1975674769</v>
      </c>
    </row>
    <row r="17" spans="1:12">
      <c r="A17" s="77" t="s">
        <v>478</v>
      </c>
      <c r="B17" s="78" t="s">
        <v>506</v>
      </c>
      <c r="C17" s="56">
        <f>SUMIFS('NOMINA JULIO'!$BB$9:$BB$208,'NOMINA JULIO'!$G$9:$G$208,'RESUMEN GENERAL POR SEDE'!A17,'NOMINA JULIO'!$F$9:$F$208,'RESUMEN GENERAL POR SEDE'!B17)</f>
        <v>297</v>
      </c>
      <c r="D17" s="81">
        <f>COUNTIFS('NOMINA JULIO'!$G$9:$G$208,'RESUMEN GENERAL POR SEDE'!A17,'NOMINA JULIO'!$F$9:$F$208,'RESUMEN GENERAL POR SEDE'!B17)</f>
        <v>11</v>
      </c>
      <c r="E17" s="47">
        <v>116146.91983269999</v>
      </c>
      <c r="F17" s="73"/>
      <c r="G17" s="73"/>
      <c r="H17" s="47">
        <f t="shared" si="0"/>
        <v>34495635.190311894</v>
      </c>
      <c r="I17" s="51">
        <f t="shared" si="1"/>
        <v>3449563.5190311894</v>
      </c>
      <c r="J17" s="51">
        <f t="shared" si="2"/>
        <v>655417.06861592596</v>
      </c>
      <c r="K17" s="52">
        <f t="shared" si="3"/>
        <v>38600615.777959011</v>
      </c>
      <c r="L17" s="52">
        <f>K17+K18</f>
        <v>46398719.975526489</v>
      </c>
    </row>
    <row r="18" spans="1:12">
      <c r="A18" s="77" t="s">
        <v>478</v>
      </c>
      <c r="B18" s="78" t="s">
        <v>507</v>
      </c>
      <c r="C18" s="56">
        <f>SUMIFS('NOMINA JULIO'!$BB$9:$BB$208,'NOMINA JULIO'!$G$9:$G$208,'RESUMEN GENERAL POR SEDE'!A18,'NOMINA JULIO'!$F$9:$F$208,'RESUMEN GENERAL POR SEDE'!B18)</f>
        <v>60</v>
      </c>
      <c r="D18" s="81">
        <f>COUNTIFS('NOMINA JULIO'!$G$9:$G$208,'RESUMEN GENERAL POR SEDE'!A18,'NOMINA JULIO'!$F$9:$F$208,'RESUMEN GENERAL POR SEDE'!B18)</f>
        <v>2</v>
      </c>
      <c r="E18" s="47">
        <v>116146.91983269999</v>
      </c>
      <c r="F18" s="73"/>
      <c r="G18" s="73"/>
      <c r="H18" s="47">
        <f t="shared" si="0"/>
        <v>6968815.1899619997</v>
      </c>
      <c r="I18" s="51">
        <f t="shared" si="1"/>
        <v>696881.51899620006</v>
      </c>
      <c r="J18" s="51">
        <f t="shared" si="2"/>
        <v>132407.48860927802</v>
      </c>
      <c r="K18" s="52">
        <f t="shared" si="3"/>
        <v>7798104.1975674769</v>
      </c>
    </row>
    <row r="19" spans="1:12">
      <c r="A19" s="77" t="s">
        <v>479</v>
      </c>
      <c r="B19" s="78" t="s">
        <v>506</v>
      </c>
      <c r="C19" s="56">
        <f>SUMIFS('NOMINA JULIO'!$BB$9:$BB$208,'NOMINA JULIO'!$G$9:$G$208,'RESUMEN GENERAL POR SEDE'!A19,'NOMINA JULIO'!$F$9:$F$208,'RESUMEN GENERAL POR SEDE'!B19)</f>
        <v>239</v>
      </c>
      <c r="D19" s="81">
        <f>COUNTIFS('NOMINA JULIO'!$G$9:$G$208,'RESUMEN GENERAL POR SEDE'!A19,'NOMINA JULIO'!$F$9:$F$208,'RESUMEN GENERAL POR SEDE'!B19)</f>
        <v>8</v>
      </c>
      <c r="E19" s="47">
        <v>116146.91983269999</v>
      </c>
      <c r="F19" s="73"/>
      <c r="G19" s="73"/>
      <c r="H19" s="47">
        <f t="shared" si="0"/>
        <v>27759113.840015296</v>
      </c>
      <c r="I19" s="51">
        <f t="shared" si="1"/>
        <v>2775911.3840015298</v>
      </c>
      <c r="J19" s="51">
        <f t="shared" si="2"/>
        <v>527423.16296029068</v>
      </c>
      <c r="K19" s="52">
        <f t="shared" si="3"/>
        <v>31062448.386977118</v>
      </c>
      <c r="L19" s="52">
        <f>K19+K20</f>
        <v>38860552.584544592</v>
      </c>
    </row>
    <row r="20" spans="1:12">
      <c r="A20" s="77" t="s">
        <v>479</v>
      </c>
      <c r="B20" s="78" t="s">
        <v>507</v>
      </c>
      <c r="C20" s="56">
        <f>SUMIFS('NOMINA JULIO'!$BB$9:$BB$208,'NOMINA JULIO'!$G$9:$G$208,'RESUMEN GENERAL POR SEDE'!A20,'NOMINA JULIO'!$F$9:$F$208,'RESUMEN GENERAL POR SEDE'!B20)</f>
        <v>60</v>
      </c>
      <c r="D20" s="81">
        <f>COUNTIFS('NOMINA JULIO'!$G$9:$G$208,'RESUMEN GENERAL POR SEDE'!A20,'NOMINA JULIO'!$F$9:$F$208,'RESUMEN GENERAL POR SEDE'!B20)</f>
        <v>2</v>
      </c>
      <c r="E20" s="47">
        <v>116146.91983269999</v>
      </c>
      <c r="F20" s="73"/>
      <c r="G20" s="73"/>
      <c r="H20" s="47">
        <f t="shared" si="0"/>
        <v>6968815.1899619997</v>
      </c>
      <c r="I20" s="51">
        <f t="shared" si="1"/>
        <v>696881.51899620006</v>
      </c>
      <c r="J20" s="51">
        <f t="shared" si="2"/>
        <v>132407.48860927802</v>
      </c>
      <c r="K20" s="52">
        <f t="shared" si="3"/>
        <v>7798104.1975674769</v>
      </c>
    </row>
    <row r="21" spans="1:12">
      <c r="A21" s="77" t="s">
        <v>480</v>
      </c>
      <c r="B21" s="78" t="s">
        <v>506</v>
      </c>
      <c r="C21" s="56">
        <f>SUMIFS('NOMINA JULIO'!$BB$9:$BB$208,'NOMINA JULIO'!$G$9:$G$208,'RESUMEN GENERAL POR SEDE'!A21,'NOMINA JULIO'!$F$9:$F$208,'RESUMEN GENERAL POR SEDE'!B21)</f>
        <v>207</v>
      </c>
      <c r="D21" s="81">
        <f>COUNTIFS('NOMINA JULIO'!$G$9:$G$208,'RESUMEN GENERAL POR SEDE'!A21,'NOMINA JULIO'!$F$9:$F$208,'RESUMEN GENERAL POR SEDE'!B21)</f>
        <v>7</v>
      </c>
      <c r="E21" s="47">
        <v>116146.91983269999</v>
      </c>
      <c r="F21" s="73"/>
      <c r="G21" s="73"/>
      <c r="H21" s="47">
        <f t="shared" si="0"/>
        <v>24042412.405368898</v>
      </c>
      <c r="I21" s="51">
        <f t="shared" si="1"/>
        <v>2404241.24053689</v>
      </c>
      <c r="J21" s="51">
        <f t="shared" si="2"/>
        <v>456805.83570200909</v>
      </c>
      <c r="K21" s="52">
        <f t="shared" si="3"/>
        <v>26903459.481607798</v>
      </c>
      <c r="L21" s="52">
        <f>K21+K22</f>
        <v>34441626.872589692</v>
      </c>
    </row>
    <row r="22" spans="1:12">
      <c r="A22" s="77" t="s">
        <v>480</v>
      </c>
      <c r="B22" s="78" t="s">
        <v>507</v>
      </c>
      <c r="C22" s="56">
        <f>SUMIFS('NOMINA JULIO'!$BB$9:$BB$208,'NOMINA JULIO'!$G$9:$G$208,'RESUMEN GENERAL POR SEDE'!A22,'NOMINA JULIO'!$F$9:$F$208,'RESUMEN GENERAL POR SEDE'!B22)</f>
        <v>58</v>
      </c>
      <c r="D22" s="81">
        <f>COUNTIFS('NOMINA JULIO'!$G$9:$G$208,'RESUMEN GENERAL POR SEDE'!A22,'NOMINA JULIO'!$F$9:$F$208,'RESUMEN GENERAL POR SEDE'!B22)</f>
        <v>2</v>
      </c>
      <c r="E22" s="47">
        <v>116146.91983269999</v>
      </c>
      <c r="F22" s="73"/>
      <c r="G22" s="73"/>
      <c r="H22" s="47">
        <f t="shared" si="0"/>
        <v>6736521.3502965998</v>
      </c>
      <c r="I22" s="51">
        <f t="shared" si="1"/>
        <v>673652.13502966007</v>
      </c>
      <c r="J22" s="51">
        <f t="shared" si="2"/>
        <v>127993.90565563542</v>
      </c>
      <c r="K22" s="52">
        <f t="shared" si="3"/>
        <v>7538167.3909818958</v>
      </c>
    </row>
    <row r="23" spans="1:12">
      <c r="A23" s="77" t="s">
        <v>481</v>
      </c>
      <c r="B23" s="78" t="s">
        <v>506</v>
      </c>
      <c r="C23" s="56">
        <f>SUMIFS('NOMINA JULIO'!$BB$9:$BB$208,'NOMINA JULIO'!$G$9:$G$208,'RESUMEN GENERAL POR SEDE'!A23,'NOMINA JULIO'!$F$9:$F$208,'RESUMEN GENERAL POR SEDE'!B23)</f>
        <v>43</v>
      </c>
      <c r="D23" s="81">
        <f>COUNTIFS('NOMINA JULIO'!$G$9:$G$208,'RESUMEN GENERAL POR SEDE'!A23,'NOMINA JULIO'!$F$9:$F$208,'RESUMEN GENERAL POR SEDE'!B23)</f>
        <v>3</v>
      </c>
      <c r="E23" s="47">
        <v>116146.91983269999</v>
      </c>
      <c r="F23" s="73"/>
      <c r="G23" s="73"/>
      <c r="H23" s="47">
        <f t="shared" si="0"/>
        <v>4994317.5528060999</v>
      </c>
      <c r="I23" s="51">
        <f t="shared" si="1"/>
        <v>499431.75528061</v>
      </c>
      <c r="J23" s="51">
        <f t="shared" si="2"/>
        <v>94892.033503315906</v>
      </c>
      <c r="K23" s="52">
        <f t="shared" si="3"/>
        <v>5588641.3415900264</v>
      </c>
      <c r="L23" s="52">
        <f>K23+K24</f>
        <v>9487693.4403737653</v>
      </c>
    </row>
    <row r="24" spans="1:12">
      <c r="A24" s="77" t="s">
        <v>481</v>
      </c>
      <c r="B24" s="78" t="s">
        <v>507</v>
      </c>
      <c r="C24" s="56">
        <f>SUMIFS('NOMINA JULIO'!$BB$9:$BB$208,'NOMINA JULIO'!$G$9:$G$208,'RESUMEN GENERAL POR SEDE'!A24,'NOMINA JULIO'!$F$9:$F$208,'RESUMEN GENERAL POR SEDE'!B24)</f>
        <v>30</v>
      </c>
      <c r="D24" s="81">
        <f>COUNTIFS('NOMINA JULIO'!$G$9:$G$208,'RESUMEN GENERAL POR SEDE'!A24,'NOMINA JULIO'!$F$9:$F$208,'RESUMEN GENERAL POR SEDE'!B24)</f>
        <v>1</v>
      </c>
      <c r="E24" s="47">
        <v>116146.91983269999</v>
      </c>
      <c r="F24" s="73"/>
      <c r="G24" s="73"/>
      <c r="H24" s="47">
        <f t="shared" si="0"/>
        <v>3484407.5949809998</v>
      </c>
      <c r="I24" s="51">
        <f t="shared" si="1"/>
        <v>348440.75949810003</v>
      </c>
      <c r="J24" s="51">
        <f t="shared" si="2"/>
        <v>66203.744304639011</v>
      </c>
      <c r="K24" s="52">
        <f t="shared" si="3"/>
        <v>3899052.0987837384</v>
      </c>
    </row>
    <row r="25" spans="1:12">
      <c r="A25" s="77" t="s">
        <v>482</v>
      </c>
      <c r="B25" s="78" t="s">
        <v>506</v>
      </c>
      <c r="C25" s="56">
        <f>SUMIFS('NOMINA JULIO'!$BB$9:$BB$208,'NOMINA JULIO'!$G$9:$G$208,'RESUMEN GENERAL POR SEDE'!A25,'NOMINA JULIO'!$F$9:$F$208,'RESUMEN GENERAL POR SEDE'!B25)</f>
        <v>180</v>
      </c>
      <c r="D25" s="81">
        <f>COUNTIFS('NOMINA JULIO'!$G$9:$G$208,'RESUMEN GENERAL POR SEDE'!A25,'NOMINA JULIO'!$F$9:$F$208,'RESUMEN GENERAL POR SEDE'!B25)</f>
        <v>6</v>
      </c>
      <c r="E25" s="47">
        <v>116146.91983269999</v>
      </c>
      <c r="F25" s="73"/>
      <c r="G25" s="73"/>
      <c r="H25" s="47">
        <f t="shared" si="0"/>
        <v>20906445.569885999</v>
      </c>
      <c r="I25" s="51">
        <f t="shared" si="1"/>
        <v>2090644.5569885999</v>
      </c>
      <c r="J25" s="51">
        <f t="shared" si="2"/>
        <v>397222.46582783398</v>
      </c>
      <c r="K25" s="52">
        <f t="shared" si="3"/>
        <v>23394312.592702433</v>
      </c>
      <c r="L25" s="52">
        <f>K25+K26</f>
        <v>31192416.790269911</v>
      </c>
    </row>
    <row r="26" spans="1:12">
      <c r="A26" s="77" t="s">
        <v>482</v>
      </c>
      <c r="B26" s="78" t="s">
        <v>507</v>
      </c>
      <c r="C26" s="56">
        <f>SUMIFS('NOMINA JULIO'!$BB$9:$BB$208,'NOMINA JULIO'!$G$9:$G$208,'RESUMEN GENERAL POR SEDE'!A26,'NOMINA JULIO'!$F$9:$F$208,'RESUMEN GENERAL POR SEDE'!B26)</f>
        <v>60</v>
      </c>
      <c r="D26" s="81">
        <f>COUNTIFS('NOMINA JULIO'!$G$9:$G$208,'RESUMEN GENERAL POR SEDE'!A26,'NOMINA JULIO'!$F$9:$F$208,'RESUMEN GENERAL POR SEDE'!B26)</f>
        <v>2</v>
      </c>
      <c r="E26" s="47">
        <v>116146.91983269999</v>
      </c>
      <c r="F26" s="73"/>
      <c r="G26" s="73"/>
      <c r="H26" s="47">
        <f t="shared" si="0"/>
        <v>6968815.1899619997</v>
      </c>
      <c r="I26" s="51">
        <f t="shared" si="1"/>
        <v>696881.51899620006</v>
      </c>
      <c r="J26" s="51">
        <f t="shared" si="2"/>
        <v>132407.48860927802</v>
      </c>
      <c r="K26" s="52">
        <f t="shared" si="3"/>
        <v>7798104.1975674769</v>
      </c>
    </row>
    <row r="27" spans="1:12">
      <c r="A27" s="77" t="s">
        <v>483</v>
      </c>
      <c r="B27" s="78" t="s">
        <v>506</v>
      </c>
      <c r="C27" s="56">
        <f>SUMIFS('NOMINA JULIO'!$BB$9:$BB$208,'NOMINA JULIO'!$G$9:$G$208,'RESUMEN GENERAL POR SEDE'!A27,'NOMINA JULIO'!$F$9:$F$208,'RESUMEN GENERAL POR SEDE'!B27)</f>
        <v>268</v>
      </c>
      <c r="D27" s="81">
        <f>COUNTIFS('NOMINA JULIO'!$G$9:$G$208,'RESUMEN GENERAL POR SEDE'!A27,'NOMINA JULIO'!$F$9:$F$208,'RESUMEN GENERAL POR SEDE'!B27)</f>
        <v>9</v>
      </c>
      <c r="E27" s="47">
        <v>116146.91983269999</v>
      </c>
      <c r="F27" s="73"/>
      <c r="G27" s="73"/>
      <c r="H27" s="47">
        <f t="shared" si="0"/>
        <v>31127374.515163597</v>
      </c>
      <c r="I27" s="51">
        <f t="shared" si="1"/>
        <v>3112737.45151636</v>
      </c>
      <c r="J27" s="51">
        <f t="shared" si="2"/>
        <v>591420.11578810844</v>
      </c>
      <c r="K27" s="52">
        <f t="shared" si="3"/>
        <v>34831532.08246807</v>
      </c>
      <c r="L27" s="52">
        <f>K27+K28+K29</f>
        <v>50297772.074310236</v>
      </c>
    </row>
    <row r="28" spans="1:12">
      <c r="A28" s="77" t="s">
        <v>483</v>
      </c>
      <c r="B28" s="78" t="s">
        <v>507</v>
      </c>
      <c r="C28" s="56">
        <f>SUMIFS('NOMINA JULIO'!$BB$9:$BB$208,'NOMINA JULIO'!$G$9:$G$208,'RESUMEN GENERAL POR SEDE'!A28,'NOMINA JULIO'!$F$9:$F$208,'RESUMEN GENERAL POR SEDE'!B28)</f>
        <v>89</v>
      </c>
      <c r="D28" s="81">
        <f>COUNTIFS('NOMINA JULIO'!$G$9:$G$208,'RESUMEN GENERAL POR SEDE'!A28,'NOMINA JULIO'!$F$9:$F$208,'RESUMEN GENERAL POR SEDE'!B28)</f>
        <v>3</v>
      </c>
      <c r="E28" s="47">
        <v>116146.91983269999</v>
      </c>
      <c r="F28" s="73"/>
      <c r="G28" s="73"/>
      <c r="H28" s="47">
        <f t="shared" si="0"/>
        <v>10337075.865110299</v>
      </c>
      <c r="I28" s="51">
        <f t="shared" si="1"/>
        <v>1033707.5865110299</v>
      </c>
      <c r="J28" s="51">
        <f t="shared" si="2"/>
        <v>196404.44143709567</v>
      </c>
      <c r="K28" s="52">
        <f t="shared" si="3"/>
        <v>11567187.893058423</v>
      </c>
    </row>
    <row r="29" spans="1:12">
      <c r="A29" s="77" t="s">
        <v>483</v>
      </c>
      <c r="B29" s="78" t="s">
        <v>509</v>
      </c>
      <c r="C29" s="56">
        <f>SUMIFS('NOMINA JULIO'!$BB$9:$BB$208,'NOMINA JULIO'!$G$9:$G$208,'RESUMEN GENERAL POR SEDE'!A29,'NOMINA JULIO'!$F$9:$F$208,'RESUMEN GENERAL POR SEDE'!B29)</f>
        <v>30</v>
      </c>
      <c r="D29" s="81">
        <f>COUNTIFS('NOMINA JULIO'!$G$9:$G$208,'RESUMEN GENERAL POR SEDE'!A29,'NOMINA JULIO'!$F$9:$F$208,'RESUMEN GENERAL POR SEDE'!B29)</f>
        <v>1</v>
      </c>
      <c r="E29" s="47">
        <v>116146.91983269999</v>
      </c>
      <c r="F29" s="73"/>
      <c r="G29" s="73"/>
      <c r="H29" s="47">
        <f t="shared" si="0"/>
        <v>3484407.5949809998</v>
      </c>
      <c r="I29" s="51">
        <f t="shared" si="1"/>
        <v>348440.75949810003</v>
      </c>
      <c r="J29" s="51">
        <f t="shared" si="2"/>
        <v>66203.744304639011</v>
      </c>
      <c r="K29" s="52">
        <f t="shared" si="3"/>
        <v>3899052.0987837384</v>
      </c>
    </row>
    <row r="30" spans="1:12">
      <c r="A30" s="212" t="s">
        <v>484</v>
      </c>
      <c r="B30" s="78" t="s">
        <v>506</v>
      </c>
      <c r="C30" s="56">
        <f>SUMIFS('NOMINA JULIO'!$BB$9:$BB$208,'NOMINA JULIO'!$G$9:$G$208,'RESUMEN GENERAL POR SEDE'!A30,'NOMINA JULIO'!$F$9:$F$208,'RESUMEN GENERAL POR SEDE'!B30)</f>
        <v>295</v>
      </c>
      <c r="D30" s="81">
        <f>COUNTIFS('NOMINA JULIO'!$G$9:$G$208,'RESUMEN GENERAL POR SEDE'!A30,'NOMINA JULIO'!$F$9:$F$208,'RESUMEN GENERAL POR SEDE'!B30)</f>
        <v>10</v>
      </c>
      <c r="E30" s="47">
        <v>116146.91983269999</v>
      </c>
      <c r="F30" s="73"/>
      <c r="G30" s="73"/>
      <c r="H30" s="47">
        <f t="shared" si="0"/>
        <v>34263341.350646496</v>
      </c>
      <c r="I30" s="51">
        <f t="shared" si="1"/>
        <v>3426334.1350646499</v>
      </c>
      <c r="J30" s="51">
        <f t="shared" si="2"/>
        <v>651003.48566228349</v>
      </c>
      <c r="K30" s="52">
        <f t="shared" si="3"/>
        <v>38340678.971373424</v>
      </c>
      <c r="L30" s="52">
        <f>K30+K31+K32+K33</f>
        <v>53676950.559922799</v>
      </c>
    </row>
    <row r="31" spans="1:12">
      <c r="A31" s="212" t="s">
        <v>484</v>
      </c>
      <c r="B31" s="78" t="s">
        <v>507</v>
      </c>
      <c r="C31" s="56">
        <f>SUMIFS('NOMINA JULIO'!$BB$9:$BB$208,'NOMINA JULIO'!$G$9:$G$208,'RESUMEN GENERAL POR SEDE'!A31,'NOMINA JULIO'!$F$9:$F$208,'RESUMEN GENERAL POR SEDE'!B31)</f>
        <v>60</v>
      </c>
      <c r="D31" s="81">
        <f>COUNTIFS('NOMINA JULIO'!$G$9:$G$208,'RESUMEN GENERAL POR SEDE'!A31,'NOMINA JULIO'!$F$9:$F$208,'RESUMEN GENERAL POR SEDE'!B31)</f>
        <v>2</v>
      </c>
      <c r="E31" s="47">
        <v>116146.91983269999</v>
      </c>
      <c r="F31" s="73"/>
      <c r="G31" s="73"/>
      <c r="H31" s="47">
        <f t="shared" si="0"/>
        <v>6968815.1899619997</v>
      </c>
      <c r="I31" s="51">
        <f t="shared" si="1"/>
        <v>696881.51899620006</v>
      </c>
      <c r="J31" s="51">
        <f t="shared" si="2"/>
        <v>132407.48860927802</v>
      </c>
      <c r="K31" s="52">
        <f t="shared" si="3"/>
        <v>7798104.1975674769</v>
      </c>
    </row>
    <row r="32" spans="1:12">
      <c r="A32" s="212" t="s">
        <v>484</v>
      </c>
      <c r="B32" s="78" t="s">
        <v>509</v>
      </c>
      <c r="C32" s="56">
        <f>SUMIFS('NOMINA JULIO'!$BB$9:$BB$208,'NOMINA JULIO'!$G$9:$G$208,'RESUMEN GENERAL POR SEDE'!A32,'NOMINA JULIO'!$F$9:$F$208,'RESUMEN GENERAL POR SEDE'!B32)</f>
        <v>30</v>
      </c>
      <c r="D32" s="81">
        <f>COUNTIFS('NOMINA JULIO'!$G$9:$G$208,'RESUMEN GENERAL POR SEDE'!A32,'NOMINA JULIO'!$F$9:$F$208,'RESUMEN GENERAL POR SEDE'!B32)</f>
        <v>1</v>
      </c>
      <c r="E32" s="47">
        <v>116146.91983269999</v>
      </c>
      <c r="F32" s="73"/>
      <c r="G32" s="73"/>
      <c r="H32" s="47">
        <f t="shared" si="0"/>
        <v>3484407.5949809998</v>
      </c>
      <c r="I32" s="51">
        <f t="shared" si="1"/>
        <v>348440.75949810003</v>
      </c>
      <c r="J32" s="51">
        <f t="shared" si="2"/>
        <v>66203.744304639011</v>
      </c>
      <c r="K32" s="52">
        <f t="shared" si="3"/>
        <v>3899052.0987837384</v>
      </c>
    </row>
    <row r="33" spans="1:12">
      <c r="A33" s="212" t="s">
        <v>484</v>
      </c>
      <c r="B33" s="78" t="s">
        <v>712</v>
      </c>
      <c r="C33" s="56">
        <f>SUMIFS('NOMINA JULIO'!$BB$9:$BB$208,'NOMINA JULIO'!$G$9:$G$208,'RESUMEN GENERAL POR SEDE'!A33,'NOMINA JULIO'!$F$9:$F$208,'RESUMEN GENERAL POR SEDE'!B33)</f>
        <v>28</v>
      </c>
      <c r="D33" s="81">
        <f>COUNTIFS('NOMINA JULIO'!$G$9:$G$208,'RESUMEN GENERAL POR SEDE'!A33,'NOMINA JULIO'!$F$9:$F$208,'RESUMEN GENERAL POR SEDE'!B33)</f>
        <v>1</v>
      </c>
      <c r="E33" s="47">
        <v>116146.91983269999</v>
      </c>
      <c r="F33" s="73"/>
      <c r="G33" s="73"/>
      <c r="H33" s="47">
        <f t="shared" si="0"/>
        <v>3252113.7553156</v>
      </c>
      <c r="I33" s="51">
        <f t="shared" si="1"/>
        <v>325211.37553156004</v>
      </c>
      <c r="J33" s="51">
        <f t="shared" si="2"/>
        <v>61790.161350996408</v>
      </c>
      <c r="K33" s="52">
        <f t="shared" si="3"/>
        <v>3639115.292198156</v>
      </c>
    </row>
    <row r="34" spans="1:12">
      <c r="A34" s="77" t="s">
        <v>172</v>
      </c>
      <c r="B34" s="78" t="s">
        <v>506</v>
      </c>
      <c r="C34" s="56">
        <f>SUMIFS('NOMINA JULIO'!$BB$9:$BB$208,'NOMINA JULIO'!$G$9:$G$208,'RESUMEN GENERAL POR SEDE'!A34,'NOMINA JULIO'!$F$9:$F$208,'RESUMEN GENERAL POR SEDE'!B34)</f>
        <v>60</v>
      </c>
      <c r="D34" s="81">
        <f>COUNTIFS('NOMINA JULIO'!$G$9:$G$208,'RESUMEN GENERAL POR SEDE'!A34,'NOMINA JULIO'!$F$9:$F$208,'RESUMEN GENERAL POR SEDE'!B34)</f>
        <v>2</v>
      </c>
      <c r="E34" s="47">
        <v>116146.91983269999</v>
      </c>
      <c r="F34" s="73"/>
      <c r="G34" s="73"/>
      <c r="H34" s="47">
        <f t="shared" si="0"/>
        <v>6968815.1899619997</v>
      </c>
      <c r="I34" s="51">
        <f t="shared" si="1"/>
        <v>696881.51899620006</v>
      </c>
      <c r="J34" s="51">
        <f t="shared" si="2"/>
        <v>132407.48860927802</v>
      </c>
      <c r="K34" s="52">
        <f t="shared" si="3"/>
        <v>7798104.1975674769</v>
      </c>
      <c r="L34" s="52">
        <f>K34</f>
        <v>7798104.1975674769</v>
      </c>
    </row>
    <row r="35" spans="1:12">
      <c r="A35" s="77" t="s">
        <v>485</v>
      </c>
      <c r="B35" s="78" t="s">
        <v>506</v>
      </c>
      <c r="C35" s="56">
        <f>SUMIFS('NOMINA JULIO'!$BB$9:$BB$208,'NOMINA JULIO'!$G$9:$G$208,'RESUMEN GENERAL POR SEDE'!A35,'NOMINA JULIO'!$F$9:$F$208,'RESUMEN GENERAL POR SEDE'!B35)</f>
        <v>55</v>
      </c>
      <c r="D35" s="81">
        <f>COUNTIFS('NOMINA JULIO'!$G$9:$G$208,'RESUMEN GENERAL POR SEDE'!A35,'NOMINA JULIO'!$F$9:$F$208,'RESUMEN GENERAL POR SEDE'!B35)</f>
        <v>2</v>
      </c>
      <c r="E35" s="47">
        <v>116146.91983269999</v>
      </c>
      <c r="F35" s="73"/>
      <c r="G35" s="73"/>
      <c r="H35" s="47">
        <f t="shared" si="0"/>
        <v>6388080.5907984991</v>
      </c>
      <c r="I35" s="51">
        <f t="shared" si="1"/>
        <v>638808.05907984998</v>
      </c>
      <c r="J35" s="51">
        <f t="shared" si="2"/>
        <v>121373.53122517149</v>
      </c>
      <c r="K35" s="52">
        <f t="shared" si="3"/>
        <v>7148262.181103521</v>
      </c>
      <c r="L35" s="52">
        <f>K35</f>
        <v>7148262.181103521</v>
      </c>
    </row>
    <row r="36" spans="1:12">
      <c r="A36" s="77" t="s">
        <v>486</v>
      </c>
      <c r="B36" s="78" t="s">
        <v>506</v>
      </c>
      <c r="C36" s="56">
        <f>SUMIFS('NOMINA JULIO'!$BB$9:$BB$208,'NOMINA JULIO'!$G$9:$G$208,'RESUMEN GENERAL POR SEDE'!A36,'NOMINA JULIO'!$F$9:$F$208,'RESUMEN GENERAL POR SEDE'!B36)</f>
        <v>59</v>
      </c>
      <c r="D36" s="81">
        <f>COUNTIFS('NOMINA JULIO'!$G$9:$G$208,'RESUMEN GENERAL POR SEDE'!A36,'NOMINA JULIO'!$F$9:$F$208,'RESUMEN GENERAL POR SEDE'!B36)</f>
        <v>2</v>
      </c>
      <c r="E36" s="47">
        <v>116146.91983269999</v>
      </c>
      <c r="F36" s="73"/>
      <c r="G36" s="73"/>
      <c r="H36" s="47">
        <f t="shared" ref="H36:H62" si="4">+E36*C36</f>
        <v>6852668.2701292997</v>
      </c>
      <c r="I36" s="51">
        <f t="shared" ref="I36:I62" si="5">+H36*$I$3</f>
        <v>685266.82701293007</v>
      </c>
      <c r="J36" s="51">
        <f t="shared" ref="J36:J62" si="6">+I36*$J$3</f>
        <v>130200.69713245671</v>
      </c>
      <c r="K36" s="52">
        <f t="shared" ref="K36:K62" si="7">SUM(H36:J36)</f>
        <v>7668135.7942746868</v>
      </c>
      <c r="L36" s="52">
        <f>K36+K37</f>
        <v>11567187.893058425</v>
      </c>
    </row>
    <row r="37" spans="1:12">
      <c r="A37" s="77" t="s">
        <v>486</v>
      </c>
      <c r="B37" s="78" t="s">
        <v>507</v>
      </c>
      <c r="C37" s="56">
        <f>SUMIFS('NOMINA JULIO'!$BB$9:$BB$208,'NOMINA JULIO'!$G$9:$G$208,'RESUMEN GENERAL POR SEDE'!A37,'NOMINA JULIO'!$F$9:$F$208,'RESUMEN GENERAL POR SEDE'!B37)</f>
        <v>30</v>
      </c>
      <c r="D37" s="81">
        <f>COUNTIFS('NOMINA JULIO'!$G$9:$G$208,'RESUMEN GENERAL POR SEDE'!A37,'NOMINA JULIO'!$F$9:$F$208,'RESUMEN GENERAL POR SEDE'!B37)</f>
        <v>1</v>
      </c>
      <c r="E37" s="47">
        <v>116146.91983269999</v>
      </c>
      <c r="F37" s="73"/>
      <c r="G37" s="73"/>
      <c r="H37" s="47">
        <f t="shared" si="4"/>
        <v>3484407.5949809998</v>
      </c>
      <c r="I37" s="51">
        <f t="shared" si="5"/>
        <v>348440.75949810003</v>
      </c>
      <c r="J37" s="51">
        <f t="shared" si="6"/>
        <v>66203.744304639011</v>
      </c>
      <c r="K37" s="52">
        <f t="shared" si="7"/>
        <v>3899052.0987837384</v>
      </c>
    </row>
    <row r="38" spans="1:12">
      <c r="A38" s="77" t="s">
        <v>487</v>
      </c>
      <c r="B38" s="78" t="s">
        <v>506</v>
      </c>
      <c r="C38" s="56">
        <f>SUMIFS('NOMINA JULIO'!$BB$9:$BB$208,'NOMINA JULIO'!$G$9:$G$208,'RESUMEN GENERAL POR SEDE'!A38,'NOMINA JULIO'!$F$9:$F$208,'RESUMEN GENERAL POR SEDE'!B38)</f>
        <v>60</v>
      </c>
      <c r="D38" s="81">
        <f>COUNTIFS('NOMINA JULIO'!$G$9:$G$208,'RESUMEN GENERAL POR SEDE'!A38,'NOMINA JULIO'!$F$9:$F$208,'RESUMEN GENERAL POR SEDE'!B38)</f>
        <v>2</v>
      </c>
      <c r="E38" s="47">
        <v>116146.91983269999</v>
      </c>
      <c r="F38" s="73"/>
      <c r="G38" s="73"/>
      <c r="H38" s="47">
        <f t="shared" si="4"/>
        <v>6968815.1899619997</v>
      </c>
      <c r="I38" s="51">
        <f t="shared" si="5"/>
        <v>696881.51899620006</v>
      </c>
      <c r="J38" s="51">
        <f t="shared" si="6"/>
        <v>132407.48860927802</v>
      </c>
      <c r="K38" s="52">
        <f t="shared" si="7"/>
        <v>7798104.1975674769</v>
      </c>
      <c r="L38" s="52">
        <f>K38+K39</f>
        <v>11697156.296351215</v>
      </c>
    </row>
    <row r="39" spans="1:12">
      <c r="A39" s="77" t="s">
        <v>487</v>
      </c>
      <c r="B39" s="78" t="s">
        <v>507</v>
      </c>
      <c r="C39" s="56">
        <f>SUMIFS('NOMINA JULIO'!$BB$9:$BB$208,'NOMINA JULIO'!$G$9:$G$208,'RESUMEN GENERAL POR SEDE'!A39,'NOMINA JULIO'!$F$9:$F$208,'RESUMEN GENERAL POR SEDE'!B39)</f>
        <v>30</v>
      </c>
      <c r="D39" s="81">
        <f>COUNTIFS('NOMINA JULIO'!$G$9:$G$208,'RESUMEN GENERAL POR SEDE'!A39,'NOMINA JULIO'!$F$9:$F$208,'RESUMEN GENERAL POR SEDE'!B39)</f>
        <v>1</v>
      </c>
      <c r="E39" s="47">
        <v>116146.91983269999</v>
      </c>
      <c r="F39" s="73"/>
      <c r="G39" s="73"/>
      <c r="H39" s="47">
        <f t="shared" si="4"/>
        <v>3484407.5949809998</v>
      </c>
      <c r="I39" s="51">
        <f t="shared" si="5"/>
        <v>348440.75949810003</v>
      </c>
      <c r="J39" s="51">
        <f t="shared" si="6"/>
        <v>66203.744304639011</v>
      </c>
      <c r="K39" s="52">
        <f t="shared" si="7"/>
        <v>3899052.0987837384</v>
      </c>
    </row>
    <row r="40" spans="1:12">
      <c r="A40" s="77" t="s">
        <v>488</v>
      </c>
      <c r="B40" s="78" t="s">
        <v>506</v>
      </c>
      <c r="C40" s="56">
        <f>SUMIFS('NOMINA JULIO'!$BB$9:$BB$208,'NOMINA JULIO'!$G$9:$G$208,'RESUMEN GENERAL POR SEDE'!A40,'NOMINA JULIO'!$F$9:$F$208,'RESUMEN GENERAL POR SEDE'!B40)</f>
        <v>114</v>
      </c>
      <c r="D40" s="81">
        <f>COUNTIFS('NOMINA JULIO'!$G$9:$G$208,'RESUMEN GENERAL POR SEDE'!A40,'NOMINA JULIO'!$F$9:$F$208,'RESUMEN GENERAL POR SEDE'!B40)</f>
        <v>5</v>
      </c>
      <c r="E40" s="47">
        <v>116146.91983269999</v>
      </c>
      <c r="F40" s="73"/>
      <c r="G40" s="73"/>
      <c r="H40" s="47">
        <f t="shared" si="4"/>
        <v>13240748.8609278</v>
      </c>
      <c r="I40" s="51">
        <f t="shared" si="5"/>
        <v>1324074.8860927802</v>
      </c>
      <c r="J40" s="51">
        <f t="shared" si="6"/>
        <v>251574.22835762822</v>
      </c>
      <c r="K40" s="52">
        <f t="shared" si="7"/>
        <v>14816397.975378208</v>
      </c>
      <c r="L40" s="52">
        <f>K40+K42</f>
        <v>21704723.349896148</v>
      </c>
    </row>
    <row r="41" spans="1:12">
      <c r="A41" s="77" t="s">
        <v>488</v>
      </c>
      <c r="B41" s="78" t="s">
        <v>712</v>
      </c>
      <c r="C41" s="56">
        <f>SUMIFS('NOMINA JULIO'!$BB$9:$BB$208,'NOMINA JULIO'!$G$9:$G$208,'RESUMEN GENERAL POR SEDE'!A41,'NOMINA JULIO'!$F$9:$F$208,'RESUMEN GENERAL POR SEDE'!B41)</f>
        <v>0</v>
      </c>
      <c r="D41" s="81">
        <f>COUNTIFS('NOMINA JULIO'!$G$9:$G$208,'RESUMEN GENERAL POR SEDE'!A41,'NOMINA JULIO'!$F$9:$F$208,'RESUMEN GENERAL POR SEDE'!B41)</f>
        <v>0</v>
      </c>
      <c r="E41" s="47">
        <v>116146.91983269999</v>
      </c>
      <c r="F41" s="73"/>
      <c r="G41" s="73"/>
      <c r="H41" s="47">
        <f t="shared" si="4"/>
        <v>0</v>
      </c>
      <c r="I41" s="51">
        <f t="shared" si="5"/>
        <v>0</v>
      </c>
      <c r="J41" s="51">
        <f t="shared" si="6"/>
        <v>0</v>
      </c>
      <c r="K41" s="52">
        <f t="shared" si="7"/>
        <v>0</v>
      </c>
    </row>
    <row r="42" spans="1:12">
      <c r="A42" s="77" t="s">
        <v>488</v>
      </c>
      <c r="B42" s="78" t="s">
        <v>507</v>
      </c>
      <c r="C42" s="56">
        <f>SUMIFS('NOMINA JULIO'!$BB$9:$BB$208,'NOMINA JULIO'!$G$9:$G$208,'RESUMEN GENERAL POR SEDE'!A42,'NOMINA JULIO'!$F$9:$F$208,'RESUMEN GENERAL POR SEDE'!B42)</f>
        <v>53</v>
      </c>
      <c r="D42" s="81">
        <f>COUNTIFS('NOMINA JULIO'!$G$9:$G$208,'RESUMEN GENERAL POR SEDE'!A42,'NOMINA JULIO'!$F$9:$F$208,'RESUMEN GENERAL POR SEDE'!B42)</f>
        <v>2</v>
      </c>
      <c r="E42" s="47">
        <v>116146.91983269999</v>
      </c>
      <c r="F42" s="73"/>
      <c r="G42" s="73"/>
      <c r="H42" s="47">
        <f t="shared" ref="H42" si="8">+E42*C42</f>
        <v>6155786.7511330992</v>
      </c>
      <c r="I42" s="51">
        <f t="shared" ref="I42" si="9">+H42*$I$3</f>
        <v>615578.67511330999</v>
      </c>
      <c r="J42" s="51">
        <f t="shared" ref="J42" si="10">+I42*$J$3</f>
        <v>116959.94827152891</v>
      </c>
      <c r="K42" s="52">
        <f t="shared" ref="K42" si="11">SUM(H42:J42)</f>
        <v>6888325.3745179381</v>
      </c>
      <c r="L42" s="52"/>
    </row>
    <row r="43" spans="1:12">
      <c r="A43" s="77" t="s">
        <v>588</v>
      </c>
      <c r="B43" s="78" t="s">
        <v>506</v>
      </c>
      <c r="C43" s="56">
        <f>SUMIFS('NOMINA JULIO'!$BB$9:$BB$208,'NOMINA JULIO'!$G$9:$G$208,'RESUMEN GENERAL POR SEDE'!A43,'NOMINA JULIO'!$F$9:$F$208,'RESUMEN GENERAL POR SEDE'!B43)</f>
        <v>30</v>
      </c>
      <c r="D43" s="81">
        <f>COUNTIFS('NOMINA JULIO'!$G$9:$G$208,'RESUMEN GENERAL POR SEDE'!A43,'NOMINA JULIO'!$F$9:$F$208,'RESUMEN GENERAL POR SEDE'!B43)</f>
        <v>1</v>
      </c>
      <c r="E43" s="47">
        <v>116146.91983269999</v>
      </c>
      <c r="F43" s="73"/>
      <c r="G43" s="73"/>
      <c r="H43" s="47">
        <f t="shared" si="4"/>
        <v>3484407.5949809998</v>
      </c>
      <c r="I43" s="51">
        <f t="shared" si="5"/>
        <v>348440.75949810003</v>
      </c>
      <c r="J43" s="51">
        <f t="shared" si="6"/>
        <v>66203.744304639011</v>
      </c>
      <c r="K43" s="52">
        <f t="shared" si="7"/>
        <v>3899052.0987837384</v>
      </c>
      <c r="L43" s="52">
        <f>K43</f>
        <v>3899052.0987837384</v>
      </c>
    </row>
    <row r="44" spans="1:12">
      <c r="A44" s="77" t="s">
        <v>490</v>
      </c>
      <c r="B44" s="78" t="s">
        <v>506</v>
      </c>
      <c r="C44" s="56">
        <f>SUMIFS('NOMINA JULIO'!$BB$9:$BB$208,'NOMINA JULIO'!$G$9:$G$208,'RESUMEN GENERAL POR SEDE'!A44,'NOMINA JULIO'!$F$9:$F$208,'RESUMEN GENERAL POR SEDE'!B44)</f>
        <v>118</v>
      </c>
      <c r="D44" s="81">
        <f>COUNTIFS('NOMINA JULIO'!$G$9:$G$208,'RESUMEN GENERAL POR SEDE'!A44,'NOMINA JULIO'!$F$9:$F$208,'RESUMEN GENERAL POR SEDE'!B44)</f>
        <v>4</v>
      </c>
      <c r="E44" s="47">
        <v>116146.91983269999</v>
      </c>
      <c r="F44" s="73"/>
      <c r="G44" s="73"/>
      <c r="H44" s="47">
        <f t="shared" si="4"/>
        <v>13705336.540258599</v>
      </c>
      <c r="I44" s="51">
        <f t="shared" si="5"/>
        <v>1370533.6540258601</v>
      </c>
      <c r="J44" s="51">
        <f t="shared" si="6"/>
        <v>260401.39426491343</v>
      </c>
      <c r="K44" s="52">
        <f t="shared" si="7"/>
        <v>15336271.588549374</v>
      </c>
      <c r="L44" s="52">
        <f>K44+K45+K46+K47</f>
        <v>30932479.983684327</v>
      </c>
    </row>
    <row r="45" spans="1:12">
      <c r="A45" s="77" t="s">
        <v>490</v>
      </c>
      <c r="B45" s="78" t="s">
        <v>507</v>
      </c>
      <c r="C45" s="56">
        <f>SUMIFS('NOMINA JULIO'!$BB$9:$BB$208,'NOMINA JULIO'!$G$9:$G$208,'RESUMEN GENERAL POR SEDE'!A45,'NOMINA JULIO'!$F$9:$F$208,'RESUMEN GENERAL POR SEDE'!B45)</f>
        <v>60</v>
      </c>
      <c r="D45" s="81">
        <f>COUNTIFS('NOMINA JULIO'!$G$9:$G$208,'RESUMEN GENERAL POR SEDE'!A45,'NOMINA JULIO'!$F$9:$F$208,'RESUMEN GENERAL POR SEDE'!B45)</f>
        <v>2</v>
      </c>
      <c r="E45" s="47">
        <v>116146.91983269999</v>
      </c>
      <c r="F45" s="73"/>
      <c r="G45" s="73"/>
      <c r="H45" s="47">
        <f t="shared" si="4"/>
        <v>6968815.1899619997</v>
      </c>
      <c r="I45" s="51">
        <f t="shared" si="5"/>
        <v>696881.51899620006</v>
      </c>
      <c r="J45" s="51">
        <f t="shared" si="6"/>
        <v>132407.48860927802</v>
      </c>
      <c r="K45" s="52">
        <f t="shared" si="7"/>
        <v>7798104.1975674769</v>
      </c>
    </row>
    <row r="46" spans="1:12">
      <c r="A46" s="77" t="s">
        <v>490</v>
      </c>
      <c r="B46" s="78" t="s">
        <v>508</v>
      </c>
      <c r="C46" s="56">
        <f>SUMIFS('NOMINA JULIO'!$BB$9:$BB$208,'NOMINA JULIO'!$G$9:$G$208,'RESUMEN GENERAL POR SEDE'!A46,'NOMINA JULIO'!$F$9:$F$208,'RESUMEN GENERAL POR SEDE'!B46)</f>
        <v>30</v>
      </c>
      <c r="D46" s="81">
        <f>COUNTIFS('NOMINA JULIO'!$G$9:$G$208,'RESUMEN GENERAL POR SEDE'!A46,'NOMINA JULIO'!$F$9:$F$208,'RESUMEN GENERAL POR SEDE'!B46)</f>
        <v>1</v>
      </c>
      <c r="E46" s="47">
        <v>116146.91983269999</v>
      </c>
      <c r="F46" s="73"/>
      <c r="G46" s="73"/>
      <c r="H46" s="47">
        <f t="shared" si="4"/>
        <v>3484407.5949809998</v>
      </c>
      <c r="I46" s="51">
        <f t="shared" si="5"/>
        <v>348440.75949810003</v>
      </c>
      <c r="J46" s="51">
        <f t="shared" si="6"/>
        <v>66203.744304639011</v>
      </c>
      <c r="K46" s="52">
        <f t="shared" si="7"/>
        <v>3899052.0987837384</v>
      </c>
    </row>
    <row r="47" spans="1:12">
      <c r="A47" s="77" t="s">
        <v>490</v>
      </c>
      <c r="B47" s="78" t="s">
        <v>509</v>
      </c>
      <c r="C47" s="56">
        <f>SUMIFS('NOMINA JULIO'!$BB$9:$BB$208,'NOMINA JULIO'!$G$9:$G$208,'RESUMEN GENERAL POR SEDE'!A47,'NOMINA JULIO'!$F$9:$F$208,'RESUMEN GENERAL POR SEDE'!B47)</f>
        <v>30</v>
      </c>
      <c r="D47" s="81">
        <f>COUNTIFS('NOMINA JULIO'!$G$9:$G$208,'RESUMEN GENERAL POR SEDE'!A47,'NOMINA JULIO'!$F$9:$F$208,'RESUMEN GENERAL POR SEDE'!B47)</f>
        <v>1</v>
      </c>
      <c r="E47" s="47">
        <v>116146.91983269999</v>
      </c>
      <c r="F47" s="73"/>
      <c r="G47" s="73"/>
      <c r="H47" s="47">
        <f t="shared" si="4"/>
        <v>3484407.5949809998</v>
      </c>
      <c r="I47" s="51">
        <f t="shared" si="5"/>
        <v>348440.75949810003</v>
      </c>
      <c r="J47" s="51">
        <f t="shared" si="6"/>
        <v>66203.744304639011</v>
      </c>
      <c r="K47" s="52">
        <f t="shared" si="7"/>
        <v>3899052.0987837384</v>
      </c>
    </row>
    <row r="48" spans="1:12">
      <c r="A48" s="77" t="s">
        <v>491</v>
      </c>
      <c r="B48" s="78" t="s">
        <v>506</v>
      </c>
      <c r="C48" s="56">
        <f>SUMIFS('NOMINA JULIO'!$BB$9:$BB$208,'NOMINA JULIO'!$G$9:$G$208,'RESUMEN GENERAL POR SEDE'!A48,'NOMINA JULIO'!$F$9:$F$208,'RESUMEN GENERAL POR SEDE'!B48)</f>
        <v>84</v>
      </c>
      <c r="D48" s="81">
        <f>COUNTIFS('NOMINA JULIO'!$G$9:$G$208,'RESUMEN GENERAL POR SEDE'!A48,'NOMINA JULIO'!$F$9:$F$208,'RESUMEN GENERAL POR SEDE'!B48)</f>
        <v>3</v>
      </c>
      <c r="E48" s="47">
        <v>116146.91983269999</v>
      </c>
      <c r="F48" s="73"/>
      <c r="G48" s="73"/>
      <c r="H48" s="47">
        <f t="shared" si="4"/>
        <v>9756341.2659467999</v>
      </c>
      <c r="I48" s="51">
        <f t="shared" si="5"/>
        <v>975634.12659468001</v>
      </c>
      <c r="J48" s="51">
        <f t="shared" si="6"/>
        <v>185370.4840529892</v>
      </c>
      <c r="K48" s="52">
        <f t="shared" si="7"/>
        <v>10917345.876594469</v>
      </c>
      <c r="L48" s="52">
        <f>K48+K50+K49</f>
        <v>18715450.074161947</v>
      </c>
    </row>
    <row r="49" spans="1:12">
      <c r="A49" s="77" t="s">
        <v>491</v>
      </c>
      <c r="B49" s="78" t="s">
        <v>507</v>
      </c>
      <c r="C49" s="56">
        <f>SUMIFS('NOMINA JULIO'!$BB$9:$BB$208,'NOMINA JULIO'!$G$9:$G$208,'RESUMEN GENERAL POR SEDE'!A49,'NOMINA JULIO'!$F$9:$F$208,'RESUMEN GENERAL POR SEDE'!B49)</f>
        <v>30</v>
      </c>
      <c r="D49" s="81">
        <f>COUNTIFS('NOMINA JULIO'!$G$9:$G$208,'RESUMEN GENERAL POR SEDE'!A49,'NOMINA JULIO'!$F$9:$F$208,'RESUMEN GENERAL POR SEDE'!B49)</f>
        <v>1</v>
      </c>
      <c r="E49" s="47">
        <v>116146.91983269999</v>
      </c>
      <c r="F49" s="73"/>
      <c r="G49" s="73"/>
      <c r="H49" s="47">
        <f t="shared" si="4"/>
        <v>3484407.5949809998</v>
      </c>
      <c r="I49" s="51">
        <f t="shared" si="5"/>
        <v>348440.75949810003</v>
      </c>
      <c r="J49" s="51">
        <f t="shared" si="6"/>
        <v>66203.744304639011</v>
      </c>
      <c r="K49" s="52">
        <f t="shared" si="7"/>
        <v>3899052.0987837384</v>
      </c>
    </row>
    <row r="50" spans="1:12">
      <c r="A50" s="77" t="s">
        <v>491</v>
      </c>
      <c r="B50" s="78" t="s">
        <v>508</v>
      </c>
      <c r="C50" s="56">
        <f>SUMIFS('NOMINA JULIO'!$BB$9:$BB$208,'NOMINA JULIO'!$G$9:$G$208,'RESUMEN GENERAL POR SEDE'!A50,'NOMINA JULIO'!$F$9:$F$208,'RESUMEN GENERAL POR SEDE'!B50)</f>
        <v>30</v>
      </c>
      <c r="D50" s="81">
        <f>COUNTIFS('NOMINA JULIO'!$G$9:$G$208,'RESUMEN GENERAL POR SEDE'!A50,'NOMINA JULIO'!$F$9:$F$208,'RESUMEN GENERAL POR SEDE'!B50)</f>
        <v>1</v>
      </c>
      <c r="E50" s="47">
        <v>116146.91983269999</v>
      </c>
      <c r="F50" s="73"/>
      <c r="G50" s="73"/>
      <c r="H50" s="47">
        <f t="shared" si="4"/>
        <v>3484407.5949809998</v>
      </c>
      <c r="I50" s="51">
        <f t="shared" si="5"/>
        <v>348440.75949810003</v>
      </c>
      <c r="J50" s="51">
        <f t="shared" si="6"/>
        <v>66203.744304639011</v>
      </c>
      <c r="K50" s="52">
        <f t="shared" si="7"/>
        <v>3899052.0987837384</v>
      </c>
    </row>
    <row r="51" spans="1:12">
      <c r="A51" s="82" t="s">
        <v>589</v>
      </c>
      <c r="B51" s="78" t="s">
        <v>507</v>
      </c>
      <c r="C51" s="56">
        <f>SUMIFS('NOMINA JULIO'!$BB$9:$BB$208,'NOMINA JULIO'!$G$9:$G$208,'RESUMEN GENERAL POR SEDE'!A51,'NOMINA JULIO'!$F$9:$F$208,'RESUMEN GENERAL POR SEDE'!B51)</f>
        <v>30</v>
      </c>
      <c r="D51" s="81">
        <f>COUNTIFS('NOMINA JULIO'!$G$9:$G$208,'RESUMEN GENERAL POR SEDE'!A51,'NOMINA JULIO'!$F$9:$F$208,'RESUMEN GENERAL POR SEDE'!B51)</f>
        <v>1</v>
      </c>
      <c r="E51" s="47">
        <v>116146.91983269999</v>
      </c>
      <c r="F51" s="73"/>
      <c r="G51" s="73"/>
      <c r="H51" s="47">
        <f t="shared" si="4"/>
        <v>3484407.5949809998</v>
      </c>
      <c r="I51" s="51">
        <f t="shared" si="5"/>
        <v>348440.75949810003</v>
      </c>
      <c r="J51" s="51">
        <f t="shared" si="6"/>
        <v>66203.744304639011</v>
      </c>
      <c r="K51" s="52">
        <f t="shared" si="7"/>
        <v>3899052.0987837384</v>
      </c>
      <c r="L51" s="52">
        <f>K51+K52</f>
        <v>11697156.296351215</v>
      </c>
    </row>
    <row r="52" spans="1:12">
      <c r="A52" s="82" t="s">
        <v>181</v>
      </c>
      <c r="B52" s="78" t="s">
        <v>506</v>
      </c>
      <c r="C52" s="56">
        <f>SUMIFS('NOMINA JULIO'!$BB$9:$BB$208,'NOMINA JULIO'!$G$9:$G$208,'RESUMEN GENERAL POR SEDE'!A52,'NOMINA JULIO'!$F$9:$F$208,'RESUMEN GENERAL POR SEDE'!B52)</f>
        <v>60</v>
      </c>
      <c r="D52" s="81">
        <f>COUNTIFS('NOMINA JULIO'!$G$9:$G$208,'RESUMEN GENERAL POR SEDE'!A52,'NOMINA JULIO'!$F$9:$F$208,'RESUMEN GENERAL POR SEDE'!B52)</f>
        <v>2</v>
      </c>
      <c r="E52" s="47">
        <v>116146.91983269999</v>
      </c>
      <c r="F52" s="73"/>
      <c r="G52" s="73"/>
      <c r="H52" s="47">
        <f t="shared" ref="H52" si="12">+E52*C52</f>
        <v>6968815.1899619997</v>
      </c>
      <c r="I52" s="51">
        <f t="shared" ref="I52" si="13">+H52*$I$3</f>
        <v>696881.51899620006</v>
      </c>
      <c r="J52" s="51">
        <f t="shared" ref="J52" si="14">+I52*$J$3</f>
        <v>132407.48860927802</v>
      </c>
      <c r="K52" s="52">
        <f t="shared" ref="K52" si="15">SUM(H52:J52)</f>
        <v>7798104.1975674769</v>
      </c>
    </row>
    <row r="53" spans="1:12">
      <c r="A53" s="77" t="s">
        <v>494</v>
      </c>
      <c r="B53" s="78" t="s">
        <v>506</v>
      </c>
      <c r="C53" s="56">
        <f>SUMIFS('NOMINA JULIO'!$BB$9:$BB$208,'NOMINA JULIO'!$G$9:$G$208,'RESUMEN GENERAL POR SEDE'!A53,'NOMINA JULIO'!$F$9:$F$208,'RESUMEN GENERAL POR SEDE'!B53)</f>
        <v>90</v>
      </c>
      <c r="D53" s="81">
        <f>COUNTIFS('NOMINA JULIO'!$G$9:$G$208,'RESUMEN GENERAL POR SEDE'!A53,'NOMINA JULIO'!$F$9:$F$208,'RESUMEN GENERAL POR SEDE'!B53)</f>
        <v>3</v>
      </c>
      <c r="E53" s="47">
        <v>116146.91983269999</v>
      </c>
      <c r="F53" s="73"/>
      <c r="G53" s="73"/>
      <c r="H53" s="47">
        <f t="shared" si="4"/>
        <v>10453222.784942999</v>
      </c>
      <c r="I53" s="51">
        <f t="shared" si="5"/>
        <v>1045322.2784943</v>
      </c>
      <c r="J53" s="51">
        <f t="shared" si="6"/>
        <v>198611.23291391699</v>
      </c>
      <c r="K53" s="52">
        <f t="shared" si="7"/>
        <v>11697156.296351217</v>
      </c>
      <c r="L53" s="52">
        <f>K53</f>
        <v>11697156.296351217</v>
      </c>
    </row>
    <row r="54" spans="1:12">
      <c r="A54" s="77" t="s">
        <v>495</v>
      </c>
      <c r="B54" s="78" t="s">
        <v>506</v>
      </c>
      <c r="C54" s="56">
        <f>SUMIFS('NOMINA JULIO'!$BB$9:$BB$208,'NOMINA JULIO'!$G$9:$G$208,'RESUMEN GENERAL POR SEDE'!A54,'NOMINA JULIO'!$F$9:$F$208,'RESUMEN GENERAL POR SEDE'!B54)</f>
        <v>97</v>
      </c>
      <c r="D54" s="81">
        <f>COUNTIFS('NOMINA JULIO'!$G$9:$G$208,'RESUMEN GENERAL POR SEDE'!A54,'NOMINA JULIO'!$F$9:$F$208,'RESUMEN GENERAL POR SEDE'!B54)</f>
        <v>5</v>
      </c>
      <c r="E54" s="47">
        <v>116146.91983269999</v>
      </c>
      <c r="F54" s="73"/>
      <c r="G54" s="73"/>
      <c r="H54" s="47">
        <f t="shared" si="4"/>
        <v>11266251.2237719</v>
      </c>
      <c r="I54" s="51">
        <f t="shared" si="5"/>
        <v>1126625.12237719</v>
      </c>
      <c r="J54" s="51">
        <f t="shared" si="6"/>
        <v>214058.77325166611</v>
      </c>
      <c r="K54" s="52">
        <f t="shared" si="7"/>
        <v>12606935.119400756</v>
      </c>
      <c r="L54" s="52">
        <f>K54+K55+K56</f>
        <v>20405039.316968232</v>
      </c>
    </row>
    <row r="55" spans="1:12">
      <c r="A55" s="77" t="s">
        <v>495</v>
      </c>
      <c r="B55" s="78" t="s">
        <v>507</v>
      </c>
      <c r="C55" s="56">
        <f>SUMIFS('NOMINA JULIO'!$BB$9:$BB$208,'NOMINA JULIO'!$G$9:$G$208,'RESUMEN GENERAL POR SEDE'!A55,'NOMINA JULIO'!$F$9:$F$208,'RESUMEN GENERAL POR SEDE'!B55)</f>
        <v>30</v>
      </c>
      <c r="D55" s="81">
        <f>COUNTIFS('NOMINA JULIO'!$G$9:$G$208,'RESUMEN GENERAL POR SEDE'!A55,'NOMINA JULIO'!$F$9:$F$208,'RESUMEN GENERAL POR SEDE'!B55)</f>
        <v>1</v>
      </c>
      <c r="E55" s="47">
        <v>116146.91983269999</v>
      </c>
      <c r="F55" s="73"/>
      <c r="G55" s="73"/>
      <c r="H55" s="47">
        <f t="shared" si="4"/>
        <v>3484407.5949809998</v>
      </c>
      <c r="I55" s="51">
        <f t="shared" si="5"/>
        <v>348440.75949810003</v>
      </c>
      <c r="J55" s="51">
        <f t="shared" si="6"/>
        <v>66203.744304639011</v>
      </c>
      <c r="K55" s="52">
        <f t="shared" si="7"/>
        <v>3899052.0987837384</v>
      </c>
    </row>
    <row r="56" spans="1:12">
      <c r="A56" s="77" t="s">
        <v>495</v>
      </c>
      <c r="B56" s="78" t="s">
        <v>712</v>
      </c>
      <c r="C56" s="56">
        <f>SUMIFS('NOMINA JULIO'!$BB$9:$BB$208,'NOMINA JULIO'!$G$9:$G$208,'RESUMEN GENERAL POR SEDE'!A56,'NOMINA JULIO'!$F$9:$F$208,'RESUMEN GENERAL POR SEDE'!B56)</f>
        <v>30</v>
      </c>
      <c r="D56" s="81">
        <f>COUNTIFS('NOMINA JULIO'!$G$9:$G$208,'RESUMEN GENERAL POR SEDE'!A56,'NOMINA JULIO'!$F$9:$F$208,'RESUMEN GENERAL POR SEDE'!B56)</f>
        <v>1</v>
      </c>
      <c r="E56" s="47">
        <v>116146.91983269999</v>
      </c>
      <c r="F56" s="73"/>
      <c r="G56" s="73"/>
      <c r="H56" s="47">
        <f t="shared" ref="H56" si="16">+E56*C56</f>
        <v>3484407.5949809998</v>
      </c>
      <c r="I56" s="51">
        <f t="shared" ref="I56" si="17">+H56*$I$3</f>
        <v>348440.75949810003</v>
      </c>
      <c r="J56" s="51">
        <f t="shared" ref="J56" si="18">+I56*$J$3</f>
        <v>66203.744304639011</v>
      </c>
      <c r="K56" s="52">
        <f t="shared" ref="K56" si="19">SUM(H56:J56)</f>
        <v>3899052.0987837384</v>
      </c>
    </row>
    <row r="57" spans="1:12">
      <c r="A57" s="77" t="s">
        <v>496</v>
      </c>
      <c r="B57" s="78" t="s">
        <v>506</v>
      </c>
      <c r="C57" s="56">
        <f>SUMIFS('NOMINA JULIO'!$BB$9:$BB$208,'NOMINA JULIO'!$G$9:$G$208,'RESUMEN GENERAL POR SEDE'!A57,'NOMINA JULIO'!$F$9:$F$208,'RESUMEN GENERAL POR SEDE'!B57)</f>
        <v>58</v>
      </c>
      <c r="D57" s="81">
        <f>COUNTIFS('NOMINA JULIO'!$G$9:$G$208,'RESUMEN GENERAL POR SEDE'!A57,'NOMINA JULIO'!$F$9:$F$208,'RESUMEN GENERAL POR SEDE'!B57)</f>
        <v>2</v>
      </c>
      <c r="E57" s="47">
        <v>116146.91983269999</v>
      </c>
      <c r="F57" s="73"/>
      <c r="G57" s="73"/>
      <c r="H57" s="47">
        <f t="shared" si="4"/>
        <v>6736521.3502965998</v>
      </c>
      <c r="I57" s="51">
        <f t="shared" si="5"/>
        <v>673652.13502966007</v>
      </c>
      <c r="J57" s="51">
        <f t="shared" si="6"/>
        <v>127993.90565563542</v>
      </c>
      <c r="K57" s="52">
        <f t="shared" si="7"/>
        <v>7538167.3909818958</v>
      </c>
      <c r="L57" s="52">
        <f>K57</f>
        <v>7538167.3909818958</v>
      </c>
    </row>
    <row r="58" spans="1:12">
      <c r="A58" s="82" t="s">
        <v>497</v>
      </c>
      <c r="B58" s="78" t="s">
        <v>506</v>
      </c>
      <c r="C58" s="56">
        <f>SUMIFS('NOMINA JULIO'!$BB$9:$BB$208,'NOMINA JULIO'!$G$9:$G$208,'RESUMEN GENERAL POR SEDE'!A58,'NOMINA JULIO'!$F$9:$F$208,'RESUMEN GENERAL POR SEDE'!B58)</f>
        <v>90</v>
      </c>
      <c r="D58" s="81">
        <f>COUNTIFS('NOMINA JULIO'!$G$9:$G$208,'RESUMEN GENERAL POR SEDE'!A58,'NOMINA JULIO'!$F$9:$F$208,'RESUMEN GENERAL POR SEDE'!B58)</f>
        <v>3</v>
      </c>
      <c r="E58" s="47">
        <v>116146.91983269999</v>
      </c>
      <c r="F58" s="73"/>
      <c r="G58" s="73"/>
      <c r="H58" s="47">
        <f t="shared" si="4"/>
        <v>10453222.784942999</v>
      </c>
      <c r="I58" s="51">
        <f t="shared" si="5"/>
        <v>1045322.2784943</v>
      </c>
      <c r="J58" s="51">
        <f t="shared" si="6"/>
        <v>198611.23291391699</v>
      </c>
      <c r="K58" s="52">
        <f t="shared" si="7"/>
        <v>11697156.296351217</v>
      </c>
      <c r="L58" s="52">
        <f>K58+K59+K60</f>
        <v>18585481.670869157</v>
      </c>
    </row>
    <row r="59" spans="1:12">
      <c r="A59" s="82" t="s">
        <v>497</v>
      </c>
      <c r="B59" s="78" t="s">
        <v>507</v>
      </c>
      <c r="C59" s="56">
        <f>SUMIFS('NOMINA JULIO'!$BB$9:$BB$208,'NOMINA JULIO'!$G$9:$G$208,'RESUMEN GENERAL POR SEDE'!A59,'NOMINA JULIO'!$F$9:$F$208,'RESUMEN GENERAL POR SEDE'!B59)</f>
        <v>30</v>
      </c>
      <c r="D59" s="81">
        <f>COUNTIFS('NOMINA JULIO'!$G$9:$G$208,'RESUMEN GENERAL POR SEDE'!A59,'NOMINA JULIO'!$F$9:$F$208,'RESUMEN GENERAL POR SEDE'!B59)</f>
        <v>1</v>
      </c>
      <c r="E59" s="47">
        <v>116146.91983269999</v>
      </c>
      <c r="F59" s="73"/>
      <c r="G59" s="73"/>
      <c r="H59" s="47">
        <f t="shared" si="4"/>
        <v>3484407.5949809998</v>
      </c>
      <c r="I59" s="51">
        <f t="shared" si="5"/>
        <v>348440.75949810003</v>
      </c>
      <c r="J59" s="51">
        <f t="shared" si="6"/>
        <v>66203.744304639011</v>
      </c>
      <c r="K59" s="52">
        <f t="shared" si="7"/>
        <v>3899052.0987837384</v>
      </c>
    </row>
    <row r="60" spans="1:12">
      <c r="A60" s="82" t="s">
        <v>497</v>
      </c>
      <c r="B60" s="78" t="s">
        <v>508</v>
      </c>
      <c r="C60" s="56">
        <f>SUMIFS('NOMINA JULIO'!$BB$9:$BB$208,'NOMINA JULIO'!$G$9:$G$208,'RESUMEN GENERAL POR SEDE'!A60,'NOMINA JULIO'!$F$9:$F$208,'RESUMEN GENERAL POR SEDE'!B60)</f>
        <v>23</v>
      </c>
      <c r="D60" s="81">
        <f>COUNTIFS('NOMINA JULIO'!$G$9:$G$208,'RESUMEN GENERAL POR SEDE'!A60,'NOMINA JULIO'!$F$9:$F$208,'RESUMEN GENERAL POR SEDE'!B60)</f>
        <v>1</v>
      </c>
      <c r="E60" s="47">
        <v>116146.91983269999</v>
      </c>
      <c r="F60" s="73"/>
      <c r="G60" s="73"/>
      <c r="H60" s="47">
        <f t="shared" si="4"/>
        <v>2671379.1561520998</v>
      </c>
      <c r="I60" s="51">
        <f t="shared" si="5"/>
        <v>267137.91561521002</v>
      </c>
      <c r="J60" s="51">
        <f t="shared" si="6"/>
        <v>50756.203966889901</v>
      </c>
      <c r="K60" s="52">
        <f t="shared" si="7"/>
        <v>2989273.2757341997</v>
      </c>
    </row>
    <row r="61" spans="1:12">
      <c r="A61" s="82" t="s">
        <v>714</v>
      </c>
      <c r="B61" s="78" t="s">
        <v>506</v>
      </c>
      <c r="C61" s="56">
        <f>SUMIFS('NOMINA JULIO'!$BB$9:$BB$208,'NOMINA JULIO'!$G$9:$G$208,'RESUMEN GENERAL POR SEDE'!A61,'NOMINA JULIO'!$F$9:$F$208,'RESUMEN GENERAL POR SEDE'!B61)</f>
        <v>30</v>
      </c>
      <c r="D61" s="81">
        <f>COUNTIFS('NOMINA JULIO'!$G$9:$G$208,'RESUMEN GENERAL POR SEDE'!A61,'NOMINA JULIO'!$F$9:$F$208,'RESUMEN GENERAL POR SEDE'!B61)</f>
        <v>1</v>
      </c>
      <c r="E61" s="47">
        <v>116146.91983269999</v>
      </c>
      <c r="F61" s="73"/>
      <c r="G61" s="73"/>
      <c r="H61" s="47">
        <f t="shared" si="4"/>
        <v>3484407.5949809998</v>
      </c>
      <c r="I61" s="51">
        <f t="shared" si="5"/>
        <v>348440.75949810003</v>
      </c>
      <c r="J61" s="51">
        <f t="shared" si="6"/>
        <v>66203.744304639011</v>
      </c>
      <c r="K61" s="52">
        <f t="shared" si="7"/>
        <v>3899052.0987837384</v>
      </c>
    </row>
    <row r="62" spans="1:12">
      <c r="A62" s="82" t="s">
        <v>719</v>
      </c>
      <c r="B62" s="78" t="s">
        <v>506</v>
      </c>
      <c r="C62" s="56">
        <f>SUMIFS('NOMINA JULIO'!$BB$9:$BB$208,'NOMINA JULIO'!$G$9:$G$208,'RESUMEN GENERAL POR SEDE'!A62,'NOMINA JULIO'!$F$9:$F$208,'RESUMEN GENERAL POR SEDE'!B62)</f>
        <v>58</v>
      </c>
      <c r="D62" s="81">
        <f>COUNTIFS('NOMINA JULIO'!$G$9:$G$208,'RESUMEN GENERAL POR SEDE'!A62,'NOMINA JULIO'!$F$9:$F$208,'RESUMEN GENERAL POR SEDE'!B62)</f>
        <v>2</v>
      </c>
      <c r="E62" s="47">
        <v>116146.91983269999</v>
      </c>
      <c r="F62" s="73"/>
      <c r="G62" s="73"/>
      <c r="H62" s="47">
        <f t="shared" si="4"/>
        <v>6736521.3502965998</v>
      </c>
      <c r="I62" s="51">
        <f t="shared" si="5"/>
        <v>673652.13502966007</v>
      </c>
      <c r="J62" s="51">
        <f t="shared" si="6"/>
        <v>127993.90565563542</v>
      </c>
      <c r="K62" s="52">
        <f t="shared" si="7"/>
        <v>7538167.3909818958</v>
      </c>
    </row>
    <row r="63" spans="1:12">
      <c r="A63" s="82" t="s">
        <v>723</v>
      </c>
      <c r="B63" s="78" t="s">
        <v>506</v>
      </c>
      <c r="C63" s="56">
        <f>SUMIFS('NOMINA JULIO'!$BB$9:$BB$208,'NOMINA JULIO'!$G$9:$G$208,'RESUMEN GENERAL POR SEDE'!A63,'NOMINA JULIO'!$F$9:$F$208,'RESUMEN GENERAL POR SEDE'!B63)</f>
        <v>60</v>
      </c>
      <c r="D63" s="81">
        <f>COUNTIFS('NOMINA JULIO'!$G$9:$G$208,'RESUMEN GENERAL POR SEDE'!A63,'NOMINA JULIO'!$F$9:$F$208,'RESUMEN GENERAL POR SEDE'!B63)</f>
        <v>2</v>
      </c>
      <c r="E63" s="47">
        <v>116146.91983269999</v>
      </c>
      <c r="F63" s="73"/>
      <c r="G63" s="73"/>
      <c r="H63" s="47">
        <f t="shared" ref="H63" si="20">+E63*C63</f>
        <v>6968815.1899619997</v>
      </c>
      <c r="I63" s="51">
        <f t="shared" ref="I63" si="21">+H63*$I$3</f>
        <v>696881.51899620006</v>
      </c>
      <c r="J63" s="51">
        <f t="shared" ref="J63" si="22">+I63*$J$3</f>
        <v>132407.48860927802</v>
      </c>
      <c r="K63" s="52">
        <f t="shared" ref="K63" si="23">SUM(H63:J63)</f>
        <v>7798104.1975674769</v>
      </c>
    </row>
    <row r="64" spans="1:12" ht="15.75" thickBot="1">
      <c r="C64" s="241">
        <f>SUM(C5:C63)</f>
        <v>5681</v>
      </c>
      <c r="D64" s="241">
        <f>SUM(D5:D63)</f>
        <v>200</v>
      </c>
      <c r="E64" s="242"/>
      <c r="F64" s="242"/>
      <c r="G64" s="242"/>
      <c r="H64" s="243">
        <f>SUM(H5:H63)</f>
        <v>659830651.56956851</v>
      </c>
      <c r="I64" s="243">
        <f>SUM(I5:I63)</f>
        <v>65983065.156956829</v>
      </c>
      <c r="J64" s="243">
        <f>SUM(J5:J63)</f>
        <v>12536782.379821802</v>
      </c>
      <c r="K64" s="243">
        <f>SUM(K5:K63)</f>
        <v>738350499.10634696</v>
      </c>
      <c r="L64" s="52">
        <f>SUM(L5:L63)</f>
        <v>738350499.10634708</v>
      </c>
    </row>
    <row r="65" spans="3:3" ht="15.75" thickTop="1"/>
    <row r="66" spans="3:3">
      <c r="C66" s="56">
        <f>+'NOMINA JULIO'!BB209</f>
        <v>5681</v>
      </c>
    </row>
    <row r="67" spans="3:3">
      <c r="C67" s="56">
        <f>+C64-C66</f>
        <v>0</v>
      </c>
    </row>
  </sheetData>
  <autoFilter ref="A4:K64" xr:uid="{00000000-0001-0000-0500-000000000000}"/>
  <mergeCells count="2">
    <mergeCell ref="C1:H1"/>
    <mergeCell ref="A3:H3"/>
  </mergeCells>
  <dataValidations disablePrompts="1" count="1">
    <dataValidation type="list" allowBlank="1" showInputMessage="1" showErrorMessage="1" sqref="C1" xr:uid="{00000000-0002-0000-0500-000000000000}"/>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6FFFF"/>
  </sheetPr>
  <dimension ref="A1:AO32"/>
  <sheetViews>
    <sheetView topLeftCell="A20" zoomScale="80" zoomScaleNormal="80" workbookViewId="0">
      <selection activeCell="AA28" sqref="AA28"/>
    </sheetView>
  </sheetViews>
  <sheetFormatPr baseColWidth="10" defaultRowHeight="15"/>
  <cols>
    <col min="2" max="2" width="70.85546875" bestFit="1" customWidth="1"/>
    <col min="3" max="3" width="16.140625" style="51" hidden="1" customWidth="1"/>
    <col min="4" max="24" width="16.140625" hidden="1" customWidth="1"/>
    <col min="25" max="25" width="21.42578125" hidden="1" customWidth="1"/>
    <col min="26" max="26" width="18.42578125" hidden="1" customWidth="1"/>
    <col min="27" max="27" width="19.5703125" customWidth="1"/>
    <col min="28" max="28" width="18.42578125" customWidth="1"/>
    <col min="29" max="29" width="15.140625" customWidth="1"/>
    <col min="30" max="30" width="19.42578125" customWidth="1"/>
    <col min="35" max="35" width="17.140625" bestFit="1" customWidth="1"/>
    <col min="36" max="36" width="21.5703125" bestFit="1" customWidth="1"/>
    <col min="38" max="38" width="18.5703125" customWidth="1"/>
    <col min="41" max="41" width="21.42578125" customWidth="1"/>
  </cols>
  <sheetData>
    <row r="1" spans="1:41">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row>
    <row r="2" spans="1:41" ht="63.75">
      <c r="A2" s="40" t="s">
        <v>1</v>
      </c>
      <c r="B2" s="43" t="s">
        <v>404</v>
      </c>
      <c r="C2" s="58" t="s">
        <v>452</v>
      </c>
      <c r="D2" s="59" t="s">
        <v>453</v>
      </c>
      <c r="E2" s="59" t="s">
        <v>454</v>
      </c>
      <c r="F2" s="59" t="s">
        <v>455</v>
      </c>
      <c r="G2" s="59" t="s">
        <v>456</v>
      </c>
      <c r="H2" s="59" t="s">
        <v>457</v>
      </c>
      <c r="I2" s="59" t="s">
        <v>458</v>
      </c>
      <c r="J2" s="59" t="s">
        <v>459</v>
      </c>
      <c r="K2" s="59" t="s">
        <v>460</v>
      </c>
      <c r="L2" s="59" t="s">
        <v>461</v>
      </c>
      <c r="M2" s="59" t="s">
        <v>462</v>
      </c>
      <c r="N2" s="59" t="s">
        <v>463</v>
      </c>
      <c r="O2" s="59" t="s">
        <v>464</v>
      </c>
      <c r="P2" s="59" t="s">
        <v>465</v>
      </c>
      <c r="Q2" s="59" t="s">
        <v>466</v>
      </c>
      <c r="R2" s="59" t="s">
        <v>467</v>
      </c>
      <c r="S2" s="59" t="s">
        <v>468</v>
      </c>
      <c r="T2" s="59" t="s">
        <v>469</v>
      </c>
      <c r="U2" s="59" t="s">
        <v>470</v>
      </c>
      <c r="V2" s="59" t="s">
        <v>471</v>
      </c>
      <c r="W2" s="59" t="s">
        <v>472</v>
      </c>
      <c r="X2" s="59" t="s">
        <v>473</v>
      </c>
      <c r="Y2" s="60" t="s">
        <v>474</v>
      </c>
      <c r="Z2" s="61">
        <v>5.0999999999999997E-2</v>
      </c>
      <c r="AA2" s="59" t="s">
        <v>475</v>
      </c>
      <c r="AB2" s="62" t="s">
        <v>146</v>
      </c>
      <c r="AC2" s="62" t="s">
        <v>147</v>
      </c>
      <c r="AD2" s="62" t="s">
        <v>356</v>
      </c>
    </row>
    <row r="3" spans="1:41">
      <c r="A3" s="63">
        <v>1</v>
      </c>
      <c r="B3" s="6" t="s">
        <v>161</v>
      </c>
      <c r="C3" s="64">
        <v>0</v>
      </c>
      <c r="D3" s="65">
        <v>0</v>
      </c>
      <c r="E3" s="64">
        <v>5229</v>
      </c>
      <c r="F3" s="64">
        <v>3486</v>
      </c>
      <c r="G3" s="64">
        <v>0</v>
      </c>
      <c r="H3" s="64">
        <v>0</v>
      </c>
      <c r="I3" s="64">
        <v>267792</v>
      </c>
      <c r="J3" s="64">
        <v>89910</v>
      </c>
      <c r="K3" s="64">
        <v>27352</v>
      </c>
      <c r="L3" s="64">
        <v>0</v>
      </c>
      <c r="M3" s="64">
        <v>0</v>
      </c>
      <c r="N3" s="64">
        <v>958804</v>
      </c>
      <c r="O3" s="64">
        <v>982234</v>
      </c>
      <c r="P3" s="64">
        <v>0</v>
      </c>
      <c r="Q3" s="64">
        <v>26465</v>
      </c>
      <c r="R3" s="64">
        <v>331872</v>
      </c>
      <c r="S3" s="64">
        <v>473400</v>
      </c>
      <c r="T3" s="64">
        <v>0</v>
      </c>
      <c r="U3" s="64">
        <v>0</v>
      </c>
      <c r="V3" s="64">
        <v>25292</v>
      </c>
      <c r="W3" s="64">
        <v>0</v>
      </c>
      <c r="X3" s="64">
        <v>64698</v>
      </c>
      <c r="Y3" s="66">
        <f>SUM(C3:X3)</f>
        <v>3256534</v>
      </c>
      <c r="Z3" s="67">
        <f>Y3*$Z$2</f>
        <v>166083.234</v>
      </c>
      <c r="AA3" s="66">
        <f t="shared" ref="AA3:AA27" si="0">Z3+Y3</f>
        <v>3422617.2340000002</v>
      </c>
      <c r="AB3" s="51">
        <f t="shared" ref="AB3:AB27" si="1">+AA3*10%</f>
        <v>342261.72340000002</v>
      </c>
      <c r="AC3" s="51">
        <f>+AB3*19%</f>
        <v>65029.727446000004</v>
      </c>
      <c r="AD3" s="51">
        <f t="shared" ref="AD3:AD27" si="2">SUM(AA3:AC3)</f>
        <v>3829908.6848460003</v>
      </c>
    </row>
    <row r="4" spans="1:41">
      <c r="A4" s="63">
        <v>2</v>
      </c>
      <c r="B4" s="6" t="s">
        <v>476</v>
      </c>
      <c r="C4" s="64">
        <v>0</v>
      </c>
      <c r="D4" s="65">
        <v>0</v>
      </c>
      <c r="E4" s="64">
        <v>0</v>
      </c>
      <c r="F4" s="64">
        <v>3486</v>
      </c>
      <c r="G4" s="64">
        <v>0</v>
      </c>
      <c r="H4" s="64">
        <v>0</v>
      </c>
      <c r="I4" s="64">
        <v>153024</v>
      </c>
      <c r="J4" s="64">
        <v>39960</v>
      </c>
      <c r="K4" s="64">
        <v>13676</v>
      </c>
      <c r="L4" s="64">
        <v>0</v>
      </c>
      <c r="M4" s="64">
        <v>0</v>
      </c>
      <c r="N4" s="64">
        <v>205458</v>
      </c>
      <c r="O4" s="64">
        <v>223235</v>
      </c>
      <c r="P4" s="64">
        <v>0</v>
      </c>
      <c r="Q4" s="64">
        <v>10586</v>
      </c>
      <c r="R4" s="64">
        <v>82968</v>
      </c>
      <c r="S4" s="64">
        <v>157800</v>
      </c>
      <c r="T4" s="64">
        <v>0</v>
      </c>
      <c r="U4" s="64">
        <v>52600</v>
      </c>
      <c r="V4" s="64">
        <v>0</v>
      </c>
      <c r="W4" s="64">
        <v>0</v>
      </c>
      <c r="X4" s="64">
        <v>0</v>
      </c>
      <c r="Y4" s="66">
        <f t="shared" ref="Y4:Y27" si="3">SUM(C4:X4)</f>
        <v>942793</v>
      </c>
      <c r="Z4" s="67">
        <f t="shared" ref="Z4:Z27" si="4">Y4*$Z$2</f>
        <v>48082.442999999999</v>
      </c>
      <c r="AA4" s="66">
        <f t="shared" si="0"/>
        <v>990875.44299999997</v>
      </c>
      <c r="AB4" s="51">
        <f t="shared" si="1"/>
        <v>99087.544300000009</v>
      </c>
      <c r="AC4" s="51">
        <f t="shared" ref="AC4:AC27" si="5">+AB4*19%</f>
        <v>18826.633417000001</v>
      </c>
      <c r="AD4" s="51">
        <f t="shared" si="2"/>
        <v>1108789.620717</v>
      </c>
    </row>
    <row r="5" spans="1:41">
      <c r="A5" s="63">
        <v>3</v>
      </c>
      <c r="B5" s="6" t="s">
        <v>163</v>
      </c>
      <c r="C5" s="64">
        <v>0</v>
      </c>
      <c r="D5" s="65">
        <v>0</v>
      </c>
      <c r="E5" s="64">
        <v>0</v>
      </c>
      <c r="F5" s="64">
        <v>1743</v>
      </c>
      <c r="G5" s="64">
        <v>0</v>
      </c>
      <c r="H5" s="64">
        <v>0</v>
      </c>
      <c r="I5" s="64">
        <v>76512</v>
      </c>
      <c r="J5" s="64">
        <v>9990</v>
      </c>
      <c r="K5" s="64">
        <v>13676</v>
      </c>
      <c r="L5" s="64">
        <v>0</v>
      </c>
      <c r="M5" s="64">
        <v>0</v>
      </c>
      <c r="N5" s="64">
        <v>68486</v>
      </c>
      <c r="O5" s="64">
        <v>223235</v>
      </c>
      <c r="P5" s="64">
        <v>0</v>
      </c>
      <c r="Q5" s="64">
        <v>5293</v>
      </c>
      <c r="R5" s="64">
        <v>41484</v>
      </c>
      <c r="S5" s="64">
        <v>78900</v>
      </c>
      <c r="T5" s="64">
        <v>0</v>
      </c>
      <c r="U5" s="64">
        <v>52600</v>
      </c>
      <c r="V5" s="64">
        <v>0</v>
      </c>
      <c r="W5" s="64">
        <v>0</v>
      </c>
      <c r="X5" s="64">
        <v>0</v>
      </c>
      <c r="Y5" s="66">
        <f t="shared" si="3"/>
        <v>571919</v>
      </c>
      <c r="Z5" s="67">
        <f t="shared" si="4"/>
        <v>29167.868999999999</v>
      </c>
      <c r="AA5" s="66">
        <f t="shared" si="0"/>
        <v>601086.86899999995</v>
      </c>
      <c r="AB5" s="51">
        <f t="shared" si="1"/>
        <v>60108.686900000001</v>
      </c>
      <c r="AC5" s="51">
        <f t="shared" si="5"/>
        <v>11420.650511</v>
      </c>
      <c r="AD5" s="51">
        <f t="shared" si="2"/>
        <v>672616.20641099988</v>
      </c>
    </row>
    <row r="6" spans="1:41">
      <c r="A6" s="63">
        <v>4</v>
      </c>
      <c r="B6" s="6" t="s">
        <v>477</v>
      </c>
      <c r="C6" s="68">
        <v>0</v>
      </c>
      <c r="D6" s="65">
        <v>0</v>
      </c>
      <c r="E6" s="69">
        <v>0</v>
      </c>
      <c r="F6" s="69">
        <v>0</v>
      </c>
      <c r="G6" s="69">
        <v>0</v>
      </c>
      <c r="H6" s="69">
        <v>0</v>
      </c>
      <c r="I6" s="69">
        <v>0</v>
      </c>
      <c r="J6" s="69">
        <v>0</v>
      </c>
      <c r="K6" s="69">
        <v>0</v>
      </c>
      <c r="L6" s="69">
        <v>0</v>
      </c>
      <c r="M6" s="69">
        <v>0</v>
      </c>
      <c r="N6" s="69">
        <v>0</v>
      </c>
      <c r="O6" s="69">
        <v>0</v>
      </c>
      <c r="P6" s="69">
        <v>0</v>
      </c>
      <c r="Q6" s="69">
        <v>0</v>
      </c>
      <c r="R6" s="69">
        <v>0</v>
      </c>
      <c r="S6" s="69">
        <v>0</v>
      </c>
      <c r="T6" s="69">
        <v>0</v>
      </c>
      <c r="U6" s="69">
        <v>0</v>
      </c>
      <c r="V6" s="69">
        <v>0</v>
      </c>
      <c r="W6" s="69">
        <v>0</v>
      </c>
      <c r="X6" s="64">
        <v>0</v>
      </c>
      <c r="Y6" s="66">
        <f t="shared" si="3"/>
        <v>0</v>
      </c>
      <c r="Z6" s="67">
        <f t="shared" si="4"/>
        <v>0</v>
      </c>
      <c r="AA6" s="66">
        <f t="shared" si="0"/>
        <v>0</v>
      </c>
      <c r="AB6" s="51">
        <f t="shared" si="1"/>
        <v>0</v>
      </c>
      <c r="AC6" s="51">
        <f t="shared" si="5"/>
        <v>0</v>
      </c>
      <c r="AD6" s="51">
        <f t="shared" si="2"/>
        <v>0</v>
      </c>
    </row>
    <row r="7" spans="1:41">
      <c r="A7" s="63">
        <v>5</v>
      </c>
      <c r="B7" s="6" t="s">
        <v>478</v>
      </c>
      <c r="C7" s="64">
        <v>3355</v>
      </c>
      <c r="D7" s="65">
        <v>0</v>
      </c>
      <c r="E7" s="64">
        <v>0</v>
      </c>
      <c r="F7" s="64">
        <v>1743</v>
      </c>
      <c r="G7" s="64">
        <v>0</v>
      </c>
      <c r="H7" s="64">
        <v>0</v>
      </c>
      <c r="I7" s="64">
        <v>76512</v>
      </c>
      <c r="J7" s="64">
        <v>9990</v>
      </c>
      <c r="K7" s="64">
        <v>13676</v>
      </c>
      <c r="L7" s="64">
        <v>0</v>
      </c>
      <c r="M7" s="64">
        <v>0</v>
      </c>
      <c r="N7" s="64">
        <v>136972</v>
      </c>
      <c r="O7" s="64">
        <v>357176</v>
      </c>
      <c r="P7" s="64">
        <v>0</v>
      </c>
      <c r="Q7" s="64">
        <v>5293</v>
      </c>
      <c r="R7" s="64">
        <v>41484</v>
      </c>
      <c r="S7" s="64">
        <v>78900</v>
      </c>
      <c r="T7" s="64">
        <v>0</v>
      </c>
      <c r="U7" s="64">
        <v>52600</v>
      </c>
      <c r="V7" s="64">
        <v>0</v>
      </c>
      <c r="W7" s="64">
        <v>0</v>
      </c>
      <c r="X7" s="64">
        <v>0</v>
      </c>
      <c r="Y7" s="66">
        <f t="shared" si="3"/>
        <v>777701</v>
      </c>
      <c r="Z7" s="67">
        <f t="shared" si="4"/>
        <v>39662.750999999997</v>
      </c>
      <c r="AA7" s="66">
        <f t="shared" si="0"/>
        <v>817363.75100000005</v>
      </c>
      <c r="AB7" s="51">
        <f t="shared" si="1"/>
        <v>81736.375100000005</v>
      </c>
      <c r="AC7" s="51">
        <f t="shared" si="5"/>
        <v>15529.911269</v>
      </c>
      <c r="AD7" s="51">
        <f t="shared" si="2"/>
        <v>914630.03736900003</v>
      </c>
    </row>
    <row r="8" spans="1:41">
      <c r="A8" s="63">
        <v>6</v>
      </c>
      <c r="B8" s="6" t="s">
        <v>479</v>
      </c>
      <c r="C8" s="64">
        <v>1342</v>
      </c>
      <c r="D8" s="65">
        <v>0</v>
      </c>
      <c r="E8" s="64">
        <v>0</v>
      </c>
      <c r="F8" s="64">
        <v>1743</v>
      </c>
      <c r="G8" s="64">
        <v>0</v>
      </c>
      <c r="H8" s="64">
        <v>0</v>
      </c>
      <c r="I8" s="64">
        <v>76512</v>
      </c>
      <c r="J8" s="64">
        <v>9990</v>
      </c>
      <c r="K8" s="64">
        <v>13676</v>
      </c>
      <c r="L8" s="64">
        <v>0</v>
      </c>
      <c r="M8" s="64">
        <v>0</v>
      </c>
      <c r="N8" s="64">
        <v>68486</v>
      </c>
      <c r="O8" s="64">
        <v>133941</v>
      </c>
      <c r="P8" s="64">
        <v>0</v>
      </c>
      <c r="Q8" s="64">
        <v>5293</v>
      </c>
      <c r="R8" s="64">
        <v>41484</v>
      </c>
      <c r="S8" s="64">
        <v>78900</v>
      </c>
      <c r="T8" s="64">
        <v>0</v>
      </c>
      <c r="U8" s="64">
        <v>52600</v>
      </c>
      <c r="V8" s="64">
        <v>0</v>
      </c>
      <c r="W8" s="64">
        <v>0</v>
      </c>
      <c r="X8" s="64">
        <v>0</v>
      </c>
      <c r="Y8" s="66">
        <f t="shared" si="3"/>
        <v>483967</v>
      </c>
      <c r="Z8" s="67">
        <f t="shared" si="4"/>
        <v>24682.316999999999</v>
      </c>
      <c r="AA8" s="66">
        <f t="shared" si="0"/>
        <v>508649.31699999998</v>
      </c>
      <c r="AB8" s="51">
        <f t="shared" si="1"/>
        <v>50864.931700000001</v>
      </c>
      <c r="AC8" s="51">
        <f t="shared" si="5"/>
        <v>9664.337023</v>
      </c>
      <c r="AD8" s="51">
        <f t="shared" si="2"/>
        <v>569178.585723</v>
      </c>
    </row>
    <row r="9" spans="1:41">
      <c r="A9" s="63">
        <v>7</v>
      </c>
      <c r="B9" s="6" t="s">
        <v>480</v>
      </c>
      <c r="C9" s="64">
        <v>1342</v>
      </c>
      <c r="D9" s="65">
        <v>0</v>
      </c>
      <c r="E9" s="64">
        <v>0</v>
      </c>
      <c r="F9" s="64">
        <v>1743</v>
      </c>
      <c r="G9" s="64">
        <v>0</v>
      </c>
      <c r="H9" s="64">
        <v>0</v>
      </c>
      <c r="I9" s="64">
        <v>76512</v>
      </c>
      <c r="J9" s="64">
        <v>9990</v>
      </c>
      <c r="K9" s="64">
        <v>13676</v>
      </c>
      <c r="L9" s="64">
        <v>0</v>
      </c>
      <c r="M9" s="64">
        <v>0</v>
      </c>
      <c r="N9" s="64">
        <v>68486</v>
      </c>
      <c r="O9" s="64">
        <v>133941</v>
      </c>
      <c r="P9" s="64">
        <v>0</v>
      </c>
      <c r="Q9" s="64">
        <v>5293</v>
      </c>
      <c r="R9" s="64">
        <v>41484</v>
      </c>
      <c r="S9" s="64">
        <v>78900</v>
      </c>
      <c r="T9" s="64">
        <v>0</v>
      </c>
      <c r="U9" s="64">
        <v>52600</v>
      </c>
      <c r="V9" s="64">
        <v>0</v>
      </c>
      <c r="W9" s="64">
        <v>0</v>
      </c>
      <c r="X9" s="64">
        <v>0</v>
      </c>
      <c r="Y9" s="66">
        <f t="shared" si="3"/>
        <v>483967</v>
      </c>
      <c r="Z9" s="67">
        <f t="shared" si="4"/>
        <v>24682.316999999999</v>
      </c>
      <c r="AA9" s="66">
        <f t="shared" si="0"/>
        <v>508649.31699999998</v>
      </c>
      <c r="AB9" s="51">
        <f t="shared" si="1"/>
        <v>50864.931700000001</v>
      </c>
      <c r="AC9" s="51">
        <f t="shared" si="5"/>
        <v>9664.337023</v>
      </c>
      <c r="AD9" s="51">
        <f t="shared" si="2"/>
        <v>569178.585723</v>
      </c>
    </row>
    <row r="10" spans="1:41">
      <c r="A10" s="63">
        <v>8</v>
      </c>
      <c r="B10" s="6" t="s">
        <v>481</v>
      </c>
      <c r="C10" s="64">
        <v>1342</v>
      </c>
      <c r="D10" s="65">
        <v>0</v>
      </c>
      <c r="E10" s="64">
        <v>0</v>
      </c>
      <c r="F10" s="64">
        <v>1743</v>
      </c>
      <c r="G10" s="64">
        <v>0</v>
      </c>
      <c r="H10" s="64">
        <v>0</v>
      </c>
      <c r="I10" s="64">
        <v>76512</v>
      </c>
      <c r="J10" s="64">
        <v>9990</v>
      </c>
      <c r="K10" s="64">
        <v>13676</v>
      </c>
      <c r="L10" s="64">
        <v>0</v>
      </c>
      <c r="M10" s="64">
        <v>0</v>
      </c>
      <c r="N10" s="64">
        <v>68486</v>
      </c>
      <c r="O10" s="64">
        <v>133941</v>
      </c>
      <c r="P10" s="64">
        <v>0</v>
      </c>
      <c r="Q10" s="64">
        <v>5293</v>
      </c>
      <c r="R10" s="64">
        <v>41484</v>
      </c>
      <c r="S10" s="64">
        <v>78900</v>
      </c>
      <c r="T10" s="64">
        <v>0</v>
      </c>
      <c r="U10" s="64">
        <v>52600</v>
      </c>
      <c r="V10" s="64">
        <v>0</v>
      </c>
      <c r="W10" s="64">
        <v>0</v>
      </c>
      <c r="X10" s="64">
        <v>0</v>
      </c>
      <c r="Y10" s="66">
        <f t="shared" si="3"/>
        <v>483967</v>
      </c>
      <c r="Z10" s="67">
        <f t="shared" si="4"/>
        <v>24682.316999999999</v>
      </c>
      <c r="AA10" s="66">
        <f t="shared" si="0"/>
        <v>508649.31699999998</v>
      </c>
      <c r="AB10" s="51">
        <f t="shared" si="1"/>
        <v>50864.931700000001</v>
      </c>
      <c r="AC10" s="51">
        <f t="shared" si="5"/>
        <v>9664.337023</v>
      </c>
      <c r="AD10" s="51">
        <f t="shared" si="2"/>
        <v>569178.585723</v>
      </c>
    </row>
    <row r="11" spans="1:41">
      <c r="A11" s="63">
        <v>9</v>
      </c>
      <c r="B11" s="6" t="s">
        <v>482</v>
      </c>
      <c r="C11" s="64">
        <v>1342</v>
      </c>
      <c r="D11" s="65">
        <v>0</v>
      </c>
      <c r="E11" s="64">
        <v>0</v>
      </c>
      <c r="F11" s="64">
        <v>1743</v>
      </c>
      <c r="G11" s="64">
        <v>0</v>
      </c>
      <c r="H11" s="64">
        <v>0</v>
      </c>
      <c r="I11" s="64">
        <v>76512</v>
      </c>
      <c r="J11" s="64">
        <v>9990</v>
      </c>
      <c r="K11" s="64">
        <v>13676</v>
      </c>
      <c r="L11" s="64">
        <v>0</v>
      </c>
      <c r="M11" s="64">
        <v>0</v>
      </c>
      <c r="N11" s="64">
        <v>68486</v>
      </c>
      <c r="O11" s="64">
        <v>133941</v>
      </c>
      <c r="P11" s="64">
        <v>0</v>
      </c>
      <c r="Q11" s="64">
        <v>5293</v>
      </c>
      <c r="R11" s="64">
        <v>41484</v>
      </c>
      <c r="S11" s="64">
        <v>78900</v>
      </c>
      <c r="T11" s="64">
        <v>0</v>
      </c>
      <c r="U11" s="64">
        <v>52600</v>
      </c>
      <c r="V11" s="64">
        <v>0</v>
      </c>
      <c r="W11" s="64">
        <v>0</v>
      </c>
      <c r="X11" s="64">
        <v>0</v>
      </c>
      <c r="Y11" s="66">
        <f t="shared" si="3"/>
        <v>483967</v>
      </c>
      <c r="Z11" s="67">
        <f t="shared" si="4"/>
        <v>24682.316999999999</v>
      </c>
      <c r="AA11" s="66">
        <f t="shared" si="0"/>
        <v>508649.31699999998</v>
      </c>
      <c r="AB11" s="51">
        <f t="shared" si="1"/>
        <v>50864.931700000001</v>
      </c>
      <c r="AC11" s="51">
        <f t="shared" si="5"/>
        <v>9664.337023</v>
      </c>
      <c r="AD11" s="51">
        <f t="shared" si="2"/>
        <v>569178.585723</v>
      </c>
    </row>
    <row r="12" spans="1:41">
      <c r="A12" s="63">
        <v>10</v>
      </c>
      <c r="B12" s="6" t="s">
        <v>483</v>
      </c>
      <c r="C12" s="64">
        <v>1342</v>
      </c>
      <c r="D12" s="65">
        <v>0</v>
      </c>
      <c r="E12" s="64">
        <v>0</v>
      </c>
      <c r="F12" s="64">
        <v>1743</v>
      </c>
      <c r="G12" s="64">
        <v>0</v>
      </c>
      <c r="H12" s="64">
        <v>0</v>
      </c>
      <c r="I12" s="64">
        <v>76512</v>
      </c>
      <c r="J12" s="64">
        <v>9990</v>
      </c>
      <c r="K12" s="64">
        <v>13676</v>
      </c>
      <c r="L12" s="64">
        <v>0</v>
      </c>
      <c r="M12" s="64">
        <v>0</v>
      </c>
      <c r="N12" s="64">
        <v>136972</v>
      </c>
      <c r="O12" s="64">
        <v>178588</v>
      </c>
      <c r="P12" s="64">
        <v>0</v>
      </c>
      <c r="Q12" s="64">
        <v>5293</v>
      </c>
      <c r="R12" s="64">
        <v>41484</v>
      </c>
      <c r="S12" s="64">
        <v>78900</v>
      </c>
      <c r="T12" s="64">
        <v>0</v>
      </c>
      <c r="U12" s="64">
        <v>52600</v>
      </c>
      <c r="V12" s="64">
        <v>0</v>
      </c>
      <c r="W12" s="64">
        <v>0</v>
      </c>
      <c r="X12" s="64">
        <v>0</v>
      </c>
      <c r="Y12" s="66">
        <f t="shared" si="3"/>
        <v>597100</v>
      </c>
      <c r="Z12" s="67">
        <f t="shared" si="4"/>
        <v>30452.1</v>
      </c>
      <c r="AA12" s="66">
        <f t="shared" si="0"/>
        <v>627552.1</v>
      </c>
      <c r="AB12" s="51">
        <f t="shared" si="1"/>
        <v>62755.21</v>
      </c>
      <c r="AC12" s="51">
        <f t="shared" si="5"/>
        <v>11923.4899</v>
      </c>
      <c r="AD12" s="51">
        <f t="shared" si="2"/>
        <v>702230.79989999998</v>
      </c>
    </row>
    <row r="13" spans="1:41">
      <c r="A13" s="63">
        <v>11</v>
      </c>
      <c r="B13" s="6" t="s">
        <v>484</v>
      </c>
      <c r="C13" s="64">
        <v>1342</v>
      </c>
      <c r="D13" s="65">
        <v>0</v>
      </c>
      <c r="E13" s="64">
        <v>0</v>
      </c>
      <c r="F13" s="64">
        <v>1743</v>
      </c>
      <c r="G13" s="64">
        <v>0</v>
      </c>
      <c r="H13" s="64">
        <v>0</v>
      </c>
      <c r="I13" s="64">
        <v>76512</v>
      </c>
      <c r="J13" s="64">
        <v>9990</v>
      </c>
      <c r="K13" s="64">
        <v>13676</v>
      </c>
      <c r="L13" s="64">
        <v>0</v>
      </c>
      <c r="M13" s="64">
        <v>0</v>
      </c>
      <c r="N13" s="64">
        <v>68486</v>
      </c>
      <c r="O13" s="64">
        <v>133941</v>
      </c>
      <c r="P13" s="64">
        <v>0</v>
      </c>
      <c r="Q13" s="64">
        <v>5293</v>
      </c>
      <c r="R13" s="64">
        <v>41484</v>
      </c>
      <c r="S13" s="64">
        <v>78900</v>
      </c>
      <c r="T13" s="64">
        <v>0</v>
      </c>
      <c r="U13" s="64">
        <v>52600</v>
      </c>
      <c r="V13" s="64">
        <v>0</v>
      </c>
      <c r="W13" s="64">
        <v>0</v>
      </c>
      <c r="X13" s="64">
        <v>0</v>
      </c>
      <c r="Y13" s="66">
        <f t="shared" si="3"/>
        <v>483967</v>
      </c>
      <c r="Z13" s="67">
        <f t="shared" si="4"/>
        <v>24682.316999999999</v>
      </c>
      <c r="AA13" s="66">
        <f t="shared" si="0"/>
        <v>508649.31699999998</v>
      </c>
      <c r="AB13" s="51">
        <f t="shared" si="1"/>
        <v>50864.931700000001</v>
      </c>
      <c r="AC13" s="51">
        <f t="shared" si="5"/>
        <v>9664.337023</v>
      </c>
      <c r="AD13" s="51">
        <f t="shared" si="2"/>
        <v>569178.585723</v>
      </c>
    </row>
    <row r="14" spans="1:41">
      <c r="A14" s="63">
        <v>12</v>
      </c>
      <c r="B14" s="6" t="s">
        <v>172</v>
      </c>
      <c r="C14" s="64">
        <v>1342</v>
      </c>
      <c r="D14" s="65">
        <v>0</v>
      </c>
      <c r="E14" s="64">
        <v>0</v>
      </c>
      <c r="F14" s="64">
        <v>1743</v>
      </c>
      <c r="G14" s="64">
        <v>0</v>
      </c>
      <c r="H14" s="64">
        <v>0</v>
      </c>
      <c r="I14" s="64">
        <v>38256</v>
      </c>
      <c r="J14" s="64">
        <v>9990</v>
      </c>
      <c r="K14" s="64">
        <v>0</v>
      </c>
      <c r="L14" s="64">
        <v>0</v>
      </c>
      <c r="M14" s="64">
        <v>0</v>
      </c>
      <c r="N14" s="64">
        <v>68486</v>
      </c>
      <c r="O14" s="64">
        <v>89294</v>
      </c>
      <c r="P14" s="64">
        <v>0</v>
      </c>
      <c r="Q14" s="64">
        <v>0</v>
      </c>
      <c r="R14" s="64">
        <v>41484</v>
      </c>
      <c r="S14" s="64">
        <v>78900</v>
      </c>
      <c r="T14" s="64">
        <v>0</v>
      </c>
      <c r="U14" s="64">
        <v>0</v>
      </c>
      <c r="V14" s="64">
        <v>0</v>
      </c>
      <c r="W14" s="64">
        <v>0</v>
      </c>
      <c r="X14" s="64">
        <v>0</v>
      </c>
      <c r="Y14" s="66">
        <f t="shared" si="3"/>
        <v>329495</v>
      </c>
      <c r="Z14" s="67">
        <f t="shared" si="4"/>
        <v>16804.244999999999</v>
      </c>
      <c r="AA14" s="66">
        <f t="shared" si="0"/>
        <v>346299.245</v>
      </c>
      <c r="AB14" s="51">
        <f t="shared" si="1"/>
        <v>34629.924500000001</v>
      </c>
      <c r="AC14" s="51">
        <f t="shared" si="5"/>
        <v>6579.6856550000002</v>
      </c>
      <c r="AD14" s="51">
        <f t="shared" si="2"/>
        <v>387508.855155</v>
      </c>
    </row>
    <row r="15" spans="1:41">
      <c r="A15" s="63">
        <v>13</v>
      </c>
      <c r="B15" s="6" t="s">
        <v>485</v>
      </c>
      <c r="C15" s="64">
        <v>1342</v>
      </c>
      <c r="D15" s="65">
        <v>0</v>
      </c>
      <c r="E15" s="64">
        <v>0</v>
      </c>
      <c r="F15" s="64">
        <v>1743</v>
      </c>
      <c r="G15" s="64">
        <v>0</v>
      </c>
      <c r="H15" s="64">
        <v>0</v>
      </c>
      <c r="I15" s="64">
        <v>38256</v>
      </c>
      <c r="J15" s="64">
        <v>9990</v>
      </c>
      <c r="K15" s="64">
        <v>0</v>
      </c>
      <c r="L15" s="64">
        <v>0</v>
      </c>
      <c r="M15" s="64">
        <v>0</v>
      </c>
      <c r="N15" s="64">
        <v>34243</v>
      </c>
      <c r="O15" s="64">
        <v>89294</v>
      </c>
      <c r="P15" s="64">
        <v>0</v>
      </c>
      <c r="Q15" s="64">
        <v>0</v>
      </c>
      <c r="R15" s="64">
        <v>0</v>
      </c>
      <c r="S15" s="64">
        <v>0</v>
      </c>
      <c r="T15" s="64">
        <v>0</v>
      </c>
      <c r="U15" s="64">
        <v>52600</v>
      </c>
      <c r="V15" s="64">
        <v>0</v>
      </c>
      <c r="W15" s="64">
        <v>0</v>
      </c>
      <c r="X15" s="64">
        <v>0</v>
      </c>
      <c r="Y15" s="66">
        <f t="shared" si="3"/>
        <v>227468</v>
      </c>
      <c r="Z15" s="67">
        <f t="shared" si="4"/>
        <v>11600.867999999999</v>
      </c>
      <c r="AA15" s="66">
        <f t="shared" si="0"/>
        <v>239068.86799999999</v>
      </c>
      <c r="AB15" s="51">
        <f t="shared" si="1"/>
        <v>23906.8868</v>
      </c>
      <c r="AC15" s="51">
        <f t="shared" si="5"/>
        <v>4542.3084920000001</v>
      </c>
      <c r="AD15" s="51">
        <f t="shared" si="2"/>
        <v>267518.06329199998</v>
      </c>
    </row>
    <row r="16" spans="1:41">
      <c r="A16" s="63">
        <v>14</v>
      </c>
      <c r="B16" s="6" t="s">
        <v>486</v>
      </c>
      <c r="C16" s="64">
        <v>1342</v>
      </c>
      <c r="D16" s="65">
        <v>0</v>
      </c>
      <c r="E16" s="64">
        <v>0</v>
      </c>
      <c r="F16" s="64">
        <v>1743</v>
      </c>
      <c r="G16" s="64">
        <v>0</v>
      </c>
      <c r="H16" s="64">
        <v>0</v>
      </c>
      <c r="I16" s="64">
        <v>38256</v>
      </c>
      <c r="J16" s="64">
        <v>9990</v>
      </c>
      <c r="K16" s="64">
        <v>0</v>
      </c>
      <c r="L16" s="64">
        <v>0</v>
      </c>
      <c r="M16" s="64">
        <v>0</v>
      </c>
      <c r="N16" s="64">
        <v>68486</v>
      </c>
      <c r="O16" s="64">
        <v>44647</v>
      </c>
      <c r="P16" s="64">
        <v>0</v>
      </c>
      <c r="Q16" s="64">
        <v>0</v>
      </c>
      <c r="R16" s="64">
        <v>0</v>
      </c>
      <c r="S16" s="64">
        <v>0</v>
      </c>
      <c r="T16" s="64">
        <v>0</v>
      </c>
      <c r="U16" s="64">
        <v>52600</v>
      </c>
      <c r="V16" s="64">
        <v>0</v>
      </c>
      <c r="W16" s="64">
        <v>0</v>
      </c>
      <c r="X16" s="64">
        <v>0</v>
      </c>
      <c r="Y16" s="66">
        <f t="shared" si="3"/>
        <v>217064</v>
      </c>
      <c r="Z16" s="67">
        <f t="shared" si="4"/>
        <v>11070.263999999999</v>
      </c>
      <c r="AA16" s="66">
        <f t="shared" si="0"/>
        <v>228134.264</v>
      </c>
      <c r="AB16" s="51">
        <f t="shared" si="1"/>
        <v>22813.4264</v>
      </c>
      <c r="AC16" s="51">
        <f t="shared" si="5"/>
        <v>4334.5510160000003</v>
      </c>
      <c r="AD16" s="51">
        <f t="shared" si="2"/>
        <v>255282.241416</v>
      </c>
      <c r="AI16" s="220" t="s">
        <v>738</v>
      </c>
      <c r="AJ16" s="220" t="s">
        <v>742</v>
      </c>
      <c r="AK16" s="220" t="s">
        <v>4</v>
      </c>
      <c r="AL16" s="220" t="s">
        <v>121</v>
      </c>
      <c r="AM16" s="220" t="s">
        <v>146</v>
      </c>
      <c r="AN16" s="220" t="s">
        <v>147</v>
      </c>
      <c r="AO16" s="220" t="s">
        <v>356</v>
      </c>
    </row>
    <row r="17" spans="1:41">
      <c r="A17" s="63">
        <v>15</v>
      </c>
      <c r="B17" s="6" t="s">
        <v>487</v>
      </c>
      <c r="C17" s="64">
        <v>1342</v>
      </c>
      <c r="D17" s="65">
        <v>0</v>
      </c>
      <c r="E17" s="64">
        <v>0</v>
      </c>
      <c r="F17" s="64">
        <v>1743</v>
      </c>
      <c r="G17" s="64">
        <v>0</v>
      </c>
      <c r="H17" s="64">
        <v>0</v>
      </c>
      <c r="I17" s="64">
        <v>38256</v>
      </c>
      <c r="J17" s="64">
        <v>9990</v>
      </c>
      <c r="K17" s="64">
        <v>0</v>
      </c>
      <c r="L17" s="64">
        <v>0</v>
      </c>
      <c r="M17" s="64">
        <v>0</v>
      </c>
      <c r="N17" s="64">
        <v>34243</v>
      </c>
      <c r="O17" s="64">
        <v>89294</v>
      </c>
      <c r="P17" s="64">
        <v>0</v>
      </c>
      <c r="Q17" s="64">
        <v>0</v>
      </c>
      <c r="R17" s="64">
        <v>0</v>
      </c>
      <c r="S17" s="64">
        <v>0</v>
      </c>
      <c r="T17" s="64">
        <v>0</v>
      </c>
      <c r="U17" s="64">
        <v>0</v>
      </c>
      <c r="V17" s="64">
        <v>0</v>
      </c>
      <c r="W17" s="64">
        <v>0</v>
      </c>
      <c r="X17" s="64">
        <v>0</v>
      </c>
      <c r="Y17" s="66">
        <f t="shared" si="3"/>
        <v>174868</v>
      </c>
      <c r="Z17" s="67">
        <f t="shared" si="4"/>
        <v>8918.268</v>
      </c>
      <c r="AA17" s="66">
        <f t="shared" si="0"/>
        <v>183786.26800000001</v>
      </c>
      <c r="AB17" s="51">
        <f t="shared" si="1"/>
        <v>18378.626800000002</v>
      </c>
      <c r="AC17" s="51">
        <f t="shared" si="5"/>
        <v>3491.9390920000005</v>
      </c>
      <c r="AD17" s="51">
        <f t="shared" si="2"/>
        <v>205656.83389200002</v>
      </c>
      <c r="AI17" t="s">
        <v>739</v>
      </c>
      <c r="AJ17" s="51">
        <v>263145</v>
      </c>
      <c r="AK17">
        <v>40</v>
      </c>
      <c r="AL17" s="205">
        <f>+AJ17*AK17</f>
        <v>10525800</v>
      </c>
      <c r="AM17" s="205"/>
      <c r="AN17" s="205"/>
      <c r="AO17" s="205">
        <f>SUM(AJ17:AN17)</f>
        <v>10788985</v>
      </c>
    </row>
    <row r="18" spans="1:41">
      <c r="A18" s="63">
        <v>16</v>
      </c>
      <c r="B18" s="6" t="s">
        <v>488</v>
      </c>
      <c r="C18" s="64">
        <v>1342</v>
      </c>
      <c r="D18" s="65">
        <v>0</v>
      </c>
      <c r="E18" s="64">
        <v>0</v>
      </c>
      <c r="F18" s="64">
        <v>1743</v>
      </c>
      <c r="G18" s="64">
        <v>0</v>
      </c>
      <c r="H18" s="64">
        <v>0</v>
      </c>
      <c r="I18" s="64">
        <v>114768</v>
      </c>
      <c r="J18" s="64">
        <v>9990</v>
      </c>
      <c r="K18" s="64">
        <v>13676</v>
      </c>
      <c r="L18" s="64">
        <v>0</v>
      </c>
      <c r="M18" s="64">
        <v>0</v>
      </c>
      <c r="N18" s="64">
        <v>68486</v>
      </c>
      <c r="O18" s="64">
        <v>133941</v>
      </c>
      <c r="P18" s="64">
        <v>0</v>
      </c>
      <c r="Q18" s="64">
        <v>5293</v>
      </c>
      <c r="R18" s="64">
        <v>41484</v>
      </c>
      <c r="S18" s="64">
        <v>78900</v>
      </c>
      <c r="T18" s="64">
        <v>0</v>
      </c>
      <c r="U18" s="64">
        <v>0</v>
      </c>
      <c r="V18" s="64">
        <v>0</v>
      </c>
      <c r="W18" s="64">
        <v>0</v>
      </c>
      <c r="X18" s="64">
        <v>0</v>
      </c>
      <c r="Y18" s="66">
        <f t="shared" si="3"/>
        <v>469623</v>
      </c>
      <c r="Z18" s="67">
        <f t="shared" si="4"/>
        <v>23950.772999999997</v>
      </c>
      <c r="AA18" s="66">
        <f t="shared" si="0"/>
        <v>493573.77299999999</v>
      </c>
      <c r="AB18" s="51">
        <f t="shared" si="1"/>
        <v>49357.3773</v>
      </c>
      <c r="AC18" s="51">
        <f t="shared" si="5"/>
        <v>9377.9016869999996</v>
      </c>
      <c r="AD18" s="51">
        <f t="shared" si="2"/>
        <v>552309.05198699993</v>
      </c>
      <c r="AI18" t="s">
        <v>740</v>
      </c>
      <c r="AJ18" s="51">
        <v>543030</v>
      </c>
      <c r="AK18">
        <v>2</v>
      </c>
      <c r="AL18" s="205">
        <f t="shared" ref="AL18:AL19" si="6">+AJ18*AK18</f>
        <v>1086060</v>
      </c>
      <c r="AM18" s="205"/>
      <c r="AN18" s="205"/>
      <c r="AO18" s="205">
        <f t="shared" ref="AO18:AO19" si="7">SUM(AJ18:AN18)</f>
        <v>1629092</v>
      </c>
    </row>
    <row r="19" spans="1:41">
      <c r="A19" s="63">
        <v>17</v>
      </c>
      <c r="B19" s="6" t="s">
        <v>489</v>
      </c>
      <c r="C19" s="64">
        <v>1342</v>
      </c>
      <c r="D19" s="65">
        <v>0</v>
      </c>
      <c r="E19" s="64">
        <v>0</v>
      </c>
      <c r="F19" s="64">
        <v>1743</v>
      </c>
      <c r="G19" s="64">
        <v>0</v>
      </c>
      <c r="H19" s="64">
        <v>0</v>
      </c>
      <c r="I19" s="64">
        <v>38256</v>
      </c>
      <c r="J19" s="64">
        <v>9990</v>
      </c>
      <c r="K19" s="64">
        <v>13676</v>
      </c>
      <c r="L19" s="64">
        <v>0</v>
      </c>
      <c r="M19" s="64">
        <v>0</v>
      </c>
      <c r="N19" s="64">
        <v>34243</v>
      </c>
      <c r="O19" s="64">
        <v>89294</v>
      </c>
      <c r="P19" s="64">
        <v>0</v>
      </c>
      <c r="Q19" s="64">
        <v>5293</v>
      </c>
      <c r="R19" s="64">
        <v>0</v>
      </c>
      <c r="S19" s="64">
        <v>0</v>
      </c>
      <c r="T19" s="64">
        <v>0</v>
      </c>
      <c r="U19" s="64">
        <v>52600</v>
      </c>
      <c r="V19" s="64">
        <v>0</v>
      </c>
      <c r="W19" s="64">
        <v>0</v>
      </c>
      <c r="X19" s="64">
        <v>0</v>
      </c>
      <c r="Y19" s="66">
        <f t="shared" si="3"/>
        <v>246437</v>
      </c>
      <c r="Z19" s="67">
        <f t="shared" si="4"/>
        <v>12568.286999999998</v>
      </c>
      <c r="AA19" s="66">
        <f t="shared" si="0"/>
        <v>259005.28700000001</v>
      </c>
      <c r="AB19" s="51">
        <f t="shared" si="1"/>
        <v>25900.528700000003</v>
      </c>
      <c r="AC19" s="51">
        <f t="shared" si="5"/>
        <v>4921.1004530000009</v>
      </c>
      <c r="AD19" s="51">
        <f t="shared" si="2"/>
        <v>289826.91615300003</v>
      </c>
      <c r="AI19" t="s">
        <v>741</v>
      </c>
      <c r="AJ19" s="51">
        <v>194000</v>
      </c>
      <c r="AK19">
        <v>1</v>
      </c>
      <c r="AL19" s="205">
        <f t="shared" si="6"/>
        <v>194000</v>
      </c>
      <c r="AM19" s="205"/>
      <c r="AN19" s="205"/>
      <c r="AO19" s="205">
        <f t="shared" si="7"/>
        <v>388001</v>
      </c>
    </row>
    <row r="20" spans="1:41" ht="15.75" thickBot="1">
      <c r="A20" s="63">
        <v>18</v>
      </c>
      <c r="B20" s="6" t="s">
        <v>490</v>
      </c>
      <c r="C20" s="64">
        <v>1342</v>
      </c>
      <c r="D20" s="65">
        <v>0</v>
      </c>
      <c r="E20" s="64">
        <v>0</v>
      </c>
      <c r="F20" s="64">
        <v>1743</v>
      </c>
      <c r="G20" s="64">
        <v>0</v>
      </c>
      <c r="H20" s="64">
        <v>0</v>
      </c>
      <c r="I20" s="64">
        <v>114768</v>
      </c>
      <c r="J20" s="64">
        <v>9990</v>
      </c>
      <c r="K20" s="64">
        <v>13676</v>
      </c>
      <c r="L20" s="64">
        <v>0</v>
      </c>
      <c r="M20" s="64">
        <v>0</v>
      </c>
      <c r="N20" s="64">
        <v>68486</v>
      </c>
      <c r="O20" s="64">
        <v>133941</v>
      </c>
      <c r="P20" s="64">
        <v>0</v>
      </c>
      <c r="Q20" s="64">
        <v>5293</v>
      </c>
      <c r="R20" s="64">
        <v>41484</v>
      </c>
      <c r="S20" s="64">
        <v>78900</v>
      </c>
      <c r="T20" s="64">
        <v>0</v>
      </c>
      <c r="U20" s="64">
        <v>0</v>
      </c>
      <c r="V20" s="64">
        <v>0</v>
      </c>
      <c r="W20" s="64">
        <v>0</v>
      </c>
      <c r="X20" s="64">
        <v>0</v>
      </c>
      <c r="Y20" s="66">
        <f t="shared" si="3"/>
        <v>469623</v>
      </c>
      <c r="Z20" s="67">
        <f t="shared" si="4"/>
        <v>23950.772999999997</v>
      </c>
      <c r="AA20" s="66">
        <f t="shared" si="0"/>
        <v>493573.77299999999</v>
      </c>
      <c r="AB20" s="51">
        <f t="shared" si="1"/>
        <v>49357.3773</v>
      </c>
      <c r="AC20" s="51">
        <f t="shared" si="5"/>
        <v>9377.9016869999996</v>
      </c>
      <c r="AD20" s="51">
        <f t="shared" si="2"/>
        <v>552309.05198699993</v>
      </c>
      <c r="AJ20" s="52">
        <f t="shared" ref="AJ20:AK20" si="8">SUM(AJ17:AJ19)</f>
        <v>1000175</v>
      </c>
      <c r="AK20" s="52">
        <f t="shared" si="8"/>
        <v>43</v>
      </c>
      <c r="AL20" s="42">
        <f>SUM(AL17:AL19)</f>
        <v>11805860</v>
      </c>
      <c r="AM20" s="304" t="s">
        <v>148</v>
      </c>
      <c r="AN20" s="304"/>
      <c r="AO20" s="221">
        <f>SUM(AO17:AO19)</f>
        <v>12806078</v>
      </c>
    </row>
    <row r="21" spans="1:41" ht="15.75" thickTop="1">
      <c r="A21" s="63">
        <v>19</v>
      </c>
      <c r="B21" s="6" t="s">
        <v>491</v>
      </c>
      <c r="C21" s="64">
        <v>1342</v>
      </c>
      <c r="D21" s="65">
        <v>0</v>
      </c>
      <c r="E21" s="64">
        <v>0</v>
      </c>
      <c r="F21" s="64">
        <v>1743</v>
      </c>
      <c r="G21" s="64">
        <v>0</v>
      </c>
      <c r="H21" s="64">
        <v>0</v>
      </c>
      <c r="I21" s="64">
        <v>38256</v>
      </c>
      <c r="J21" s="64">
        <v>9990</v>
      </c>
      <c r="K21" s="64">
        <v>13676</v>
      </c>
      <c r="L21" s="64">
        <v>0</v>
      </c>
      <c r="M21" s="64">
        <v>0</v>
      </c>
      <c r="N21" s="64">
        <v>34243</v>
      </c>
      <c r="O21" s="64">
        <v>89294</v>
      </c>
      <c r="P21" s="64">
        <v>0</v>
      </c>
      <c r="Q21" s="64">
        <v>5293</v>
      </c>
      <c r="R21" s="64">
        <v>0</v>
      </c>
      <c r="S21" s="64">
        <v>78900</v>
      </c>
      <c r="T21" s="64">
        <v>0</v>
      </c>
      <c r="U21" s="64">
        <v>0</v>
      </c>
      <c r="V21" s="64">
        <v>0</v>
      </c>
      <c r="W21" s="64">
        <v>0</v>
      </c>
      <c r="X21" s="64">
        <v>0</v>
      </c>
      <c r="Y21" s="66">
        <f t="shared" si="3"/>
        <v>272737</v>
      </c>
      <c r="Z21" s="67">
        <f t="shared" si="4"/>
        <v>13909.587</v>
      </c>
      <c r="AA21" s="66">
        <f t="shared" si="0"/>
        <v>286646.587</v>
      </c>
      <c r="AB21" s="51">
        <f t="shared" si="1"/>
        <v>28664.6587</v>
      </c>
      <c r="AC21" s="51">
        <f t="shared" si="5"/>
        <v>5446.2851529999998</v>
      </c>
      <c r="AD21" s="51">
        <f t="shared" si="2"/>
        <v>320757.53085299995</v>
      </c>
    </row>
    <row r="22" spans="1:41">
      <c r="A22" s="63">
        <v>20</v>
      </c>
      <c r="B22" s="6" t="s">
        <v>492</v>
      </c>
      <c r="C22" s="64">
        <v>1342</v>
      </c>
      <c r="D22" s="65">
        <v>0</v>
      </c>
      <c r="E22" s="64">
        <v>0</v>
      </c>
      <c r="F22" s="64">
        <v>1743</v>
      </c>
      <c r="G22" s="64">
        <v>0</v>
      </c>
      <c r="H22" s="64">
        <v>0</v>
      </c>
      <c r="I22" s="64">
        <v>38256</v>
      </c>
      <c r="J22" s="64">
        <v>9990</v>
      </c>
      <c r="K22" s="64">
        <v>13676</v>
      </c>
      <c r="L22" s="64">
        <v>0</v>
      </c>
      <c r="M22" s="64">
        <v>0</v>
      </c>
      <c r="N22" s="64">
        <v>34243</v>
      </c>
      <c r="O22" s="64">
        <v>89294</v>
      </c>
      <c r="P22" s="64">
        <v>0</v>
      </c>
      <c r="Q22" s="64">
        <v>5293</v>
      </c>
      <c r="R22" s="64">
        <v>0</v>
      </c>
      <c r="S22" s="64">
        <v>78900</v>
      </c>
      <c r="T22" s="64">
        <v>0</v>
      </c>
      <c r="U22" s="64">
        <v>0</v>
      </c>
      <c r="V22" s="64">
        <v>0</v>
      </c>
      <c r="W22" s="64">
        <v>0</v>
      </c>
      <c r="X22" s="64">
        <v>0</v>
      </c>
      <c r="Y22" s="66">
        <f t="shared" si="3"/>
        <v>272737</v>
      </c>
      <c r="Z22" s="67">
        <f t="shared" si="4"/>
        <v>13909.587</v>
      </c>
      <c r="AA22" s="66">
        <f t="shared" si="0"/>
        <v>286646.587</v>
      </c>
      <c r="AB22" s="51">
        <f t="shared" si="1"/>
        <v>28664.6587</v>
      </c>
      <c r="AC22" s="51">
        <f t="shared" si="5"/>
        <v>5446.2851529999998</v>
      </c>
      <c r="AD22" s="51">
        <f t="shared" si="2"/>
        <v>320757.53085299995</v>
      </c>
    </row>
    <row r="23" spans="1:41">
      <c r="A23" s="63">
        <v>21</v>
      </c>
      <c r="B23" s="6" t="s">
        <v>493</v>
      </c>
      <c r="C23" s="64">
        <v>1342</v>
      </c>
      <c r="D23" s="65">
        <v>0</v>
      </c>
      <c r="E23" s="64">
        <v>0</v>
      </c>
      <c r="F23" s="64">
        <v>1743</v>
      </c>
      <c r="G23" s="64">
        <v>0</v>
      </c>
      <c r="H23" s="64">
        <v>0</v>
      </c>
      <c r="I23" s="64">
        <v>38256</v>
      </c>
      <c r="J23" s="64">
        <v>9990</v>
      </c>
      <c r="K23" s="64">
        <v>13676</v>
      </c>
      <c r="L23" s="64">
        <v>0</v>
      </c>
      <c r="M23" s="64">
        <v>0</v>
      </c>
      <c r="N23" s="64">
        <v>34243</v>
      </c>
      <c r="O23" s="64">
        <v>89294</v>
      </c>
      <c r="P23" s="64">
        <v>0</v>
      </c>
      <c r="Q23" s="64">
        <v>5293</v>
      </c>
      <c r="R23" s="64">
        <v>0</v>
      </c>
      <c r="S23" s="64">
        <v>78900</v>
      </c>
      <c r="T23" s="64">
        <v>0</v>
      </c>
      <c r="U23" s="64">
        <v>0</v>
      </c>
      <c r="V23" s="64">
        <v>0</v>
      </c>
      <c r="W23" s="64">
        <v>0</v>
      </c>
      <c r="X23" s="64">
        <v>0</v>
      </c>
      <c r="Y23" s="66">
        <f t="shared" si="3"/>
        <v>272737</v>
      </c>
      <c r="Z23" s="67">
        <f t="shared" si="4"/>
        <v>13909.587</v>
      </c>
      <c r="AA23" s="66">
        <f t="shared" si="0"/>
        <v>286646.587</v>
      </c>
      <c r="AB23" s="51">
        <f t="shared" si="1"/>
        <v>28664.6587</v>
      </c>
      <c r="AC23" s="51">
        <f t="shared" si="5"/>
        <v>5446.2851529999998</v>
      </c>
      <c r="AD23" s="51">
        <f t="shared" si="2"/>
        <v>320757.53085299995</v>
      </c>
    </row>
    <row r="24" spans="1:41">
      <c r="A24" s="63">
        <v>22</v>
      </c>
      <c r="B24" s="6" t="s">
        <v>494</v>
      </c>
      <c r="C24" s="64">
        <v>1342</v>
      </c>
      <c r="D24" s="65">
        <v>0</v>
      </c>
      <c r="E24" s="64">
        <v>0</v>
      </c>
      <c r="F24" s="64">
        <v>1743</v>
      </c>
      <c r="G24" s="64">
        <v>0</v>
      </c>
      <c r="H24" s="64">
        <v>0</v>
      </c>
      <c r="I24" s="64">
        <v>38256</v>
      </c>
      <c r="J24" s="64">
        <v>9990</v>
      </c>
      <c r="K24" s="64">
        <v>13676</v>
      </c>
      <c r="L24" s="64">
        <v>0</v>
      </c>
      <c r="M24" s="64">
        <v>0</v>
      </c>
      <c r="N24" s="64">
        <v>34243</v>
      </c>
      <c r="O24" s="64">
        <v>89294</v>
      </c>
      <c r="P24" s="64">
        <v>0</v>
      </c>
      <c r="Q24" s="64">
        <v>5293</v>
      </c>
      <c r="R24" s="64">
        <v>0</v>
      </c>
      <c r="S24" s="64">
        <v>78900</v>
      </c>
      <c r="T24" s="64">
        <v>0</v>
      </c>
      <c r="U24" s="64">
        <v>0</v>
      </c>
      <c r="V24" s="64">
        <v>0</v>
      </c>
      <c r="W24" s="64">
        <v>0</v>
      </c>
      <c r="X24" s="64">
        <v>0</v>
      </c>
      <c r="Y24" s="66">
        <f t="shared" si="3"/>
        <v>272737</v>
      </c>
      <c r="Z24" s="67">
        <f t="shared" si="4"/>
        <v>13909.587</v>
      </c>
      <c r="AA24" s="66">
        <f t="shared" si="0"/>
        <v>286646.587</v>
      </c>
      <c r="AB24" s="51">
        <f t="shared" si="1"/>
        <v>28664.6587</v>
      </c>
      <c r="AC24" s="51">
        <f t="shared" si="5"/>
        <v>5446.2851529999998</v>
      </c>
      <c r="AD24" s="51">
        <f t="shared" si="2"/>
        <v>320757.53085299995</v>
      </c>
    </row>
    <row r="25" spans="1:41">
      <c r="A25" s="63">
        <v>23</v>
      </c>
      <c r="B25" s="6" t="s">
        <v>495</v>
      </c>
      <c r="C25" s="64">
        <v>1342</v>
      </c>
      <c r="D25" s="65">
        <v>0</v>
      </c>
      <c r="E25" s="64">
        <v>0</v>
      </c>
      <c r="F25" s="64">
        <v>1743</v>
      </c>
      <c r="G25" s="64">
        <v>0</v>
      </c>
      <c r="H25" s="64">
        <v>0</v>
      </c>
      <c r="I25" s="64">
        <v>38256</v>
      </c>
      <c r="J25" s="64">
        <v>9990</v>
      </c>
      <c r="K25" s="64">
        <v>13676</v>
      </c>
      <c r="L25" s="64">
        <v>0</v>
      </c>
      <c r="M25" s="64">
        <v>0</v>
      </c>
      <c r="N25" s="64">
        <v>34243</v>
      </c>
      <c r="O25" s="64">
        <v>89294</v>
      </c>
      <c r="P25" s="64">
        <v>0</v>
      </c>
      <c r="Q25" s="64">
        <v>5293</v>
      </c>
      <c r="R25" s="64">
        <v>0</v>
      </c>
      <c r="S25" s="64">
        <v>78900</v>
      </c>
      <c r="T25" s="64">
        <v>0</v>
      </c>
      <c r="U25" s="64">
        <v>0</v>
      </c>
      <c r="V25" s="64">
        <v>0</v>
      </c>
      <c r="W25" s="64">
        <v>0</v>
      </c>
      <c r="X25" s="64">
        <v>0</v>
      </c>
      <c r="Y25" s="66">
        <f t="shared" si="3"/>
        <v>272737</v>
      </c>
      <c r="Z25" s="67">
        <f t="shared" si="4"/>
        <v>13909.587</v>
      </c>
      <c r="AA25" s="66">
        <f t="shared" si="0"/>
        <v>286646.587</v>
      </c>
      <c r="AB25" s="51">
        <f t="shared" si="1"/>
        <v>28664.6587</v>
      </c>
      <c r="AC25" s="51">
        <f t="shared" si="5"/>
        <v>5446.2851529999998</v>
      </c>
      <c r="AD25" s="51">
        <f t="shared" si="2"/>
        <v>320757.53085299995</v>
      </c>
      <c r="AO25" s="51" t="e">
        <f>+#REF!</f>
        <v>#REF!</v>
      </c>
    </row>
    <row r="26" spans="1:41">
      <c r="A26" s="63">
        <v>24</v>
      </c>
      <c r="B26" s="6" t="s">
        <v>496</v>
      </c>
      <c r="C26" s="64">
        <v>1342</v>
      </c>
      <c r="D26" s="65">
        <v>0</v>
      </c>
      <c r="E26" s="64">
        <v>0</v>
      </c>
      <c r="F26" s="64">
        <v>1743</v>
      </c>
      <c r="G26" s="64">
        <v>0</v>
      </c>
      <c r="H26" s="64">
        <v>0</v>
      </c>
      <c r="I26" s="64">
        <v>38256</v>
      </c>
      <c r="J26" s="64">
        <v>9990</v>
      </c>
      <c r="K26" s="64">
        <v>13676</v>
      </c>
      <c r="L26" s="64">
        <v>0</v>
      </c>
      <c r="M26" s="64">
        <v>0</v>
      </c>
      <c r="N26" s="64">
        <v>34243</v>
      </c>
      <c r="O26" s="64">
        <v>89294</v>
      </c>
      <c r="P26" s="64">
        <v>0</v>
      </c>
      <c r="Q26" s="64">
        <v>5293</v>
      </c>
      <c r="R26" s="64">
        <v>0</v>
      </c>
      <c r="S26" s="64">
        <v>78900</v>
      </c>
      <c r="T26" s="64">
        <v>0</v>
      </c>
      <c r="U26" s="64">
        <v>0</v>
      </c>
      <c r="V26" s="64">
        <v>0</v>
      </c>
      <c r="W26" s="64">
        <v>0</v>
      </c>
      <c r="X26" s="64">
        <v>0</v>
      </c>
      <c r="Y26" s="66">
        <f t="shared" si="3"/>
        <v>272737</v>
      </c>
      <c r="Z26" s="67">
        <f t="shared" si="4"/>
        <v>13909.587</v>
      </c>
      <c r="AA26" s="66">
        <f t="shared" si="0"/>
        <v>286646.587</v>
      </c>
      <c r="AB26" s="51">
        <f t="shared" si="1"/>
        <v>28664.6587</v>
      </c>
      <c r="AC26" s="51">
        <f t="shared" si="5"/>
        <v>5446.2851529999998</v>
      </c>
      <c r="AD26" s="51">
        <f t="shared" si="2"/>
        <v>320757.53085299995</v>
      </c>
    </row>
    <row r="27" spans="1:41">
      <c r="A27" s="63">
        <v>25</v>
      </c>
      <c r="B27" s="6" t="s">
        <v>497</v>
      </c>
      <c r="C27" s="64">
        <v>1342</v>
      </c>
      <c r="D27" s="65">
        <v>0</v>
      </c>
      <c r="E27" s="64">
        <v>0</v>
      </c>
      <c r="F27" s="64">
        <v>1743</v>
      </c>
      <c r="G27" s="64">
        <v>0</v>
      </c>
      <c r="H27" s="64">
        <v>0</v>
      </c>
      <c r="I27" s="64">
        <v>38256</v>
      </c>
      <c r="J27" s="64">
        <v>9990</v>
      </c>
      <c r="K27" s="64">
        <v>13676</v>
      </c>
      <c r="L27" s="64">
        <v>0</v>
      </c>
      <c r="M27" s="64">
        <v>0</v>
      </c>
      <c r="N27" s="64">
        <v>34243</v>
      </c>
      <c r="O27" s="64">
        <v>89294</v>
      </c>
      <c r="P27" s="64">
        <v>0</v>
      </c>
      <c r="Q27" s="64">
        <v>5293</v>
      </c>
      <c r="R27" s="64">
        <v>0</v>
      </c>
      <c r="S27" s="64">
        <v>78900</v>
      </c>
      <c r="T27" s="64">
        <v>0</v>
      </c>
      <c r="U27" s="64">
        <v>52600</v>
      </c>
      <c r="V27" s="64">
        <v>0</v>
      </c>
      <c r="W27" s="64">
        <v>0</v>
      </c>
      <c r="X27" s="64">
        <v>0</v>
      </c>
      <c r="Y27" s="66">
        <f t="shared" si="3"/>
        <v>325337</v>
      </c>
      <c r="Z27" s="67">
        <f t="shared" si="4"/>
        <v>16592.186999999998</v>
      </c>
      <c r="AA27" s="66">
        <f t="shared" si="0"/>
        <v>341929.18699999998</v>
      </c>
      <c r="AB27" s="51">
        <f t="shared" si="1"/>
        <v>34192.918700000002</v>
      </c>
      <c r="AC27" s="51">
        <f t="shared" si="5"/>
        <v>6496.6545530000003</v>
      </c>
      <c r="AD27" s="51">
        <f t="shared" si="2"/>
        <v>382618.76025299996</v>
      </c>
      <c r="AO27" s="51" t="e">
        <f>+AO25-AO20</f>
        <v>#REF!</v>
      </c>
    </row>
    <row r="28" spans="1:41" ht="15.75">
      <c r="C28" s="51">
        <f>SUM(C3:C27)</f>
        <v>30195</v>
      </c>
      <c r="D28" s="51">
        <f t="shared" ref="D28:X28" si="9">SUM(D3:D27)</f>
        <v>0</v>
      </c>
      <c r="E28" s="51">
        <f t="shared" si="9"/>
        <v>5229</v>
      </c>
      <c r="F28" s="51">
        <f t="shared" si="9"/>
        <v>45318</v>
      </c>
      <c r="G28" s="51">
        <f t="shared" si="9"/>
        <v>0</v>
      </c>
      <c r="H28" s="51">
        <f t="shared" si="9"/>
        <v>0</v>
      </c>
      <c r="I28" s="51">
        <f t="shared" si="9"/>
        <v>1721520</v>
      </c>
      <c r="J28" s="51">
        <f t="shared" si="9"/>
        <v>349650</v>
      </c>
      <c r="K28" s="51">
        <f t="shared" si="9"/>
        <v>287196</v>
      </c>
      <c r="L28" s="51">
        <f t="shared" si="9"/>
        <v>0</v>
      </c>
      <c r="M28" s="51">
        <f t="shared" si="9"/>
        <v>0</v>
      </c>
      <c r="N28" s="51">
        <f t="shared" si="9"/>
        <v>2465496</v>
      </c>
      <c r="O28" s="51">
        <f t="shared" si="9"/>
        <v>3928936</v>
      </c>
      <c r="P28" s="51">
        <f t="shared" si="9"/>
        <v>0</v>
      </c>
      <c r="Q28" s="51">
        <f t="shared" si="9"/>
        <v>132325</v>
      </c>
      <c r="R28" s="51">
        <f t="shared" si="9"/>
        <v>871164</v>
      </c>
      <c r="S28" s="51">
        <f t="shared" si="9"/>
        <v>2051400</v>
      </c>
      <c r="T28" s="51">
        <f t="shared" si="9"/>
        <v>0</v>
      </c>
      <c r="U28" s="51">
        <f t="shared" si="9"/>
        <v>683800</v>
      </c>
      <c r="V28" s="51">
        <f t="shared" si="9"/>
        <v>25292</v>
      </c>
      <c r="W28" s="51">
        <f t="shared" si="9"/>
        <v>0</v>
      </c>
      <c r="X28" s="51">
        <f t="shared" si="9"/>
        <v>64698</v>
      </c>
      <c r="Y28" s="70">
        <f>SUM(Y3:Y27)</f>
        <v>12662219</v>
      </c>
      <c r="Z28" s="71">
        <f>SUM(Z3:Z27)</f>
        <v>645773.16900000034</v>
      </c>
      <c r="AA28" s="71">
        <f>SUM(AA3:AA27)</f>
        <v>13307992.168999996</v>
      </c>
      <c r="AB28" s="71">
        <f t="shared" ref="AB28:AC28" si="10">SUM(AB3:AB27)</f>
        <v>1330799.2168999999</v>
      </c>
      <c r="AC28" s="71">
        <f t="shared" si="10"/>
        <v>252851.85121100006</v>
      </c>
      <c r="AD28" s="71">
        <f>SUM(AD3:AD27)</f>
        <v>14891643.237110997</v>
      </c>
      <c r="AO28" s="51"/>
    </row>
    <row r="29" spans="1:41">
      <c r="AO29" s="51"/>
    </row>
    <row r="30" spans="1:41">
      <c r="Z30" s="52"/>
      <c r="AO30" s="51" t="e">
        <f>+AO27*10%</f>
        <v>#REF!</v>
      </c>
    </row>
    <row r="31" spans="1:41">
      <c r="AO31" s="51" t="e">
        <f>+AO30*19%</f>
        <v>#REF!</v>
      </c>
    </row>
    <row r="32" spans="1:41">
      <c r="AA32" s="52"/>
    </row>
  </sheetData>
  <mergeCells count="1">
    <mergeCell ref="AM20:AN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B1:AO11"/>
  <sheetViews>
    <sheetView topLeftCell="H4" zoomScale="60" zoomScaleNormal="60" workbookViewId="0">
      <selection activeCell="AQ10" sqref="AQ10"/>
    </sheetView>
  </sheetViews>
  <sheetFormatPr baseColWidth="10" defaultColWidth="11.42578125" defaultRowHeight="255" customHeight="1"/>
  <cols>
    <col min="1" max="1" width="24.140625" style="90" customWidth="1"/>
    <col min="2" max="2" width="7" style="90" bestFit="1" customWidth="1"/>
    <col min="3" max="3" width="16.42578125" style="136" customWidth="1"/>
    <col min="4" max="4" width="49.85546875" style="90" customWidth="1"/>
    <col min="5" max="5" width="39.5703125" style="90" customWidth="1"/>
    <col min="6" max="6" width="54.85546875" style="90" customWidth="1"/>
    <col min="7" max="7" width="75.5703125" style="90" customWidth="1"/>
    <col min="8" max="8" width="23.28515625" style="90" customWidth="1"/>
    <col min="9" max="9" width="25.140625" style="90" customWidth="1"/>
    <col min="10" max="10" width="8.140625" style="90" customWidth="1"/>
    <col min="11" max="18" width="6.7109375" style="90" customWidth="1"/>
    <col min="19" max="19" width="6.7109375" style="137" customWidth="1"/>
    <col min="20" max="20" width="6.42578125" style="137" customWidth="1"/>
    <col min="21" max="21" width="6.5703125" style="137" customWidth="1"/>
    <col min="22" max="25" width="6.7109375" style="137" customWidth="1"/>
    <col min="26" max="28" width="6.7109375" style="90" customWidth="1"/>
    <col min="29" max="32" width="6.7109375" style="137" customWidth="1"/>
    <col min="33" max="39" width="6.7109375" style="90" customWidth="1"/>
    <col min="40" max="40" width="18.85546875" style="90" customWidth="1"/>
    <col min="41" max="41" width="11.42578125" style="90" customWidth="1"/>
    <col min="42" max="16384" width="11.42578125" style="90"/>
  </cols>
  <sheetData>
    <row r="1" spans="2:41" ht="73.5" customHeight="1">
      <c r="B1" s="87"/>
      <c r="C1" s="88"/>
      <c r="D1" s="89"/>
      <c r="E1" s="89"/>
      <c r="F1" s="89"/>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2:41" ht="89.1" customHeight="1">
      <c r="B2" s="284" t="s">
        <v>791</v>
      </c>
      <c r="C2" s="285"/>
      <c r="D2" s="91"/>
      <c r="E2" s="92"/>
      <c r="F2" s="92"/>
      <c r="G2" s="93"/>
      <c r="H2" s="93"/>
      <c r="I2" s="93"/>
      <c r="P2" s="87"/>
      <c r="Q2" s="87"/>
      <c r="R2" s="87"/>
      <c r="S2" s="87"/>
      <c r="T2" s="87"/>
      <c r="U2" s="87"/>
      <c r="V2" s="87"/>
      <c r="W2" s="87"/>
      <c r="X2" s="87"/>
      <c r="Y2" s="87"/>
      <c r="Z2" s="87"/>
      <c r="AA2" s="87"/>
      <c r="AB2" s="87"/>
      <c r="AC2" s="87"/>
      <c r="AD2" s="87"/>
      <c r="AE2" s="87"/>
      <c r="AF2" s="87"/>
      <c r="AG2" s="87"/>
      <c r="AH2" s="87"/>
      <c r="AI2" s="87"/>
      <c r="AJ2" s="87"/>
      <c r="AK2" s="87"/>
    </row>
    <row r="3" spans="2:41" ht="57.6" customHeight="1">
      <c r="B3" s="87"/>
      <c r="C3" s="93"/>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row>
    <row r="4" spans="2:41" ht="42.95" customHeight="1">
      <c r="B4" s="293" t="s">
        <v>548</v>
      </c>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row>
    <row r="5" spans="2:41" ht="60.95" customHeight="1">
      <c r="B5" s="293"/>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row>
    <row r="6" spans="2:41" ht="44.1" customHeight="1">
      <c r="B6" s="87"/>
      <c r="C6" s="93"/>
      <c r="D6" s="87"/>
      <c r="E6" s="87"/>
      <c r="F6" s="87"/>
      <c r="G6" s="87"/>
      <c r="H6" s="87"/>
      <c r="I6" s="87"/>
      <c r="J6" s="94">
        <v>1</v>
      </c>
      <c r="K6" s="94">
        <v>2</v>
      </c>
      <c r="L6" s="94">
        <v>3</v>
      </c>
      <c r="M6" s="94">
        <v>4</v>
      </c>
      <c r="N6" s="94">
        <v>5</v>
      </c>
      <c r="O6" s="94">
        <v>6</v>
      </c>
      <c r="P6" s="94">
        <v>7</v>
      </c>
      <c r="Q6" s="94">
        <v>8</v>
      </c>
      <c r="R6" s="94">
        <v>9</v>
      </c>
      <c r="S6" s="94">
        <v>10</v>
      </c>
      <c r="T6" s="94">
        <v>11</v>
      </c>
      <c r="U6" s="94">
        <v>12</v>
      </c>
      <c r="V6" s="94">
        <v>13</v>
      </c>
      <c r="W6" s="94">
        <v>14</v>
      </c>
      <c r="X6" s="94">
        <v>15</v>
      </c>
      <c r="Y6" s="94">
        <v>16</v>
      </c>
      <c r="Z6" s="94">
        <v>17</v>
      </c>
      <c r="AA6" s="94">
        <v>18</v>
      </c>
      <c r="AB6" s="94">
        <v>19</v>
      </c>
      <c r="AC6" s="94">
        <v>20</v>
      </c>
      <c r="AD6" s="94">
        <v>21</v>
      </c>
      <c r="AE6" s="94">
        <v>22</v>
      </c>
      <c r="AF6" s="94">
        <v>23</v>
      </c>
      <c r="AG6" s="94">
        <v>24</v>
      </c>
      <c r="AH6" s="94">
        <v>25</v>
      </c>
      <c r="AI6" s="94">
        <v>26</v>
      </c>
      <c r="AJ6" s="94">
        <v>27</v>
      </c>
      <c r="AK6" s="94">
        <v>28</v>
      </c>
      <c r="AL6" s="94">
        <v>29</v>
      </c>
      <c r="AM6" s="94">
        <v>30</v>
      </c>
    </row>
    <row r="7" spans="2:41" ht="40.5" customHeight="1">
      <c r="B7" s="286" t="s">
        <v>1</v>
      </c>
      <c r="C7" s="286" t="s">
        <v>549</v>
      </c>
      <c r="D7" s="287" t="s">
        <v>550</v>
      </c>
      <c r="E7" s="286" t="s">
        <v>551</v>
      </c>
      <c r="F7" s="289" t="s">
        <v>552</v>
      </c>
      <c r="G7" s="291" t="s">
        <v>119</v>
      </c>
      <c r="H7" s="291" t="s">
        <v>553</v>
      </c>
      <c r="I7" s="282" t="s">
        <v>554</v>
      </c>
      <c r="J7" s="95" t="s">
        <v>798</v>
      </c>
      <c r="K7" s="95" t="s">
        <v>799</v>
      </c>
      <c r="L7" s="95" t="s">
        <v>800</v>
      </c>
      <c r="M7" s="95" t="s">
        <v>801</v>
      </c>
      <c r="N7" s="95" t="s">
        <v>802</v>
      </c>
      <c r="O7" s="95" t="s">
        <v>803</v>
      </c>
      <c r="P7" s="95" t="s">
        <v>804</v>
      </c>
      <c r="Q7" s="95" t="s">
        <v>798</v>
      </c>
      <c r="R7" s="95" t="s">
        <v>799</v>
      </c>
      <c r="S7" s="95" t="s">
        <v>800</v>
      </c>
      <c r="T7" s="95" t="s">
        <v>801</v>
      </c>
      <c r="U7" s="95" t="s">
        <v>802</v>
      </c>
      <c r="V7" s="95" t="s">
        <v>803</v>
      </c>
      <c r="W7" s="95" t="s">
        <v>804</v>
      </c>
      <c r="X7" s="95" t="s">
        <v>798</v>
      </c>
      <c r="Y7" s="95" t="s">
        <v>799</v>
      </c>
      <c r="Z7" s="95" t="s">
        <v>800</v>
      </c>
      <c r="AA7" s="95" t="s">
        <v>801</v>
      </c>
      <c r="AB7" s="95" t="s">
        <v>802</v>
      </c>
      <c r="AC7" s="95" t="s">
        <v>803</v>
      </c>
      <c r="AD7" s="95" t="s">
        <v>804</v>
      </c>
      <c r="AE7" s="95" t="s">
        <v>798</v>
      </c>
      <c r="AF7" s="95" t="s">
        <v>799</v>
      </c>
      <c r="AG7" s="95" t="s">
        <v>800</v>
      </c>
      <c r="AH7" s="95" t="s">
        <v>801</v>
      </c>
      <c r="AI7" s="95" t="s">
        <v>802</v>
      </c>
      <c r="AJ7" s="95" t="s">
        <v>803</v>
      </c>
      <c r="AK7" s="95" t="s">
        <v>804</v>
      </c>
      <c r="AL7" s="95" t="s">
        <v>802</v>
      </c>
      <c r="AM7" s="95" t="s">
        <v>803</v>
      </c>
      <c r="AO7" s="105" t="s">
        <v>565</v>
      </c>
    </row>
    <row r="8" spans="2:41" ht="40.5" customHeight="1">
      <c r="B8" s="287"/>
      <c r="C8" s="287"/>
      <c r="D8" s="288"/>
      <c r="E8" s="287"/>
      <c r="F8" s="290"/>
      <c r="G8" s="292"/>
      <c r="H8" s="292"/>
      <c r="I8" s="283"/>
      <c r="J8" s="108">
        <v>46204</v>
      </c>
      <c r="K8" s="109">
        <v>46205</v>
      </c>
      <c r="L8" s="109">
        <v>46206</v>
      </c>
      <c r="M8" s="109">
        <v>46207</v>
      </c>
      <c r="N8" s="109">
        <v>46208</v>
      </c>
      <c r="O8" s="109">
        <v>46209</v>
      </c>
      <c r="P8" s="109">
        <v>46210</v>
      </c>
      <c r="Q8" s="109">
        <v>46211</v>
      </c>
      <c r="R8" s="109">
        <v>46212</v>
      </c>
      <c r="S8" s="109">
        <v>46213</v>
      </c>
      <c r="T8" s="109">
        <v>46214</v>
      </c>
      <c r="U8" s="109">
        <v>46215</v>
      </c>
      <c r="V8" s="109">
        <v>46216</v>
      </c>
      <c r="W8" s="109">
        <v>46217</v>
      </c>
      <c r="X8" s="109">
        <v>46218</v>
      </c>
      <c r="Y8" s="109">
        <v>46219</v>
      </c>
      <c r="Z8" s="109">
        <v>46220</v>
      </c>
      <c r="AA8" s="109">
        <v>46221</v>
      </c>
      <c r="AB8" s="109">
        <v>46222</v>
      </c>
      <c r="AC8" s="109">
        <v>46223</v>
      </c>
      <c r="AD8" s="109">
        <v>46224</v>
      </c>
      <c r="AE8" s="109">
        <v>46225</v>
      </c>
      <c r="AF8" s="109">
        <v>46226</v>
      </c>
      <c r="AG8" s="109">
        <v>46227</v>
      </c>
      <c r="AH8" s="109">
        <v>46228</v>
      </c>
      <c r="AI8" s="109">
        <v>46229</v>
      </c>
      <c r="AJ8" s="109">
        <v>46230</v>
      </c>
      <c r="AK8" s="109">
        <v>46231</v>
      </c>
      <c r="AL8" s="109">
        <v>29</v>
      </c>
      <c r="AM8" s="109">
        <v>30</v>
      </c>
      <c r="AO8" s="111" t="s">
        <v>579</v>
      </c>
    </row>
    <row r="9" spans="2:41" ht="48.95" customHeight="1">
      <c r="B9" s="112">
        <v>114</v>
      </c>
      <c r="C9" s="113">
        <v>24716019</v>
      </c>
      <c r="D9" s="114" t="s">
        <v>1010</v>
      </c>
      <c r="E9" s="115" t="s">
        <v>793</v>
      </c>
      <c r="F9" s="78" t="s">
        <v>508</v>
      </c>
      <c r="G9" s="124" t="s">
        <v>497</v>
      </c>
      <c r="H9" s="114" t="s">
        <v>1011</v>
      </c>
      <c r="I9" s="114" t="s">
        <v>1012</v>
      </c>
      <c r="J9" s="97" t="s">
        <v>567</v>
      </c>
      <c r="K9" s="97" t="s">
        <v>567</v>
      </c>
      <c r="L9" s="97" t="s">
        <v>567</v>
      </c>
      <c r="M9" s="97" t="s">
        <v>567</v>
      </c>
      <c r="N9" s="97" t="s">
        <v>557</v>
      </c>
      <c r="O9" s="97" t="s">
        <v>567</v>
      </c>
      <c r="P9" s="97" t="s">
        <v>567</v>
      </c>
      <c r="Q9" s="97" t="s">
        <v>567</v>
      </c>
      <c r="R9" s="97" t="s">
        <v>567</v>
      </c>
      <c r="S9" s="97" t="s">
        <v>567</v>
      </c>
      <c r="T9" s="97" t="s">
        <v>567</v>
      </c>
      <c r="U9" s="97" t="s">
        <v>557</v>
      </c>
      <c r="V9" s="97" t="s">
        <v>557</v>
      </c>
      <c r="W9" s="97" t="s">
        <v>567</v>
      </c>
      <c r="X9" s="97" t="s">
        <v>567</v>
      </c>
      <c r="Y9" s="97" t="s">
        <v>565</v>
      </c>
      <c r="Z9" s="97" t="s">
        <v>565</v>
      </c>
      <c r="AA9" s="97" t="s">
        <v>565</v>
      </c>
      <c r="AB9" s="97" t="s">
        <v>565</v>
      </c>
      <c r="AC9" s="97" t="s">
        <v>565</v>
      </c>
      <c r="AD9" s="97" t="s">
        <v>565</v>
      </c>
      <c r="AE9" s="97" t="s">
        <v>565</v>
      </c>
      <c r="AF9" s="97" t="s">
        <v>567</v>
      </c>
      <c r="AG9" s="97" t="s">
        <v>567</v>
      </c>
      <c r="AH9" s="97" t="s">
        <v>567</v>
      </c>
      <c r="AI9" s="97" t="s">
        <v>557</v>
      </c>
      <c r="AJ9" s="97" t="s">
        <v>567</v>
      </c>
      <c r="AK9" s="97" t="s">
        <v>567</v>
      </c>
      <c r="AL9" s="97" t="s">
        <v>567</v>
      </c>
      <c r="AM9" s="97" t="s">
        <v>567</v>
      </c>
      <c r="AO9" s="116">
        <f t="shared" ref="AO9" si="0">COUNTIF($J9:$AM9,AO$7)</f>
        <v>7</v>
      </c>
    </row>
    <row r="10" spans="2:41" ht="48.95" customHeight="1">
      <c r="B10" s="112">
        <v>138</v>
      </c>
      <c r="C10" s="113">
        <v>1013612458</v>
      </c>
      <c r="D10" s="114" t="s">
        <v>1057</v>
      </c>
      <c r="E10" s="134" t="s">
        <v>592</v>
      </c>
      <c r="F10" s="78" t="s">
        <v>506</v>
      </c>
      <c r="G10" s="77" t="s">
        <v>495</v>
      </c>
      <c r="H10" s="114" t="s">
        <v>1058</v>
      </c>
      <c r="I10" s="114" t="s">
        <v>597</v>
      </c>
      <c r="J10" s="97" t="s">
        <v>565</v>
      </c>
      <c r="K10" s="97" t="s">
        <v>565</v>
      </c>
      <c r="L10" s="97" t="s">
        <v>565</v>
      </c>
      <c r="M10" s="97" t="s">
        <v>565</v>
      </c>
      <c r="N10" s="97" t="s">
        <v>557</v>
      </c>
      <c r="O10" s="97" t="s">
        <v>567</v>
      </c>
      <c r="P10" s="97" t="s">
        <v>567</v>
      </c>
      <c r="Q10" s="97" t="s">
        <v>567</v>
      </c>
      <c r="R10" s="97" t="s">
        <v>567</v>
      </c>
      <c r="S10" s="97" t="s">
        <v>567</v>
      </c>
      <c r="T10" s="97" t="s">
        <v>567</v>
      </c>
      <c r="U10" s="97" t="s">
        <v>557</v>
      </c>
      <c r="V10" s="97" t="s">
        <v>557</v>
      </c>
      <c r="W10" s="97" t="s">
        <v>567</v>
      </c>
      <c r="X10" s="97" t="s">
        <v>567</v>
      </c>
      <c r="Y10" s="97" t="s">
        <v>567</v>
      </c>
      <c r="Z10" s="97" t="s">
        <v>567</v>
      </c>
      <c r="AA10" s="97" t="s">
        <v>567</v>
      </c>
      <c r="AB10" s="97" t="s">
        <v>557</v>
      </c>
      <c r="AC10" s="97" t="s">
        <v>557</v>
      </c>
      <c r="AD10" s="97" t="s">
        <v>567</v>
      </c>
      <c r="AE10" s="97" t="s">
        <v>567</v>
      </c>
      <c r="AF10" s="97" t="s">
        <v>567</v>
      </c>
      <c r="AG10" s="97" t="s">
        <v>567</v>
      </c>
      <c r="AH10" s="97" t="s">
        <v>567</v>
      </c>
      <c r="AI10" s="97" t="s">
        <v>557</v>
      </c>
      <c r="AJ10" s="97" t="s">
        <v>567</v>
      </c>
      <c r="AK10" s="97" t="s">
        <v>567</v>
      </c>
      <c r="AL10" s="97" t="s">
        <v>567</v>
      </c>
      <c r="AM10" s="97" t="s">
        <v>567</v>
      </c>
      <c r="AO10" s="116">
        <f t="shared" ref="AO10" si="1">COUNTIF($J10:$AM10,AO$7)</f>
        <v>4</v>
      </c>
    </row>
    <row r="11" spans="2:41" ht="98.45" customHeight="1">
      <c r="AO11" s="138">
        <f>SUM(AO9:AO10)</f>
        <v>11</v>
      </c>
    </row>
  </sheetData>
  <autoFilter ref="A8:AO10" xr:uid="{00000000-0009-0000-0000-000007000000}"/>
  <mergeCells count="10">
    <mergeCell ref="B2:C2"/>
    <mergeCell ref="B4:AM5"/>
    <mergeCell ref="B7:B8"/>
    <mergeCell ref="C7:C8"/>
    <mergeCell ref="D7:D8"/>
    <mergeCell ref="E7:E8"/>
    <mergeCell ref="F7:F8"/>
    <mergeCell ref="G7:G8"/>
    <mergeCell ref="H7:H8"/>
    <mergeCell ref="I7:I8"/>
  </mergeCells>
  <conditionalFormatting sqref="C1:C1048576">
    <cfRule type="duplicateValues" dxfId="586" priority="1"/>
    <cfRule type="duplicateValues" dxfId="585" priority="2"/>
    <cfRule type="duplicateValues" dxfId="584" priority="3"/>
    <cfRule type="duplicateValues" dxfId="583" priority="4"/>
    <cfRule type="duplicateValues" dxfId="582" priority="21"/>
    <cfRule type="duplicateValues" dxfId="581" priority="22"/>
    <cfRule type="duplicateValues" dxfId="580" priority="23"/>
    <cfRule type="duplicateValues" dxfId="579" priority="41"/>
  </conditionalFormatting>
  <conditionalFormatting sqref="C9:C10">
    <cfRule type="duplicateValues" dxfId="578" priority="14494"/>
  </conditionalFormatting>
  <conditionalFormatting sqref="C10">
    <cfRule type="duplicateValues" dxfId="577" priority="14452"/>
  </conditionalFormatting>
  <conditionalFormatting sqref="I1:I3 I6:I8 I11:I1048576">
    <cfRule type="containsText" dxfId="576" priority="186" operator="containsText" text="RENUNCIA">
      <formula>NOT(ISERROR(SEARCH("RENUNCIA",I1)))</formula>
    </cfRule>
  </conditionalFormatting>
  <conditionalFormatting sqref="J7:AM8">
    <cfRule type="expression" dxfId="574" priority="196">
      <formula>AND(J$7="dom")</formula>
    </cfRule>
  </conditionalFormatting>
  <conditionalFormatting sqref="J9:AM10">
    <cfRule type="containsText" dxfId="572" priority="43" operator="containsText" text="TS">
      <formula>NOT(ISERROR(SEARCH("TS",J9)))</formula>
    </cfRule>
    <cfRule type="containsText" dxfId="571" priority="44" operator="containsText" text="&quot; &quot;">
      <formula>NOT(ISERROR(SEARCH(""" """,J9)))</formula>
    </cfRule>
    <cfRule type="containsText" dxfId="570" priority="45" operator="containsText" text="CD">
      <formula>NOT(ISERROR(SEARCH("CD",J9)))</formula>
    </cfRule>
    <cfRule type="containsText" dxfId="569" priority="46" operator="containsText" text="VAC">
      <formula>NOT(ISERROR(SEARCH("VAC",J9)))</formula>
    </cfRule>
    <cfRule type="containsText" dxfId="568" priority="47" operator="containsText" text="LT">
      <formula>NOT(ISERROR(SEARCH("LT",J9)))</formula>
    </cfRule>
    <cfRule type="containsText" dxfId="567" priority="48" operator="containsText" text="REN">
      <formula>NOT(ISERROR(SEARCH("REN",J9)))</formula>
    </cfRule>
    <cfRule type="containsText" dxfId="566" priority="49" operator="containsText" text="INC">
      <formula>NOT(ISERROR(SEARCH("INC",J9)))</formula>
    </cfRule>
    <cfRule type="containsText" dxfId="565" priority="50" operator="containsText" text="LNR">
      <formula>NOT(ISERROR(SEARCH("LNR",J9)))</formula>
    </cfRule>
    <cfRule type="containsText" dxfId="564" priority="187" operator="containsText" text="INC">
      <formula>NOT(ISERROR(SEARCH("INC",J9)))</formula>
    </cfRule>
    <cfRule type="containsText" dxfId="563" priority="188" operator="containsText" text="TC">
      <formula>NOT(ISERROR(SEARCH("TC",J9)))</formula>
    </cfRule>
    <cfRule type="containsText" dxfId="562" priority="189" operator="containsText" text="PNR">
      <formula>NOT(ISERROR(SEARCH("PNR",J9)))</formula>
    </cfRule>
    <cfRule type="containsText" dxfId="561" priority="190" operator="containsText" text="AUS">
      <formula>NOT(ISERROR(SEARCH("AUS",J9)))</formula>
    </cfRule>
    <cfRule type="containsText" dxfId="560" priority="191" operator="containsText" text="D">
      <formula>NOT(ISERROR(SEARCH("D",J9)))</formula>
    </cfRule>
    <cfRule type="containsText" dxfId="559" priority="192" stopIfTrue="1" operator="containsText" text="OK">
      <formula>NOT(ISERROR(SEARCH("OK",J9)))</formula>
    </cfRule>
    <cfRule type="containsText" dxfId="558" priority="194" operator="containsText" text="D">
      <formula>NOT(ISERROR(SEARCH("D",J9)))</formula>
    </cfRule>
    <cfRule type="containsBlanks" dxfId="557" priority="199">
      <formula>LEN(TRIM(J9))=0</formula>
    </cfRule>
  </conditionalFormatting>
  <conditionalFormatting sqref="AO7">
    <cfRule type="duplicateValues" dxfId="556" priority="14371"/>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51" id="{F9E7B3D0-279A-4518-A639-28FE857F9517}">
            <xm:f>MATCH(J$8,'C:\Users\jcrodriguez\OneDrive - Serviasesorias SAS\Documentos\JUAN CARLOS OPERACIONES 2025\ALCALDIA DE BOGOTA\7. JULIO\[PLANILLA CONTROL PERSONAL JULIO ALCALDIA SUPERVISORES.xlsx]FECHAS'!#REF!,0)&gt;0</xm:f>
            <x14:dxf>
              <font>
                <b/>
                <i val="0"/>
                <color theme="0"/>
              </font>
              <fill>
                <patternFill>
                  <bgColor rgb="FFFF0000"/>
                </patternFill>
              </fill>
            </x14:dxf>
          </x14:cfRule>
          <x14:cfRule type="expression" priority="197" id="{C83F9FB5-2F98-4516-BF97-BFD745BEB988}">
            <xm:f>MATCH(J$8,'C:\Users\jcrodriguez\OneDrive - Serviasesorias SAS\Documentos\DIAN\[NOMINA COORDINADORES ENERO 2026.xlsm]FECHA'!#REF!,0)&gt;0</xm:f>
            <x14:dxf>
              <font>
                <b/>
                <i val="0"/>
                <color theme="0"/>
              </font>
              <fill>
                <patternFill>
                  <bgColor rgb="FFFF0000"/>
                </patternFill>
              </fill>
            </x14:dxf>
          </x14:cfRule>
          <xm:sqref>J7:AM8</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B1:AO13"/>
  <sheetViews>
    <sheetView topLeftCell="AH4" zoomScale="60" zoomScaleNormal="60" workbookViewId="0">
      <selection activeCell="AT11" sqref="AT11"/>
    </sheetView>
  </sheetViews>
  <sheetFormatPr baseColWidth="10" defaultColWidth="11.42578125" defaultRowHeight="255" customHeight="1"/>
  <cols>
    <col min="1" max="1" width="24.140625" style="90" customWidth="1"/>
    <col min="2" max="2" width="7" style="90" bestFit="1" customWidth="1"/>
    <col min="3" max="3" width="16.42578125" style="136" customWidth="1"/>
    <col min="4" max="4" width="49.85546875" style="90" customWidth="1"/>
    <col min="5" max="5" width="39.5703125" style="90" customWidth="1"/>
    <col min="6" max="6" width="54.85546875" style="90" customWidth="1"/>
    <col min="7" max="7" width="75.5703125" style="90" customWidth="1"/>
    <col min="8" max="8" width="23.28515625" style="90" customWidth="1"/>
    <col min="9" max="9" width="25.140625" style="90" customWidth="1"/>
    <col min="10" max="10" width="8.140625" style="90" customWidth="1"/>
    <col min="11" max="18" width="6.7109375" style="90" customWidth="1"/>
    <col min="19" max="19" width="6.7109375" style="137" customWidth="1"/>
    <col min="20" max="20" width="6.42578125" style="137" customWidth="1"/>
    <col min="21" max="21" width="6.5703125" style="137" customWidth="1"/>
    <col min="22" max="25" width="6.7109375" style="137" customWidth="1"/>
    <col min="26" max="28" width="6.7109375" style="90" customWidth="1"/>
    <col min="29" max="32" width="6.7109375" style="137" customWidth="1"/>
    <col min="33" max="39" width="6.7109375" style="90" customWidth="1"/>
    <col min="40" max="40" width="18.85546875" style="90" customWidth="1"/>
    <col min="41" max="41" width="14.85546875" style="90" customWidth="1"/>
    <col min="42" max="16384" width="11.42578125" style="90"/>
  </cols>
  <sheetData>
    <row r="1" spans="2:41" ht="73.5" customHeight="1">
      <c r="B1" s="87"/>
      <c r="C1" s="88"/>
      <c r="D1" s="89"/>
      <c r="E1" s="89"/>
      <c r="F1" s="89"/>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2:41" ht="89.1" customHeight="1">
      <c r="B2" s="284" t="s">
        <v>791</v>
      </c>
      <c r="C2" s="285"/>
      <c r="D2" s="91"/>
      <c r="E2" s="92"/>
      <c r="F2" s="92"/>
      <c r="G2" s="93"/>
      <c r="H2" s="93"/>
      <c r="I2" s="93"/>
      <c r="P2" s="87"/>
      <c r="Q2" s="87"/>
      <c r="R2" s="87"/>
      <c r="S2" s="87"/>
      <c r="T2" s="87"/>
      <c r="U2" s="87"/>
      <c r="V2" s="87"/>
      <c r="W2" s="87"/>
      <c r="X2" s="87"/>
      <c r="Y2" s="87"/>
      <c r="Z2" s="87"/>
      <c r="AA2" s="87"/>
      <c r="AB2" s="87"/>
      <c r="AC2" s="87"/>
      <c r="AD2" s="87"/>
      <c r="AE2" s="87"/>
      <c r="AF2" s="87"/>
      <c r="AG2" s="87"/>
      <c r="AH2" s="87"/>
      <c r="AI2" s="87"/>
      <c r="AJ2" s="87"/>
      <c r="AK2" s="87"/>
    </row>
    <row r="3" spans="2:41" ht="57.6" customHeight="1">
      <c r="B3" s="87"/>
      <c r="C3" s="93"/>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row>
    <row r="4" spans="2:41" ht="42.95" customHeight="1">
      <c r="B4" s="293" t="s">
        <v>548</v>
      </c>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row>
    <row r="5" spans="2:41" ht="60.95" customHeight="1">
      <c r="B5" s="293"/>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row>
    <row r="6" spans="2:41" ht="44.1" customHeight="1">
      <c r="B6" s="87"/>
      <c r="C6" s="93"/>
      <c r="D6" s="87"/>
      <c r="E6" s="87"/>
      <c r="F6" s="87"/>
      <c r="G6" s="87"/>
      <c r="H6" s="87"/>
      <c r="I6" s="87"/>
      <c r="J6" s="94">
        <v>1</v>
      </c>
      <c r="K6" s="94">
        <v>2</v>
      </c>
      <c r="L6" s="94">
        <v>3</v>
      </c>
      <c r="M6" s="94">
        <v>4</v>
      </c>
      <c r="N6" s="94">
        <v>5</v>
      </c>
      <c r="O6" s="94">
        <v>6</v>
      </c>
      <c r="P6" s="94">
        <v>7</v>
      </c>
      <c r="Q6" s="94">
        <v>8</v>
      </c>
      <c r="R6" s="94">
        <v>9</v>
      </c>
      <c r="S6" s="94">
        <v>10</v>
      </c>
      <c r="T6" s="94">
        <v>11</v>
      </c>
      <c r="U6" s="94">
        <v>12</v>
      </c>
      <c r="V6" s="94">
        <v>13</v>
      </c>
      <c r="W6" s="94">
        <v>14</v>
      </c>
      <c r="X6" s="94">
        <v>15</v>
      </c>
      <c r="Y6" s="94">
        <v>16</v>
      </c>
      <c r="Z6" s="94">
        <v>17</v>
      </c>
      <c r="AA6" s="94">
        <v>18</v>
      </c>
      <c r="AB6" s="94">
        <v>19</v>
      </c>
      <c r="AC6" s="94">
        <v>20</v>
      </c>
      <c r="AD6" s="94">
        <v>21</v>
      </c>
      <c r="AE6" s="94">
        <v>22</v>
      </c>
      <c r="AF6" s="94">
        <v>23</v>
      </c>
      <c r="AG6" s="94">
        <v>24</v>
      </c>
      <c r="AH6" s="94">
        <v>25</v>
      </c>
      <c r="AI6" s="94">
        <v>26</v>
      </c>
      <c r="AJ6" s="94">
        <v>27</v>
      </c>
      <c r="AK6" s="94">
        <v>28</v>
      </c>
      <c r="AL6" s="94">
        <v>29</v>
      </c>
      <c r="AM6" s="94">
        <v>30</v>
      </c>
    </row>
    <row r="7" spans="2:41" ht="40.5" customHeight="1">
      <c r="B7" s="286" t="s">
        <v>1</v>
      </c>
      <c r="C7" s="286" t="s">
        <v>549</v>
      </c>
      <c r="D7" s="287" t="s">
        <v>550</v>
      </c>
      <c r="E7" s="286" t="s">
        <v>551</v>
      </c>
      <c r="F7" s="289" t="s">
        <v>552</v>
      </c>
      <c r="G7" s="291" t="s">
        <v>119</v>
      </c>
      <c r="H7" s="291" t="s">
        <v>553</v>
      </c>
      <c r="I7" s="282" t="s">
        <v>554</v>
      </c>
      <c r="J7" s="95" t="s">
        <v>798</v>
      </c>
      <c r="K7" s="95" t="s">
        <v>799</v>
      </c>
      <c r="L7" s="95" t="s">
        <v>800</v>
      </c>
      <c r="M7" s="95" t="s">
        <v>801</v>
      </c>
      <c r="N7" s="95" t="s">
        <v>802</v>
      </c>
      <c r="O7" s="95" t="s">
        <v>803</v>
      </c>
      <c r="P7" s="95" t="s">
        <v>804</v>
      </c>
      <c r="Q7" s="95" t="s">
        <v>798</v>
      </c>
      <c r="R7" s="95" t="s">
        <v>799</v>
      </c>
      <c r="S7" s="95" t="s">
        <v>800</v>
      </c>
      <c r="T7" s="95" t="s">
        <v>801</v>
      </c>
      <c r="U7" s="95" t="s">
        <v>802</v>
      </c>
      <c r="V7" s="95" t="s">
        <v>803</v>
      </c>
      <c r="W7" s="95" t="s">
        <v>804</v>
      </c>
      <c r="X7" s="95" t="s">
        <v>798</v>
      </c>
      <c r="Y7" s="95" t="s">
        <v>799</v>
      </c>
      <c r="Z7" s="95" t="s">
        <v>800</v>
      </c>
      <c r="AA7" s="95" t="s">
        <v>801</v>
      </c>
      <c r="AB7" s="95" t="s">
        <v>802</v>
      </c>
      <c r="AC7" s="95" t="s">
        <v>803</v>
      </c>
      <c r="AD7" s="95" t="s">
        <v>804</v>
      </c>
      <c r="AE7" s="95" t="s">
        <v>798</v>
      </c>
      <c r="AF7" s="95" t="s">
        <v>799</v>
      </c>
      <c r="AG7" s="95" t="s">
        <v>800</v>
      </c>
      <c r="AH7" s="95" t="s">
        <v>801</v>
      </c>
      <c r="AI7" s="95" t="s">
        <v>802</v>
      </c>
      <c r="AJ7" s="95" t="s">
        <v>803</v>
      </c>
      <c r="AK7" s="95" t="s">
        <v>804</v>
      </c>
      <c r="AL7" s="95" t="s">
        <v>802</v>
      </c>
      <c r="AM7" s="95" t="s">
        <v>803</v>
      </c>
      <c r="AO7" s="102" t="s">
        <v>562</v>
      </c>
    </row>
    <row r="8" spans="2:41" ht="40.5" customHeight="1">
      <c r="B8" s="287"/>
      <c r="C8" s="287"/>
      <c r="D8" s="288"/>
      <c r="E8" s="287"/>
      <c r="F8" s="290"/>
      <c r="G8" s="292"/>
      <c r="H8" s="292"/>
      <c r="I8" s="283"/>
      <c r="J8" s="108">
        <v>46204</v>
      </c>
      <c r="K8" s="109">
        <v>46205</v>
      </c>
      <c r="L8" s="109">
        <v>46206</v>
      </c>
      <c r="M8" s="109">
        <v>46207</v>
      </c>
      <c r="N8" s="109">
        <v>46208</v>
      </c>
      <c r="O8" s="109">
        <v>46209</v>
      </c>
      <c r="P8" s="109">
        <v>46210</v>
      </c>
      <c r="Q8" s="109">
        <v>46211</v>
      </c>
      <c r="R8" s="109">
        <v>46212</v>
      </c>
      <c r="S8" s="109">
        <v>46213</v>
      </c>
      <c r="T8" s="109">
        <v>46214</v>
      </c>
      <c r="U8" s="109">
        <v>46215</v>
      </c>
      <c r="V8" s="109">
        <v>46216</v>
      </c>
      <c r="W8" s="109">
        <v>46217</v>
      </c>
      <c r="X8" s="109">
        <v>46218</v>
      </c>
      <c r="Y8" s="109">
        <v>46219</v>
      </c>
      <c r="Z8" s="109">
        <v>46220</v>
      </c>
      <c r="AA8" s="109">
        <v>46221</v>
      </c>
      <c r="AB8" s="109">
        <v>46222</v>
      </c>
      <c r="AC8" s="109">
        <v>46223</v>
      </c>
      <c r="AD8" s="109">
        <v>46224</v>
      </c>
      <c r="AE8" s="109">
        <v>46225</v>
      </c>
      <c r="AF8" s="109">
        <v>46226</v>
      </c>
      <c r="AG8" s="109">
        <v>46227</v>
      </c>
      <c r="AH8" s="109">
        <v>46228</v>
      </c>
      <c r="AI8" s="109">
        <v>46229</v>
      </c>
      <c r="AJ8" s="109">
        <v>46230</v>
      </c>
      <c r="AK8" s="109">
        <v>46231</v>
      </c>
      <c r="AL8" s="109">
        <v>29</v>
      </c>
      <c r="AM8" s="109">
        <v>30</v>
      </c>
      <c r="AO8" s="111" t="s">
        <v>576</v>
      </c>
    </row>
    <row r="9" spans="2:41" ht="48.95" customHeight="1">
      <c r="B9" s="112">
        <v>49</v>
      </c>
      <c r="C9" s="113">
        <v>1033773795</v>
      </c>
      <c r="D9" s="114" t="s">
        <v>731</v>
      </c>
      <c r="E9" s="134" t="s">
        <v>792</v>
      </c>
      <c r="F9" s="78" t="s">
        <v>506</v>
      </c>
      <c r="G9" s="260" t="s">
        <v>161</v>
      </c>
      <c r="H9" s="114" t="s">
        <v>732</v>
      </c>
      <c r="I9" s="114" t="s">
        <v>724</v>
      </c>
      <c r="J9" s="97" t="s">
        <v>567</v>
      </c>
      <c r="K9" s="97" t="s">
        <v>567</v>
      </c>
      <c r="L9" s="97" t="s">
        <v>567</v>
      </c>
      <c r="M9" s="97" t="s">
        <v>567</v>
      </c>
      <c r="N9" s="97" t="s">
        <v>557</v>
      </c>
      <c r="O9" s="97" t="s">
        <v>567</v>
      </c>
      <c r="P9" s="97" t="s">
        <v>567</v>
      </c>
      <c r="Q9" s="97" t="s">
        <v>567</v>
      </c>
      <c r="R9" s="97" t="s">
        <v>567</v>
      </c>
      <c r="S9" s="97" t="s">
        <v>567</v>
      </c>
      <c r="T9" s="97" t="s">
        <v>567</v>
      </c>
      <c r="U9" s="97" t="s">
        <v>557</v>
      </c>
      <c r="V9" s="97" t="s">
        <v>557</v>
      </c>
      <c r="W9" s="97" t="s">
        <v>567</v>
      </c>
      <c r="X9" s="97" t="s">
        <v>567</v>
      </c>
      <c r="Y9" s="97" t="s">
        <v>567</v>
      </c>
      <c r="Z9" s="97" t="s">
        <v>558</v>
      </c>
      <c r="AA9" s="97" t="s">
        <v>558</v>
      </c>
      <c r="AB9" s="97" t="s">
        <v>557</v>
      </c>
      <c r="AC9" s="97" t="s">
        <v>557</v>
      </c>
      <c r="AD9" s="97" t="s">
        <v>562</v>
      </c>
      <c r="AE9" s="97" t="s">
        <v>567</v>
      </c>
      <c r="AF9" s="97" t="s">
        <v>567</v>
      </c>
      <c r="AG9" s="97" t="s">
        <v>567</v>
      </c>
      <c r="AH9" s="97" t="s">
        <v>567</v>
      </c>
      <c r="AI9" s="97" t="s">
        <v>567</v>
      </c>
      <c r="AJ9" s="97" t="s">
        <v>557</v>
      </c>
      <c r="AK9" s="97" t="s">
        <v>567</v>
      </c>
      <c r="AL9" s="97" t="s">
        <v>567</v>
      </c>
      <c r="AM9" s="97" t="s">
        <v>567</v>
      </c>
      <c r="AO9" s="116">
        <f t="shared" ref="AO9" si="0">COUNTIF($J9:$AM9,AO$7)</f>
        <v>1</v>
      </c>
    </row>
    <row r="10" spans="2:41" ht="48.95" customHeight="1">
      <c r="B10" s="112">
        <v>146</v>
      </c>
      <c r="C10" s="113">
        <v>1002377643</v>
      </c>
      <c r="D10" s="114" t="s">
        <v>1073</v>
      </c>
      <c r="E10" s="134" t="s">
        <v>592</v>
      </c>
      <c r="F10" s="78" t="s">
        <v>506</v>
      </c>
      <c r="G10" s="77" t="s">
        <v>486</v>
      </c>
      <c r="H10" s="114" t="s">
        <v>1074</v>
      </c>
      <c r="I10" s="114" t="s">
        <v>597</v>
      </c>
      <c r="J10" s="97" t="s">
        <v>567</v>
      </c>
      <c r="K10" s="97" t="s">
        <v>567</v>
      </c>
      <c r="L10" s="97" t="s">
        <v>567</v>
      </c>
      <c r="M10" s="97" t="s">
        <v>567</v>
      </c>
      <c r="N10" s="97" t="s">
        <v>557</v>
      </c>
      <c r="O10" s="97" t="s">
        <v>567</v>
      </c>
      <c r="P10" s="97" t="s">
        <v>567</v>
      </c>
      <c r="Q10" s="97" t="s">
        <v>567</v>
      </c>
      <c r="R10" s="97" t="s">
        <v>567</v>
      </c>
      <c r="S10" s="97" t="s">
        <v>567</v>
      </c>
      <c r="T10" s="97" t="s">
        <v>567</v>
      </c>
      <c r="U10" s="97" t="s">
        <v>557</v>
      </c>
      <c r="V10" s="97" t="s">
        <v>557</v>
      </c>
      <c r="W10" s="97" t="s">
        <v>567</v>
      </c>
      <c r="X10" s="97" t="s">
        <v>567</v>
      </c>
      <c r="Y10" s="97" t="s">
        <v>562</v>
      </c>
      <c r="Z10" s="97" t="s">
        <v>567</v>
      </c>
      <c r="AA10" s="97" t="s">
        <v>567</v>
      </c>
      <c r="AB10" s="97" t="s">
        <v>557</v>
      </c>
      <c r="AC10" s="97" t="s">
        <v>557</v>
      </c>
      <c r="AD10" s="97" t="s">
        <v>567</v>
      </c>
      <c r="AE10" s="97" t="s">
        <v>567</v>
      </c>
      <c r="AF10" s="97" t="s">
        <v>567</v>
      </c>
      <c r="AG10" s="97" t="s">
        <v>567</v>
      </c>
      <c r="AH10" s="97" t="s">
        <v>567</v>
      </c>
      <c r="AI10" s="97" t="s">
        <v>557</v>
      </c>
      <c r="AJ10" s="97" t="s">
        <v>567</v>
      </c>
      <c r="AK10" s="97" t="s">
        <v>567</v>
      </c>
      <c r="AL10" s="97" t="s">
        <v>567</v>
      </c>
      <c r="AM10" s="97" t="s">
        <v>567</v>
      </c>
      <c r="AO10" s="116">
        <f t="shared" ref="AO10:AO11" si="1">COUNTIF($J10:$AM10,AO$7)</f>
        <v>1</v>
      </c>
    </row>
    <row r="11" spans="2:41" ht="48.95" customHeight="1">
      <c r="B11" s="112">
        <v>153</v>
      </c>
      <c r="C11" s="113">
        <v>53153000</v>
      </c>
      <c r="D11" s="114" t="s">
        <v>1088</v>
      </c>
      <c r="E11" s="134" t="s">
        <v>592</v>
      </c>
      <c r="F11" s="78" t="s">
        <v>506</v>
      </c>
      <c r="G11" s="77" t="s">
        <v>478</v>
      </c>
      <c r="H11" s="114" t="s">
        <v>1089</v>
      </c>
      <c r="I11" s="114" t="s">
        <v>597</v>
      </c>
      <c r="J11" s="97" t="s">
        <v>567</v>
      </c>
      <c r="K11" s="97" t="s">
        <v>567</v>
      </c>
      <c r="L11" s="97" t="s">
        <v>567</v>
      </c>
      <c r="M11" s="97" t="s">
        <v>567</v>
      </c>
      <c r="N11" s="97" t="s">
        <v>557</v>
      </c>
      <c r="O11" s="97" t="s">
        <v>567</v>
      </c>
      <c r="P11" s="97" t="s">
        <v>562</v>
      </c>
      <c r="Q11" s="97" t="s">
        <v>562</v>
      </c>
      <c r="R11" s="97" t="s">
        <v>562</v>
      </c>
      <c r="S11" s="97" t="s">
        <v>567</v>
      </c>
      <c r="T11" s="97" t="s">
        <v>567</v>
      </c>
      <c r="U11" s="97" t="s">
        <v>557</v>
      </c>
      <c r="V11" s="97" t="s">
        <v>557</v>
      </c>
      <c r="W11" s="97" t="s">
        <v>567</v>
      </c>
      <c r="X11" s="97" t="s">
        <v>567</v>
      </c>
      <c r="Y11" s="97" t="s">
        <v>567</v>
      </c>
      <c r="Z11" s="97" t="s">
        <v>567</v>
      </c>
      <c r="AA11" s="97" t="s">
        <v>567</v>
      </c>
      <c r="AB11" s="97" t="s">
        <v>557</v>
      </c>
      <c r="AC11" s="97" t="s">
        <v>557</v>
      </c>
      <c r="AD11" s="97" t="s">
        <v>567</v>
      </c>
      <c r="AE11" s="97" t="s">
        <v>567</v>
      </c>
      <c r="AF11" s="97" t="s">
        <v>567</v>
      </c>
      <c r="AG11" s="97" t="s">
        <v>567</v>
      </c>
      <c r="AH11" s="97" t="s">
        <v>567</v>
      </c>
      <c r="AI11" s="97" t="s">
        <v>557</v>
      </c>
      <c r="AJ11" s="97" t="s">
        <v>567</v>
      </c>
      <c r="AK11" s="97" t="s">
        <v>567</v>
      </c>
      <c r="AL11" s="97" t="s">
        <v>567</v>
      </c>
      <c r="AM11" s="97" t="s">
        <v>567</v>
      </c>
      <c r="AO11" s="116">
        <f t="shared" si="1"/>
        <v>3</v>
      </c>
    </row>
    <row r="12" spans="2:41" ht="48.95" customHeight="1">
      <c r="B12" s="112">
        <v>189</v>
      </c>
      <c r="C12" s="113">
        <v>1143366323</v>
      </c>
      <c r="D12" s="114" t="s">
        <v>1155</v>
      </c>
      <c r="E12" s="217" t="s">
        <v>794</v>
      </c>
      <c r="F12" s="78" t="s">
        <v>506</v>
      </c>
      <c r="G12" s="263" t="s">
        <v>488</v>
      </c>
      <c r="H12" s="114" t="s">
        <v>1156</v>
      </c>
      <c r="I12" s="259" t="s">
        <v>1157</v>
      </c>
      <c r="J12" s="97">
        <v>0</v>
      </c>
      <c r="K12" s="97">
        <v>0</v>
      </c>
      <c r="L12" s="97">
        <v>0</v>
      </c>
      <c r="M12" s="97">
        <v>0</v>
      </c>
      <c r="N12" s="97" t="s">
        <v>557</v>
      </c>
      <c r="O12" s="97">
        <v>0</v>
      </c>
      <c r="P12" s="97">
        <v>0</v>
      </c>
      <c r="Q12" s="97">
        <v>0</v>
      </c>
      <c r="R12" s="97">
        <v>0</v>
      </c>
      <c r="S12" s="97">
        <v>0</v>
      </c>
      <c r="T12" s="97">
        <v>0</v>
      </c>
      <c r="U12" s="97" t="s">
        <v>557</v>
      </c>
      <c r="V12" s="97" t="s">
        <v>557</v>
      </c>
      <c r="W12" s="97">
        <v>0</v>
      </c>
      <c r="X12" s="97" t="s">
        <v>567</v>
      </c>
      <c r="Y12" s="97" t="s">
        <v>562</v>
      </c>
      <c r="Z12" s="97" t="s">
        <v>567</v>
      </c>
      <c r="AA12" s="97" t="s">
        <v>567</v>
      </c>
      <c r="AB12" s="97" t="s">
        <v>557</v>
      </c>
      <c r="AC12" s="97" t="s">
        <v>557</v>
      </c>
      <c r="AD12" s="97" t="s">
        <v>567</v>
      </c>
      <c r="AE12" s="97" t="s">
        <v>567</v>
      </c>
      <c r="AF12" s="97" t="s">
        <v>567</v>
      </c>
      <c r="AG12" s="97" t="s">
        <v>567</v>
      </c>
      <c r="AH12" s="97" t="s">
        <v>567</v>
      </c>
      <c r="AI12" s="97" t="s">
        <v>557</v>
      </c>
      <c r="AJ12" s="97" t="s">
        <v>555</v>
      </c>
      <c r="AK12" s="97" t="s">
        <v>567</v>
      </c>
      <c r="AL12" s="97" t="s">
        <v>567</v>
      </c>
      <c r="AM12" s="97" t="s">
        <v>563</v>
      </c>
      <c r="AO12" s="116">
        <f t="shared" ref="AO12" si="2">COUNTIF($J12:$AM12,AO$7)</f>
        <v>1</v>
      </c>
    </row>
    <row r="13" spans="2:41" ht="98.45" customHeight="1">
      <c r="AO13" s="138">
        <f>SUM(AO9:AO12)</f>
        <v>6</v>
      </c>
    </row>
  </sheetData>
  <autoFilter ref="A8:AO12" xr:uid="{00000000-0009-0000-0000-000008000000}"/>
  <mergeCells count="10">
    <mergeCell ref="B2:C2"/>
    <mergeCell ref="B4:AM5"/>
    <mergeCell ref="B7:B8"/>
    <mergeCell ref="C7:C8"/>
    <mergeCell ref="D7:D8"/>
    <mergeCell ref="E7:E8"/>
    <mergeCell ref="F7:F8"/>
    <mergeCell ref="G7:G8"/>
    <mergeCell ref="H7:H8"/>
    <mergeCell ref="I7:I8"/>
  </mergeCells>
  <conditionalFormatting sqref="C1:C1048576">
    <cfRule type="duplicateValues" dxfId="555" priority="1"/>
    <cfRule type="duplicateValues" dxfId="554" priority="2"/>
    <cfRule type="duplicateValues" dxfId="553" priority="3"/>
    <cfRule type="duplicateValues" dxfId="552" priority="4"/>
    <cfRule type="duplicateValues" dxfId="551" priority="21"/>
    <cfRule type="duplicateValues" dxfId="550" priority="22"/>
    <cfRule type="duplicateValues" dxfId="549" priority="23"/>
  </conditionalFormatting>
  <conditionalFormatting sqref="C9:C11">
    <cfRule type="duplicateValues" dxfId="548" priority="14370"/>
  </conditionalFormatting>
  <conditionalFormatting sqref="C10:C11">
    <cfRule type="duplicateValues" dxfId="547" priority="14329"/>
  </conditionalFormatting>
  <conditionalFormatting sqref="C12">
    <cfRule type="duplicateValues" dxfId="546" priority="14231"/>
  </conditionalFormatting>
  <conditionalFormatting sqref="C13:C1048576 C1:C11">
    <cfRule type="duplicateValues" dxfId="545" priority="41"/>
  </conditionalFormatting>
  <conditionalFormatting sqref="I1:I3 I6:I8 I13:I1048576">
    <cfRule type="containsText" dxfId="544" priority="186" operator="containsText" text="RENUNCIA">
      <formula>NOT(ISERROR(SEARCH("RENUNCIA",I1)))</formula>
    </cfRule>
  </conditionalFormatting>
  <conditionalFormatting sqref="J7:AM8">
    <cfRule type="expression" dxfId="542" priority="196">
      <formula>AND(J$7="dom")</formula>
    </cfRule>
  </conditionalFormatting>
  <conditionalFormatting sqref="J9:AM12">
    <cfRule type="containsText" dxfId="540" priority="43" operator="containsText" text="TS">
      <formula>NOT(ISERROR(SEARCH("TS",J9)))</formula>
    </cfRule>
    <cfRule type="containsText" dxfId="539" priority="44" operator="containsText" text="&quot; &quot;">
      <formula>NOT(ISERROR(SEARCH(""" """,J9)))</formula>
    </cfRule>
    <cfRule type="containsText" dxfId="538" priority="45" operator="containsText" text="CD">
      <formula>NOT(ISERROR(SEARCH("CD",J9)))</formula>
    </cfRule>
    <cfRule type="containsText" dxfId="537" priority="46" operator="containsText" text="VAC">
      <formula>NOT(ISERROR(SEARCH("VAC",J9)))</formula>
    </cfRule>
    <cfRule type="containsText" dxfId="536" priority="47" operator="containsText" text="LT">
      <formula>NOT(ISERROR(SEARCH("LT",J9)))</formula>
    </cfRule>
    <cfRule type="containsText" dxfId="535" priority="48" operator="containsText" text="REN">
      <formula>NOT(ISERROR(SEARCH("REN",J9)))</formula>
    </cfRule>
    <cfRule type="containsText" dxfId="534" priority="49" operator="containsText" text="INC">
      <formula>NOT(ISERROR(SEARCH("INC",J9)))</formula>
    </cfRule>
    <cfRule type="containsText" dxfId="533" priority="50" operator="containsText" text="LNR">
      <formula>NOT(ISERROR(SEARCH("LNR",J9)))</formula>
    </cfRule>
    <cfRule type="containsText" dxfId="532" priority="187" operator="containsText" text="INC">
      <formula>NOT(ISERROR(SEARCH("INC",J9)))</formula>
    </cfRule>
    <cfRule type="containsText" dxfId="531" priority="188" operator="containsText" text="TC">
      <formula>NOT(ISERROR(SEARCH("TC",J9)))</formula>
    </cfRule>
    <cfRule type="containsText" dxfId="530" priority="189" operator="containsText" text="PNR">
      <formula>NOT(ISERROR(SEARCH("PNR",J9)))</formula>
    </cfRule>
    <cfRule type="containsText" dxfId="529" priority="190" operator="containsText" text="AUS">
      <formula>NOT(ISERROR(SEARCH("AUS",J9)))</formula>
    </cfRule>
    <cfRule type="containsText" dxfId="528" priority="191" operator="containsText" text="D">
      <formula>NOT(ISERROR(SEARCH("D",J9)))</formula>
    </cfRule>
    <cfRule type="containsText" dxfId="527" priority="192" stopIfTrue="1" operator="containsText" text="OK">
      <formula>NOT(ISERROR(SEARCH("OK",J9)))</formula>
    </cfRule>
    <cfRule type="containsText" dxfId="526" priority="194" operator="containsText" text="D">
      <formula>NOT(ISERROR(SEARCH("D",J9)))</formula>
    </cfRule>
    <cfRule type="containsBlanks" dxfId="525" priority="199">
      <formula>LEN(TRIM(J9))=0</formula>
    </cfRule>
  </conditionalFormatting>
  <conditionalFormatting sqref="AO7">
    <cfRule type="containsText" dxfId="524" priority="133" operator="containsText" text="OK">
      <formula>NOT(ISERROR(SEARCH("OK",AO7)))</formula>
    </cfRule>
    <cfRule type="containsText" dxfId="523" priority="134" operator="containsText" text="LT">
      <formula>NOT(ISERROR(SEARCH("LT",AO7)))</formula>
    </cfRule>
    <cfRule type="containsText" dxfId="522" priority="135" operator="containsText" text="TC">
      <formula>NOT(ISERROR(SEARCH("TC",AO7)))</formula>
    </cfRule>
    <cfRule type="containsText" dxfId="521" priority="136" operator="containsText" text="REN">
      <formula>NOT(ISERROR(SEARCH("REN",AO7)))</formula>
    </cfRule>
    <cfRule type="containsText" dxfId="520" priority="137" operator="containsText" text="CD">
      <formula>NOT(ISERROR(SEARCH("CD",AO7)))</formula>
    </cfRule>
    <cfRule type="containsText" dxfId="519" priority="138" operator="containsText" text="VAC">
      <formula>NOT(ISERROR(SEARCH("VAC",AO7)))</formula>
    </cfRule>
    <cfRule type="containsText" dxfId="518" priority="139" operator="containsText" text="LNR">
      <formula>NOT(ISERROR(SEARCH("LNR",AO7)))</formula>
    </cfRule>
    <cfRule type="containsText" dxfId="517" priority="140" operator="containsText" text="S">
      <formula>NOT(ISERROR(SEARCH("S",AO7)))</formula>
    </cfRule>
    <cfRule type="containsText" dxfId="516" priority="141" operator="containsText" text="INC">
      <formula>NOT(ISERROR(SEARCH("INC",AO7)))</formula>
    </cfRule>
    <cfRule type="containsText" dxfId="515" priority="142" operator="containsText" text="D">
      <formula>NOT(ISERROR(SEARCH("D",AO7)))</formula>
    </cfRule>
    <cfRule type="containsText" dxfId="514" priority="143" operator="containsText" text="PNR">
      <formula>NOT(ISERROR(SEARCH("PNR",AO7)))</formula>
    </cfRule>
    <cfRule type="containsText" dxfId="513" priority="144" operator="containsText" text="AUS">
      <formula>NOT(ISERROR(SEARCH("AUS",AO7)))</formula>
    </cfRule>
    <cfRule type="duplicateValues" dxfId="512" priority="145"/>
    <cfRule type="containsText" dxfId="511" priority="146" operator="containsText" text="&quot; &quot;">
      <formula>NOT(ISERROR(SEARCH(""" """,AO7)))</formula>
    </cfRule>
    <cfRule type="containsText" dxfId="510" priority="147" operator="containsText" text="CD">
      <formula>NOT(ISERROR(SEARCH("CD",AO7)))</formula>
    </cfRule>
    <cfRule type="containsText" dxfId="509" priority="148" operator="containsText" text="VAC">
      <formula>NOT(ISERROR(SEARCH("VAC",AO7)))</formula>
    </cfRule>
    <cfRule type="containsText" dxfId="508" priority="149" operator="containsText" text="LT">
      <formula>NOT(ISERROR(SEARCH("LT",AO7)))</formula>
    </cfRule>
    <cfRule type="containsText" dxfId="507" priority="150" operator="containsText" text="INC">
      <formula>NOT(ISERROR(SEARCH("INC",AO7)))</formula>
    </cfRule>
    <cfRule type="containsText" dxfId="506" priority="151" operator="containsText" text="LNR">
      <formula>NOT(ISERROR(SEARCH("LNR",AO7)))</formula>
    </cfRule>
    <cfRule type="containsText" dxfId="505" priority="152" operator="containsText" text="INC">
      <formula>NOT(ISERROR(SEARCH("INC",AO7)))</formula>
    </cfRule>
    <cfRule type="containsText" dxfId="504" priority="153" operator="containsText" text="TC">
      <formula>NOT(ISERROR(SEARCH("TC",AO7)))</formula>
    </cfRule>
    <cfRule type="containsText" dxfId="503" priority="154" operator="containsText" text="PNR">
      <formula>NOT(ISERROR(SEARCH("PNR",AO7)))</formula>
    </cfRule>
    <cfRule type="containsText" dxfId="502" priority="155" operator="containsText" text="AUS">
      <formula>NOT(ISERROR(SEARCH("AUS",AO7)))</formula>
    </cfRule>
    <cfRule type="containsText" dxfId="501" priority="156" operator="containsText" text="D">
      <formula>NOT(ISERROR(SEARCH("D",AO7)))</formula>
    </cfRule>
    <cfRule type="containsText" dxfId="500" priority="157" stopIfTrue="1" operator="containsText" text="OK">
      <formula>NOT(ISERROR(SEARCH("OK",AO7)))</formula>
    </cfRule>
    <cfRule type="containsText" dxfId="499" priority="158" operator="containsText" text="D">
      <formula>NOT(ISERROR(SEARCH("D",AO7)))</formula>
    </cfRule>
    <cfRule type="containsBlanks" dxfId="498" priority="159">
      <formula>LEN(TRIM(AO7))=0</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51" id="{3999ACFB-1D0C-4766-8445-7CC14AA071B7}">
            <xm:f>MATCH(J$8,'C:\Users\jcrodriguez\OneDrive - Serviasesorias SAS\Documentos\JUAN CARLOS OPERACIONES 2025\ALCALDIA DE BOGOTA\7. JULIO\[PLANILLA CONTROL PERSONAL JULIO ALCALDIA SUPERVISORES.xlsx]FECHAS'!#REF!,0)&gt;0</xm:f>
            <x14:dxf>
              <font>
                <b/>
                <i val="0"/>
                <color theme="0"/>
              </font>
              <fill>
                <patternFill>
                  <bgColor rgb="FFFF0000"/>
                </patternFill>
              </fill>
            </x14:dxf>
          </x14:cfRule>
          <x14:cfRule type="expression" priority="197" id="{0BC71CCD-F6C6-4F41-BC5C-08237013D9E7}">
            <xm:f>MATCH(J$8,'C:\Users\jcrodriguez\OneDrive - Serviasesorias SAS\Documentos\DIAN\[NOMINA COORDINADORES ENERO 2026.xlsm]FECHA'!#REF!,0)&gt;0</xm:f>
            <x14:dxf>
              <font>
                <b/>
                <i val="0"/>
                <color theme="0"/>
              </font>
              <fill>
                <patternFill>
                  <bgColor rgb="FFFF0000"/>
                </patternFill>
              </fill>
            </x14:dxf>
          </x14:cfRule>
          <xm:sqref>J7:AM8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B1:AO10"/>
  <sheetViews>
    <sheetView topLeftCell="AA4" zoomScale="60" zoomScaleNormal="60" workbookViewId="0">
      <selection activeCell="AN11" sqref="AN11"/>
    </sheetView>
  </sheetViews>
  <sheetFormatPr baseColWidth="10" defaultColWidth="11.42578125" defaultRowHeight="255" customHeight="1"/>
  <cols>
    <col min="1" max="1" width="24.140625" style="90" customWidth="1"/>
    <col min="2" max="2" width="7" style="90" bestFit="1" customWidth="1"/>
    <col min="3" max="3" width="16.42578125" style="136" customWidth="1"/>
    <col min="4" max="4" width="49.85546875" style="90" customWidth="1"/>
    <col min="5" max="5" width="39.5703125" style="90" customWidth="1"/>
    <col min="6" max="6" width="54.85546875" style="90" customWidth="1"/>
    <col min="7" max="7" width="75.5703125" style="90" customWidth="1"/>
    <col min="8" max="8" width="23.28515625" style="90" customWidth="1"/>
    <col min="9" max="9" width="25.140625" style="90" customWidth="1"/>
    <col min="10" max="10" width="8.140625" style="90" customWidth="1"/>
    <col min="11" max="18" width="6.7109375" style="90" customWidth="1"/>
    <col min="19" max="19" width="6.7109375" style="137" customWidth="1"/>
    <col min="20" max="20" width="6.42578125" style="137" customWidth="1"/>
    <col min="21" max="21" width="6.5703125" style="137" customWidth="1"/>
    <col min="22" max="25" width="6.7109375" style="137" customWidth="1"/>
    <col min="26" max="28" width="6.7109375" style="90" customWidth="1"/>
    <col min="29" max="32" width="6.7109375" style="137" customWidth="1"/>
    <col min="33" max="39" width="6.7109375" style="90" customWidth="1"/>
    <col min="40" max="40" width="18.85546875" style="90" customWidth="1"/>
    <col min="41" max="41" width="16.5703125" style="90" customWidth="1"/>
    <col min="42" max="16384" width="11.42578125" style="90"/>
  </cols>
  <sheetData>
    <row r="1" spans="2:41" ht="73.5" customHeight="1">
      <c r="B1" s="87"/>
      <c r="C1" s="88"/>
      <c r="D1" s="89"/>
      <c r="E1" s="89"/>
      <c r="F1" s="89"/>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2:41" ht="89.1" customHeight="1">
      <c r="B2" s="284" t="s">
        <v>791</v>
      </c>
      <c r="C2" s="285"/>
      <c r="D2" s="91"/>
      <c r="E2" s="92"/>
      <c r="F2" s="92"/>
      <c r="G2" s="93"/>
      <c r="H2" s="93"/>
      <c r="I2" s="93"/>
      <c r="P2" s="87"/>
      <c r="Q2" s="87"/>
      <c r="R2" s="87"/>
      <c r="S2" s="87"/>
      <c r="T2" s="87"/>
      <c r="U2" s="87"/>
      <c r="V2" s="87"/>
      <c r="W2" s="87"/>
      <c r="X2" s="87"/>
      <c r="Y2" s="87"/>
      <c r="Z2" s="87"/>
      <c r="AA2" s="87"/>
      <c r="AB2" s="87"/>
      <c r="AC2" s="87"/>
      <c r="AD2" s="87"/>
      <c r="AE2" s="87"/>
      <c r="AF2" s="87"/>
      <c r="AG2" s="87"/>
      <c r="AH2" s="87"/>
      <c r="AI2" s="87"/>
      <c r="AJ2" s="87"/>
      <c r="AK2" s="87"/>
    </row>
    <row r="3" spans="2:41" ht="57.6" customHeight="1">
      <c r="B3" s="87"/>
      <c r="C3" s="93"/>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row>
    <row r="4" spans="2:41" ht="42.95" customHeight="1">
      <c r="B4" s="293" t="s">
        <v>548</v>
      </c>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row>
    <row r="5" spans="2:41" ht="60.95" customHeight="1">
      <c r="B5" s="293"/>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row>
    <row r="6" spans="2:41" ht="44.1" customHeight="1">
      <c r="B6" s="87"/>
      <c r="C6" s="93"/>
      <c r="D6" s="87"/>
      <c r="E6" s="87"/>
      <c r="F6" s="87"/>
      <c r="G6" s="87"/>
      <c r="H6" s="87"/>
      <c r="I6" s="87"/>
      <c r="J6" s="94">
        <v>1</v>
      </c>
      <c r="K6" s="94">
        <v>2</v>
      </c>
      <c r="L6" s="94">
        <v>3</v>
      </c>
      <c r="M6" s="94">
        <v>4</v>
      </c>
      <c r="N6" s="94">
        <v>5</v>
      </c>
      <c r="O6" s="94">
        <v>6</v>
      </c>
      <c r="P6" s="94">
        <v>7</v>
      </c>
      <c r="Q6" s="94">
        <v>8</v>
      </c>
      <c r="R6" s="94">
        <v>9</v>
      </c>
      <c r="S6" s="94">
        <v>10</v>
      </c>
      <c r="T6" s="94">
        <v>11</v>
      </c>
      <c r="U6" s="94">
        <v>12</v>
      </c>
      <c r="V6" s="94">
        <v>13</v>
      </c>
      <c r="W6" s="94">
        <v>14</v>
      </c>
      <c r="X6" s="94">
        <v>15</v>
      </c>
      <c r="Y6" s="94">
        <v>16</v>
      </c>
      <c r="Z6" s="94">
        <v>17</v>
      </c>
      <c r="AA6" s="94">
        <v>18</v>
      </c>
      <c r="AB6" s="94">
        <v>19</v>
      </c>
      <c r="AC6" s="94">
        <v>20</v>
      </c>
      <c r="AD6" s="94">
        <v>21</v>
      </c>
      <c r="AE6" s="94">
        <v>22</v>
      </c>
      <c r="AF6" s="94">
        <v>23</v>
      </c>
      <c r="AG6" s="94">
        <v>24</v>
      </c>
      <c r="AH6" s="94">
        <v>25</v>
      </c>
      <c r="AI6" s="94">
        <v>26</v>
      </c>
      <c r="AJ6" s="94">
        <v>27</v>
      </c>
      <c r="AK6" s="94">
        <v>28</v>
      </c>
      <c r="AL6" s="94">
        <v>29</v>
      </c>
      <c r="AM6" s="94">
        <v>30</v>
      </c>
    </row>
    <row r="7" spans="2:41" ht="40.5" customHeight="1">
      <c r="B7" s="286" t="s">
        <v>1</v>
      </c>
      <c r="C7" s="286" t="s">
        <v>549</v>
      </c>
      <c r="D7" s="287" t="s">
        <v>550</v>
      </c>
      <c r="E7" s="286" t="s">
        <v>551</v>
      </c>
      <c r="F7" s="289" t="s">
        <v>552</v>
      </c>
      <c r="G7" s="291" t="s">
        <v>119</v>
      </c>
      <c r="H7" s="291" t="s">
        <v>553</v>
      </c>
      <c r="I7" s="282" t="s">
        <v>554</v>
      </c>
      <c r="J7" s="95" t="s">
        <v>798</v>
      </c>
      <c r="K7" s="95" t="s">
        <v>799</v>
      </c>
      <c r="L7" s="95" t="s">
        <v>800</v>
      </c>
      <c r="M7" s="95" t="s">
        <v>801</v>
      </c>
      <c r="N7" s="95" t="s">
        <v>802</v>
      </c>
      <c r="O7" s="95" t="s">
        <v>803</v>
      </c>
      <c r="P7" s="95" t="s">
        <v>804</v>
      </c>
      <c r="Q7" s="95" t="s">
        <v>798</v>
      </c>
      <c r="R7" s="95" t="s">
        <v>799</v>
      </c>
      <c r="S7" s="95" t="s">
        <v>800</v>
      </c>
      <c r="T7" s="95" t="s">
        <v>801</v>
      </c>
      <c r="U7" s="95" t="s">
        <v>802</v>
      </c>
      <c r="V7" s="95" t="s">
        <v>803</v>
      </c>
      <c r="W7" s="95" t="s">
        <v>804</v>
      </c>
      <c r="X7" s="95" t="s">
        <v>798</v>
      </c>
      <c r="Y7" s="95" t="s">
        <v>799</v>
      </c>
      <c r="Z7" s="95" t="s">
        <v>800</v>
      </c>
      <c r="AA7" s="95" t="s">
        <v>801</v>
      </c>
      <c r="AB7" s="95" t="s">
        <v>802</v>
      </c>
      <c r="AC7" s="95" t="s">
        <v>803</v>
      </c>
      <c r="AD7" s="95" t="s">
        <v>804</v>
      </c>
      <c r="AE7" s="95" t="s">
        <v>798</v>
      </c>
      <c r="AF7" s="95" t="s">
        <v>799</v>
      </c>
      <c r="AG7" s="95" t="s">
        <v>800</v>
      </c>
      <c r="AH7" s="95" t="s">
        <v>801</v>
      </c>
      <c r="AI7" s="95" t="s">
        <v>802</v>
      </c>
      <c r="AJ7" s="95" t="s">
        <v>803</v>
      </c>
      <c r="AK7" s="95" t="s">
        <v>804</v>
      </c>
      <c r="AL7" s="95" t="s">
        <v>802</v>
      </c>
      <c r="AM7" s="95" t="s">
        <v>803</v>
      </c>
      <c r="AO7" s="97" t="s">
        <v>556</v>
      </c>
    </row>
    <row r="8" spans="2:41" ht="40.5" customHeight="1">
      <c r="B8" s="287"/>
      <c r="C8" s="287"/>
      <c r="D8" s="288"/>
      <c r="E8" s="287"/>
      <c r="F8" s="290"/>
      <c r="G8" s="292"/>
      <c r="H8" s="292"/>
      <c r="I8" s="283"/>
      <c r="J8" s="108">
        <v>46204</v>
      </c>
      <c r="K8" s="109">
        <v>46205</v>
      </c>
      <c r="L8" s="109">
        <v>46206</v>
      </c>
      <c r="M8" s="109">
        <v>46207</v>
      </c>
      <c r="N8" s="109">
        <v>46208</v>
      </c>
      <c r="O8" s="109">
        <v>46209</v>
      </c>
      <c r="P8" s="109">
        <v>46210</v>
      </c>
      <c r="Q8" s="109">
        <v>46211</v>
      </c>
      <c r="R8" s="109">
        <v>46212</v>
      </c>
      <c r="S8" s="109">
        <v>46213</v>
      </c>
      <c r="T8" s="109">
        <v>46214</v>
      </c>
      <c r="U8" s="109">
        <v>46215</v>
      </c>
      <c r="V8" s="109">
        <v>46216</v>
      </c>
      <c r="W8" s="109">
        <v>46217</v>
      </c>
      <c r="X8" s="109">
        <v>46218</v>
      </c>
      <c r="Y8" s="109">
        <v>46219</v>
      </c>
      <c r="Z8" s="109">
        <v>46220</v>
      </c>
      <c r="AA8" s="109">
        <v>46221</v>
      </c>
      <c r="AB8" s="109">
        <v>46222</v>
      </c>
      <c r="AC8" s="109">
        <v>46223</v>
      </c>
      <c r="AD8" s="109">
        <v>46224</v>
      </c>
      <c r="AE8" s="109">
        <v>46225</v>
      </c>
      <c r="AF8" s="109">
        <v>46226</v>
      </c>
      <c r="AG8" s="109">
        <v>46227</v>
      </c>
      <c r="AH8" s="109">
        <v>46228</v>
      </c>
      <c r="AI8" s="109">
        <v>46229</v>
      </c>
      <c r="AJ8" s="109">
        <v>46230</v>
      </c>
      <c r="AK8" s="109">
        <v>46231</v>
      </c>
      <c r="AL8" s="109">
        <v>29</v>
      </c>
      <c r="AM8" s="109">
        <v>30</v>
      </c>
      <c r="AO8" s="111" t="s">
        <v>570</v>
      </c>
    </row>
    <row r="9" spans="2:41" ht="48.95" customHeight="1">
      <c r="B9" s="112">
        <v>197</v>
      </c>
      <c r="C9" s="113">
        <v>39019862</v>
      </c>
      <c r="D9" s="114" t="s">
        <v>1170</v>
      </c>
      <c r="E9" s="217" t="s">
        <v>794</v>
      </c>
      <c r="F9" s="78" t="s">
        <v>506</v>
      </c>
      <c r="G9" s="263" t="s">
        <v>484</v>
      </c>
      <c r="H9" s="114" t="s">
        <v>1171</v>
      </c>
      <c r="I9" s="114" t="s">
        <v>597</v>
      </c>
      <c r="J9" s="97" t="s">
        <v>567</v>
      </c>
      <c r="K9" s="97" t="s">
        <v>567</v>
      </c>
      <c r="L9" s="97" t="s">
        <v>567</v>
      </c>
      <c r="M9" s="97" t="s">
        <v>567</v>
      </c>
      <c r="N9" s="97" t="s">
        <v>557</v>
      </c>
      <c r="O9" s="97" t="s">
        <v>567</v>
      </c>
      <c r="P9" s="97" t="s">
        <v>567</v>
      </c>
      <c r="Q9" s="97" t="s">
        <v>567</v>
      </c>
      <c r="R9" s="97" t="s">
        <v>567</v>
      </c>
      <c r="S9" s="97" t="s">
        <v>567</v>
      </c>
      <c r="T9" s="97" t="s">
        <v>567</v>
      </c>
      <c r="U9" s="97" t="s">
        <v>557</v>
      </c>
      <c r="V9" s="97" t="s">
        <v>557</v>
      </c>
      <c r="W9" s="97" t="s">
        <v>567</v>
      </c>
      <c r="X9" s="97" t="s">
        <v>567</v>
      </c>
      <c r="Y9" s="97" t="s">
        <v>567</v>
      </c>
      <c r="Z9" s="97" t="s">
        <v>567</v>
      </c>
      <c r="AA9" s="97" t="s">
        <v>567</v>
      </c>
      <c r="AB9" s="97" t="s">
        <v>557</v>
      </c>
      <c r="AC9" s="97" t="s">
        <v>557</v>
      </c>
      <c r="AD9" s="97" t="s">
        <v>567</v>
      </c>
      <c r="AE9" s="97" t="s">
        <v>556</v>
      </c>
      <c r="AF9" s="97" t="s">
        <v>556</v>
      </c>
      <c r="AG9" s="97" t="s">
        <v>556</v>
      </c>
      <c r="AH9" s="97" t="s">
        <v>556</v>
      </c>
      <c r="AI9" s="97" t="s">
        <v>557</v>
      </c>
      <c r="AJ9" s="97" t="s">
        <v>567</v>
      </c>
      <c r="AK9" s="97" t="s">
        <v>567</v>
      </c>
      <c r="AL9" s="97" t="s">
        <v>567</v>
      </c>
      <c r="AM9" s="97" t="s">
        <v>567</v>
      </c>
      <c r="AO9" s="116">
        <f t="shared" ref="AO9" si="0">COUNTIF($J9:$AM9,AO$7)</f>
        <v>4</v>
      </c>
    </row>
    <row r="10" spans="2:41" ht="98.45" customHeight="1">
      <c r="AO10" s="138">
        <f>SUM(AO9:AO9)</f>
        <v>4</v>
      </c>
    </row>
  </sheetData>
  <autoFilter ref="A8:AO9" xr:uid="{00000000-0009-0000-0000-000009000000}"/>
  <mergeCells count="10">
    <mergeCell ref="B2:C2"/>
    <mergeCell ref="B4:AM5"/>
    <mergeCell ref="B7:B8"/>
    <mergeCell ref="C7:C8"/>
    <mergeCell ref="D7:D8"/>
    <mergeCell ref="E7:E8"/>
    <mergeCell ref="F7:F8"/>
    <mergeCell ref="G7:G8"/>
    <mergeCell ref="H7:H8"/>
    <mergeCell ref="I7:I8"/>
  </mergeCells>
  <conditionalFormatting sqref="C1:C1048576">
    <cfRule type="duplicateValues" dxfId="497" priority="1"/>
    <cfRule type="duplicateValues" dxfId="496" priority="2"/>
    <cfRule type="duplicateValues" dxfId="495" priority="3"/>
    <cfRule type="duplicateValues" dxfId="494" priority="4"/>
    <cfRule type="duplicateValues" dxfId="493" priority="21"/>
    <cfRule type="duplicateValues" dxfId="492" priority="22"/>
    <cfRule type="duplicateValues" dxfId="491" priority="23"/>
  </conditionalFormatting>
  <conditionalFormatting sqref="C9">
    <cfRule type="duplicateValues" dxfId="490" priority="12999"/>
  </conditionalFormatting>
  <conditionalFormatting sqref="C10:C1048576 C1:C8">
    <cfRule type="duplicateValues" dxfId="489" priority="41"/>
  </conditionalFormatting>
  <conditionalFormatting sqref="I1:I3 I6:I8 I10:I1048576">
    <cfRule type="containsText" dxfId="488" priority="186" operator="containsText" text="RENUNCIA">
      <formula>NOT(ISERROR(SEARCH("RENUNCIA",I1)))</formula>
    </cfRule>
  </conditionalFormatting>
  <conditionalFormatting sqref="J7:AM8">
    <cfRule type="expression" dxfId="486" priority="196">
      <formula>AND(J$7="dom")</formula>
    </cfRule>
  </conditionalFormatting>
  <conditionalFormatting sqref="J9:AM9">
    <cfRule type="containsText" dxfId="484" priority="43" operator="containsText" text="TS">
      <formula>NOT(ISERROR(SEARCH("TS",J9)))</formula>
    </cfRule>
    <cfRule type="containsText" dxfId="483" priority="44" operator="containsText" text="&quot; &quot;">
      <formula>NOT(ISERROR(SEARCH(""" """,J9)))</formula>
    </cfRule>
    <cfRule type="containsText" dxfId="482" priority="45" operator="containsText" text="CD">
      <formula>NOT(ISERROR(SEARCH("CD",J9)))</formula>
    </cfRule>
    <cfRule type="containsText" dxfId="481" priority="46" operator="containsText" text="VAC">
      <formula>NOT(ISERROR(SEARCH("VAC",J9)))</formula>
    </cfRule>
    <cfRule type="containsText" dxfId="480" priority="47" operator="containsText" text="LT">
      <formula>NOT(ISERROR(SEARCH("LT",J9)))</formula>
    </cfRule>
    <cfRule type="containsText" dxfId="479" priority="48" operator="containsText" text="REN">
      <formula>NOT(ISERROR(SEARCH("REN",J9)))</formula>
    </cfRule>
    <cfRule type="containsText" dxfId="478" priority="49" operator="containsText" text="INC">
      <formula>NOT(ISERROR(SEARCH("INC",J9)))</formula>
    </cfRule>
    <cfRule type="containsText" dxfId="477" priority="50" operator="containsText" text="LNR">
      <formula>NOT(ISERROR(SEARCH("LNR",J9)))</formula>
    </cfRule>
    <cfRule type="containsText" dxfId="476" priority="187" operator="containsText" text="INC">
      <formula>NOT(ISERROR(SEARCH("INC",J9)))</formula>
    </cfRule>
    <cfRule type="containsText" dxfId="475" priority="188" operator="containsText" text="TC">
      <formula>NOT(ISERROR(SEARCH("TC",J9)))</formula>
    </cfRule>
    <cfRule type="containsText" dxfId="474" priority="189" operator="containsText" text="PNR">
      <formula>NOT(ISERROR(SEARCH("PNR",J9)))</formula>
    </cfRule>
    <cfRule type="containsText" dxfId="473" priority="190" operator="containsText" text="AUS">
      <formula>NOT(ISERROR(SEARCH("AUS",J9)))</formula>
    </cfRule>
    <cfRule type="containsText" dxfId="472" priority="191" operator="containsText" text="D">
      <formula>NOT(ISERROR(SEARCH("D",J9)))</formula>
    </cfRule>
    <cfRule type="containsText" dxfId="471" priority="192" stopIfTrue="1" operator="containsText" text="OK">
      <formula>NOT(ISERROR(SEARCH("OK",J9)))</formula>
    </cfRule>
    <cfRule type="containsText" dxfId="470" priority="194" operator="containsText" text="D">
      <formula>NOT(ISERROR(SEARCH("D",J9)))</formula>
    </cfRule>
    <cfRule type="containsBlanks" dxfId="469" priority="199">
      <formula>LEN(TRIM(J9))=0</formula>
    </cfRule>
  </conditionalFormatting>
  <conditionalFormatting sqref="AO7">
    <cfRule type="containsText" dxfId="468" priority="52" operator="containsText" text="&quot; &quot;">
      <formula>NOT(ISERROR(SEARCH(""" """,AO7)))</formula>
    </cfRule>
    <cfRule type="containsText" dxfId="467" priority="53" operator="containsText" text="CD">
      <formula>NOT(ISERROR(SEARCH("CD",AO7)))</formula>
    </cfRule>
    <cfRule type="containsText" dxfId="466" priority="54" operator="containsText" text="VAC">
      <formula>NOT(ISERROR(SEARCH("VAC",AO7)))</formula>
    </cfRule>
    <cfRule type="containsText" dxfId="465" priority="55" operator="containsText" text="LT">
      <formula>NOT(ISERROR(SEARCH("LT",AO7)))</formula>
    </cfRule>
    <cfRule type="containsText" dxfId="464" priority="56" operator="containsText" text="INC">
      <formula>NOT(ISERROR(SEARCH("INC",AO7)))</formula>
    </cfRule>
    <cfRule type="containsText" dxfId="463" priority="57" operator="containsText" text="LNR">
      <formula>NOT(ISERROR(SEARCH("LNR",AO7)))</formula>
    </cfRule>
    <cfRule type="containsText" dxfId="462" priority="58" operator="containsText" text="INC">
      <formula>NOT(ISERROR(SEARCH("INC",AO7)))</formula>
    </cfRule>
    <cfRule type="containsText" dxfId="461" priority="59" operator="containsText" text="TC">
      <formula>NOT(ISERROR(SEARCH("TC",AO7)))</formula>
    </cfRule>
    <cfRule type="containsText" dxfId="460" priority="60" operator="containsText" text="PNR">
      <formula>NOT(ISERROR(SEARCH("PNR",AO7)))</formula>
    </cfRule>
    <cfRule type="containsText" dxfId="459" priority="61" operator="containsText" text="AUS">
      <formula>NOT(ISERROR(SEARCH("AUS",AO7)))</formula>
    </cfRule>
    <cfRule type="containsText" dxfId="458" priority="62" operator="containsText" text="D">
      <formula>NOT(ISERROR(SEARCH("D",AO7)))</formula>
    </cfRule>
    <cfRule type="containsText" dxfId="457" priority="63" stopIfTrue="1" operator="containsText" text="OK">
      <formula>NOT(ISERROR(SEARCH("OK",AO7)))</formula>
    </cfRule>
    <cfRule type="containsText" dxfId="456" priority="64" operator="containsText" text="D">
      <formula>NOT(ISERROR(SEARCH("D",AO7)))</formula>
    </cfRule>
    <cfRule type="containsBlanks" dxfId="455" priority="65">
      <formula>LEN(TRIM(AO7))=0</formula>
    </cfRule>
    <cfRule type="containsText" dxfId="454" priority="66" operator="containsText" text="OK">
      <formula>NOT(ISERROR(SEARCH("OK",AO7)))</formula>
    </cfRule>
    <cfRule type="containsText" dxfId="453" priority="67" operator="containsText" text="LT">
      <formula>NOT(ISERROR(SEARCH("LT",AO7)))</formula>
    </cfRule>
    <cfRule type="containsText" dxfId="452" priority="68" operator="containsText" text="TC">
      <formula>NOT(ISERROR(SEARCH("TC",AO7)))</formula>
    </cfRule>
    <cfRule type="containsText" dxfId="451" priority="69" operator="containsText" text="REN">
      <formula>NOT(ISERROR(SEARCH("REN",AO7)))</formula>
    </cfRule>
    <cfRule type="containsText" dxfId="450" priority="70" operator="containsText" text="CD">
      <formula>NOT(ISERROR(SEARCH("CD",AO7)))</formula>
    </cfRule>
    <cfRule type="containsText" dxfId="449" priority="71" operator="containsText" text="VAC">
      <formula>NOT(ISERROR(SEARCH("VAC",AO7)))</formula>
    </cfRule>
    <cfRule type="containsText" dxfId="448" priority="72" operator="containsText" text="LNR">
      <formula>NOT(ISERROR(SEARCH("LNR",AO7)))</formula>
    </cfRule>
    <cfRule type="containsText" dxfId="447" priority="73" operator="containsText" text="S">
      <formula>NOT(ISERROR(SEARCH("S",AO7)))</formula>
    </cfRule>
    <cfRule type="containsText" dxfId="446" priority="74" operator="containsText" text="INC">
      <formula>NOT(ISERROR(SEARCH("INC",AO7)))</formula>
    </cfRule>
    <cfRule type="containsText" dxfId="445" priority="75" operator="containsText" text="D">
      <formula>NOT(ISERROR(SEARCH("D",AO7)))</formula>
    </cfRule>
    <cfRule type="containsText" dxfId="444" priority="76" operator="containsText" text="PNR">
      <formula>NOT(ISERROR(SEARCH("PNR",AO7)))</formula>
    </cfRule>
    <cfRule type="containsText" dxfId="443" priority="77" operator="containsText" text="AUS">
      <formula>NOT(ISERROR(SEARCH("AUS",AO7)))</formula>
    </cfRule>
    <cfRule type="duplicateValues" dxfId="442" priority="78"/>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51" id="{5EFFAB05-AB6D-4653-A23C-BE26230F5443}">
            <xm:f>MATCH(J$8,'C:\Users\jcrodriguez\OneDrive - Serviasesorias SAS\Documentos\JUAN CARLOS OPERACIONES 2025\ALCALDIA DE BOGOTA\7. JULIO\[PLANILLA CONTROL PERSONAL JULIO ALCALDIA SUPERVISORES.xlsx]FECHAS'!#REF!,0)&gt;0</xm:f>
            <x14:dxf>
              <font>
                <b/>
                <i val="0"/>
                <color theme="0"/>
              </font>
              <fill>
                <patternFill>
                  <bgColor rgb="FFFF0000"/>
                </patternFill>
              </fill>
            </x14:dxf>
          </x14:cfRule>
          <x14:cfRule type="expression" priority="197" id="{FAEB9D87-1EF6-49E2-85F7-7047DF27C9FA}">
            <xm:f>MATCH(J$8,'C:\Users\jcrodriguez\OneDrive - Serviasesorias SAS\Documentos\DIAN\[NOMINA COORDINADORES ENERO 2026.xlsm]FECHA'!#REF!,0)&gt;0</xm:f>
            <x14:dxf>
              <font>
                <b/>
                <i val="0"/>
                <color theme="0"/>
              </font>
              <fill>
                <patternFill>
                  <bgColor rgb="FFFF0000"/>
                </patternFill>
              </fill>
            </x14:dxf>
          </x14:cfRule>
          <xm:sqref>J7:AM8</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AO32"/>
  <sheetViews>
    <sheetView topLeftCell="V4" zoomScale="60" zoomScaleNormal="60" workbookViewId="0">
      <selection activeCell="AO13" sqref="AO13"/>
    </sheetView>
  </sheetViews>
  <sheetFormatPr baseColWidth="10" defaultColWidth="11.42578125" defaultRowHeight="255" customHeight="1"/>
  <cols>
    <col min="1" max="1" width="24.140625" style="90" customWidth="1"/>
    <col min="2" max="2" width="7" style="90" bestFit="1" customWidth="1"/>
    <col min="3" max="3" width="16.42578125" style="136" customWidth="1"/>
    <col min="4" max="4" width="49.85546875" style="90" customWidth="1"/>
    <col min="5" max="5" width="39.5703125" style="90" customWidth="1"/>
    <col min="6" max="6" width="54.85546875" style="90" customWidth="1"/>
    <col min="7" max="7" width="75.5703125" style="90" customWidth="1"/>
    <col min="8" max="8" width="23.28515625" style="90" customWidth="1"/>
    <col min="9" max="9" width="25.140625" style="90" customWidth="1"/>
    <col min="10" max="10" width="8.140625" style="90" customWidth="1"/>
    <col min="11" max="18" width="6.7109375" style="90" customWidth="1"/>
    <col min="19" max="19" width="6.7109375" style="137" customWidth="1"/>
    <col min="20" max="20" width="6.42578125" style="137" customWidth="1"/>
    <col min="21" max="21" width="6.5703125" style="137" customWidth="1"/>
    <col min="22" max="25" width="6.7109375" style="137" customWidth="1"/>
    <col min="26" max="28" width="6.7109375" style="90" customWidth="1"/>
    <col min="29" max="32" width="6.7109375" style="137" customWidth="1"/>
    <col min="33" max="39" width="6.7109375" style="90" customWidth="1"/>
    <col min="40" max="40" width="18.85546875" style="90" customWidth="1"/>
    <col min="41" max="41" width="19.42578125" style="90" customWidth="1"/>
    <col min="42" max="16384" width="11.42578125" style="90"/>
  </cols>
  <sheetData>
    <row r="1" spans="1:41" ht="73.5" customHeight="1">
      <c r="B1" s="87"/>
      <c r="C1" s="88"/>
      <c r="D1" s="89"/>
      <c r="E1" s="89"/>
      <c r="F1" s="89"/>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1:41" ht="89.1" customHeight="1">
      <c r="B2" s="284" t="s">
        <v>791</v>
      </c>
      <c r="C2" s="285"/>
      <c r="D2" s="91"/>
      <c r="E2" s="92"/>
      <c r="F2" s="92"/>
      <c r="G2" s="93"/>
      <c r="H2" s="93"/>
      <c r="I2" s="93"/>
      <c r="P2" s="87"/>
      <c r="Q2" s="87"/>
      <c r="R2" s="87"/>
      <c r="S2" s="87"/>
      <c r="T2" s="87"/>
      <c r="U2" s="87"/>
      <c r="V2" s="87"/>
      <c r="W2" s="87"/>
      <c r="X2" s="87"/>
      <c r="Y2" s="87"/>
      <c r="Z2" s="87"/>
      <c r="AA2" s="87"/>
      <c r="AB2" s="87"/>
      <c r="AC2" s="87"/>
      <c r="AD2" s="87"/>
      <c r="AE2" s="87"/>
      <c r="AF2" s="87"/>
      <c r="AG2" s="87"/>
      <c r="AH2" s="87"/>
      <c r="AI2" s="87"/>
      <c r="AJ2" s="87"/>
      <c r="AK2" s="87"/>
    </row>
    <row r="3" spans="1:41" ht="57.6" customHeight="1">
      <c r="B3" s="87"/>
      <c r="C3" s="93"/>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row>
    <row r="4" spans="1:41" ht="42.95" customHeight="1">
      <c r="B4" s="293" t="s">
        <v>548</v>
      </c>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row>
    <row r="5" spans="1:41" ht="60.95" customHeight="1">
      <c r="B5" s="293"/>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row>
    <row r="6" spans="1:41" ht="44.1" customHeight="1">
      <c r="B6" s="87"/>
      <c r="C6" s="93"/>
      <c r="D6" s="87"/>
      <c r="E6" s="87"/>
      <c r="F6" s="87"/>
      <c r="G6" s="87"/>
      <c r="H6" s="87"/>
      <c r="I6" s="87"/>
      <c r="J6" s="94">
        <v>1</v>
      </c>
      <c r="K6" s="94">
        <v>2</v>
      </c>
      <c r="L6" s="94">
        <v>3</v>
      </c>
      <c r="M6" s="94">
        <v>4</v>
      </c>
      <c r="N6" s="94">
        <v>5</v>
      </c>
      <c r="O6" s="94">
        <v>6</v>
      </c>
      <c r="P6" s="94">
        <v>7</v>
      </c>
      <c r="Q6" s="94">
        <v>8</v>
      </c>
      <c r="R6" s="94">
        <v>9</v>
      </c>
      <c r="S6" s="94">
        <v>10</v>
      </c>
      <c r="T6" s="94">
        <v>11</v>
      </c>
      <c r="U6" s="94">
        <v>12</v>
      </c>
      <c r="V6" s="94">
        <v>13</v>
      </c>
      <c r="W6" s="94">
        <v>14</v>
      </c>
      <c r="X6" s="94">
        <v>15</v>
      </c>
      <c r="Y6" s="94">
        <v>16</v>
      </c>
      <c r="Z6" s="94">
        <v>17</v>
      </c>
      <c r="AA6" s="94">
        <v>18</v>
      </c>
      <c r="AB6" s="94">
        <v>19</v>
      </c>
      <c r="AC6" s="94">
        <v>20</v>
      </c>
      <c r="AD6" s="94">
        <v>21</v>
      </c>
      <c r="AE6" s="94">
        <v>22</v>
      </c>
      <c r="AF6" s="94">
        <v>23</v>
      </c>
      <c r="AG6" s="94">
        <v>24</v>
      </c>
      <c r="AH6" s="94">
        <v>25</v>
      </c>
      <c r="AI6" s="94">
        <v>26</v>
      </c>
      <c r="AJ6" s="94">
        <v>27</v>
      </c>
      <c r="AK6" s="94">
        <v>28</v>
      </c>
      <c r="AL6" s="94">
        <v>29</v>
      </c>
      <c r="AM6" s="94">
        <v>30</v>
      </c>
    </row>
    <row r="7" spans="1:41" ht="40.5" customHeight="1">
      <c r="B7" s="286" t="s">
        <v>1</v>
      </c>
      <c r="C7" s="286" t="s">
        <v>549</v>
      </c>
      <c r="D7" s="287" t="s">
        <v>550</v>
      </c>
      <c r="E7" s="286" t="s">
        <v>551</v>
      </c>
      <c r="F7" s="289" t="s">
        <v>552</v>
      </c>
      <c r="G7" s="291" t="s">
        <v>119</v>
      </c>
      <c r="H7" s="291" t="s">
        <v>553</v>
      </c>
      <c r="I7" s="282" t="s">
        <v>554</v>
      </c>
      <c r="J7" s="95" t="s">
        <v>798</v>
      </c>
      <c r="K7" s="95" t="s">
        <v>799</v>
      </c>
      <c r="L7" s="95" t="s">
        <v>800</v>
      </c>
      <c r="M7" s="95" t="s">
        <v>801</v>
      </c>
      <c r="N7" s="95" t="s">
        <v>802</v>
      </c>
      <c r="O7" s="95" t="s">
        <v>803</v>
      </c>
      <c r="P7" s="95" t="s">
        <v>804</v>
      </c>
      <c r="Q7" s="95" t="s">
        <v>798</v>
      </c>
      <c r="R7" s="95" t="s">
        <v>799</v>
      </c>
      <c r="S7" s="95" t="s">
        <v>800</v>
      </c>
      <c r="T7" s="95" t="s">
        <v>801</v>
      </c>
      <c r="U7" s="95" t="s">
        <v>802</v>
      </c>
      <c r="V7" s="95" t="s">
        <v>803</v>
      </c>
      <c r="W7" s="95" t="s">
        <v>804</v>
      </c>
      <c r="X7" s="95" t="s">
        <v>798</v>
      </c>
      <c r="Y7" s="95" t="s">
        <v>799</v>
      </c>
      <c r="Z7" s="95" t="s">
        <v>800</v>
      </c>
      <c r="AA7" s="95" t="s">
        <v>801</v>
      </c>
      <c r="AB7" s="95" t="s">
        <v>802</v>
      </c>
      <c r="AC7" s="95" t="s">
        <v>803</v>
      </c>
      <c r="AD7" s="95" t="s">
        <v>804</v>
      </c>
      <c r="AE7" s="95" t="s">
        <v>798</v>
      </c>
      <c r="AF7" s="95" t="s">
        <v>799</v>
      </c>
      <c r="AG7" s="95" t="s">
        <v>800</v>
      </c>
      <c r="AH7" s="95" t="s">
        <v>801</v>
      </c>
      <c r="AI7" s="95" t="s">
        <v>802</v>
      </c>
      <c r="AJ7" s="95" t="s">
        <v>803</v>
      </c>
      <c r="AK7" s="95" t="s">
        <v>804</v>
      </c>
      <c r="AL7" s="95" t="s">
        <v>802</v>
      </c>
      <c r="AM7" s="95" t="s">
        <v>803</v>
      </c>
      <c r="AO7" s="99" t="s">
        <v>558</v>
      </c>
    </row>
    <row r="8" spans="1:41" ht="40.5" customHeight="1">
      <c r="B8" s="287"/>
      <c r="C8" s="287"/>
      <c r="D8" s="288"/>
      <c r="E8" s="287"/>
      <c r="F8" s="290"/>
      <c r="G8" s="292"/>
      <c r="H8" s="292"/>
      <c r="I8" s="283"/>
      <c r="J8" s="108">
        <v>46204</v>
      </c>
      <c r="K8" s="109">
        <v>46205</v>
      </c>
      <c r="L8" s="109">
        <v>46206</v>
      </c>
      <c r="M8" s="109">
        <v>46207</v>
      </c>
      <c r="N8" s="109">
        <v>46208</v>
      </c>
      <c r="O8" s="109">
        <v>46209</v>
      </c>
      <c r="P8" s="109">
        <v>46210</v>
      </c>
      <c r="Q8" s="109">
        <v>46211</v>
      </c>
      <c r="R8" s="109">
        <v>46212</v>
      </c>
      <c r="S8" s="109">
        <v>46213</v>
      </c>
      <c r="T8" s="109">
        <v>46214</v>
      </c>
      <c r="U8" s="109">
        <v>46215</v>
      </c>
      <c r="V8" s="109">
        <v>46216</v>
      </c>
      <c r="W8" s="109">
        <v>46217</v>
      </c>
      <c r="X8" s="109">
        <v>46218</v>
      </c>
      <c r="Y8" s="109">
        <v>46219</v>
      </c>
      <c r="Z8" s="109">
        <v>46220</v>
      </c>
      <c r="AA8" s="109">
        <v>46221</v>
      </c>
      <c r="AB8" s="109">
        <v>46222</v>
      </c>
      <c r="AC8" s="109">
        <v>46223</v>
      </c>
      <c r="AD8" s="109">
        <v>46224</v>
      </c>
      <c r="AE8" s="109">
        <v>46225</v>
      </c>
      <c r="AF8" s="109">
        <v>46226</v>
      </c>
      <c r="AG8" s="109">
        <v>46227</v>
      </c>
      <c r="AH8" s="109">
        <v>46228</v>
      </c>
      <c r="AI8" s="109">
        <v>46229</v>
      </c>
      <c r="AJ8" s="109">
        <v>46230</v>
      </c>
      <c r="AK8" s="109">
        <v>46231</v>
      </c>
      <c r="AL8" s="109">
        <v>29</v>
      </c>
      <c r="AM8" s="109">
        <v>30</v>
      </c>
      <c r="AO8" s="110" t="s">
        <v>572</v>
      </c>
    </row>
    <row r="9" spans="1:41" ht="48.95" customHeight="1">
      <c r="B9" s="112">
        <v>26</v>
      </c>
      <c r="C9" s="113">
        <v>79633497</v>
      </c>
      <c r="D9" s="114" t="s">
        <v>849</v>
      </c>
      <c r="E9" s="134" t="s">
        <v>792</v>
      </c>
      <c r="F9" s="78" t="s">
        <v>507</v>
      </c>
      <c r="G9" s="260" t="s">
        <v>476</v>
      </c>
      <c r="H9" s="114" t="s">
        <v>850</v>
      </c>
      <c r="I9" s="114" t="s">
        <v>602</v>
      </c>
      <c r="J9" s="97" t="s">
        <v>567</v>
      </c>
      <c r="K9" s="97" t="s">
        <v>567</v>
      </c>
      <c r="L9" s="97" t="s">
        <v>567</v>
      </c>
      <c r="M9" s="97" t="s">
        <v>567</v>
      </c>
      <c r="N9" s="97" t="s">
        <v>557</v>
      </c>
      <c r="O9" s="97" t="s">
        <v>567</v>
      </c>
      <c r="P9" s="97" t="s">
        <v>567</v>
      </c>
      <c r="Q9" s="97" t="s">
        <v>558</v>
      </c>
      <c r="R9" s="97" t="s">
        <v>558</v>
      </c>
      <c r="S9" s="97" t="s">
        <v>567</v>
      </c>
      <c r="T9" s="97" t="s">
        <v>567</v>
      </c>
      <c r="U9" s="97" t="s">
        <v>557</v>
      </c>
      <c r="V9" s="97" t="s">
        <v>557</v>
      </c>
      <c r="W9" s="97" t="s">
        <v>567</v>
      </c>
      <c r="X9" s="97" t="s">
        <v>567</v>
      </c>
      <c r="Y9" s="97" t="s">
        <v>567</v>
      </c>
      <c r="Z9" s="97" t="s">
        <v>567</v>
      </c>
      <c r="AA9" s="97" t="s">
        <v>567</v>
      </c>
      <c r="AB9" s="97" t="s">
        <v>557</v>
      </c>
      <c r="AC9" s="97" t="s">
        <v>557</v>
      </c>
      <c r="AD9" s="97" t="s">
        <v>567</v>
      </c>
      <c r="AE9" s="97" t="s">
        <v>567</v>
      </c>
      <c r="AF9" s="97" t="s">
        <v>567</v>
      </c>
      <c r="AG9" s="97" t="s">
        <v>567</v>
      </c>
      <c r="AH9" s="97" t="s">
        <v>567</v>
      </c>
      <c r="AI9" s="97" t="s">
        <v>567</v>
      </c>
      <c r="AJ9" s="97" t="s">
        <v>557</v>
      </c>
      <c r="AK9" s="97" t="s">
        <v>567</v>
      </c>
      <c r="AL9" s="97" t="s">
        <v>567</v>
      </c>
      <c r="AM9" s="97" t="s">
        <v>567</v>
      </c>
      <c r="AO9" s="116">
        <f t="shared" ref="AO9:AO10" si="0">COUNTIF($J9:$AM9,AO$7)</f>
        <v>2</v>
      </c>
    </row>
    <row r="10" spans="1:41" ht="48.95" customHeight="1">
      <c r="B10" s="112">
        <v>35</v>
      </c>
      <c r="C10" s="113">
        <v>1073668951</v>
      </c>
      <c r="D10" s="114" t="s">
        <v>867</v>
      </c>
      <c r="E10" s="134" t="s">
        <v>792</v>
      </c>
      <c r="F10" s="78" t="s">
        <v>506</v>
      </c>
      <c r="G10" s="260" t="s">
        <v>161</v>
      </c>
      <c r="H10" s="114" t="s">
        <v>868</v>
      </c>
      <c r="I10" s="114" t="s">
        <v>597</v>
      </c>
      <c r="J10" s="97" t="s">
        <v>567</v>
      </c>
      <c r="K10" s="97" t="s">
        <v>567</v>
      </c>
      <c r="L10" s="97" t="s">
        <v>567</v>
      </c>
      <c r="M10" s="97" t="s">
        <v>567</v>
      </c>
      <c r="N10" s="97" t="s">
        <v>557</v>
      </c>
      <c r="O10" s="97" t="s">
        <v>567</v>
      </c>
      <c r="P10" s="97" t="s">
        <v>567</v>
      </c>
      <c r="Q10" s="97" t="s">
        <v>558</v>
      </c>
      <c r="R10" s="97" t="s">
        <v>558</v>
      </c>
      <c r="S10" s="97" t="s">
        <v>567</v>
      </c>
      <c r="T10" s="97" t="s">
        <v>567</v>
      </c>
      <c r="U10" s="97" t="s">
        <v>557</v>
      </c>
      <c r="V10" s="97" t="s">
        <v>557</v>
      </c>
      <c r="W10" s="97" t="s">
        <v>567</v>
      </c>
      <c r="X10" s="97" t="s">
        <v>567</v>
      </c>
      <c r="Y10" s="97" t="s">
        <v>567</v>
      </c>
      <c r="Z10" s="97" t="s">
        <v>567</v>
      </c>
      <c r="AA10" s="97" t="s">
        <v>567</v>
      </c>
      <c r="AB10" s="97" t="s">
        <v>557</v>
      </c>
      <c r="AC10" s="97" t="s">
        <v>557</v>
      </c>
      <c r="AD10" s="97" t="s">
        <v>567</v>
      </c>
      <c r="AE10" s="97" t="s">
        <v>567</v>
      </c>
      <c r="AF10" s="97" t="s">
        <v>567</v>
      </c>
      <c r="AG10" s="97" t="s">
        <v>567</v>
      </c>
      <c r="AH10" s="97" t="s">
        <v>567</v>
      </c>
      <c r="AI10" s="97" t="s">
        <v>567</v>
      </c>
      <c r="AJ10" s="97" t="s">
        <v>557</v>
      </c>
      <c r="AK10" s="97" t="s">
        <v>567</v>
      </c>
      <c r="AL10" s="97" t="s">
        <v>567</v>
      </c>
      <c r="AM10" s="97" t="s">
        <v>567</v>
      </c>
      <c r="AO10" s="116">
        <f t="shared" si="0"/>
        <v>2</v>
      </c>
    </row>
    <row r="11" spans="1:41" ht="48.95" customHeight="1">
      <c r="B11" s="112">
        <v>37</v>
      </c>
      <c r="C11" s="113">
        <v>1127668946</v>
      </c>
      <c r="D11" s="114" t="s">
        <v>730</v>
      </c>
      <c r="E11" s="134" t="s">
        <v>792</v>
      </c>
      <c r="F11" s="78" t="s">
        <v>506</v>
      </c>
      <c r="G11" s="260" t="s">
        <v>161</v>
      </c>
      <c r="H11" s="114" t="s">
        <v>601</v>
      </c>
      <c r="I11" s="114" t="s">
        <v>600</v>
      </c>
      <c r="J11" s="97" t="s">
        <v>567</v>
      </c>
      <c r="K11" s="97" t="s">
        <v>567</v>
      </c>
      <c r="L11" s="97" t="s">
        <v>567</v>
      </c>
      <c r="M11" s="97" t="s">
        <v>567</v>
      </c>
      <c r="N11" s="97" t="s">
        <v>557</v>
      </c>
      <c r="O11" s="97" t="s">
        <v>567</v>
      </c>
      <c r="P11" s="97" t="s">
        <v>567</v>
      </c>
      <c r="Q11" s="97" t="s">
        <v>567</v>
      </c>
      <c r="R11" s="97" t="s">
        <v>567</v>
      </c>
      <c r="S11" s="97" t="s">
        <v>567</v>
      </c>
      <c r="T11" s="97" t="s">
        <v>567</v>
      </c>
      <c r="U11" s="97" t="s">
        <v>557</v>
      </c>
      <c r="V11" s="97" t="s">
        <v>557</v>
      </c>
      <c r="W11" s="97" t="s">
        <v>567</v>
      </c>
      <c r="X11" s="97" t="s">
        <v>567</v>
      </c>
      <c r="Y11" s="97" t="s">
        <v>567</v>
      </c>
      <c r="Z11" s="97" t="s">
        <v>567</v>
      </c>
      <c r="AA11" s="97" t="s">
        <v>567</v>
      </c>
      <c r="AB11" s="97" t="s">
        <v>557</v>
      </c>
      <c r="AC11" s="97" t="s">
        <v>557</v>
      </c>
      <c r="AD11" s="97" t="s">
        <v>567</v>
      </c>
      <c r="AE11" s="97" t="s">
        <v>567</v>
      </c>
      <c r="AF11" s="97" t="s">
        <v>567</v>
      </c>
      <c r="AG11" s="97" t="s">
        <v>567</v>
      </c>
      <c r="AH11" s="97" t="s">
        <v>567</v>
      </c>
      <c r="AI11" s="97" t="s">
        <v>567</v>
      </c>
      <c r="AJ11" s="97" t="s">
        <v>557</v>
      </c>
      <c r="AK11" s="97" t="s">
        <v>567</v>
      </c>
      <c r="AL11" s="97" t="s">
        <v>558</v>
      </c>
      <c r="AM11" s="97" t="s">
        <v>558</v>
      </c>
      <c r="AO11" s="116">
        <f t="shared" ref="AO11:AO15" si="1">COUNTIF($J11:$AM11,AO$7)</f>
        <v>2</v>
      </c>
    </row>
    <row r="12" spans="1:41" ht="48.95" customHeight="1">
      <c r="A12" s="216"/>
      <c r="B12" s="112">
        <v>39</v>
      </c>
      <c r="C12" s="113">
        <v>39629193</v>
      </c>
      <c r="D12" s="114" t="s">
        <v>873</v>
      </c>
      <c r="E12" s="134" t="s">
        <v>792</v>
      </c>
      <c r="F12" s="78" t="s">
        <v>506</v>
      </c>
      <c r="G12" s="260" t="s">
        <v>161</v>
      </c>
      <c r="H12" s="114" t="s">
        <v>874</v>
      </c>
      <c r="I12" s="114" t="s">
        <v>875</v>
      </c>
      <c r="J12" s="97" t="s">
        <v>567</v>
      </c>
      <c r="K12" s="97" t="s">
        <v>567</v>
      </c>
      <c r="L12" s="97" t="s">
        <v>567</v>
      </c>
      <c r="M12" s="97" t="s">
        <v>567</v>
      </c>
      <c r="N12" s="97" t="s">
        <v>557</v>
      </c>
      <c r="O12" s="97" t="s">
        <v>567</v>
      </c>
      <c r="P12" s="97" t="s">
        <v>567</v>
      </c>
      <c r="Q12" s="97" t="s">
        <v>558</v>
      </c>
      <c r="R12" s="97" t="s">
        <v>558</v>
      </c>
      <c r="S12" s="97" t="s">
        <v>558</v>
      </c>
      <c r="T12" s="97" t="s">
        <v>567</v>
      </c>
      <c r="U12" s="97" t="s">
        <v>557</v>
      </c>
      <c r="V12" s="97" t="s">
        <v>557</v>
      </c>
      <c r="W12" s="97" t="s">
        <v>567</v>
      </c>
      <c r="X12" s="97" t="s">
        <v>567</v>
      </c>
      <c r="Y12" s="97" t="s">
        <v>567</v>
      </c>
      <c r="Z12" s="97" t="s">
        <v>567</v>
      </c>
      <c r="AA12" s="97" t="s">
        <v>567</v>
      </c>
      <c r="AB12" s="97" t="s">
        <v>557</v>
      </c>
      <c r="AC12" s="97" t="s">
        <v>557</v>
      </c>
      <c r="AD12" s="97" t="s">
        <v>567</v>
      </c>
      <c r="AE12" s="97" t="s">
        <v>567</v>
      </c>
      <c r="AF12" s="97" t="s">
        <v>567</v>
      </c>
      <c r="AG12" s="97" t="s">
        <v>567</v>
      </c>
      <c r="AH12" s="97" t="s">
        <v>567</v>
      </c>
      <c r="AI12" s="97" t="s">
        <v>567</v>
      </c>
      <c r="AJ12" s="97" t="s">
        <v>557</v>
      </c>
      <c r="AK12" s="97" t="s">
        <v>567</v>
      </c>
      <c r="AL12" s="97" t="s">
        <v>567</v>
      </c>
      <c r="AM12" s="97" t="s">
        <v>567</v>
      </c>
      <c r="AO12" s="116">
        <f t="shared" si="1"/>
        <v>3</v>
      </c>
    </row>
    <row r="13" spans="1:41" ht="48.95" customHeight="1">
      <c r="B13" s="112">
        <v>41</v>
      </c>
      <c r="C13" s="113">
        <v>52064995</v>
      </c>
      <c r="D13" s="114" t="s">
        <v>876</v>
      </c>
      <c r="E13" s="134" t="s">
        <v>792</v>
      </c>
      <c r="F13" s="78" t="s">
        <v>506</v>
      </c>
      <c r="G13" s="260" t="s">
        <v>476</v>
      </c>
      <c r="H13" s="114" t="s">
        <v>877</v>
      </c>
      <c r="I13" s="114" t="s">
        <v>602</v>
      </c>
      <c r="J13" s="97" t="s">
        <v>567</v>
      </c>
      <c r="K13" s="97" t="s">
        <v>558</v>
      </c>
      <c r="L13" s="97" t="s">
        <v>558</v>
      </c>
      <c r="M13" s="97" t="s">
        <v>558</v>
      </c>
      <c r="N13" s="97" t="s">
        <v>557</v>
      </c>
      <c r="O13" s="97" t="s">
        <v>567</v>
      </c>
      <c r="P13" s="97" t="s">
        <v>567</v>
      </c>
      <c r="Q13" s="97" t="s">
        <v>567</v>
      </c>
      <c r="R13" s="97" t="s">
        <v>567</v>
      </c>
      <c r="S13" s="97" t="s">
        <v>567</v>
      </c>
      <c r="T13" s="97" t="s">
        <v>567</v>
      </c>
      <c r="U13" s="97" t="s">
        <v>557</v>
      </c>
      <c r="V13" s="97" t="s">
        <v>557</v>
      </c>
      <c r="W13" s="97" t="s">
        <v>567</v>
      </c>
      <c r="X13" s="97" t="s">
        <v>567</v>
      </c>
      <c r="Y13" s="97" t="s">
        <v>567</v>
      </c>
      <c r="Z13" s="97" t="s">
        <v>567</v>
      </c>
      <c r="AA13" s="97" t="s">
        <v>567</v>
      </c>
      <c r="AB13" s="97" t="s">
        <v>557</v>
      </c>
      <c r="AC13" s="97" t="s">
        <v>557</v>
      </c>
      <c r="AD13" s="97" t="s">
        <v>567</v>
      </c>
      <c r="AE13" s="97" t="s">
        <v>567</v>
      </c>
      <c r="AF13" s="97" t="s">
        <v>567</v>
      </c>
      <c r="AG13" s="97" t="s">
        <v>567</v>
      </c>
      <c r="AH13" s="97" t="s">
        <v>567</v>
      </c>
      <c r="AI13" s="97" t="s">
        <v>567</v>
      </c>
      <c r="AJ13" s="97" t="s">
        <v>557</v>
      </c>
      <c r="AK13" s="97" t="s">
        <v>567</v>
      </c>
      <c r="AL13" s="97" t="s">
        <v>567</v>
      </c>
      <c r="AM13" s="97" t="s">
        <v>567</v>
      </c>
      <c r="AO13" s="116">
        <f t="shared" si="1"/>
        <v>3</v>
      </c>
    </row>
    <row r="14" spans="1:41" ht="48.95" customHeight="1">
      <c r="B14" s="112">
        <v>49</v>
      </c>
      <c r="C14" s="113">
        <v>1033773795</v>
      </c>
      <c r="D14" s="114" t="s">
        <v>731</v>
      </c>
      <c r="E14" s="134" t="s">
        <v>792</v>
      </c>
      <c r="F14" s="78" t="s">
        <v>506</v>
      </c>
      <c r="G14" s="260" t="s">
        <v>161</v>
      </c>
      <c r="H14" s="114" t="s">
        <v>732</v>
      </c>
      <c r="I14" s="114" t="s">
        <v>724</v>
      </c>
      <c r="J14" s="97" t="s">
        <v>567</v>
      </c>
      <c r="K14" s="97" t="s">
        <v>567</v>
      </c>
      <c r="L14" s="97" t="s">
        <v>567</v>
      </c>
      <c r="M14" s="97" t="s">
        <v>567</v>
      </c>
      <c r="N14" s="97" t="s">
        <v>557</v>
      </c>
      <c r="O14" s="97" t="s">
        <v>567</v>
      </c>
      <c r="P14" s="97" t="s">
        <v>567</v>
      </c>
      <c r="Q14" s="97" t="s">
        <v>567</v>
      </c>
      <c r="R14" s="97" t="s">
        <v>567</v>
      </c>
      <c r="S14" s="97" t="s">
        <v>567</v>
      </c>
      <c r="T14" s="97" t="s">
        <v>567</v>
      </c>
      <c r="U14" s="97" t="s">
        <v>557</v>
      </c>
      <c r="V14" s="97" t="s">
        <v>557</v>
      </c>
      <c r="W14" s="97" t="s">
        <v>567</v>
      </c>
      <c r="X14" s="97" t="s">
        <v>567</v>
      </c>
      <c r="Y14" s="97" t="s">
        <v>567</v>
      </c>
      <c r="Z14" s="97" t="s">
        <v>558</v>
      </c>
      <c r="AA14" s="97" t="s">
        <v>558</v>
      </c>
      <c r="AB14" s="97" t="s">
        <v>557</v>
      </c>
      <c r="AC14" s="97" t="s">
        <v>557</v>
      </c>
      <c r="AD14" s="97" t="s">
        <v>562</v>
      </c>
      <c r="AE14" s="97" t="s">
        <v>567</v>
      </c>
      <c r="AF14" s="97" t="s">
        <v>567</v>
      </c>
      <c r="AG14" s="97" t="s">
        <v>567</v>
      </c>
      <c r="AH14" s="97" t="s">
        <v>567</v>
      </c>
      <c r="AI14" s="97" t="s">
        <v>567</v>
      </c>
      <c r="AJ14" s="97" t="s">
        <v>557</v>
      </c>
      <c r="AK14" s="97" t="s">
        <v>567</v>
      </c>
      <c r="AL14" s="97" t="s">
        <v>567</v>
      </c>
      <c r="AM14" s="97" t="s">
        <v>567</v>
      </c>
      <c r="AO14" s="116">
        <f t="shared" si="1"/>
        <v>2</v>
      </c>
    </row>
    <row r="15" spans="1:41" ht="48.95" customHeight="1">
      <c r="B15" s="112">
        <v>54</v>
      </c>
      <c r="C15" s="113">
        <v>80802120</v>
      </c>
      <c r="D15" s="114" t="s">
        <v>716</v>
      </c>
      <c r="E15" s="134" t="s">
        <v>792</v>
      </c>
      <c r="F15" s="78" t="s">
        <v>507</v>
      </c>
      <c r="G15" s="260" t="s">
        <v>161</v>
      </c>
      <c r="H15" s="114" t="s">
        <v>717</v>
      </c>
      <c r="I15" s="114" t="s">
        <v>718</v>
      </c>
      <c r="J15" s="97" t="s">
        <v>567</v>
      </c>
      <c r="K15" s="97" t="s">
        <v>567</v>
      </c>
      <c r="L15" s="97" t="s">
        <v>567</v>
      </c>
      <c r="M15" s="97" t="s">
        <v>567</v>
      </c>
      <c r="N15" s="97" t="s">
        <v>557</v>
      </c>
      <c r="O15" s="97" t="s">
        <v>567</v>
      </c>
      <c r="P15" s="97" t="s">
        <v>558</v>
      </c>
      <c r="Q15" s="97" t="s">
        <v>558</v>
      </c>
      <c r="R15" s="97" t="s">
        <v>567</v>
      </c>
      <c r="S15" s="97" t="s">
        <v>567</v>
      </c>
      <c r="T15" s="97" t="s">
        <v>567</v>
      </c>
      <c r="U15" s="97" t="s">
        <v>557</v>
      </c>
      <c r="V15" s="97" t="s">
        <v>557</v>
      </c>
      <c r="W15" s="97" t="s">
        <v>567</v>
      </c>
      <c r="X15" s="97" t="s">
        <v>567</v>
      </c>
      <c r="Y15" s="97" t="s">
        <v>567</v>
      </c>
      <c r="Z15" s="97" t="s">
        <v>567</v>
      </c>
      <c r="AA15" s="97" t="s">
        <v>567</v>
      </c>
      <c r="AB15" s="97" t="s">
        <v>557</v>
      </c>
      <c r="AC15" s="97" t="s">
        <v>557</v>
      </c>
      <c r="AD15" s="97" t="s">
        <v>567</v>
      </c>
      <c r="AE15" s="97" t="s">
        <v>567</v>
      </c>
      <c r="AF15" s="97" t="s">
        <v>567</v>
      </c>
      <c r="AG15" s="97" t="s">
        <v>567</v>
      </c>
      <c r="AH15" s="97" t="s">
        <v>567</v>
      </c>
      <c r="AI15" s="97" t="s">
        <v>567</v>
      </c>
      <c r="AJ15" s="97" t="s">
        <v>557</v>
      </c>
      <c r="AK15" s="97" t="s">
        <v>567</v>
      </c>
      <c r="AL15" s="97" t="s">
        <v>567</v>
      </c>
      <c r="AM15" s="97" t="s">
        <v>567</v>
      </c>
      <c r="AO15" s="116">
        <f t="shared" si="1"/>
        <v>2</v>
      </c>
    </row>
    <row r="16" spans="1:41" ht="48.95" customHeight="1">
      <c r="B16" s="112">
        <v>68</v>
      </c>
      <c r="C16" s="113">
        <v>1126122552</v>
      </c>
      <c r="D16" s="114" t="s">
        <v>921</v>
      </c>
      <c r="E16" s="134" t="s">
        <v>792</v>
      </c>
      <c r="F16" s="78" t="s">
        <v>507</v>
      </c>
      <c r="G16" s="260" t="s">
        <v>161</v>
      </c>
      <c r="H16" s="114" t="s">
        <v>922</v>
      </c>
      <c r="I16" s="114" t="s">
        <v>597</v>
      </c>
      <c r="J16" s="97" t="s">
        <v>567</v>
      </c>
      <c r="K16" s="97" t="s">
        <v>567</v>
      </c>
      <c r="L16" s="97" t="s">
        <v>567</v>
      </c>
      <c r="M16" s="97" t="s">
        <v>567</v>
      </c>
      <c r="N16" s="97" t="s">
        <v>557</v>
      </c>
      <c r="O16" s="97" t="s">
        <v>567</v>
      </c>
      <c r="P16" s="97" t="s">
        <v>567</v>
      </c>
      <c r="Q16" s="97" t="s">
        <v>567</v>
      </c>
      <c r="R16" s="97" t="s">
        <v>567</v>
      </c>
      <c r="S16" s="97" t="s">
        <v>567</v>
      </c>
      <c r="T16" s="97" t="s">
        <v>567</v>
      </c>
      <c r="U16" s="97" t="s">
        <v>557</v>
      </c>
      <c r="V16" s="97" t="s">
        <v>557</v>
      </c>
      <c r="W16" s="97" t="s">
        <v>567</v>
      </c>
      <c r="X16" s="97" t="s">
        <v>567</v>
      </c>
      <c r="Y16" s="97" t="s">
        <v>567</v>
      </c>
      <c r="Z16" s="97" t="s">
        <v>567</v>
      </c>
      <c r="AA16" s="97" t="s">
        <v>567</v>
      </c>
      <c r="AB16" s="97" t="s">
        <v>557</v>
      </c>
      <c r="AC16" s="97" t="s">
        <v>557</v>
      </c>
      <c r="AD16" s="97" t="s">
        <v>567</v>
      </c>
      <c r="AE16" s="97" t="s">
        <v>567</v>
      </c>
      <c r="AF16" s="97" t="s">
        <v>567</v>
      </c>
      <c r="AG16" s="97" t="s">
        <v>567</v>
      </c>
      <c r="AH16" s="97" t="s">
        <v>558</v>
      </c>
      <c r="AI16" s="97" t="s">
        <v>558</v>
      </c>
      <c r="AJ16" s="97" t="s">
        <v>557</v>
      </c>
      <c r="AK16" s="97" t="s">
        <v>567</v>
      </c>
      <c r="AL16" s="97" t="s">
        <v>567</v>
      </c>
      <c r="AM16" s="97" t="s">
        <v>567</v>
      </c>
      <c r="AO16" s="116">
        <f t="shared" ref="AO16" si="2">COUNTIF($J16:$AM16,AO$7)</f>
        <v>2</v>
      </c>
    </row>
    <row r="17" spans="1:41" ht="48.95" customHeight="1">
      <c r="B17" s="112">
        <v>78</v>
      </c>
      <c r="C17" s="113">
        <v>42778107</v>
      </c>
      <c r="D17" s="114" t="s">
        <v>939</v>
      </c>
      <c r="E17" s="115" t="s">
        <v>793</v>
      </c>
      <c r="F17" s="78" t="s">
        <v>506</v>
      </c>
      <c r="G17" s="77" t="s">
        <v>483</v>
      </c>
      <c r="H17" s="114" t="s">
        <v>940</v>
      </c>
      <c r="I17" s="114" t="s">
        <v>602</v>
      </c>
      <c r="J17" s="97" t="s">
        <v>567</v>
      </c>
      <c r="K17" s="97" t="s">
        <v>567</v>
      </c>
      <c r="L17" s="97" t="s">
        <v>567</v>
      </c>
      <c r="M17" s="97" t="s">
        <v>567</v>
      </c>
      <c r="N17" s="97" t="s">
        <v>557</v>
      </c>
      <c r="O17" s="97" t="s">
        <v>567</v>
      </c>
      <c r="P17" s="97" t="s">
        <v>567</v>
      </c>
      <c r="Q17" s="97" t="s">
        <v>567</v>
      </c>
      <c r="R17" s="97" t="s">
        <v>567</v>
      </c>
      <c r="S17" s="97" t="s">
        <v>567</v>
      </c>
      <c r="T17" s="97" t="s">
        <v>567</v>
      </c>
      <c r="U17" s="97" t="s">
        <v>557</v>
      </c>
      <c r="V17" s="97" t="s">
        <v>557</v>
      </c>
      <c r="W17" s="97" t="s">
        <v>567</v>
      </c>
      <c r="X17" s="97" t="s">
        <v>567</v>
      </c>
      <c r="Y17" s="97" t="s">
        <v>567</v>
      </c>
      <c r="Z17" s="97" t="s">
        <v>567</v>
      </c>
      <c r="AA17" s="97" t="s">
        <v>567</v>
      </c>
      <c r="AB17" s="97" t="s">
        <v>557</v>
      </c>
      <c r="AC17" s="97" t="s">
        <v>557</v>
      </c>
      <c r="AD17" s="97" t="s">
        <v>558</v>
      </c>
      <c r="AE17" s="97" t="s">
        <v>558</v>
      </c>
      <c r="AF17" s="97" t="s">
        <v>567</v>
      </c>
      <c r="AG17" s="97" t="s">
        <v>567</v>
      </c>
      <c r="AH17" s="97" t="s">
        <v>567</v>
      </c>
      <c r="AI17" s="97" t="s">
        <v>557</v>
      </c>
      <c r="AJ17" s="97" t="s">
        <v>567</v>
      </c>
      <c r="AK17" s="97" t="s">
        <v>567</v>
      </c>
      <c r="AL17" s="97" t="s">
        <v>567</v>
      </c>
      <c r="AM17" s="97" t="s">
        <v>567</v>
      </c>
      <c r="AO17" s="116">
        <f t="shared" ref="AO17:AO18" si="3">COUNTIF($J17:$AM17,AO$7)</f>
        <v>2</v>
      </c>
    </row>
    <row r="18" spans="1:41" ht="48.95" customHeight="1">
      <c r="B18" s="112">
        <v>90</v>
      </c>
      <c r="C18" s="113">
        <v>1004536224</v>
      </c>
      <c r="D18" s="114" t="s">
        <v>963</v>
      </c>
      <c r="E18" s="115" t="s">
        <v>793</v>
      </c>
      <c r="F18" s="78" t="s">
        <v>506</v>
      </c>
      <c r="G18" s="124" t="s">
        <v>480</v>
      </c>
      <c r="H18" s="114" t="s">
        <v>964</v>
      </c>
      <c r="I18" s="114" t="s">
        <v>603</v>
      </c>
      <c r="J18" s="97" t="s">
        <v>567</v>
      </c>
      <c r="K18" s="97" t="s">
        <v>567</v>
      </c>
      <c r="L18" s="97" t="s">
        <v>567</v>
      </c>
      <c r="M18" s="97" t="s">
        <v>567</v>
      </c>
      <c r="N18" s="97" t="s">
        <v>557</v>
      </c>
      <c r="O18" s="97" t="s">
        <v>567</v>
      </c>
      <c r="P18" s="97" t="s">
        <v>567</v>
      </c>
      <c r="Q18" s="97" t="s">
        <v>567</v>
      </c>
      <c r="R18" s="97" t="s">
        <v>567</v>
      </c>
      <c r="S18" s="97" t="s">
        <v>567</v>
      </c>
      <c r="T18" s="97" t="s">
        <v>567</v>
      </c>
      <c r="U18" s="97" t="s">
        <v>557</v>
      </c>
      <c r="V18" s="97" t="s">
        <v>557</v>
      </c>
      <c r="W18" s="97" t="s">
        <v>567</v>
      </c>
      <c r="X18" s="97" t="s">
        <v>567</v>
      </c>
      <c r="Y18" s="97" t="s">
        <v>567</v>
      </c>
      <c r="Z18" s="97" t="s">
        <v>567</v>
      </c>
      <c r="AA18" s="97" t="s">
        <v>567</v>
      </c>
      <c r="AB18" s="97" t="s">
        <v>557</v>
      </c>
      <c r="AC18" s="97" t="s">
        <v>557</v>
      </c>
      <c r="AD18" s="97" t="s">
        <v>558</v>
      </c>
      <c r="AE18" s="97" t="s">
        <v>558</v>
      </c>
      <c r="AF18" s="97" t="s">
        <v>558</v>
      </c>
      <c r="AG18" s="97" t="s">
        <v>567</v>
      </c>
      <c r="AH18" s="97" t="s">
        <v>567</v>
      </c>
      <c r="AI18" s="97" t="s">
        <v>557</v>
      </c>
      <c r="AJ18" s="97" t="s">
        <v>567</v>
      </c>
      <c r="AK18" s="97" t="s">
        <v>567</v>
      </c>
      <c r="AL18" s="97" t="s">
        <v>567</v>
      </c>
      <c r="AM18" s="97" t="s">
        <v>567</v>
      </c>
      <c r="AO18" s="116">
        <f t="shared" si="3"/>
        <v>3</v>
      </c>
    </row>
    <row r="19" spans="1:41" ht="48.95" customHeight="1">
      <c r="B19" s="112">
        <v>108</v>
      </c>
      <c r="C19" s="113">
        <v>1004501396</v>
      </c>
      <c r="D19" s="114" t="s">
        <v>997</v>
      </c>
      <c r="E19" s="115" t="s">
        <v>793</v>
      </c>
      <c r="F19" s="78" t="s">
        <v>506</v>
      </c>
      <c r="G19" s="124" t="s">
        <v>491</v>
      </c>
      <c r="H19" s="114" t="s">
        <v>998</v>
      </c>
      <c r="I19" s="114" t="s">
        <v>999</v>
      </c>
      <c r="J19" s="97" t="s">
        <v>567</v>
      </c>
      <c r="K19" s="97" t="s">
        <v>567</v>
      </c>
      <c r="L19" s="97" t="s">
        <v>567</v>
      </c>
      <c r="M19" s="97" t="s">
        <v>567</v>
      </c>
      <c r="N19" s="97" t="s">
        <v>557</v>
      </c>
      <c r="O19" s="97" t="s">
        <v>558</v>
      </c>
      <c r="P19" s="97" t="s">
        <v>558</v>
      </c>
      <c r="Q19" s="97" t="s">
        <v>558</v>
      </c>
      <c r="R19" s="97" t="s">
        <v>558</v>
      </c>
      <c r="S19" s="97" t="s">
        <v>558</v>
      </c>
      <c r="T19" s="97" t="s">
        <v>567</v>
      </c>
      <c r="U19" s="97" t="s">
        <v>557</v>
      </c>
      <c r="V19" s="97" t="s">
        <v>557</v>
      </c>
      <c r="W19" s="97" t="s">
        <v>567</v>
      </c>
      <c r="X19" s="97" t="s">
        <v>567</v>
      </c>
      <c r="Y19" s="97" t="s">
        <v>567</v>
      </c>
      <c r="Z19" s="97" t="s">
        <v>567</v>
      </c>
      <c r="AA19" s="97" t="s">
        <v>567</v>
      </c>
      <c r="AB19" s="97" t="s">
        <v>557</v>
      </c>
      <c r="AC19" s="97" t="s">
        <v>557</v>
      </c>
      <c r="AD19" s="97" t="s">
        <v>567</v>
      </c>
      <c r="AE19" s="97" t="s">
        <v>567</v>
      </c>
      <c r="AF19" s="97" t="s">
        <v>567</v>
      </c>
      <c r="AG19" s="97" t="s">
        <v>567</v>
      </c>
      <c r="AH19" s="97" t="s">
        <v>567</v>
      </c>
      <c r="AI19" s="97" t="s">
        <v>557</v>
      </c>
      <c r="AJ19" s="97" t="s">
        <v>567</v>
      </c>
      <c r="AK19" s="97" t="s">
        <v>567</v>
      </c>
      <c r="AL19" s="97" t="s">
        <v>567</v>
      </c>
      <c r="AM19" s="97" t="s">
        <v>558</v>
      </c>
      <c r="AO19" s="116">
        <f t="shared" ref="AO19" si="4">COUNTIF($J19:$AM19,AO$7)</f>
        <v>6</v>
      </c>
    </row>
    <row r="20" spans="1:41" ht="48.95" customHeight="1">
      <c r="B20" s="112">
        <v>121</v>
      </c>
      <c r="C20" s="113">
        <v>52759800</v>
      </c>
      <c r="D20" s="114" t="s">
        <v>1026</v>
      </c>
      <c r="E20" s="115" t="s">
        <v>793</v>
      </c>
      <c r="F20" s="78" t="s">
        <v>506</v>
      </c>
      <c r="G20" s="124" t="s">
        <v>719</v>
      </c>
      <c r="H20" s="114" t="s">
        <v>1027</v>
      </c>
      <c r="I20" s="114" t="s">
        <v>600</v>
      </c>
      <c r="J20" s="97" t="s">
        <v>567</v>
      </c>
      <c r="K20" s="97" t="s">
        <v>567</v>
      </c>
      <c r="L20" s="97" t="s">
        <v>567</v>
      </c>
      <c r="M20" s="97" t="s">
        <v>567</v>
      </c>
      <c r="N20" s="97" t="s">
        <v>557</v>
      </c>
      <c r="O20" s="97" t="s">
        <v>567</v>
      </c>
      <c r="P20" s="97" t="s">
        <v>567</v>
      </c>
      <c r="Q20" s="97" t="s">
        <v>567</v>
      </c>
      <c r="R20" s="97" t="s">
        <v>567</v>
      </c>
      <c r="S20" s="97" t="s">
        <v>567</v>
      </c>
      <c r="T20" s="97" t="s">
        <v>567</v>
      </c>
      <c r="U20" s="97" t="s">
        <v>557</v>
      </c>
      <c r="V20" s="97" t="s">
        <v>557</v>
      </c>
      <c r="W20" s="97" t="s">
        <v>567</v>
      </c>
      <c r="X20" s="97" t="s">
        <v>567</v>
      </c>
      <c r="Y20" s="97" t="s">
        <v>567</v>
      </c>
      <c r="Z20" s="97" t="s">
        <v>567</v>
      </c>
      <c r="AA20" s="97" t="s">
        <v>567</v>
      </c>
      <c r="AB20" s="97" t="s">
        <v>557</v>
      </c>
      <c r="AC20" s="97" t="s">
        <v>557</v>
      </c>
      <c r="AD20" s="97" t="s">
        <v>567</v>
      </c>
      <c r="AE20" s="97" t="s">
        <v>567</v>
      </c>
      <c r="AF20" s="97" t="s">
        <v>558</v>
      </c>
      <c r="AG20" s="97" t="s">
        <v>558</v>
      </c>
      <c r="AH20" s="97" t="s">
        <v>567</v>
      </c>
      <c r="AI20" s="97" t="s">
        <v>557</v>
      </c>
      <c r="AJ20" s="97" t="s">
        <v>567</v>
      </c>
      <c r="AK20" s="97" t="s">
        <v>567</v>
      </c>
      <c r="AL20" s="97" t="s">
        <v>567</v>
      </c>
      <c r="AM20" s="97" t="s">
        <v>567</v>
      </c>
      <c r="AO20" s="116">
        <f t="shared" ref="AO20" si="5">COUNTIF($J20:$AM20,AO$7)</f>
        <v>2</v>
      </c>
    </row>
    <row r="21" spans="1:41" ht="48.95" customHeight="1">
      <c r="B21" s="112">
        <v>149</v>
      </c>
      <c r="C21" s="113">
        <v>52463545</v>
      </c>
      <c r="D21" s="114" t="s">
        <v>1080</v>
      </c>
      <c r="E21" s="123" t="s">
        <v>592</v>
      </c>
      <c r="F21" s="78" t="s">
        <v>506</v>
      </c>
      <c r="G21" s="77" t="s">
        <v>478</v>
      </c>
      <c r="H21" s="114" t="s">
        <v>1081</v>
      </c>
      <c r="I21" s="114" t="s">
        <v>600</v>
      </c>
      <c r="J21" s="97" t="s">
        <v>567</v>
      </c>
      <c r="K21" s="97" t="s">
        <v>567</v>
      </c>
      <c r="L21" s="97" t="s">
        <v>567</v>
      </c>
      <c r="M21" s="97" t="s">
        <v>567</v>
      </c>
      <c r="N21" s="97" t="s">
        <v>557</v>
      </c>
      <c r="O21" s="97" t="s">
        <v>558</v>
      </c>
      <c r="P21" s="97" t="s">
        <v>558</v>
      </c>
      <c r="Q21" s="97" t="s">
        <v>567</v>
      </c>
      <c r="R21" s="97" t="s">
        <v>567</v>
      </c>
      <c r="S21" s="97" t="s">
        <v>567</v>
      </c>
      <c r="T21" s="97" t="s">
        <v>567</v>
      </c>
      <c r="U21" s="97" t="s">
        <v>557</v>
      </c>
      <c r="V21" s="97" t="s">
        <v>557</v>
      </c>
      <c r="W21" s="97" t="s">
        <v>567</v>
      </c>
      <c r="X21" s="97" t="s">
        <v>567</v>
      </c>
      <c r="Y21" s="97" t="s">
        <v>567</v>
      </c>
      <c r="Z21" s="97" t="s">
        <v>567</v>
      </c>
      <c r="AA21" s="97" t="s">
        <v>567</v>
      </c>
      <c r="AB21" s="97" t="s">
        <v>557</v>
      </c>
      <c r="AC21" s="97" t="s">
        <v>557</v>
      </c>
      <c r="AD21" s="97" t="s">
        <v>567</v>
      </c>
      <c r="AE21" s="97" t="s">
        <v>567</v>
      </c>
      <c r="AF21" s="97" t="s">
        <v>567</v>
      </c>
      <c r="AG21" s="97" t="s">
        <v>567</v>
      </c>
      <c r="AH21" s="97" t="s">
        <v>567</v>
      </c>
      <c r="AI21" s="97" t="s">
        <v>557</v>
      </c>
      <c r="AJ21" s="97" t="s">
        <v>567</v>
      </c>
      <c r="AK21" s="97" t="s">
        <v>567</v>
      </c>
      <c r="AL21" s="97" t="s">
        <v>567</v>
      </c>
      <c r="AM21" s="97" t="s">
        <v>567</v>
      </c>
      <c r="AO21" s="116">
        <f t="shared" ref="AO21:AO22" si="6">COUNTIF($J21:$AM21,AO$7)</f>
        <v>2</v>
      </c>
    </row>
    <row r="22" spans="1:41" ht="48.95" customHeight="1">
      <c r="B22" s="112">
        <v>150</v>
      </c>
      <c r="C22" s="113">
        <v>52038499</v>
      </c>
      <c r="D22" s="114" t="s">
        <v>1082</v>
      </c>
      <c r="E22" s="134" t="s">
        <v>592</v>
      </c>
      <c r="F22" s="78" t="s">
        <v>506</v>
      </c>
      <c r="G22" s="77" t="s">
        <v>478</v>
      </c>
      <c r="H22" s="114" t="s">
        <v>1083</v>
      </c>
      <c r="I22" s="114" t="s">
        <v>597</v>
      </c>
      <c r="J22" s="97" t="s">
        <v>567</v>
      </c>
      <c r="K22" s="97" t="s">
        <v>567</v>
      </c>
      <c r="L22" s="97" t="s">
        <v>567</v>
      </c>
      <c r="M22" s="97" t="s">
        <v>567</v>
      </c>
      <c r="N22" s="97" t="s">
        <v>558</v>
      </c>
      <c r="O22" s="97" t="s">
        <v>558</v>
      </c>
      <c r="P22" s="97" t="s">
        <v>558</v>
      </c>
      <c r="Q22" s="97" t="s">
        <v>558</v>
      </c>
      <c r="R22" s="97" t="s">
        <v>558</v>
      </c>
      <c r="S22" s="97" t="s">
        <v>567</v>
      </c>
      <c r="T22" s="97" t="s">
        <v>567</v>
      </c>
      <c r="U22" s="97" t="s">
        <v>557</v>
      </c>
      <c r="V22" s="97" t="s">
        <v>557</v>
      </c>
      <c r="W22" s="97" t="s">
        <v>567</v>
      </c>
      <c r="X22" s="97" t="s">
        <v>567</v>
      </c>
      <c r="Y22" s="97" t="s">
        <v>567</v>
      </c>
      <c r="Z22" s="97" t="s">
        <v>567</v>
      </c>
      <c r="AA22" s="97" t="s">
        <v>567</v>
      </c>
      <c r="AB22" s="97" t="s">
        <v>557</v>
      </c>
      <c r="AC22" s="97" t="s">
        <v>557</v>
      </c>
      <c r="AD22" s="97" t="s">
        <v>567</v>
      </c>
      <c r="AE22" s="97" t="s">
        <v>567</v>
      </c>
      <c r="AF22" s="97" t="s">
        <v>567</v>
      </c>
      <c r="AG22" s="97" t="s">
        <v>567</v>
      </c>
      <c r="AH22" s="97" t="s">
        <v>567</v>
      </c>
      <c r="AI22" s="97" t="s">
        <v>557</v>
      </c>
      <c r="AJ22" s="97" t="s">
        <v>567</v>
      </c>
      <c r="AK22" s="97" t="s">
        <v>567</v>
      </c>
      <c r="AL22" s="97" t="s">
        <v>567</v>
      </c>
      <c r="AM22" s="97" t="s">
        <v>567</v>
      </c>
      <c r="AO22" s="116">
        <f t="shared" si="6"/>
        <v>5</v>
      </c>
    </row>
    <row r="23" spans="1:41" ht="48.95" customHeight="1">
      <c r="B23" s="112">
        <v>157</v>
      </c>
      <c r="C23" s="113">
        <v>52295952</v>
      </c>
      <c r="D23" s="114" t="s">
        <v>1097</v>
      </c>
      <c r="E23" s="134" t="s">
        <v>592</v>
      </c>
      <c r="F23" s="78" t="s">
        <v>506</v>
      </c>
      <c r="G23" s="77" t="s">
        <v>478</v>
      </c>
      <c r="H23" s="114" t="s">
        <v>1098</v>
      </c>
      <c r="I23" s="114" t="s">
        <v>597</v>
      </c>
      <c r="J23" s="97" t="s">
        <v>567</v>
      </c>
      <c r="K23" s="97" t="s">
        <v>558</v>
      </c>
      <c r="L23" s="97" t="s">
        <v>558</v>
      </c>
      <c r="M23" s="97" t="s">
        <v>558</v>
      </c>
      <c r="N23" s="97" t="s">
        <v>557</v>
      </c>
      <c r="O23" s="97" t="s">
        <v>567</v>
      </c>
      <c r="P23" s="97" t="s">
        <v>567</v>
      </c>
      <c r="Q23" s="97" t="s">
        <v>567</v>
      </c>
      <c r="R23" s="97" t="s">
        <v>567</v>
      </c>
      <c r="S23" s="97" t="s">
        <v>567</v>
      </c>
      <c r="T23" s="97" t="s">
        <v>567</v>
      </c>
      <c r="U23" s="97" t="s">
        <v>557</v>
      </c>
      <c r="V23" s="97" t="s">
        <v>557</v>
      </c>
      <c r="W23" s="97" t="s">
        <v>567</v>
      </c>
      <c r="X23" s="97" t="s">
        <v>567</v>
      </c>
      <c r="Y23" s="97" t="s">
        <v>567</v>
      </c>
      <c r="Z23" s="97" t="s">
        <v>567</v>
      </c>
      <c r="AA23" s="97" t="s">
        <v>567</v>
      </c>
      <c r="AB23" s="97" t="s">
        <v>557</v>
      </c>
      <c r="AC23" s="97" t="s">
        <v>557</v>
      </c>
      <c r="AD23" s="97" t="s">
        <v>567</v>
      </c>
      <c r="AE23" s="97" t="s">
        <v>567</v>
      </c>
      <c r="AF23" s="97" t="s">
        <v>567</v>
      </c>
      <c r="AG23" s="97" t="s">
        <v>567</v>
      </c>
      <c r="AH23" s="97" t="s">
        <v>567</v>
      </c>
      <c r="AI23" s="97" t="s">
        <v>557</v>
      </c>
      <c r="AJ23" s="97" t="s">
        <v>567</v>
      </c>
      <c r="AK23" s="97" t="s">
        <v>567</v>
      </c>
      <c r="AL23" s="97" t="s">
        <v>567</v>
      </c>
      <c r="AM23" s="97" t="s">
        <v>567</v>
      </c>
      <c r="AO23" s="116">
        <f t="shared" ref="AO23:AO24" si="7">COUNTIF($J23:$AM23,AO$7)</f>
        <v>3</v>
      </c>
    </row>
    <row r="24" spans="1:41" ht="48.95" customHeight="1">
      <c r="B24" s="112">
        <v>162</v>
      </c>
      <c r="C24" s="113">
        <v>1024583299</v>
      </c>
      <c r="D24" s="114" t="s">
        <v>1108</v>
      </c>
      <c r="E24" s="134" t="s">
        <v>592</v>
      </c>
      <c r="F24" s="78" t="s">
        <v>506</v>
      </c>
      <c r="G24" s="77" t="s">
        <v>490</v>
      </c>
      <c r="H24" s="114" t="s">
        <v>1109</v>
      </c>
      <c r="I24" s="114" t="s">
        <v>597</v>
      </c>
      <c r="J24" s="97" t="s">
        <v>567</v>
      </c>
      <c r="K24" s="97" t="s">
        <v>567</v>
      </c>
      <c r="L24" s="97" t="s">
        <v>567</v>
      </c>
      <c r="M24" s="97" t="s">
        <v>567</v>
      </c>
      <c r="N24" s="97" t="s">
        <v>557</v>
      </c>
      <c r="O24" s="97" t="s">
        <v>567</v>
      </c>
      <c r="P24" s="97" t="s">
        <v>567</v>
      </c>
      <c r="Q24" s="97" t="s">
        <v>567</v>
      </c>
      <c r="R24" s="97" t="s">
        <v>567</v>
      </c>
      <c r="S24" s="97" t="s">
        <v>567</v>
      </c>
      <c r="T24" s="97" t="s">
        <v>567</v>
      </c>
      <c r="U24" s="97" t="s">
        <v>557</v>
      </c>
      <c r="V24" s="97" t="s">
        <v>557</v>
      </c>
      <c r="W24" s="97" t="s">
        <v>567</v>
      </c>
      <c r="X24" s="97" t="s">
        <v>567</v>
      </c>
      <c r="Y24" s="97" t="s">
        <v>567</v>
      </c>
      <c r="Z24" s="97" t="s">
        <v>567</v>
      </c>
      <c r="AA24" s="97" t="s">
        <v>567</v>
      </c>
      <c r="AB24" s="97" t="s">
        <v>557</v>
      </c>
      <c r="AC24" s="97" t="s">
        <v>557</v>
      </c>
      <c r="AD24" s="97" t="s">
        <v>558</v>
      </c>
      <c r="AE24" s="97" t="s">
        <v>558</v>
      </c>
      <c r="AF24" s="97" t="s">
        <v>567</v>
      </c>
      <c r="AG24" s="97" t="s">
        <v>567</v>
      </c>
      <c r="AH24" s="97" t="s">
        <v>567</v>
      </c>
      <c r="AI24" s="97" t="s">
        <v>557</v>
      </c>
      <c r="AJ24" s="97" t="s">
        <v>567</v>
      </c>
      <c r="AK24" s="97" t="s">
        <v>567</v>
      </c>
      <c r="AL24" s="97" t="s">
        <v>567</v>
      </c>
      <c r="AM24" s="97" t="s">
        <v>567</v>
      </c>
      <c r="AO24" s="116">
        <f t="shared" si="7"/>
        <v>2</v>
      </c>
    </row>
    <row r="25" spans="1:41" ht="48.95" customHeight="1">
      <c r="B25" s="112">
        <v>182</v>
      </c>
      <c r="C25" s="113">
        <v>1052077081</v>
      </c>
      <c r="D25" s="114" t="s">
        <v>1142</v>
      </c>
      <c r="E25" s="217" t="s">
        <v>794</v>
      </c>
      <c r="F25" s="78" t="s">
        <v>506</v>
      </c>
      <c r="G25" s="263" t="s">
        <v>496</v>
      </c>
      <c r="H25" s="114" t="s">
        <v>1143</v>
      </c>
      <c r="I25" s="114" t="s">
        <v>1144</v>
      </c>
      <c r="J25" s="97" t="s">
        <v>567</v>
      </c>
      <c r="K25" s="97" t="s">
        <v>567</v>
      </c>
      <c r="L25" s="97" t="s">
        <v>567</v>
      </c>
      <c r="M25" s="97" t="s">
        <v>567</v>
      </c>
      <c r="N25" s="97" t="s">
        <v>557</v>
      </c>
      <c r="O25" s="97" t="s">
        <v>567</v>
      </c>
      <c r="P25" s="97" t="s">
        <v>567</v>
      </c>
      <c r="Q25" s="97" t="s">
        <v>567</v>
      </c>
      <c r="R25" s="97" t="s">
        <v>567</v>
      </c>
      <c r="S25" s="97" t="s">
        <v>567</v>
      </c>
      <c r="T25" s="97" t="s">
        <v>567</v>
      </c>
      <c r="U25" s="97" t="s">
        <v>557</v>
      </c>
      <c r="V25" s="97" t="s">
        <v>557</v>
      </c>
      <c r="W25" s="97" t="s">
        <v>567</v>
      </c>
      <c r="X25" s="97" t="s">
        <v>567</v>
      </c>
      <c r="Y25" s="97" t="s">
        <v>567</v>
      </c>
      <c r="Z25" s="97" t="s">
        <v>567</v>
      </c>
      <c r="AA25" s="97" t="s">
        <v>567</v>
      </c>
      <c r="AB25" s="97" t="s">
        <v>557</v>
      </c>
      <c r="AC25" s="97" t="s">
        <v>557</v>
      </c>
      <c r="AD25" s="97" t="s">
        <v>567</v>
      </c>
      <c r="AE25" s="97" t="s">
        <v>558</v>
      </c>
      <c r="AF25" s="97" t="s">
        <v>558</v>
      </c>
      <c r="AG25" s="97" t="s">
        <v>567</v>
      </c>
      <c r="AH25" s="97" t="s">
        <v>567</v>
      </c>
      <c r="AI25" s="97" t="s">
        <v>557</v>
      </c>
      <c r="AJ25" s="97" t="s">
        <v>567</v>
      </c>
      <c r="AK25" s="97" t="s">
        <v>567</v>
      </c>
      <c r="AL25" s="97" t="s">
        <v>567</v>
      </c>
      <c r="AM25" s="97" t="s">
        <v>567</v>
      </c>
      <c r="AO25" s="116">
        <f t="shared" ref="AO25:AO29" si="8">COUNTIF($J25:$AM25,AO$7)</f>
        <v>2</v>
      </c>
    </row>
    <row r="26" spans="1:41" ht="48.95" customHeight="1">
      <c r="B26" s="112">
        <v>184</v>
      </c>
      <c r="C26" s="113">
        <v>1233899199</v>
      </c>
      <c r="D26" s="114" t="s">
        <v>1147</v>
      </c>
      <c r="E26" s="217" t="s">
        <v>794</v>
      </c>
      <c r="F26" s="78" t="s">
        <v>506</v>
      </c>
      <c r="G26" s="263" t="s">
        <v>488</v>
      </c>
      <c r="H26" s="114" t="s">
        <v>1148</v>
      </c>
      <c r="I26" s="114" t="s">
        <v>1149</v>
      </c>
      <c r="J26" s="97" t="s">
        <v>567</v>
      </c>
      <c r="K26" s="97" t="s">
        <v>567</v>
      </c>
      <c r="L26" s="97" t="s">
        <v>558</v>
      </c>
      <c r="M26" s="97" t="s">
        <v>558</v>
      </c>
      <c r="N26" s="97" t="s">
        <v>558</v>
      </c>
      <c r="O26" s="97" t="s">
        <v>567</v>
      </c>
      <c r="P26" s="97" t="s">
        <v>567</v>
      </c>
      <c r="Q26" s="97" t="s">
        <v>567</v>
      </c>
      <c r="R26" s="97" t="s">
        <v>567</v>
      </c>
      <c r="S26" s="97" t="s">
        <v>567</v>
      </c>
      <c r="T26" s="97" t="s">
        <v>567</v>
      </c>
      <c r="U26" s="97" t="s">
        <v>557</v>
      </c>
      <c r="V26" s="97" t="s">
        <v>557</v>
      </c>
      <c r="W26" s="97" t="s">
        <v>567</v>
      </c>
      <c r="X26" s="97" t="s">
        <v>567</v>
      </c>
      <c r="Y26" s="97" t="s">
        <v>567</v>
      </c>
      <c r="Z26" s="97" t="s">
        <v>567</v>
      </c>
      <c r="AA26" s="97" t="s">
        <v>567</v>
      </c>
      <c r="AB26" s="97" t="s">
        <v>557</v>
      </c>
      <c r="AC26" s="97" t="s">
        <v>557</v>
      </c>
      <c r="AD26" s="97" t="s">
        <v>567</v>
      </c>
      <c r="AE26" s="97" t="s">
        <v>567</v>
      </c>
      <c r="AF26" s="97" t="s">
        <v>567</v>
      </c>
      <c r="AG26" s="97" t="s">
        <v>567</v>
      </c>
      <c r="AH26" s="97" t="s">
        <v>567</v>
      </c>
      <c r="AI26" s="97" t="s">
        <v>557</v>
      </c>
      <c r="AJ26" s="97" t="s">
        <v>567</v>
      </c>
      <c r="AK26" s="97" t="s">
        <v>567</v>
      </c>
      <c r="AL26" s="97" t="s">
        <v>567</v>
      </c>
      <c r="AM26" s="97" t="s">
        <v>567</v>
      </c>
      <c r="AO26" s="116">
        <f t="shared" si="8"/>
        <v>3</v>
      </c>
    </row>
    <row r="27" spans="1:41" ht="48.95" customHeight="1">
      <c r="B27" s="112">
        <v>187</v>
      </c>
      <c r="C27" s="113">
        <v>1016049175</v>
      </c>
      <c r="D27" s="114" t="s">
        <v>1153</v>
      </c>
      <c r="E27" s="217" t="s">
        <v>794</v>
      </c>
      <c r="F27" s="78" t="s">
        <v>507</v>
      </c>
      <c r="G27" s="77" t="s">
        <v>488</v>
      </c>
      <c r="H27" s="114" t="s">
        <v>1154</v>
      </c>
      <c r="I27" s="114" t="s">
        <v>597</v>
      </c>
      <c r="J27" s="97" t="s">
        <v>567</v>
      </c>
      <c r="K27" s="97" t="s">
        <v>567</v>
      </c>
      <c r="L27" s="97" t="s">
        <v>567</v>
      </c>
      <c r="M27" s="97" t="s">
        <v>567</v>
      </c>
      <c r="N27" s="97" t="s">
        <v>557</v>
      </c>
      <c r="O27" s="97" t="s">
        <v>567</v>
      </c>
      <c r="P27" s="97" t="s">
        <v>567</v>
      </c>
      <c r="Q27" s="97" t="s">
        <v>567</v>
      </c>
      <c r="R27" s="97" t="s">
        <v>567</v>
      </c>
      <c r="S27" s="97" t="s">
        <v>567</v>
      </c>
      <c r="T27" s="97" t="s">
        <v>567</v>
      </c>
      <c r="U27" s="97" t="s">
        <v>557</v>
      </c>
      <c r="V27" s="97" t="s">
        <v>557</v>
      </c>
      <c r="W27" s="97" t="s">
        <v>567</v>
      </c>
      <c r="X27" s="97" t="s">
        <v>567</v>
      </c>
      <c r="Y27" s="97" t="s">
        <v>567</v>
      </c>
      <c r="Z27" s="97" t="s">
        <v>567</v>
      </c>
      <c r="AA27" s="97" t="s">
        <v>567</v>
      </c>
      <c r="AB27" s="97" t="s">
        <v>557</v>
      </c>
      <c r="AC27" s="97" t="s">
        <v>557</v>
      </c>
      <c r="AD27" s="97" t="s">
        <v>567</v>
      </c>
      <c r="AE27" s="97" t="s">
        <v>567</v>
      </c>
      <c r="AF27" s="97" t="s">
        <v>567</v>
      </c>
      <c r="AG27" s="97" t="s">
        <v>567</v>
      </c>
      <c r="AH27" s="97" t="s">
        <v>567</v>
      </c>
      <c r="AI27" s="97" t="s">
        <v>557</v>
      </c>
      <c r="AJ27" s="97" t="s">
        <v>567</v>
      </c>
      <c r="AK27" s="97" t="s">
        <v>567</v>
      </c>
      <c r="AL27" s="97" t="s">
        <v>558</v>
      </c>
      <c r="AM27" s="97" t="s">
        <v>558</v>
      </c>
      <c r="AO27" s="116">
        <f t="shared" si="8"/>
        <v>2</v>
      </c>
    </row>
    <row r="28" spans="1:41" ht="48.95" customHeight="1">
      <c r="B28" s="112">
        <v>188</v>
      </c>
      <c r="C28" s="113">
        <v>1104224004</v>
      </c>
      <c r="D28" s="114" t="s">
        <v>728</v>
      </c>
      <c r="E28" s="217" t="s">
        <v>794</v>
      </c>
      <c r="F28" s="78" t="s">
        <v>507</v>
      </c>
      <c r="G28" s="77" t="s">
        <v>488</v>
      </c>
      <c r="H28" s="114" t="s">
        <v>729</v>
      </c>
      <c r="I28" s="114" t="s">
        <v>597</v>
      </c>
      <c r="J28" s="97" t="s">
        <v>567</v>
      </c>
      <c r="K28" s="97" t="s">
        <v>567</v>
      </c>
      <c r="L28" s="97" t="s">
        <v>567</v>
      </c>
      <c r="M28" s="97" t="s">
        <v>567</v>
      </c>
      <c r="N28" s="97" t="s">
        <v>557</v>
      </c>
      <c r="O28" s="97" t="s">
        <v>567</v>
      </c>
      <c r="P28" s="97" t="s">
        <v>567</v>
      </c>
      <c r="Q28" s="97" t="s">
        <v>567</v>
      </c>
      <c r="R28" s="97" t="s">
        <v>567</v>
      </c>
      <c r="S28" s="97" t="s">
        <v>567</v>
      </c>
      <c r="T28" s="97" t="s">
        <v>567</v>
      </c>
      <c r="U28" s="97" t="s">
        <v>557</v>
      </c>
      <c r="V28" s="97" t="s">
        <v>558</v>
      </c>
      <c r="W28" s="97" t="s">
        <v>558</v>
      </c>
      <c r="X28" s="97" t="s">
        <v>558</v>
      </c>
      <c r="Y28" s="97" t="s">
        <v>558</v>
      </c>
      <c r="Z28" s="97" t="s">
        <v>558</v>
      </c>
      <c r="AA28" s="97" t="s">
        <v>567</v>
      </c>
      <c r="AB28" s="97" t="s">
        <v>557</v>
      </c>
      <c r="AC28" s="97" t="s">
        <v>557</v>
      </c>
      <c r="AD28" s="97" t="s">
        <v>567</v>
      </c>
      <c r="AE28" s="97" t="s">
        <v>567</v>
      </c>
      <c r="AF28" s="97" t="s">
        <v>567</v>
      </c>
      <c r="AG28" s="97" t="s">
        <v>567</v>
      </c>
      <c r="AH28" s="97" t="s">
        <v>567</v>
      </c>
      <c r="AI28" s="97" t="s">
        <v>557</v>
      </c>
      <c r="AJ28" s="97" t="s">
        <v>567</v>
      </c>
      <c r="AK28" s="97" t="s">
        <v>567</v>
      </c>
      <c r="AL28" s="97" t="s">
        <v>567</v>
      </c>
      <c r="AM28" s="97" t="s">
        <v>567</v>
      </c>
      <c r="AO28" s="116">
        <f t="shared" si="8"/>
        <v>5</v>
      </c>
    </row>
    <row r="29" spans="1:41" ht="48.95" customHeight="1">
      <c r="B29" s="112">
        <v>190</v>
      </c>
      <c r="C29" s="113">
        <v>1233911895</v>
      </c>
      <c r="D29" s="114" t="s">
        <v>1158</v>
      </c>
      <c r="E29" s="217" t="s">
        <v>794</v>
      </c>
      <c r="F29" s="78" t="s">
        <v>506</v>
      </c>
      <c r="G29" s="263" t="s">
        <v>485</v>
      </c>
      <c r="H29" s="114" t="s">
        <v>1159</v>
      </c>
      <c r="I29" s="114" t="s">
        <v>882</v>
      </c>
      <c r="J29" s="97" t="s">
        <v>567</v>
      </c>
      <c r="K29" s="97" t="s">
        <v>558</v>
      </c>
      <c r="L29" s="97" t="s">
        <v>567</v>
      </c>
      <c r="M29" s="97" t="s">
        <v>567</v>
      </c>
      <c r="N29" s="97" t="s">
        <v>557</v>
      </c>
      <c r="O29" s="97" t="s">
        <v>567</v>
      </c>
      <c r="P29" s="97" t="s">
        <v>567</v>
      </c>
      <c r="Q29" s="97" t="s">
        <v>567</v>
      </c>
      <c r="R29" s="97" t="s">
        <v>567</v>
      </c>
      <c r="S29" s="97" t="s">
        <v>567</v>
      </c>
      <c r="T29" s="97" t="s">
        <v>567</v>
      </c>
      <c r="U29" s="97" t="s">
        <v>557</v>
      </c>
      <c r="V29" s="97" t="s">
        <v>557</v>
      </c>
      <c r="W29" s="97" t="s">
        <v>567</v>
      </c>
      <c r="X29" s="97" t="s">
        <v>567</v>
      </c>
      <c r="Y29" s="97" t="s">
        <v>567</v>
      </c>
      <c r="Z29" s="97" t="s">
        <v>567</v>
      </c>
      <c r="AA29" s="97" t="s">
        <v>567</v>
      </c>
      <c r="AB29" s="97" t="s">
        <v>557</v>
      </c>
      <c r="AC29" s="97" t="s">
        <v>557</v>
      </c>
      <c r="AD29" s="97" t="s">
        <v>567</v>
      </c>
      <c r="AE29" s="97" t="s">
        <v>567</v>
      </c>
      <c r="AF29" s="97" t="s">
        <v>567</v>
      </c>
      <c r="AG29" s="97" t="s">
        <v>567</v>
      </c>
      <c r="AH29" s="97" t="s">
        <v>567</v>
      </c>
      <c r="AI29" s="97" t="s">
        <v>557</v>
      </c>
      <c r="AJ29" s="97" t="s">
        <v>558</v>
      </c>
      <c r="AK29" s="97" t="s">
        <v>558</v>
      </c>
      <c r="AL29" s="97" t="s">
        <v>558</v>
      </c>
      <c r="AM29" s="97" t="s">
        <v>558</v>
      </c>
      <c r="AO29" s="116">
        <f t="shared" si="8"/>
        <v>5</v>
      </c>
    </row>
    <row r="30" spans="1:41" ht="48.95" customHeight="1">
      <c r="B30" s="112">
        <v>196</v>
      </c>
      <c r="C30" s="113">
        <v>5070700</v>
      </c>
      <c r="D30" s="114" t="s">
        <v>720</v>
      </c>
      <c r="E30" s="217" t="s">
        <v>794</v>
      </c>
      <c r="F30" s="214" t="s">
        <v>712</v>
      </c>
      <c r="G30" s="212" t="s">
        <v>484</v>
      </c>
      <c r="H30" s="114" t="s">
        <v>608</v>
      </c>
      <c r="I30" s="114" t="s">
        <v>604</v>
      </c>
      <c r="J30" s="97" t="s">
        <v>567</v>
      </c>
      <c r="K30" s="97" t="s">
        <v>567</v>
      </c>
      <c r="L30" s="97" t="s">
        <v>567</v>
      </c>
      <c r="M30" s="97" t="s">
        <v>567</v>
      </c>
      <c r="N30" s="97" t="s">
        <v>557</v>
      </c>
      <c r="O30" s="97" t="s">
        <v>567</v>
      </c>
      <c r="P30" s="97" t="s">
        <v>567</v>
      </c>
      <c r="Q30" s="97" t="s">
        <v>567</v>
      </c>
      <c r="R30" s="97" t="s">
        <v>567</v>
      </c>
      <c r="S30" s="97" t="s">
        <v>567</v>
      </c>
      <c r="T30" s="97" t="s">
        <v>567</v>
      </c>
      <c r="U30" s="97" t="s">
        <v>557</v>
      </c>
      <c r="V30" s="97" t="s">
        <v>557</v>
      </c>
      <c r="W30" s="97" t="s">
        <v>567</v>
      </c>
      <c r="X30" s="97" t="s">
        <v>567</v>
      </c>
      <c r="Y30" s="97" t="s">
        <v>567</v>
      </c>
      <c r="Z30" s="97" t="s">
        <v>567</v>
      </c>
      <c r="AA30" s="97" t="s">
        <v>567</v>
      </c>
      <c r="AB30" s="97" t="s">
        <v>557</v>
      </c>
      <c r="AC30" s="97" t="s">
        <v>557</v>
      </c>
      <c r="AD30" s="97" t="s">
        <v>558</v>
      </c>
      <c r="AE30" s="97" t="s">
        <v>558</v>
      </c>
      <c r="AF30" s="97" t="s">
        <v>567</v>
      </c>
      <c r="AG30" s="97" t="s">
        <v>567</v>
      </c>
      <c r="AH30" s="97" t="s">
        <v>567</v>
      </c>
      <c r="AI30" s="97" t="s">
        <v>557</v>
      </c>
      <c r="AJ30" s="97" t="s">
        <v>567</v>
      </c>
      <c r="AK30" s="97" t="s">
        <v>567</v>
      </c>
      <c r="AL30" s="97" t="s">
        <v>567</v>
      </c>
      <c r="AM30" s="97" t="s">
        <v>567</v>
      </c>
      <c r="AO30" s="116">
        <f t="shared" ref="AO30:AO31" si="9">COUNTIF($J30:$AM30,AO$7)</f>
        <v>2</v>
      </c>
    </row>
    <row r="31" spans="1:41" ht="48.95" customHeight="1">
      <c r="A31" s="256" t="s">
        <v>713</v>
      </c>
      <c r="B31" s="112">
        <v>199</v>
      </c>
      <c r="C31" s="113">
        <v>45479518</v>
      </c>
      <c r="D31" s="254" t="s">
        <v>1063</v>
      </c>
      <c r="E31" s="217" t="s">
        <v>794</v>
      </c>
      <c r="F31" s="78" t="s">
        <v>506</v>
      </c>
      <c r="G31" s="263" t="s">
        <v>488</v>
      </c>
      <c r="H31" s="114" t="s">
        <v>1064</v>
      </c>
      <c r="I31" s="259" t="s">
        <v>1065</v>
      </c>
      <c r="J31" s="97" t="s">
        <v>567</v>
      </c>
      <c r="K31" s="97" t="s">
        <v>567</v>
      </c>
      <c r="L31" s="97" t="s">
        <v>567</v>
      </c>
      <c r="M31" s="97" t="s">
        <v>567</v>
      </c>
      <c r="N31" s="97" t="s">
        <v>567</v>
      </c>
      <c r="O31" s="97" t="s">
        <v>567</v>
      </c>
      <c r="P31" s="97" t="s">
        <v>567</v>
      </c>
      <c r="Q31" s="97" t="s">
        <v>567</v>
      </c>
      <c r="R31" s="97" t="s">
        <v>567</v>
      </c>
      <c r="S31" s="97" t="s">
        <v>567</v>
      </c>
      <c r="T31" s="97" t="s">
        <v>567</v>
      </c>
      <c r="U31" s="97" t="s">
        <v>567</v>
      </c>
      <c r="V31" s="97" t="s">
        <v>567</v>
      </c>
      <c r="W31" s="97" t="s">
        <v>1150</v>
      </c>
      <c r="X31" s="97" t="s">
        <v>1150</v>
      </c>
      <c r="Y31" s="97" t="s">
        <v>1150</v>
      </c>
      <c r="Z31" s="97" t="s">
        <v>1150</v>
      </c>
      <c r="AA31" s="97" t="s">
        <v>1150</v>
      </c>
      <c r="AB31" s="97" t="s">
        <v>1150</v>
      </c>
      <c r="AC31" s="97" t="s">
        <v>1150</v>
      </c>
      <c r="AD31" s="97" t="s">
        <v>567</v>
      </c>
      <c r="AE31" s="97" t="s">
        <v>567</v>
      </c>
      <c r="AF31" s="97" t="s">
        <v>567</v>
      </c>
      <c r="AG31" s="97" t="s">
        <v>567</v>
      </c>
      <c r="AH31" s="97" t="s">
        <v>567</v>
      </c>
      <c r="AI31" s="97" t="s">
        <v>557</v>
      </c>
      <c r="AJ31" s="97" t="s">
        <v>567</v>
      </c>
      <c r="AK31" s="97" t="s">
        <v>558</v>
      </c>
      <c r="AL31" s="97" t="s">
        <v>558</v>
      </c>
      <c r="AM31" s="97" t="s">
        <v>567</v>
      </c>
      <c r="AO31" s="116">
        <f t="shared" si="9"/>
        <v>2</v>
      </c>
    </row>
    <row r="32" spans="1:41" ht="98.45" customHeight="1">
      <c r="AO32" s="138">
        <f>SUM(AO9:AO31)</f>
        <v>64</v>
      </c>
    </row>
  </sheetData>
  <autoFilter ref="A8:AO31" xr:uid="{00000000-0009-0000-0000-00000A000000}"/>
  <mergeCells count="10">
    <mergeCell ref="B2:C2"/>
    <mergeCell ref="B4:AM5"/>
    <mergeCell ref="B7:B8"/>
    <mergeCell ref="C7:C8"/>
    <mergeCell ref="D7:D8"/>
    <mergeCell ref="E7:E8"/>
    <mergeCell ref="F7:F8"/>
    <mergeCell ref="G7:G8"/>
    <mergeCell ref="H7:H8"/>
    <mergeCell ref="I7:I8"/>
  </mergeCells>
  <conditionalFormatting sqref="C1:C1048576">
    <cfRule type="duplicateValues" dxfId="441" priority="1"/>
    <cfRule type="duplicateValues" dxfId="440" priority="2"/>
    <cfRule type="duplicateValues" dxfId="439" priority="3"/>
    <cfRule type="duplicateValues" dxfId="438" priority="4"/>
    <cfRule type="duplicateValues" dxfId="437" priority="21"/>
    <cfRule type="duplicateValues" dxfId="436" priority="22"/>
    <cfRule type="duplicateValues" dxfId="435" priority="23"/>
  </conditionalFormatting>
  <conditionalFormatting sqref="C9:C24">
    <cfRule type="duplicateValues" dxfId="434" priority="14167"/>
  </conditionalFormatting>
  <conditionalFormatting sqref="C21">
    <cfRule type="duplicateValues" dxfId="433" priority="40"/>
  </conditionalFormatting>
  <conditionalFormatting sqref="C21:C24">
    <cfRule type="duplicateValues" dxfId="432" priority="13526"/>
  </conditionalFormatting>
  <conditionalFormatting sqref="C25:C31">
    <cfRule type="duplicateValues" dxfId="431" priority="13354"/>
  </conditionalFormatting>
  <conditionalFormatting sqref="C32:C1048576 C1:C24">
    <cfRule type="duplicateValues" dxfId="430" priority="41"/>
  </conditionalFormatting>
  <conditionalFormatting sqref="I1:I3 I6:I8 I32:I1048576">
    <cfRule type="containsText" dxfId="429" priority="186" operator="containsText" text="RENUNCIA">
      <formula>NOT(ISERROR(SEARCH("RENUNCIA",I1)))</formula>
    </cfRule>
  </conditionalFormatting>
  <conditionalFormatting sqref="J7:AM8">
    <cfRule type="expression" dxfId="427" priority="196">
      <formula>AND(J$7="dom")</formula>
    </cfRule>
  </conditionalFormatting>
  <conditionalFormatting sqref="J9:AM31">
    <cfRule type="containsText" dxfId="425" priority="43" operator="containsText" text="TS">
      <formula>NOT(ISERROR(SEARCH("TS",J9)))</formula>
    </cfRule>
    <cfRule type="containsText" dxfId="424" priority="44" operator="containsText" text="&quot; &quot;">
      <formula>NOT(ISERROR(SEARCH(""" """,J9)))</formula>
    </cfRule>
    <cfRule type="containsText" dxfId="423" priority="45" operator="containsText" text="CD">
      <formula>NOT(ISERROR(SEARCH("CD",J9)))</formula>
    </cfRule>
    <cfRule type="containsText" dxfId="422" priority="46" operator="containsText" text="VAC">
      <formula>NOT(ISERROR(SEARCH("VAC",J9)))</formula>
    </cfRule>
    <cfRule type="containsText" dxfId="421" priority="47" operator="containsText" text="LT">
      <formula>NOT(ISERROR(SEARCH("LT",J9)))</formula>
    </cfRule>
    <cfRule type="containsText" dxfId="420" priority="48" operator="containsText" text="REN">
      <formula>NOT(ISERROR(SEARCH("REN",J9)))</formula>
    </cfRule>
    <cfRule type="containsText" dxfId="419" priority="49" operator="containsText" text="INC">
      <formula>NOT(ISERROR(SEARCH("INC",J9)))</formula>
    </cfRule>
    <cfRule type="containsText" dxfId="418" priority="50" operator="containsText" text="LNR">
      <formula>NOT(ISERROR(SEARCH("LNR",J9)))</formula>
    </cfRule>
    <cfRule type="containsText" dxfId="417" priority="187" operator="containsText" text="INC">
      <formula>NOT(ISERROR(SEARCH("INC",J9)))</formula>
    </cfRule>
    <cfRule type="containsText" dxfId="416" priority="188" operator="containsText" text="TC">
      <formula>NOT(ISERROR(SEARCH("TC",J9)))</formula>
    </cfRule>
    <cfRule type="containsText" dxfId="415" priority="189" operator="containsText" text="PNR">
      <formula>NOT(ISERROR(SEARCH("PNR",J9)))</formula>
    </cfRule>
    <cfRule type="containsText" dxfId="414" priority="190" operator="containsText" text="AUS">
      <formula>NOT(ISERROR(SEARCH("AUS",J9)))</formula>
    </cfRule>
    <cfRule type="containsText" dxfId="413" priority="191" operator="containsText" text="D">
      <formula>NOT(ISERROR(SEARCH("D",J9)))</formula>
    </cfRule>
    <cfRule type="containsText" dxfId="412" priority="192" stopIfTrue="1" operator="containsText" text="OK">
      <formula>NOT(ISERROR(SEARCH("OK",J9)))</formula>
    </cfRule>
    <cfRule type="containsText" dxfId="411" priority="194" operator="containsText" text="D">
      <formula>NOT(ISERROR(SEARCH("D",J9)))</formula>
    </cfRule>
    <cfRule type="containsBlanks" dxfId="410" priority="199">
      <formula>LEN(TRIM(J9))=0</formula>
    </cfRule>
  </conditionalFormatting>
  <conditionalFormatting sqref="AO7">
    <cfRule type="containsText" dxfId="409" priority="173" operator="containsText" text="OK">
      <formula>NOT(ISERROR(SEARCH("OK",AO7)))</formula>
    </cfRule>
    <cfRule type="containsText" dxfId="408" priority="174" operator="containsText" text="LT">
      <formula>NOT(ISERROR(SEARCH("LT",AO7)))</formula>
    </cfRule>
    <cfRule type="containsText" dxfId="407" priority="175" operator="containsText" text="TC">
      <formula>NOT(ISERROR(SEARCH("TC",AO7)))</formula>
    </cfRule>
    <cfRule type="containsText" dxfId="406" priority="176" operator="containsText" text="REN">
      <formula>NOT(ISERROR(SEARCH("REN",AO7)))</formula>
    </cfRule>
    <cfRule type="containsText" dxfId="405" priority="177" operator="containsText" text="CD">
      <formula>NOT(ISERROR(SEARCH("CD",AO7)))</formula>
    </cfRule>
    <cfRule type="containsText" dxfId="404" priority="178" operator="containsText" text="VAC">
      <formula>NOT(ISERROR(SEARCH("VAC",AO7)))</formula>
    </cfRule>
    <cfRule type="containsText" dxfId="403" priority="179" operator="containsText" text="LNR">
      <formula>NOT(ISERROR(SEARCH("LNR",AO7)))</formula>
    </cfRule>
    <cfRule type="containsText" dxfId="402" priority="180" operator="containsText" text="S">
      <formula>NOT(ISERROR(SEARCH("S",AO7)))</formula>
    </cfRule>
    <cfRule type="containsText" dxfId="401" priority="181" operator="containsText" text="INC">
      <formula>NOT(ISERROR(SEARCH("INC",AO7)))</formula>
    </cfRule>
    <cfRule type="containsText" dxfId="400" priority="182" operator="containsText" text="D">
      <formula>NOT(ISERROR(SEARCH("D",AO7)))</formula>
    </cfRule>
    <cfRule type="containsText" dxfId="399" priority="183" operator="containsText" text="PNR">
      <formula>NOT(ISERROR(SEARCH("PNR",AO7)))</formula>
    </cfRule>
    <cfRule type="containsText" dxfId="398" priority="184" operator="containsText" text="AUS">
      <formula>NOT(ISERROR(SEARCH("AUS",AO7)))</formula>
    </cfRule>
    <cfRule type="duplicateValues" dxfId="397" priority="185"/>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51" id="{4523AB3F-81CC-45DB-A64C-F94CB3F27B94}">
            <xm:f>MATCH(J$8,'C:\Users\jcrodriguez\OneDrive - Serviasesorias SAS\Documentos\JUAN CARLOS OPERACIONES 2025\ALCALDIA DE BOGOTA\7. JULIO\[PLANILLA CONTROL PERSONAL JULIO ALCALDIA SUPERVISORES.xlsx]FECHAS'!#REF!,0)&gt;0</xm:f>
            <x14:dxf>
              <font>
                <b/>
                <i val="0"/>
                <color theme="0"/>
              </font>
              <fill>
                <patternFill>
                  <bgColor rgb="FFFF0000"/>
                </patternFill>
              </fill>
            </x14:dxf>
          </x14:cfRule>
          <x14:cfRule type="expression" priority="197" id="{9293FB4D-ED58-4F5F-99B0-32C5E6993FBF}">
            <xm:f>MATCH(J$8,'C:\Users\jcrodriguez\OneDrive - Serviasesorias SAS\Documentos\DIAN\[NOMINA COORDINADORES ENERO 2026.xlsm]FECHA'!#REF!,0)&gt;0</xm:f>
            <x14:dxf>
              <font>
                <b/>
                <i val="0"/>
                <color theme="0"/>
              </font>
              <fill>
                <patternFill>
                  <bgColor rgb="FFFF0000"/>
                </patternFill>
              </fill>
            </x14:dxf>
          </x14:cfRule>
          <xm:sqref>J7:AM8</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B1:AO10"/>
  <sheetViews>
    <sheetView topLeftCell="X4" zoomScale="60" zoomScaleNormal="60" workbookViewId="0">
      <selection activeCell="AP10" sqref="AP10"/>
    </sheetView>
  </sheetViews>
  <sheetFormatPr baseColWidth="10" defaultColWidth="11.42578125" defaultRowHeight="255" customHeight="1"/>
  <cols>
    <col min="1" max="1" width="24.140625" style="90" customWidth="1"/>
    <col min="2" max="2" width="7" style="90" bestFit="1" customWidth="1"/>
    <col min="3" max="3" width="16.42578125" style="136" customWidth="1"/>
    <col min="4" max="4" width="49.85546875" style="90" customWidth="1"/>
    <col min="5" max="5" width="39.5703125" style="90" customWidth="1"/>
    <col min="6" max="6" width="54.85546875" style="90" customWidth="1"/>
    <col min="7" max="7" width="75.5703125" style="90" customWidth="1"/>
    <col min="8" max="8" width="23.28515625" style="90" customWidth="1"/>
    <col min="9" max="9" width="25.140625" style="90" customWidth="1"/>
    <col min="10" max="10" width="8.140625" style="90" customWidth="1"/>
    <col min="11" max="18" width="6.7109375" style="90" customWidth="1"/>
    <col min="19" max="19" width="6.7109375" style="137" customWidth="1"/>
    <col min="20" max="20" width="6.42578125" style="137" customWidth="1"/>
    <col min="21" max="21" width="6.5703125" style="137" customWidth="1"/>
    <col min="22" max="25" width="6.7109375" style="137" customWidth="1"/>
    <col min="26" max="28" width="6.7109375" style="90" customWidth="1"/>
    <col min="29" max="32" width="6.7109375" style="137" customWidth="1"/>
    <col min="33" max="39" width="6.7109375" style="90" customWidth="1"/>
    <col min="40" max="40" width="18.85546875" style="90" customWidth="1"/>
    <col min="41" max="41" width="14" style="90" customWidth="1"/>
    <col min="42" max="16384" width="11.42578125" style="90"/>
  </cols>
  <sheetData>
    <row r="1" spans="2:41" ht="73.5" customHeight="1">
      <c r="B1" s="87"/>
      <c r="C1" s="88"/>
      <c r="D1" s="89"/>
      <c r="E1" s="89"/>
      <c r="F1" s="89"/>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2:41" ht="89.1" customHeight="1">
      <c r="B2" s="284" t="s">
        <v>791</v>
      </c>
      <c r="C2" s="285"/>
      <c r="D2" s="91"/>
      <c r="E2" s="92"/>
      <c r="F2" s="92"/>
      <c r="G2" s="93"/>
      <c r="H2" s="93"/>
      <c r="I2" s="93"/>
      <c r="P2" s="87"/>
      <c r="Q2" s="87"/>
      <c r="R2" s="87"/>
      <c r="S2" s="87"/>
      <c r="T2" s="87"/>
      <c r="U2" s="87"/>
      <c r="V2" s="87"/>
      <c r="W2" s="87"/>
      <c r="X2" s="87"/>
      <c r="Y2" s="87"/>
      <c r="Z2" s="87"/>
      <c r="AA2" s="87"/>
      <c r="AB2" s="87"/>
      <c r="AC2" s="87"/>
      <c r="AD2" s="87"/>
      <c r="AE2" s="87"/>
      <c r="AF2" s="87"/>
      <c r="AG2" s="87"/>
      <c r="AH2" s="87"/>
      <c r="AI2" s="87"/>
      <c r="AJ2" s="87"/>
      <c r="AK2" s="87"/>
    </row>
    <row r="3" spans="2:41" ht="57.6" customHeight="1">
      <c r="B3" s="87"/>
      <c r="C3" s="93"/>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row>
    <row r="4" spans="2:41" ht="42.95" customHeight="1">
      <c r="B4" s="293" t="s">
        <v>548</v>
      </c>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row>
    <row r="5" spans="2:41" ht="60.95" customHeight="1">
      <c r="B5" s="293"/>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row>
    <row r="6" spans="2:41" ht="44.1" customHeight="1">
      <c r="B6" s="87"/>
      <c r="C6" s="93"/>
      <c r="D6" s="87"/>
      <c r="E6" s="87"/>
      <c r="F6" s="87"/>
      <c r="G6" s="87"/>
      <c r="H6" s="87"/>
      <c r="I6" s="87"/>
      <c r="J6" s="94">
        <v>1</v>
      </c>
      <c r="K6" s="94">
        <v>2</v>
      </c>
      <c r="L6" s="94">
        <v>3</v>
      </c>
      <c r="M6" s="94">
        <v>4</v>
      </c>
      <c r="N6" s="94">
        <v>5</v>
      </c>
      <c r="O6" s="94">
        <v>6</v>
      </c>
      <c r="P6" s="94">
        <v>7</v>
      </c>
      <c r="Q6" s="94">
        <v>8</v>
      </c>
      <c r="R6" s="94">
        <v>9</v>
      </c>
      <c r="S6" s="94">
        <v>10</v>
      </c>
      <c r="T6" s="94">
        <v>11</v>
      </c>
      <c r="U6" s="94">
        <v>12</v>
      </c>
      <c r="V6" s="94">
        <v>13</v>
      </c>
      <c r="W6" s="94">
        <v>14</v>
      </c>
      <c r="X6" s="94">
        <v>15</v>
      </c>
      <c r="Y6" s="94">
        <v>16</v>
      </c>
      <c r="Z6" s="94">
        <v>17</v>
      </c>
      <c r="AA6" s="94">
        <v>18</v>
      </c>
      <c r="AB6" s="94">
        <v>19</v>
      </c>
      <c r="AC6" s="94">
        <v>20</v>
      </c>
      <c r="AD6" s="94">
        <v>21</v>
      </c>
      <c r="AE6" s="94">
        <v>22</v>
      </c>
      <c r="AF6" s="94">
        <v>23</v>
      </c>
      <c r="AG6" s="94">
        <v>24</v>
      </c>
      <c r="AH6" s="94">
        <v>25</v>
      </c>
      <c r="AI6" s="94">
        <v>26</v>
      </c>
      <c r="AJ6" s="94">
        <v>27</v>
      </c>
      <c r="AK6" s="94">
        <v>28</v>
      </c>
      <c r="AL6" s="94">
        <v>29</v>
      </c>
      <c r="AM6" s="94">
        <v>30</v>
      </c>
    </row>
    <row r="7" spans="2:41" ht="40.5" customHeight="1">
      <c r="B7" s="286" t="s">
        <v>1</v>
      </c>
      <c r="C7" s="286" t="s">
        <v>549</v>
      </c>
      <c r="D7" s="287" t="s">
        <v>550</v>
      </c>
      <c r="E7" s="286" t="s">
        <v>551</v>
      </c>
      <c r="F7" s="289" t="s">
        <v>552</v>
      </c>
      <c r="G7" s="291" t="s">
        <v>119</v>
      </c>
      <c r="H7" s="291" t="s">
        <v>553</v>
      </c>
      <c r="I7" s="282" t="s">
        <v>554</v>
      </c>
      <c r="J7" s="95" t="s">
        <v>798</v>
      </c>
      <c r="K7" s="95" t="s">
        <v>799</v>
      </c>
      <c r="L7" s="95" t="s">
        <v>800</v>
      </c>
      <c r="M7" s="95" t="s">
        <v>801</v>
      </c>
      <c r="N7" s="95" t="s">
        <v>802</v>
      </c>
      <c r="O7" s="95" t="s">
        <v>803</v>
      </c>
      <c r="P7" s="95" t="s">
        <v>804</v>
      </c>
      <c r="Q7" s="95" t="s">
        <v>798</v>
      </c>
      <c r="R7" s="95" t="s">
        <v>799</v>
      </c>
      <c r="S7" s="95" t="s">
        <v>800</v>
      </c>
      <c r="T7" s="95" t="s">
        <v>801</v>
      </c>
      <c r="U7" s="95" t="s">
        <v>802</v>
      </c>
      <c r="V7" s="95" t="s">
        <v>803</v>
      </c>
      <c r="W7" s="95" t="s">
        <v>804</v>
      </c>
      <c r="X7" s="95" t="s">
        <v>798</v>
      </c>
      <c r="Y7" s="95" t="s">
        <v>799</v>
      </c>
      <c r="Z7" s="95" t="s">
        <v>800</v>
      </c>
      <c r="AA7" s="95" t="s">
        <v>801</v>
      </c>
      <c r="AB7" s="95" t="s">
        <v>802</v>
      </c>
      <c r="AC7" s="95" t="s">
        <v>803</v>
      </c>
      <c r="AD7" s="95" t="s">
        <v>804</v>
      </c>
      <c r="AE7" s="95" t="s">
        <v>798</v>
      </c>
      <c r="AF7" s="95" t="s">
        <v>799</v>
      </c>
      <c r="AG7" s="95" t="s">
        <v>800</v>
      </c>
      <c r="AH7" s="95" t="s">
        <v>801</v>
      </c>
      <c r="AI7" s="95" t="s">
        <v>802</v>
      </c>
      <c r="AJ7" s="95" t="s">
        <v>803</v>
      </c>
      <c r="AK7" s="95" t="s">
        <v>804</v>
      </c>
      <c r="AL7" s="95" t="s">
        <v>802</v>
      </c>
      <c r="AM7" s="95" t="s">
        <v>803</v>
      </c>
      <c r="AO7" s="103" t="s">
        <v>563</v>
      </c>
    </row>
    <row r="8" spans="2:41" ht="40.5" customHeight="1">
      <c r="B8" s="287"/>
      <c r="C8" s="287"/>
      <c r="D8" s="288"/>
      <c r="E8" s="287"/>
      <c r="F8" s="290"/>
      <c r="G8" s="292"/>
      <c r="H8" s="292"/>
      <c r="I8" s="283"/>
      <c r="J8" s="108">
        <v>46204</v>
      </c>
      <c r="K8" s="109">
        <v>46205</v>
      </c>
      <c r="L8" s="109">
        <v>46206</v>
      </c>
      <c r="M8" s="109">
        <v>46207</v>
      </c>
      <c r="N8" s="109">
        <v>46208</v>
      </c>
      <c r="O8" s="109">
        <v>46209</v>
      </c>
      <c r="P8" s="109">
        <v>46210</v>
      </c>
      <c r="Q8" s="109">
        <v>46211</v>
      </c>
      <c r="R8" s="109">
        <v>46212</v>
      </c>
      <c r="S8" s="109">
        <v>46213</v>
      </c>
      <c r="T8" s="109">
        <v>46214</v>
      </c>
      <c r="U8" s="109">
        <v>46215</v>
      </c>
      <c r="V8" s="109">
        <v>46216</v>
      </c>
      <c r="W8" s="109">
        <v>46217</v>
      </c>
      <c r="X8" s="109">
        <v>46218</v>
      </c>
      <c r="Y8" s="109">
        <v>46219</v>
      </c>
      <c r="Z8" s="109">
        <v>46220</v>
      </c>
      <c r="AA8" s="109">
        <v>46221</v>
      </c>
      <c r="AB8" s="109">
        <v>46222</v>
      </c>
      <c r="AC8" s="109">
        <v>46223</v>
      </c>
      <c r="AD8" s="109">
        <v>46224</v>
      </c>
      <c r="AE8" s="109">
        <v>46225</v>
      </c>
      <c r="AF8" s="109">
        <v>46226</v>
      </c>
      <c r="AG8" s="109">
        <v>46227</v>
      </c>
      <c r="AH8" s="109">
        <v>46228</v>
      </c>
      <c r="AI8" s="109">
        <v>46229</v>
      </c>
      <c r="AJ8" s="109">
        <v>46230</v>
      </c>
      <c r="AK8" s="109">
        <v>46231</v>
      </c>
      <c r="AL8" s="109">
        <v>29</v>
      </c>
      <c r="AM8" s="109">
        <v>30</v>
      </c>
      <c r="AO8" s="110" t="s">
        <v>577</v>
      </c>
    </row>
    <row r="9" spans="2:41" ht="48.95" customHeight="1">
      <c r="B9" s="112">
        <v>189</v>
      </c>
      <c r="C9" s="113">
        <v>1143366323</v>
      </c>
      <c r="D9" s="114" t="s">
        <v>1155</v>
      </c>
      <c r="E9" s="217" t="s">
        <v>794</v>
      </c>
      <c r="F9" s="78" t="s">
        <v>506</v>
      </c>
      <c r="G9" s="263" t="s">
        <v>488</v>
      </c>
      <c r="H9" s="114" t="s">
        <v>1156</v>
      </c>
      <c r="I9" s="259" t="s">
        <v>1157</v>
      </c>
      <c r="J9" s="97">
        <v>0</v>
      </c>
      <c r="K9" s="97">
        <v>0</v>
      </c>
      <c r="L9" s="97">
        <v>0</v>
      </c>
      <c r="M9" s="97">
        <v>0</v>
      </c>
      <c r="N9" s="97" t="s">
        <v>557</v>
      </c>
      <c r="O9" s="97">
        <v>0</v>
      </c>
      <c r="P9" s="97">
        <v>0</v>
      </c>
      <c r="Q9" s="97">
        <v>0</v>
      </c>
      <c r="R9" s="97">
        <v>0</v>
      </c>
      <c r="S9" s="97">
        <v>0</v>
      </c>
      <c r="T9" s="97">
        <v>0</v>
      </c>
      <c r="U9" s="97" t="s">
        <v>557</v>
      </c>
      <c r="V9" s="97" t="s">
        <v>557</v>
      </c>
      <c r="W9" s="97">
        <v>0</v>
      </c>
      <c r="X9" s="97" t="s">
        <v>567</v>
      </c>
      <c r="Y9" s="97" t="s">
        <v>562</v>
      </c>
      <c r="Z9" s="97" t="s">
        <v>567</v>
      </c>
      <c r="AA9" s="97" t="s">
        <v>567</v>
      </c>
      <c r="AB9" s="97" t="s">
        <v>557</v>
      </c>
      <c r="AC9" s="97" t="s">
        <v>557</v>
      </c>
      <c r="AD9" s="97" t="s">
        <v>567</v>
      </c>
      <c r="AE9" s="97" t="s">
        <v>567</v>
      </c>
      <c r="AF9" s="97" t="s">
        <v>567</v>
      </c>
      <c r="AG9" s="97" t="s">
        <v>567</v>
      </c>
      <c r="AH9" s="97" t="s">
        <v>567</v>
      </c>
      <c r="AI9" s="97" t="s">
        <v>557</v>
      </c>
      <c r="AJ9" s="97" t="s">
        <v>555</v>
      </c>
      <c r="AK9" s="97" t="s">
        <v>567</v>
      </c>
      <c r="AL9" s="97" t="s">
        <v>567</v>
      </c>
      <c r="AM9" s="97" t="s">
        <v>563</v>
      </c>
      <c r="AO9" s="116">
        <f t="shared" ref="AO9" si="0">COUNTIF($J9:$AM9,AO$7)</f>
        <v>1</v>
      </c>
    </row>
    <row r="10" spans="2:41" ht="98.45" customHeight="1">
      <c r="AO10" s="138">
        <f>SUM(AO9:AO9)</f>
        <v>1</v>
      </c>
    </row>
  </sheetData>
  <autoFilter ref="A8:AO9" xr:uid="{00000000-0009-0000-0000-00000B000000}"/>
  <mergeCells count="10">
    <mergeCell ref="B2:C2"/>
    <mergeCell ref="B4:AM5"/>
    <mergeCell ref="B7:B8"/>
    <mergeCell ref="C7:C8"/>
    <mergeCell ref="D7:D8"/>
    <mergeCell ref="E7:E8"/>
    <mergeCell ref="F7:F8"/>
    <mergeCell ref="G7:G8"/>
    <mergeCell ref="H7:H8"/>
    <mergeCell ref="I7:I8"/>
  </mergeCells>
  <conditionalFormatting sqref="C1:C1048576">
    <cfRule type="duplicateValues" dxfId="396" priority="1"/>
    <cfRule type="duplicateValues" dxfId="395" priority="2"/>
    <cfRule type="duplicateValues" dxfId="394" priority="3"/>
    <cfRule type="duplicateValues" dxfId="393" priority="4"/>
    <cfRule type="duplicateValues" dxfId="392" priority="21"/>
    <cfRule type="duplicateValues" dxfId="391" priority="22"/>
    <cfRule type="duplicateValues" dxfId="390" priority="23"/>
  </conditionalFormatting>
  <conditionalFormatting sqref="C9">
    <cfRule type="duplicateValues" dxfId="389" priority="14556"/>
  </conditionalFormatting>
  <conditionalFormatting sqref="C10:C1048576 C1:C8">
    <cfRule type="duplicateValues" dxfId="388" priority="41"/>
  </conditionalFormatting>
  <conditionalFormatting sqref="I1:I3 I6:I8 I10:I1048576">
    <cfRule type="containsText" dxfId="387" priority="186" operator="containsText" text="RENUNCIA">
      <formula>NOT(ISERROR(SEARCH("RENUNCIA",I1)))</formula>
    </cfRule>
  </conditionalFormatting>
  <conditionalFormatting sqref="J7:AM8">
    <cfRule type="expression" dxfId="385" priority="196">
      <formula>AND(J$7="dom")</formula>
    </cfRule>
  </conditionalFormatting>
  <conditionalFormatting sqref="J9:AM9">
    <cfRule type="containsText" dxfId="383" priority="43" operator="containsText" text="TS">
      <formula>NOT(ISERROR(SEARCH("TS",J9)))</formula>
    </cfRule>
    <cfRule type="containsText" dxfId="382" priority="44" operator="containsText" text="&quot; &quot;">
      <formula>NOT(ISERROR(SEARCH(""" """,J9)))</formula>
    </cfRule>
    <cfRule type="containsText" dxfId="381" priority="45" operator="containsText" text="CD">
      <formula>NOT(ISERROR(SEARCH("CD",J9)))</formula>
    </cfRule>
    <cfRule type="containsText" dxfId="380" priority="46" operator="containsText" text="VAC">
      <formula>NOT(ISERROR(SEARCH("VAC",J9)))</formula>
    </cfRule>
    <cfRule type="containsText" dxfId="379" priority="47" operator="containsText" text="LT">
      <formula>NOT(ISERROR(SEARCH("LT",J9)))</formula>
    </cfRule>
    <cfRule type="containsText" dxfId="378" priority="48" operator="containsText" text="REN">
      <formula>NOT(ISERROR(SEARCH("REN",J9)))</formula>
    </cfRule>
    <cfRule type="containsText" dxfId="377" priority="49" operator="containsText" text="INC">
      <formula>NOT(ISERROR(SEARCH("INC",J9)))</formula>
    </cfRule>
    <cfRule type="containsText" dxfId="376" priority="50" operator="containsText" text="LNR">
      <formula>NOT(ISERROR(SEARCH("LNR",J9)))</formula>
    </cfRule>
    <cfRule type="containsText" dxfId="375" priority="187" operator="containsText" text="INC">
      <formula>NOT(ISERROR(SEARCH("INC",J9)))</formula>
    </cfRule>
    <cfRule type="containsText" dxfId="374" priority="188" operator="containsText" text="TC">
      <formula>NOT(ISERROR(SEARCH("TC",J9)))</formula>
    </cfRule>
    <cfRule type="containsText" dxfId="373" priority="189" operator="containsText" text="PNR">
      <formula>NOT(ISERROR(SEARCH("PNR",J9)))</formula>
    </cfRule>
    <cfRule type="containsText" dxfId="372" priority="190" operator="containsText" text="AUS">
      <formula>NOT(ISERROR(SEARCH("AUS",J9)))</formula>
    </cfRule>
    <cfRule type="containsText" dxfId="371" priority="191" operator="containsText" text="D">
      <formula>NOT(ISERROR(SEARCH("D",J9)))</formula>
    </cfRule>
    <cfRule type="containsText" dxfId="370" priority="192" stopIfTrue="1" operator="containsText" text="OK">
      <formula>NOT(ISERROR(SEARCH("OK",J9)))</formula>
    </cfRule>
    <cfRule type="containsText" dxfId="369" priority="194" operator="containsText" text="D">
      <formula>NOT(ISERROR(SEARCH("D",J9)))</formula>
    </cfRule>
    <cfRule type="containsBlanks" dxfId="368" priority="199">
      <formula>LEN(TRIM(J9))=0</formula>
    </cfRule>
  </conditionalFormatting>
  <conditionalFormatting sqref="AO7">
    <cfRule type="containsText" dxfId="367" priority="106" operator="containsText" text="OK">
      <formula>NOT(ISERROR(SEARCH("OK",AO7)))</formula>
    </cfRule>
    <cfRule type="containsText" dxfId="366" priority="107" operator="containsText" text="LT">
      <formula>NOT(ISERROR(SEARCH("LT",AO7)))</formula>
    </cfRule>
    <cfRule type="containsText" dxfId="365" priority="108" operator="containsText" text="TC">
      <formula>NOT(ISERROR(SEARCH("TC",AO7)))</formula>
    </cfRule>
    <cfRule type="containsText" dxfId="364" priority="109" operator="containsText" text="REN">
      <formula>NOT(ISERROR(SEARCH("REN",AO7)))</formula>
    </cfRule>
    <cfRule type="containsText" dxfId="363" priority="110" operator="containsText" text="CD">
      <formula>NOT(ISERROR(SEARCH("CD",AO7)))</formula>
    </cfRule>
    <cfRule type="containsText" dxfId="362" priority="111" operator="containsText" text="VAC">
      <formula>NOT(ISERROR(SEARCH("VAC",AO7)))</formula>
    </cfRule>
    <cfRule type="containsText" dxfId="361" priority="112" operator="containsText" text="LNR">
      <formula>NOT(ISERROR(SEARCH("LNR",AO7)))</formula>
    </cfRule>
    <cfRule type="containsText" dxfId="360" priority="113" operator="containsText" text="S">
      <formula>NOT(ISERROR(SEARCH("S",AO7)))</formula>
    </cfRule>
    <cfRule type="containsText" dxfId="359" priority="114" operator="containsText" text="INC">
      <formula>NOT(ISERROR(SEARCH("INC",AO7)))</formula>
    </cfRule>
    <cfRule type="containsText" dxfId="358" priority="115" operator="containsText" text="D">
      <formula>NOT(ISERROR(SEARCH("D",AO7)))</formula>
    </cfRule>
    <cfRule type="containsText" dxfId="357" priority="116" operator="containsText" text="PNR">
      <formula>NOT(ISERROR(SEARCH("PNR",AO7)))</formula>
    </cfRule>
    <cfRule type="containsText" dxfId="356" priority="117" operator="containsText" text="AUS">
      <formula>NOT(ISERROR(SEARCH("AUS",AO7)))</formula>
    </cfRule>
    <cfRule type="duplicateValues" dxfId="355" priority="118"/>
    <cfRule type="containsText" dxfId="354" priority="119" operator="containsText" text="&quot; &quot;">
      <formula>NOT(ISERROR(SEARCH(""" """,AO7)))</formula>
    </cfRule>
    <cfRule type="containsText" dxfId="353" priority="120" operator="containsText" text="CD">
      <formula>NOT(ISERROR(SEARCH("CD",AO7)))</formula>
    </cfRule>
    <cfRule type="containsText" dxfId="352" priority="121" operator="containsText" text="VAC">
      <formula>NOT(ISERROR(SEARCH("VAC",AO7)))</formula>
    </cfRule>
    <cfRule type="containsText" dxfId="351" priority="122" operator="containsText" text="LT">
      <formula>NOT(ISERROR(SEARCH("LT",AO7)))</formula>
    </cfRule>
    <cfRule type="containsText" dxfId="350" priority="123" operator="containsText" text="INC">
      <formula>NOT(ISERROR(SEARCH("INC",AO7)))</formula>
    </cfRule>
    <cfRule type="containsText" dxfId="349" priority="124" operator="containsText" text="LNR">
      <formula>NOT(ISERROR(SEARCH("LNR",AO7)))</formula>
    </cfRule>
    <cfRule type="containsText" dxfId="348" priority="125" operator="containsText" text="INC">
      <formula>NOT(ISERROR(SEARCH("INC",AO7)))</formula>
    </cfRule>
    <cfRule type="containsText" dxfId="347" priority="126" operator="containsText" text="TC">
      <formula>NOT(ISERROR(SEARCH("TC",AO7)))</formula>
    </cfRule>
    <cfRule type="containsText" dxfId="346" priority="127" operator="containsText" text="PNR">
      <formula>NOT(ISERROR(SEARCH("PNR",AO7)))</formula>
    </cfRule>
    <cfRule type="containsText" dxfId="345" priority="128" operator="containsText" text="AUS">
      <formula>NOT(ISERROR(SEARCH("AUS",AO7)))</formula>
    </cfRule>
    <cfRule type="containsText" dxfId="344" priority="129" operator="containsText" text="D">
      <formula>NOT(ISERROR(SEARCH("D",AO7)))</formula>
    </cfRule>
    <cfRule type="containsText" dxfId="343" priority="130" stopIfTrue="1" operator="containsText" text="OK">
      <formula>NOT(ISERROR(SEARCH("OK",AO7)))</formula>
    </cfRule>
    <cfRule type="containsText" dxfId="342" priority="131" operator="containsText" text="D">
      <formula>NOT(ISERROR(SEARCH("D",AO7)))</formula>
    </cfRule>
    <cfRule type="containsBlanks" dxfId="341" priority="132">
      <formula>LEN(TRIM(AO7))=0</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51" id="{B1BF85C6-5A67-44B8-8C1D-19EDCA6FD27A}">
            <xm:f>MATCH(J$8,'C:\Users\jcrodriguez\OneDrive - Serviasesorias SAS\Documentos\JUAN CARLOS OPERACIONES 2025\ALCALDIA DE BOGOTA\7. JULIO\[PLANILLA CONTROL PERSONAL JULIO ALCALDIA SUPERVISORES.xlsx]FECHAS'!#REF!,0)&gt;0</xm:f>
            <x14:dxf>
              <font>
                <b/>
                <i val="0"/>
                <color theme="0"/>
              </font>
              <fill>
                <patternFill>
                  <bgColor rgb="FFFF0000"/>
                </patternFill>
              </fill>
            </x14:dxf>
          </x14:cfRule>
          <x14:cfRule type="expression" priority="197" id="{194E39EB-20DD-4040-93EC-4ADF4CC14694}">
            <xm:f>MATCH(J$8,'C:\Users\jcrodriguez\OneDrive - Serviasesorias SAS\Documentos\DIAN\[NOMINA COORDINADORES ENERO 2026.xlsm]FECHA'!#REF!,0)&gt;0</xm:f>
            <x14:dxf>
              <font>
                <b/>
                <i val="0"/>
                <color theme="0"/>
              </font>
              <fill>
                <patternFill>
                  <bgColor rgb="FFFF0000"/>
                </patternFill>
              </fill>
            </x14:dxf>
          </x14:cfRule>
          <xm:sqref>J7:AM8</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AO15"/>
  <sheetViews>
    <sheetView topLeftCell="I7" zoomScale="60" zoomScaleNormal="60" workbookViewId="0">
      <selection activeCell="AL10" sqref="AL10"/>
    </sheetView>
  </sheetViews>
  <sheetFormatPr baseColWidth="10" defaultColWidth="11.42578125" defaultRowHeight="255" customHeight="1"/>
  <cols>
    <col min="1" max="1" width="24.140625" style="90" customWidth="1"/>
    <col min="2" max="2" width="7" style="90" bestFit="1" customWidth="1"/>
    <col min="3" max="3" width="16.42578125" style="136" customWidth="1"/>
    <col min="4" max="4" width="49.85546875" style="90" customWidth="1"/>
    <col min="5" max="5" width="39.5703125" style="90" customWidth="1"/>
    <col min="6" max="6" width="54.85546875" style="90" customWidth="1"/>
    <col min="7" max="7" width="75.5703125" style="90" customWidth="1"/>
    <col min="8" max="8" width="23.28515625" style="90" customWidth="1"/>
    <col min="9" max="9" width="25.140625" style="90" customWidth="1"/>
    <col min="10" max="10" width="8.140625" style="90" customWidth="1"/>
    <col min="11" max="18" width="6.7109375" style="90" customWidth="1"/>
    <col min="19" max="19" width="6.7109375" style="137" customWidth="1"/>
    <col min="20" max="20" width="6.42578125" style="137" customWidth="1"/>
    <col min="21" max="21" width="6.5703125" style="137" customWidth="1"/>
    <col min="22" max="25" width="6.7109375" style="137" customWidth="1"/>
    <col min="26" max="28" width="6.7109375" style="90" customWidth="1"/>
    <col min="29" max="32" width="6.7109375" style="137" customWidth="1"/>
    <col min="33" max="39" width="6.7109375" style="90" customWidth="1"/>
    <col min="40" max="41" width="18.85546875" style="90" customWidth="1"/>
    <col min="42" max="16384" width="11.42578125" style="90"/>
  </cols>
  <sheetData>
    <row r="1" spans="1:41" ht="73.5" customHeight="1">
      <c r="B1" s="87"/>
      <c r="C1" s="88"/>
      <c r="D1" s="89"/>
      <c r="E1" s="89"/>
      <c r="F1" s="89"/>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1:41" ht="89.1" customHeight="1">
      <c r="B2" s="284" t="s">
        <v>791</v>
      </c>
      <c r="C2" s="285"/>
      <c r="D2" s="91"/>
      <c r="E2" s="92"/>
      <c r="F2" s="92"/>
      <c r="G2" s="93"/>
      <c r="H2" s="93"/>
      <c r="I2" s="93"/>
      <c r="P2" s="87"/>
      <c r="Q2" s="87"/>
      <c r="R2" s="87"/>
      <c r="S2" s="87"/>
      <c r="T2" s="87"/>
      <c r="U2" s="87"/>
      <c r="V2" s="87"/>
      <c r="W2" s="87"/>
      <c r="X2" s="87"/>
      <c r="Y2" s="87"/>
      <c r="Z2" s="87"/>
      <c r="AA2" s="87"/>
      <c r="AB2" s="87"/>
      <c r="AC2" s="87"/>
      <c r="AD2" s="87"/>
      <c r="AE2" s="87"/>
      <c r="AF2" s="87"/>
      <c r="AG2" s="87"/>
      <c r="AH2" s="87"/>
      <c r="AI2" s="87"/>
      <c r="AJ2" s="87"/>
      <c r="AK2" s="87"/>
    </row>
    <row r="3" spans="1:41" ht="57.6" customHeight="1">
      <c r="B3" s="87"/>
      <c r="C3" s="93"/>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row>
    <row r="4" spans="1:41" ht="42.95" customHeight="1">
      <c r="B4" s="293" t="s">
        <v>548</v>
      </c>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row>
    <row r="5" spans="1:41" ht="60.95" customHeight="1">
      <c r="B5" s="293"/>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row>
    <row r="6" spans="1:41" ht="44.1" customHeight="1">
      <c r="B6" s="87"/>
      <c r="C6" s="93"/>
      <c r="D6" s="87"/>
      <c r="E6" s="87"/>
      <c r="F6" s="87"/>
      <c r="G6" s="87"/>
      <c r="H6" s="87"/>
      <c r="I6" s="87"/>
      <c r="J6" s="94">
        <v>1</v>
      </c>
      <c r="K6" s="94">
        <v>2</v>
      </c>
      <c r="L6" s="94">
        <v>3</v>
      </c>
      <c r="M6" s="94">
        <v>4</v>
      </c>
      <c r="N6" s="94">
        <v>5</v>
      </c>
      <c r="O6" s="94">
        <v>6</v>
      </c>
      <c r="P6" s="94">
        <v>7</v>
      </c>
      <c r="Q6" s="94">
        <v>8</v>
      </c>
      <c r="R6" s="94">
        <v>9</v>
      </c>
      <c r="S6" s="94">
        <v>10</v>
      </c>
      <c r="T6" s="94">
        <v>11</v>
      </c>
      <c r="U6" s="94">
        <v>12</v>
      </c>
      <c r="V6" s="94">
        <v>13</v>
      </c>
      <c r="W6" s="94">
        <v>14</v>
      </c>
      <c r="X6" s="94">
        <v>15</v>
      </c>
      <c r="Y6" s="94">
        <v>16</v>
      </c>
      <c r="Z6" s="94">
        <v>17</v>
      </c>
      <c r="AA6" s="94">
        <v>18</v>
      </c>
      <c r="AB6" s="94">
        <v>19</v>
      </c>
      <c r="AC6" s="94">
        <v>20</v>
      </c>
      <c r="AD6" s="94">
        <v>21</v>
      </c>
      <c r="AE6" s="94">
        <v>22</v>
      </c>
      <c r="AF6" s="94">
        <v>23</v>
      </c>
      <c r="AG6" s="94">
        <v>24</v>
      </c>
      <c r="AH6" s="94">
        <v>25</v>
      </c>
      <c r="AI6" s="94">
        <v>26</v>
      </c>
      <c r="AJ6" s="94">
        <v>27</v>
      </c>
      <c r="AK6" s="94">
        <v>28</v>
      </c>
      <c r="AL6" s="94">
        <v>29</v>
      </c>
      <c r="AM6" s="94">
        <v>30</v>
      </c>
    </row>
    <row r="7" spans="1:41" ht="40.5" customHeight="1">
      <c r="B7" s="286" t="s">
        <v>1</v>
      </c>
      <c r="C7" s="286" t="s">
        <v>549</v>
      </c>
      <c r="D7" s="287" t="s">
        <v>550</v>
      </c>
      <c r="E7" s="286" t="s">
        <v>551</v>
      </c>
      <c r="F7" s="289" t="s">
        <v>552</v>
      </c>
      <c r="G7" s="291" t="s">
        <v>119</v>
      </c>
      <c r="H7" s="291" t="s">
        <v>553</v>
      </c>
      <c r="I7" s="282" t="s">
        <v>554</v>
      </c>
      <c r="J7" s="95" t="s">
        <v>798</v>
      </c>
      <c r="K7" s="95" t="s">
        <v>799</v>
      </c>
      <c r="L7" s="95" t="s">
        <v>800</v>
      </c>
      <c r="M7" s="95" t="s">
        <v>801</v>
      </c>
      <c r="N7" s="95" t="s">
        <v>802</v>
      </c>
      <c r="O7" s="95" t="s">
        <v>803</v>
      </c>
      <c r="P7" s="95" t="s">
        <v>804</v>
      </c>
      <c r="Q7" s="95" t="s">
        <v>798</v>
      </c>
      <c r="R7" s="95" t="s">
        <v>799</v>
      </c>
      <c r="S7" s="95" t="s">
        <v>800</v>
      </c>
      <c r="T7" s="95" t="s">
        <v>801</v>
      </c>
      <c r="U7" s="95" t="s">
        <v>802</v>
      </c>
      <c r="V7" s="95" t="s">
        <v>803</v>
      </c>
      <c r="W7" s="95" t="s">
        <v>804</v>
      </c>
      <c r="X7" s="95" t="s">
        <v>798</v>
      </c>
      <c r="Y7" s="95" t="s">
        <v>799</v>
      </c>
      <c r="Z7" s="95" t="s">
        <v>800</v>
      </c>
      <c r="AA7" s="95" t="s">
        <v>801</v>
      </c>
      <c r="AB7" s="95" t="s">
        <v>802</v>
      </c>
      <c r="AC7" s="95" t="s">
        <v>803</v>
      </c>
      <c r="AD7" s="95" t="s">
        <v>804</v>
      </c>
      <c r="AE7" s="95" t="s">
        <v>798</v>
      </c>
      <c r="AF7" s="95" t="s">
        <v>799</v>
      </c>
      <c r="AG7" s="95" t="s">
        <v>800</v>
      </c>
      <c r="AH7" s="95" t="s">
        <v>801</v>
      </c>
      <c r="AI7" s="95" t="s">
        <v>802</v>
      </c>
      <c r="AJ7" s="95" t="s">
        <v>803</v>
      </c>
      <c r="AK7" s="95" t="s">
        <v>804</v>
      </c>
      <c r="AL7" s="95" t="s">
        <v>802</v>
      </c>
      <c r="AM7" s="95" t="s">
        <v>803</v>
      </c>
      <c r="AO7" s="96" t="s">
        <v>555</v>
      </c>
    </row>
    <row r="8" spans="1:41" ht="40.5" customHeight="1">
      <c r="B8" s="287"/>
      <c r="C8" s="287"/>
      <c r="D8" s="288"/>
      <c r="E8" s="287"/>
      <c r="F8" s="290"/>
      <c r="G8" s="292"/>
      <c r="H8" s="292"/>
      <c r="I8" s="283"/>
      <c r="J8" s="108">
        <v>46204</v>
      </c>
      <c r="K8" s="109">
        <v>46205</v>
      </c>
      <c r="L8" s="109">
        <v>46206</v>
      </c>
      <c r="M8" s="109">
        <v>46207</v>
      </c>
      <c r="N8" s="109">
        <v>46208</v>
      </c>
      <c r="O8" s="109">
        <v>46209</v>
      </c>
      <c r="P8" s="109">
        <v>46210</v>
      </c>
      <c r="Q8" s="109">
        <v>46211</v>
      </c>
      <c r="R8" s="109">
        <v>46212</v>
      </c>
      <c r="S8" s="109">
        <v>46213</v>
      </c>
      <c r="T8" s="109">
        <v>46214</v>
      </c>
      <c r="U8" s="109">
        <v>46215</v>
      </c>
      <c r="V8" s="109">
        <v>46216</v>
      </c>
      <c r="W8" s="109">
        <v>46217</v>
      </c>
      <c r="X8" s="109">
        <v>46218</v>
      </c>
      <c r="Y8" s="109">
        <v>46219</v>
      </c>
      <c r="Z8" s="109">
        <v>46220</v>
      </c>
      <c r="AA8" s="109">
        <v>46221</v>
      </c>
      <c r="AB8" s="109">
        <v>46222</v>
      </c>
      <c r="AC8" s="109">
        <v>46223</v>
      </c>
      <c r="AD8" s="109">
        <v>46224</v>
      </c>
      <c r="AE8" s="109">
        <v>46225</v>
      </c>
      <c r="AF8" s="109">
        <v>46226</v>
      </c>
      <c r="AG8" s="109">
        <v>46227</v>
      </c>
      <c r="AH8" s="109">
        <v>46228</v>
      </c>
      <c r="AI8" s="109">
        <v>46229</v>
      </c>
      <c r="AJ8" s="109">
        <v>46230</v>
      </c>
      <c r="AK8" s="109">
        <v>46231</v>
      </c>
      <c r="AL8" s="109">
        <v>29</v>
      </c>
      <c r="AM8" s="109">
        <v>30</v>
      </c>
      <c r="AO8" s="110" t="s">
        <v>569</v>
      </c>
    </row>
    <row r="9" spans="1:41" ht="48.95" customHeight="1">
      <c r="A9" s="216"/>
      <c r="B9" s="112">
        <v>40</v>
      </c>
      <c r="C9" s="113">
        <v>1007538618</v>
      </c>
      <c r="D9" s="114" t="s">
        <v>768</v>
      </c>
      <c r="E9" s="134" t="s">
        <v>792</v>
      </c>
      <c r="F9" s="78" t="s">
        <v>506</v>
      </c>
      <c r="G9" s="260" t="s">
        <v>161</v>
      </c>
      <c r="H9" s="114" t="s">
        <v>769</v>
      </c>
      <c r="I9" s="114" t="s">
        <v>770</v>
      </c>
      <c r="J9" s="97" t="s">
        <v>567</v>
      </c>
      <c r="K9" s="97" t="s">
        <v>567</v>
      </c>
      <c r="L9" s="97" t="s">
        <v>567</v>
      </c>
      <c r="M9" s="97" t="s">
        <v>567</v>
      </c>
      <c r="N9" s="97" t="s">
        <v>557</v>
      </c>
      <c r="O9" s="97" t="s">
        <v>555</v>
      </c>
      <c r="P9" s="97" t="s">
        <v>567</v>
      </c>
      <c r="Q9" s="97" t="s">
        <v>567</v>
      </c>
      <c r="R9" s="97" t="s">
        <v>567</v>
      </c>
      <c r="S9" s="97" t="s">
        <v>567</v>
      </c>
      <c r="T9" s="97" t="s">
        <v>567</v>
      </c>
      <c r="U9" s="97" t="s">
        <v>557</v>
      </c>
      <c r="V9" s="97" t="s">
        <v>557</v>
      </c>
      <c r="W9" s="97" t="s">
        <v>567</v>
      </c>
      <c r="X9" s="97" t="s">
        <v>567</v>
      </c>
      <c r="Y9" s="97" t="s">
        <v>567</v>
      </c>
      <c r="Z9" s="97" t="s">
        <v>567</v>
      </c>
      <c r="AA9" s="97" t="s">
        <v>567</v>
      </c>
      <c r="AB9" s="97" t="s">
        <v>557</v>
      </c>
      <c r="AC9" s="97" t="s">
        <v>557</v>
      </c>
      <c r="AD9" s="97" t="s">
        <v>567</v>
      </c>
      <c r="AE9" s="97" t="s">
        <v>567</v>
      </c>
      <c r="AF9" s="97" t="s">
        <v>567</v>
      </c>
      <c r="AG9" s="97" t="s">
        <v>567</v>
      </c>
      <c r="AH9" s="97" t="s">
        <v>567</v>
      </c>
      <c r="AI9" s="97" t="s">
        <v>567</v>
      </c>
      <c r="AJ9" s="97" t="s">
        <v>557</v>
      </c>
      <c r="AK9" s="97" t="s">
        <v>567</v>
      </c>
      <c r="AL9" s="97" t="s">
        <v>567</v>
      </c>
      <c r="AM9" s="97" t="s">
        <v>567</v>
      </c>
      <c r="AO9" s="116">
        <f t="shared" ref="AO9" si="0">COUNTIF($J9:$AM9,AO$7)</f>
        <v>1</v>
      </c>
    </row>
    <row r="10" spans="1:41" ht="48.95" customHeight="1">
      <c r="B10" s="112">
        <v>88</v>
      </c>
      <c r="C10" s="113">
        <v>1024487831</v>
      </c>
      <c r="D10" s="114" t="s">
        <v>748</v>
      </c>
      <c r="E10" s="115" t="s">
        <v>793</v>
      </c>
      <c r="F10" s="78" t="s">
        <v>507</v>
      </c>
      <c r="G10" s="124" t="s">
        <v>480</v>
      </c>
      <c r="H10" s="114" t="s">
        <v>749</v>
      </c>
      <c r="I10" s="114" t="s">
        <v>747</v>
      </c>
      <c r="J10" s="97" t="s">
        <v>567</v>
      </c>
      <c r="K10" s="97" t="s">
        <v>567</v>
      </c>
      <c r="L10" s="97" t="s">
        <v>567</v>
      </c>
      <c r="M10" s="97" t="s">
        <v>567</v>
      </c>
      <c r="N10" s="97" t="s">
        <v>557</v>
      </c>
      <c r="O10" s="97" t="s">
        <v>567</v>
      </c>
      <c r="P10" s="97" t="s">
        <v>567</v>
      </c>
      <c r="Q10" s="97" t="s">
        <v>567</v>
      </c>
      <c r="R10" s="97" t="s">
        <v>567</v>
      </c>
      <c r="S10" s="97" t="s">
        <v>567</v>
      </c>
      <c r="T10" s="97" t="s">
        <v>567</v>
      </c>
      <c r="U10" s="97" t="s">
        <v>557</v>
      </c>
      <c r="V10" s="97" t="s">
        <v>557</v>
      </c>
      <c r="W10" s="97" t="s">
        <v>567</v>
      </c>
      <c r="X10" s="97" t="s">
        <v>567</v>
      </c>
      <c r="Y10" s="97" t="s">
        <v>567</v>
      </c>
      <c r="Z10" s="97" t="s">
        <v>567</v>
      </c>
      <c r="AA10" s="97" t="s">
        <v>567</v>
      </c>
      <c r="AB10" s="97" t="s">
        <v>557</v>
      </c>
      <c r="AC10" s="97" t="s">
        <v>557</v>
      </c>
      <c r="AD10" s="97" t="s">
        <v>555</v>
      </c>
      <c r="AE10" s="97" t="s">
        <v>567</v>
      </c>
      <c r="AF10" s="97" t="s">
        <v>567</v>
      </c>
      <c r="AG10" s="97" t="s">
        <v>555</v>
      </c>
      <c r="AH10" s="97" t="s">
        <v>567</v>
      </c>
      <c r="AI10" s="97" t="s">
        <v>557</v>
      </c>
      <c r="AJ10" s="97" t="s">
        <v>567</v>
      </c>
      <c r="AK10" s="97" t="s">
        <v>567</v>
      </c>
      <c r="AL10" s="97" t="s">
        <v>567</v>
      </c>
      <c r="AM10" s="97" t="s">
        <v>567</v>
      </c>
      <c r="AO10" s="116">
        <f t="shared" ref="AO10" si="1">COUNTIF($J10:$AM10,AO$7)</f>
        <v>2</v>
      </c>
    </row>
    <row r="11" spans="1:41" ht="48.95" customHeight="1">
      <c r="B11" s="112">
        <v>100</v>
      </c>
      <c r="C11" s="113">
        <v>1023940881</v>
      </c>
      <c r="D11" s="114" t="s">
        <v>985</v>
      </c>
      <c r="E11" s="115" t="s">
        <v>793</v>
      </c>
      <c r="F11" s="78" t="s">
        <v>506</v>
      </c>
      <c r="G11" s="124" t="s">
        <v>479</v>
      </c>
      <c r="H11" s="114" t="s">
        <v>986</v>
      </c>
      <c r="I11" s="114" t="s">
        <v>597</v>
      </c>
      <c r="J11" s="97" t="s">
        <v>567</v>
      </c>
      <c r="K11" s="97" t="s">
        <v>567</v>
      </c>
      <c r="L11" s="97" t="s">
        <v>567</v>
      </c>
      <c r="M11" s="97" t="s">
        <v>567</v>
      </c>
      <c r="N11" s="97" t="s">
        <v>557</v>
      </c>
      <c r="O11" s="97" t="s">
        <v>567</v>
      </c>
      <c r="P11" s="97" t="s">
        <v>567</v>
      </c>
      <c r="Q11" s="97" t="s">
        <v>555</v>
      </c>
      <c r="R11" s="97" t="s">
        <v>567</v>
      </c>
      <c r="S11" s="97" t="s">
        <v>567</v>
      </c>
      <c r="T11" s="97" t="s">
        <v>567</v>
      </c>
      <c r="U11" s="97" t="s">
        <v>557</v>
      </c>
      <c r="V11" s="97" t="s">
        <v>557</v>
      </c>
      <c r="W11" s="97" t="s">
        <v>567</v>
      </c>
      <c r="X11" s="97" t="s">
        <v>567</v>
      </c>
      <c r="Y11" s="97" t="s">
        <v>567</v>
      </c>
      <c r="Z11" s="97" t="s">
        <v>567</v>
      </c>
      <c r="AA11" s="97" t="s">
        <v>567</v>
      </c>
      <c r="AB11" s="97" t="s">
        <v>557</v>
      </c>
      <c r="AC11" s="97" t="s">
        <v>557</v>
      </c>
      <c r="AD11" s="97" t="s">
        <v>567</v>
      </c>
      <c r="AE11" s="97" t="s">
        <v>567</v>
      </c>
      <c r="AF11" s="97" t="s">
        <v>567</v>
      </c>
      <c r="AG11" s="97" t="s">
        <v>567</v>
      </c>
      <c r="AH11" s="97" t="s">
        <v>567</v>
      </c>
      <c r="AI11" s="97" t="s">
        <v>557</v>
      </c>
      <c r="AJ11" s="97" t="s">
        <v>567</v>
      </c>
      <c r="AK11" s="97" t="s">
        <v>567</v>
      </c>
      <c r="AL11" s="97" t="s">
        <v>567</v>
      </c>
      <c r="AM11" s="97" t="s">
        <v>567</v>
      </c>
      <c r="AO11" s="116">
        <f t="shared" ref="AO11:AO12" si="2">COUNTIF($J11:$AM11,AO$7)</f>
        <v>1</v>
      </c>
    </row>
    <row r="12" spans="1:41" ht="48.95" customHeight="1">
      <c r="B12" s="112">
        <v>105</v>
      </c>
      <c r="C12" s="113">
        <v>1022985784</v>
      </c>
      <c r="D12" s="114" t="s">
        <v>993</v>
      </c>
      <c r="E12" s="115" t="s">
        <v>793</v>
      </c>
      <c r="F12" s="78" t="s">
        <v>507</v>
      </c>
      <c r="G12" s="82" t="s">
        <v>483</v>
      </c>
      <c r="H12" s="114" t="s">
        <v>994</v>
      </c>
      <c r="I12" s="114" t="s">
        <v>597</v>
      </c>
      <c r="J12" s="97" t="s">
        <v>567</v>
      </c>
      <c r="K12" s="97" t="s">
        <v>567</v>
      </c>
      <c r="L12" s="97" t="s">
        <v>567</v>
      </c>
      <c r="M12" s="97" t="s">
        <v>567</v>
      </c>
      <c r="N12" s="97" t="s">
        <v>557</v>
      </c>
      <c r="O12" s="97" t="s">
        <v>555</v>
      </c>
      <c r="P12" s="97" t="s">
        <v>567</v>
      </c>
      <c r="Q12" s="97" t="s">
        <v>567</v>
      </c>
      <c r="R12" s="97" t="s">
        <v>567</v>
      </c>
      <c r="S12" s="97" t="s">
        <v>567</v>
      </c>
      <c r="T12" s="97" t="s">
        <v>567</v>
      </c>
      <c r="U12" s="97" t="s">
        <v>557</v>
      </c>
      <c r="V12" s="97" t="s">
        <v>557</v>
      </c>
      <c r="W12" s="97" t="s">
        <v>567</v>
      </c>
      <c r="X12" s="97" t="s">
        <v>567</v>
      </c>
      <c r="Y12" s="97" t="s">
        <v>567</v>
      </c>
      <c r="Z12" s="97" t="s">
        <v>567</v>
      </c>
      <c r="AA12" s="97" t="s">
        <v>567</v>
      </c>
      <c r="AB12" s="97" t="s">
        <v>557</v>
      </c>
      <c r="AC12" s="97" t="s">
        <v>557</v>
      </c>
      <c r="AD12" s="97" t="s">
        <v>567</v>
      </c>
      <c r="AE12" s="97" t="s">
        <v>567</v>
      </c>
      <c r="AF12" s="97" t="s">
        <v>567</v>
      </c>
      <c r="AG12" s="97" t="s">
        <v>567</v>
      </c>
      <c r="AH12" s="97" t="s">
        <v>567</v>
      </c>
      <c r="AI12" s="97" t="s">
        <v>557</v>
      </c>
      <c r="AJ12" s="97" t="s">
        <v>567</v>
      </c>
      <c r="AK12" s="97" t="s">
        <v>567</v>
      </c>
      <c r="AL12" s="97" t="s">
        <v>567</v>
      </c>
      <c r="AM12" s="97" t="s">
        <v>567</v>
      </c>
      <c r="AO12" s="116">
        <f t="shared" si="2"/>
        <v>1</v>
      </c>
    </row>
    <row r="13" spans="1:41" ht="48.95" customHeight="1">
      <c r="B13" s="112">
        <v>174</v>
      </c>
      <c r="C13" s="113">
        <v>1020727061</v>
      </c>
      <c r="D13" s="114" t="s">
        <v>756</v>
      </c>
      <c r="E13" s="217" t="s">
        <v>794</v>
      </c>
      <c r="F13" s="78" t="s">
        <v>506</v>
      </c>
      <c r="G13" s="263" t="s">
        <v>484</v>
      </c>
      <c r="H13" s="114" t="s">
        <v>757</v>
      </c>
      <c r="I13" s="114" t="s">
        <v>597</v>
      </c>
      <c r="J13" s="97" t="s">
        <v>567</v>
      </c>
      <c r="K13" s="97" t="s">
        <v>567</v>
      </c>
      <c r="L13" s="97" t="s">
        <v>567</v>
      </c>
      <c r="M13" s="97" t="s">
        <v>567</v>
      </c>
      <c r="N13" s="97" t="s">
        <v>557</v>
      </c>
      <c r="O13" s="97" t="s">
        <v>567</v>
      </c>
      <c r="P13" s="97" t="s">
        <v>567</v>
      </c>
      <c r="Q13" s="97" t="s">
        <v>567</v>
      </c>
      <c r="R13" s="97" t="s">
        <v>567</v>
      </c>
      <c r="S13" s="97" t="s">
        <v>567</v>
      </c>
      <c r="T13" s="97" t="s">
        <v>567</v>
      </c>
      <c r="U13" s="97" t="s">
        <v>557</v>
      </c>
      <c r="V13" s="97" t="s">
        <v>557</v>
      </c>
      <c r="W13" s="97" t="s">
        <v>567</v>
      </c>
      <c r="X13" s="97" t="s">
        <v>567</v>
      </c>
      <c r="Y13" s="97" t="s">
        <v>567</v>
      </c>
      <c r="Z13" s="97" t="s">
        <v>567</v>
      </c>
      <c r="AA13" s="97" t="s">
        <v>567</v>
      </c>
      <c r="AB13" s="97" t="s">
        <v>557</v>
      </c>
      <c r="AC13" s="97" t="s">
        <v>557</v>
      </c>
      <c r="AD13" s="97" t="s">
        <v>567</v>
      </c>
      <c r="AE13" s="97" t="s">
        <v>567</v>
      </c>
      <c r="AF13" s="97" t="s">
        <v>567</v>
      </c>
      <c r="AG13" s="97" t="s">
        <v>567</v>
      </c>
      <c r="AH13" s="97" t="s">
        <v>567</v>
      </c>
      <c r="AI13" s="97" t="s">
        <v>557</v>
      </c>
      <c r="AJ13" s="97" t="s">
        <v>567</v>
      </c>
      <c r="AK13" s="97" t="s">
        <v>567</v>
      </c>
      <c r="AL13" s="97" t="s">
        <v>567</v>
      </c>
      <c r="AM13" s="97" t="s">
        <v>555</v>
      </c>
      <c r="AO13" s="116">
        <f t="shared" ref="AO13" si="3">COUNTIF($J13:$AM13,AO$7)</f>
        <v>1</v>
      </c>
    </row>
    <row r="14" spans="1:41" ht="48.95" customHeight="1">
      <c r="B14" s="112">
        <v>189</v>
      </c>
      <c r="C14" s="113">
        <v>1143366323</v>
      </c>
      <c r="D14" s="114" t="s">
        <v>1155</v>
      </c>
      <c r="E14" s="217" t="s">
        <v>794</v>
      </c>
      <c r="F14" s="78" t="s">
        <v>506</v>
      </c>
      <c r="G14" s="263" t="s">
        <v>488</v>
      </c>
      <c r="H14" s="114" t="s">
        <v>1156</v>
      </c>
      <c r="I14" s="259" t="s">
        <v>1157</v>
      </c>
      <c r="J14" s="97">
        <v>0</v>
      </c>
      <c r="K14" s="97">
        <v>0</v>
      </c>
      <c r="L14" s="97">
        <v>0</v>
      </c>
      <c r="M14" s="97">
        <v>0</v>
      </c>
      <c r="N14" s="97" t="s">
        <v>557</v>
      </c>
      <c r="O14" s="97">
        <v>0</v>
      </c>
      <c r="P14" s="97">
        <v>0</v>
      </c>
      <c r="Q14" s="97">
        <v>0</v>
      </c>
      <c r="R14" s="97">
        <v>0</v>
      </c>
      <c r="S14" s="97">
        <v>0</v>
      </c>
      <c r="T14" s="97">
        <v>0</v>
      </c>
      <c r="U14" s="97" t="s">
        <v>557</v>
      </c>
      <c r="V14" s="97" t="s">
        <v>557</v>
      </c>
      <c r="W14" s="97">
        <v>0</v>
      </c>
      <c r="X14" s="97" t="s">
        <v>567</v>
      </c>
      <c r="Y14" s="97" t="s">
        <v>562</v>
      </c>
      <c r="Z14" s="97" t="s">
        <v>567</v>
      </c>
      <c r="AA14" s="97" t="s">
        <v>567</v>
      </c>
      <c r="AB14" s="97" t="s">
        <v>557</v>
      </c>
      <c r="AC14" s="97" t="s">
        <v>557</v>
      </c>
      <c r="AD14" s="97" t="s">
        <v>567</v>
      </c>
      <c r="AE14" s="97" t="s">
        <v>567</v>
      </c>
      <c r="AF14" s="97" t="s">
        <v>567</v>
      </c>
      <c r="AG14" s="97" t="s">
        <v>567</v>
      </c>
      <c r="AH14" s="97" t="s">
        <v>567</v>
      </c>
      <c r="AI14" s="97" t="s">
        <v>557</v>
      </c>
      <c r="AJ14" s="97" t="s">
        <v>555</v>
      </c>
      <c r="AK14" s="97" t="s">
        <v>567</v>
      </c>
      <c r="AL14" s="97" t="s">
        <v>567</v>
      </c>
      <c r="AM14" s="97" t="s">
        <v>563</v>
      </c>
      <c r="AO14" s="116">
        <f t="shared" ref="AO14" si="4">COUNTIF($J14:$AM14,AO$7)</f>
        <v>1</v>
      </c>
    </row>
    <row r="15" spans="1:41" ht="98.45" customHeight="1">
      <c r="AO15" s="138">
        <f>SUM(AO9:AO14)</f>
        <v>7</v>
      </c>
    </row>
  </sheetData>
  <autoFilter ref="A8:AO14" xr:uid="{00000000-0009-0000-0000-00000C000000}"/>
  <mergeCells count="10">
    <mergeCell ref="B2:C2"/>
    <mergeCell ref="B4:AM5"/>
    <mergeCell ref="B7:B8"/>
    <mergeCell ref="C7:C8"/>
    <mergeCell ref="D7:D8"/>
    <mergeCell ref="E7:E8"/>
    <mergeCell ref="F7:F8"/>
    <mergeCell ref="G7:G8"/>
    <mergeCell ref="H7:H8"/>
    <mergeCell ref="I7:I8"/>
  </mergeCells>
  <conditionalFormatting sqref="C1:C1048576">
    <cfRule type="duplicateValues" dxfId="340" priority="1"/>
    <cfRule type="duplicateValues" dxfId="339" priority="2"/>
    <cfRule type="duplicateValues" dxfId="338" priority="3"/>
    <cfRule type="duplicateValues" dxfId="337" priority="4"/>
    <cfRule type="duplicateValues" dxfId="336" priority="21"/>
    <cfRule type="duplicateValues" dxfId="335" priority="22"/>
    <cfRule type="duplicateValues" dxfId="334" priority="23"/>
  </conditionalFormatting>
  <conditionalFormatting sqref="C9:C12">
    <cfRule type="duplicateValues" dxfId="333" priority="12937"/>
  </conditionalFormatting>
  <conditionalFormatting sqref="C13:C14">
    <cfRule type="duplicateValues" dxfId="332" priority="12785"/>
  </conditionalFormatting>
  <conditionalFormatting sqref="C15:C1048576 C1:C12">
    <cfRule type="duplicateValues" dxfId="331" priority="41"/>
  </conditionalFormatting>
  <conditionalFormatting sqref="I1:I3 I6:I8 I15:I1048576">
    <cfRule type="containsText" dxfId="330" priority="186" operator="containsText" text="RENUNCIA">
      <formula>NOT(ISERROR(SEARCH("RENUNCIA",I1)))</formula>
    </cfRule>
  </conditionalFormatting>
  <conditionalFormatting sqref="J7:AM8">
    <cfRule type="expression" dxfId="328" priority="196">
      <formula>AND(J$7="dom")</formula>
    </cfRule>
  </conditionalFormatting>
  <conditionalFormatting sqref="J9:AM14">
    <cfRule type="containsText" dxfId="326" priority="43" operator="containsText" text="TS">
      <formula>NOT(ISERROR(SEARCH("TS",J9)))</formula>
    </cfRule>
    <cfRule type="containsText" dxfId="325" priority="44" operator="containsText" text="&quot; &quot;">
      <formula>NOT(ISERROR(SEARCH(""" """,J9)))</formula>
    </cfRule>
    <cfRule type="containsText" dxfId="324" priority="45" operator="containsText" text="CD">
      <formula>NOT(ISERROR(SEARCH("CD",J9)))</formula>
    </cfRule>
    <cfRule type="containsText" dxfId="323" priority="46" operator="containsText" text="VAC">
      <formula>NOT(ISERROR(SEARCH("VAC",J9)))</formula>
    </cfRule>
    <cfRule type="containsText" dxfId="322" priority="47" operator="containsText" text="LT">
      <formula>NOT(ISERROR(SEARCH("LT",J9)))</formula>
    </cfRule>
    <cfRule type="containsText" dxfId="321" priority="48" operator="containsText" text="REN">
      <formula>NOT(ISERROR(SEARCH("REN",J9)))</formula>
    </cfRule>
    <cfRule type="containsText" dxfId="320" priority="49" operator="containsText" text="INC">
      <formula>NOT(ISERROR(SEARCH("INC",J9)))</formula>
    </cfRule>
    <cfRule type="containsText" dxfId="319" priority="50" operator="containsText" text="LNR">
      <formula>NOT(ISERROR(SEARCH("LNR",J9)))</formula>
    </cfRule>
    <cfRule type="containsText" dxfId="318" priority="187" operator="containsText" text="INC">
      <formula>NOT(ISERROR(SEARCH("INC",J9)))</formula>
    </cfRule>
    <cfRule type="containsText" dxfId="317" priority="188" operator="containsText" text="TC">
      <formula>NOT(ISERROR(SEARCH("TC",J9)))</formula>
    </cfRule>
    <cfRule type="containsText" dxfId="316" priority="189" operator="containsText" text="PNR">
      <formula>NOT(ISERROR(SEARCH("PNR",J9)))</formula>
    </cfRule>
    <cfRule type="containsText" dxfId="315" priority="190" operator="containsText" text="AUS">
      <formula>NOT(ISERROR(SEARCH("AUS",J9)))</formula>
    </cfRule>
    <cfRule type="containsText" dxfId="314" priority="191" operator="containsText" text="D">
      <formula>NOT(ISERROR(SEARCH("D",J9)))</formula>
    </cfRule>
    <cfRule type="containsText" dxfId="313" priority="192" stopIfTrue="1" operator="containsText" text="OK">
      <formula>NOT(ISERROR(SEARCH("OK",J9)))</formula>
    </cfRule>
    <cfRule type="containsText" dxfId="312" priority="194" operator="containsText" text="D">
      <formula>NOT(ISERROR(SEARCH("D",J9)))</formula>
    </cfRule>
    <cfRule type="containsBlanks" dxfId="311" priority="199">
      <formula>LEN(TRIM(J9))=0</formula>
    </cfRule>
  </conditionalFormatting>
  <conditionalFormatting sqref="AO7">
    <cfRule type="duplicateValues" dxfId="310" priority="195"/>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51" id="{1E761A95-9C28-4B60-81FF-74228D8DE9BD}">
            <xm:f>MATCH(J$8,'C:\Users\jcrodriguez\OneDrive - Serviasesorias SAS\Documentos\JUAN CARLOS OPERACIONES 2025\ALCALDIA DE BOGOTA\7. JULIO\[PLANILLA CONTROL PERSONAL JULIO ALCALDIA SUPERVISORES.xlsx]FECHAS'!#REF!,0)&gt;0</xm:f>
            <x14:dxf>
              <font>
                <b/>
                <i val="0"/>
                <color theme="0"/>
              </font>
              <fill>
                <patternFill>
                  <bgColor rgb="FFFF0000"/>
                </patternFill>
              </fill>
            </x14:dxf>
          </x14:cfRule>
          <x14:cfRule type="expression" priority="197" id="{A047F7DD-0EA9-47DF-B476-0A1323F411EB}">
            <xm:f>MATCH(J$8,'C:\Users\jcrodriguez\OneDrive - Serviasesorias SAS\Documentos\DIAN\[NOMINA COORDINADORES ENERO 2026.xlsm]FECHA'!#REF!,0)&gt;0</xm:f>
            <x14:dxf>
              <font>
                <b/>
                <i val="0"/>
                <color theme="0"/>
              </font>
              <fill>
                <patternFill>
                  <bgColor rgb="FFFF0000"/>
                </patternFill>
              </fill>
            </x14:dxf>
          </x14:cfRule>
          <xm:sqref>J7:AM8</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66FFFF"/>
  </sheetPr>
  <dimension ref="A1:AH293"/>
  <sheetViews>
    <sheetView topLeftCell="A36" zoomScale="70" zoomScaleNormal="70" workbookViewId="0">
      <selection activeCell="G41" sqref="G41"/>
    </sheetView>
  </sheetViews>
  <sheetFormatPr baseColWidth="10" defaultColWidth="11.42578125" defaultRowHeight="14.25"/>
  <cols>
    <col min="1" max="1" width="5.5703125" style="21" customWidth="1"/>
    <col min="2" max="2" width="13.85546875" style="21" customWidth="1"/>
    <col min="3" max="3" width="56.5703125" style="21" customWidth="1"/>
    <col min="4" max="4" width="23.28515625" style="21" customWidth="1"/>
    <col min="5" max="5" width="14" style="21" customWidth="1"/>
    <col min="6" max="6" width="15.42578125" style="21" customWidth="1"/>
    <col min="7" max="7" width="20.140625" style="22" customWidth="1"/>
    <col min="8" max="10" width="19.140625" style="35" customWidth="1"/>
    <col min="11" max="12" width="15.140625" style="35" customWidth="1"/>
    <col min="13" max="13" width="21.5703125" style="21" customWidth="1"/>
    <col min="14" max="14" width="13.42578125" style="36" customWidth="1"/>
    <col min="15" max="15" width="13.28515625" style="37" customWidth="1"/>
    <col min="16" max="24" width="15.42578125" style="21" customWidth="1"/>
    <col min="25" max="25" width="17.42578125" style="21" customWidth="1"/>
    <col min="26" max="39" width="15.42578125" style="21" customWidth="1"/>
    <col min="40" max="16384" width="11.42578125" style="21"/>
  </cols>
  <sheetData>
    <row r="1" spans="1:34">
      <c r="A1" s="21">
        <v>1</v>
      </c>
      <c r="B1" s="21">
        <v>2</v>
      </c>
      <c r="C1" s="21">
        <v>3</v>
      </c>
      <c r="D1" s="21">
        <v>4</v>
      </c>
      <c r="E1" s="21">
        <v>5</v>
      </c>
      <c r="F1" s="21">
        <v>6</v>
      </c>
      <c r="G1" s="21">
        <v>7</v>
      </c>
      <c r="H1" s="21">
        <v>8</v>
      </c>
      <c r="I1" s="21">
        <v>9</v>
      </c>
      <c r="J1" s="21">
        <v>10</v>
      </c>
      <c r="K1" s="21">
        <v>11</v>
      </c>
      <c r="L1" s="21">
        <v>12</v>
      </c>
      <c r="M1" s="21">
        <v>13</v>
      </c>
      <c r="N1" s="21">
        <v>14</v>
      </c>
      <c r="O1" s="21">
        <v>15</v>
      </c>
      <c r="P1" s="21">
        <v>16</v>
      </c>
      <c r="Q1" s="21">
        <v>17</v>
      </c>
      <c r="R1" s="21">
        <v>18</v>
      </c>
      <c r="S1" s="21">
        <v>19</v>
      </c>
      <c r="T1" s="21">
        <v>20</v>
      </c>
      <c r="U1" s="21">
        <v>21</v>
      </c>
      <c r="V1" s="21">
        <v>22</v>
      </c>
      <c r="W1" s="21">
        <v>23</v>
      </c>
      <c r="X1" s="21">
        <v>24</v>
      </c>
      <c r="Y1" s="21">
        <v>25</v>
      </c>
      <c r="Z1" s="21">
        <v>26</v>
      </c>
      <c r="AA1" s="21">
        <v>27</v>
      </c>
      <c r="AB1" s="21">
        <v>28</v>
      </c>
      <c r="AC1" s="21">
        <v>29</v>
      </c>
      <c r="AD1" s="21">
        <v>30</v>
      </c>
      <c r="AE1" s="21">
        <v>31</v>
      </c>
      <c r="AF1" s="21">
        <v>32</v>
      </c>
      <c r="AG1" s="21">
        <v>33</v>
      </c>
    </row>
    <row r="3" spans="1:34" ht="16.5" customHeight="1">
      <c r="A3" s="305" t="s">
        <v>186</v>
      </c>
      <c r="B3" s="305"/>
      <c r="C3" s="305"/>
      <c r="D3" s="305"/>
      <c r="E3" s="305"/>
      <c r="F3" s="305"/>
      <c r="G3" s="305"/>
      <c r="H3" s="305"/>
      <c r="I3" s="305"/>
      <c r="J3" s="305"/>
      <c r="K3" s="305"/>
      <c r="L3" s="305"/>
      <c r="M3" s="305"/>
      <c r="N3" s="305"/>
      <c r="O3" s="305"/>
      <c r="P3" s="305"/>
      <c r="Q3" s="305"/>
      <c r="R3" s="305"/>
      <c r="S3" s="305"/>
      <c r="T3" s="305"/>
      <c r="U3" s="305"/>
      <c r="V3" s="305"/>
      <c r="W3" s="305"/>
      <c r="X3" s="305"/>
      <c r="Y3" s="305"/>
      <c r="Z3" s="305"/>
      <c r="AA3" s="305"/>
      <c r="AB3" s="305"/>
      <c r="AC3" s="305"/>
      <c r="AD3" s="305"/>
      <c r="AE3" s="305"/>
      <c r="AF3" s="305"/>
    </row>
    <row r="4" spans="1:34" ht="16.5" customHeight="1">
      <c r="A4" s="305"/>
      <c r="B4" s="305"/>
      <c r="C4" s="305"/>
      <c r="D4" s="305"/>
      <c r="E4" s="305"/>
      <c r="F4" s="305"/>
      <c r="G4" s="305"/>
      <c r="H4" s="305"/>
      <c r="I4" s="305"/>
      <c r="J4" s="305"/>
      <c r="K4" s="305"/>
      <c r="L4" s="305"/>
      <c r="M4" s="305"/>
      <c r="N4" s="305"/>
      <c r="O4" s="305"/>
      <c r="P4" s="305"/>
      <c r="Q4" s="305"/>
      <c r="R4" s="305"/>
      <c r="S4" s="305"/>
      <c r="T4" s="305"/>
      <c r="U4" s="305"/>
      <c r="V4" s="305"/>
      <c r="W4" s="305"/>
      <c r="X4" s="305"/>
      <c r="Y4" s="305"/>
      <c r="Z4" s="305"/>
      <c r="AA4" s="305"/>
      <c r="AB4" s="305"/>
      <c r="AC4" s="305"/>
      <c r="AD4" s="305"/>
      <c r="AE4" s="305"/>
      <c r="AF4" s="305"/>
    </row>
    <row r="5" spans="1:34" ht="57.95" customHeight="1">
      <c r="A5" s="305"/>
      <c r="B5" s="305"/>
      <c r="C5" s="305"/>
      <c r="D5" s="305"/>
      <c r="E5" s="305"/>
      <c r="F5" s="305"/>
      <c r="G5" s="305"/>
      <c r="H5" s="305"/>
      <c r="I5" s="305"/>
      <c r="J5" s="305"/>
      <c r="K5" s="305"/>
      <c r="L5" s="305"/>
      <c r="M5" s="305"/>
      <c r="N5" s="305"/>
      <c r="O5" s="305"/>
      <c r="P5" s="305"/>
      <c r="Q5" s="305"/>
      <c r="R5" s="305"/>
      <c r="S5" s="305"/>
      <c r="T5" s="305"/>
      <c r="U5" s="305"/>
      <c r="V5" s="305"/>
      <c r="W5" s="305"/>
      <c r="X5" s="305"/>
      <c r="Y5" s="305"/>
      <c r="Z5" s="305"/>
      <c r="AA5" s="305"/>
      <c r="AB5" s="305"/>
      <c r="AC5" s="305"/>
      <c r="AD5" s="305"/>
      <c r="AE5" s="305"/>
      <c r="AF5" s="305"/>
    </row>
    <row r="7" spans="1:34" ht="32.1" customHeight="1">
      <c r="A7" s="306" t="s">
        <v>211</v>
      </c>
      <c r="B7" s="306"/>
      <c r="C7" s="306"/>
      <c r="D7" s="306"/>
      <c r="E7" s="306"/>
      <c r="F7" s="306"/>
      <c r="G7" s="307"/>
      <c r="H7" s="23" t="s">
        <v>0</v>
      </c>
      <c r="I7" s="23" t="s">
        <v>187</v>
      </c>
      <c r="J7" s="23" t="s">
        <v>188</v>
      </c>
      <c r="K7" s="23" t="s">
        <v>189</v>
      </c>
      <c r="L7" s="23" t="s">
        <v>190</v>
      </c>
      <c r="M7" s="23" t="s">
        <v>191</v>
      </c>
      <c r="N7" s="23" t="s">
        <v>192</v>
      </c>
      <c r="O7" s="23" t="s">
        <v>193</v>
      </c>
      <c r="P7" s="23" t="s">
        <v>194</v>
      </c>
      <c r="Q7" s="23" t="s">
        <v>195</v>
      </c>
      <c r="R7" s="23" t="s">
        <v>196</v>
      </c>
      <c r="S7" s="23" t="s">
        <v>197</v>
      </c>
      <c r="T7" s="23" t="s">
        <v>198</v>
      </c>
      <c r="U7" s="23" t="s">
        <v>199</v>
      </c>
      <c r="V7" s="23" t="s">
        <v>200</v>
      </c>
      <c r="W7" s="23" t="s">
        <v>201</v>
      </c>
      <c r="X7" s="23" t="s">
        <v>202</v>
      </c>
      <c r="Y7" s="23" t="s">
        <v>203</v>
      </c>
      <c r="Z7" s="23" t="s">
        <v>204</v>
      </c>
      <c r="AA7" s="23" t="s">
        <v>205</v>
      </c>
      <c r="AB7" s="23" t="s">
        <v>206</v>
      </c>
      <c r="AC7" s="23" t="s">
        <v>207</v>
      </c>
      <c r="AD7" s="23" t="s">
        <v>208</v>
      </c>
      <c r="AE7" s="23" t="s">
        <v>209</v>
      </c>
      <c r="AF7" s="23" t="s">
        <v>210</v>
      </c>
    </row>
    <row r="8" spans="1:34" ht="45">
      <c r="A8" s="225"/>
      <c r="B8" s="225"/>
      <c r="C8" s="225"/>
      <c r="D8" s="225"/>
      <c r="E8" s="225"/>
      <c r="F8" s="225"/>
      <c r="G8" s="225"/>
      <c r="H8" s="23" t="s">
        <v>212</v>
      </c>
      <c r="I8" s="23" t="s">
        <v>213</v>
      </c>
      <c r="J8" s="23" t="s">
        <v>214</v>
      </c>
      <c r="K8" s="23" t="s">
        <v>215</v>
      </c>
      <c r="L8" s="23" t="s">
        <v>216</v>
      </c>
      <c r="M8" s="23" t="s">
        <v>217</v>
      </c>
      <c r="N8" s="23" t="s">
        <v>218</v>
      </c>
      <c r="O8" s="23" t="s">
        <v>219</v>
      </c>
      <c r="P8" s="23" t="s">
        <v>220</v>
      </c>
      <c r="Q8" s="23" t="s">
        <v>221</v>
      </c>
      <c r="R8" s="23" t="s">
        <v>222</v>
      </c>
      <c r="S8" s="23" t="s">
        <v>223</v>
      </c>
      <c r="T8" s="23" t="s">
        <v>224</v>
      </c>
      <c r="U8" s="23" t="s">
        <v>225</v>
      </c>
      <c r="V8" s="23" t="s">
        <v>226</v>
      </c>
      <c r="W8" s="23" t="s">
        <v>227</v>
      </c>
      <c r="X8" s="23" t="s">
        <v>228</v>
      </c>
      <c r="Y8" s="23" t="s">
        <v>229</v>
      </c>
      <c r="Z8" s="23" t="s">
        <v>230</v>
      </c>
      <c r="AA8" s="23" t="s">
        <v>231</v>
      </c>
      <c r="AB8" s="23" t="s">
        <v>232</v>
      </c>
      <c r="AC8" s="23" t="s">
        <v>233</v>
      </c>
      <c r="AD8" s="23" t="s">
        <v>234</v>
      </c>
      <c r="AE8" s="23" t="s">
        <v>235</v>
      </c>
      <c r="AF8" s="23" t="s">
        <v>236</v>
      </c>
    </row>
    <row r="9" spans="1:34" ht="24.6" customHeight="1">
      <c r="A9" s="225" t="s">
        <v>777</v>
      </c>
      <c r="B9" s="225" t="s">
        <v>778</v>
      </c>
      <c r="C9" s="225"/>
      <c r="D9" s="225"/>
      <c r="E9" s="225"/>
      <c r="F9" s="225"/>
      <c r="G9" s="225"/>
      <c r="H9" s="25" t="s">
        <v>241</v>
      </c>
      <c r="I9" s="25" t="s">
        <v>242</v>
      </c>
      <c r="J9" s="25" t="s">
        <v>243</v>
      </c>
      <c r="K9" s="25" t="s">
        <v>244</v>
      </c>
      <c r="L9" s="25" t="s">
        <v>245</v>
      </c>
      <c r="M9" s="25" t="s">
        <v>246</v>
      </c>
      <c r="N9" s="25" t="s">
        <v>247</v>
      </c>
      <c r="O9" s="25" t="s">
        <v>248</v>
      </c>
      <c r="P9" s="25" t="s">
        <v>249</v>
      </c>
      <c r="Q9" s="25" t="s">
        <v>250</v>
      </c>
      <c r="R9" s="25" t="s">
        <v>251</v>
      </c>
      <c r="S9" s="25" t="s">
        <v>252</v>
      </c>
      <c r="T9" s="25" t="s">
        <v>253</v>
      </c>
      <c r="U9" s="25" t="s">
        <v>254</v>
      </c>
      <c r="V9" s="25" t="s">
        <v>255</v>
      </c>
      <c r="W9" s="25" t="s">
        <v>256</v>
      </c>
      <c r="X9" s="25" t="s">
        <v>257</v>
      </c>
      <c r="Y9" s="25" t="s">
        <v>258</v>
      </c>
      <c r="Z9" s="25" t="s">
        <v>259</v>
      </c>
      <c r="AA9" s="25" t="s">
        <v>260</v>
      </c>
      <c r="AB9" s="25" t="s">
        <v>261</v>
      </c>
      <c r="AC9" s="25" t="s">
        <v>262</v>
      </c>
      <c r="AD9" s="25" t="s">
        <v>263</v>
      </c>
      <c r="AE9" s="25" t="s">
        <v>264</v>
      </c>
      <c r="AF9" s="25" t="s">
        <v>265</v>
      </c>
      <c r="AG9" s="38" t="s">
        <v>356</v>
      </c>
    </row>
    <row r="10" spans="1:34" ht="18.600000000000001" customHeight="1">
      <c r="A10" s="26">
        <v>8</v>
      </c>
      <c r="B10" s="27" t="s">
        <v>8</v>
      </c>
      <c r="C10" s="28" t="s">
        <v>270</v>
      </c>
      <c r="D10" s="27" t="s">
        <v>271</v>
      </c>
      <c r="E10" s="29">
        <v>3682</v>
      </c>
      <c r="F10" s="29">
        <f t="shared" ref="F10:F47" si="0">E10*G10</f>
        <v>11046</v>
      </c>
      <c r="G10" s="245">
        <f t="shared" ref="G10:G47" si="1">SUM(H10:AF10)</f>
        <v>3</v>
      </c>
      <c r="H10" s="27">
        <v>0</v>
      </c>
      <c r="I10" s="27">
        <v>0</v>
      </c>
      <c r="J10" s="27">
        <v>0</v>
      </c>
      <c r="K10" s="27">
        <v>0</v>
      </c>
      <c r="L10" s="27">
        <v>0</v>
      </c>
      <c r="M10" s="27">
        <v>0</v>
      </c>
      <c r="N10" s="27">
        <v>0</v>
      </c>
      <c r="O10" s="27">
        <v>0</v>
      </c>
      <c r="P10" s="27">
        <v>0</v>
      </c>
      <c r="Q10" s="27">
        <v>0</v>
      </c>
      <c r="R10" s="27">
        <v>0</v>
      </c>
      <c r="S10" s="27">
        <v>0</v>
      </c>
      <c r="T10" s="266">
        <v>3</v>
      </c>
      <c r="U10" s="27">
        <v>0</v>
      </c>
      <c r="V10" s="27">
        <v>0</v>
      </c>
      <c r="W10" s="27">
        <v>0</v>
      </c>
      <c r="X10" s="27">
        <v>0</v>
      </c>
      <c r="Y10" s="27">
        <v>0</v>
      </c>
      <c r="Z10" s="27">
        <v>0</v>
      </c>
      <c r="AA10" s="27">
        <v>0</v>
      </c>
      <c r="AB10" s="27">
        <v>0</v>
      </c>
      <c r="AC10" s="27">
        <v>0</v>
      </c>
      <c r="AD10" s="27">
        <v>0</v>
      </c>
      <c r="AE10" s="27">
        <v>0</v>
      </c>
      <c r="AF10" s="27">
        <v>0</v>
      </c>
      <c r="AG10" s="21">
        <f t="shared" ref="AG10:AG37" si="2">SUM(H10:AF10)</f>
        <v>3</v>
      </c>
      <c r="AH10" s="21" t="b">
        <f t="shared" ref="AH10:AH32" si="3">AG10=G10</f>
        <v>1</v>
      </c>
    </row>
    <row r="11" spans="1:34" ht="18.600000000000001" customHeight="1">
      <c r="A11" s="26">
        <v>9</v>
      </c>
      <c r="B11" s="27" t="s">
        <v>10</v>
      </c>
      <c r="C11" s="30" t="s">
        <v>272</v>
      </c>
      <c r="D11" s="27" t="s">
        <v>273</v>
      </c>
      <c r="E11" s="29">
        <v>4366</v>
      </c>
      <c r="F11" s="29">
        <f t="shared" si="0"/>
        <v>30562</v>
      </c>
      <c r="G11" s="245">
        <f t="shared" si="1"/>
        <v>7</v>
      </c>
      <c r="H11" s="27">
        <v>0</v>
      </c>
      <c r="I11" s="27">
        <v>0</v>
      </c>
      <c r="J11" s="27">
        <v>0</v>
      </c>
      <c r="K11" s="27">
        <v>0</v>
      </c>
      <c r="L11" s="27">
        <v>0</v>
      </c>
      <c r="M11" s="27">
        <v>0</v>
      </c>
      <c r="N11" s="27">
        <v>0</v>
      </c>
      <c r="O11" s="27">
        <v>0</v>
      </c>
      <c r="P11" s="27">
        <v>0</v>
      </c>
      <c r="Q11" s="27">
        <v>0</v>
      </c>
      <c r="R11" s="27">
        <v>0</v>
      </c>
      <c r="S11" s="27">
        <v>0</v>
      </c>
      <c r="T11" s="266">
        <v>3</v>
      </c>
      <c r="U11" s="266">
        <v>2</v>
      </c>
      <c r="V11" s="27">
        <v>0</v>
      </c>
      <c r="W11" s="27">
        <v>0</v>
      </c>
      <c r="X11" s="27">
        <v>0</v>
      </c>
      <c r="Y11" s="266">
        <v>2</v>
      </c>
      <c r="Z11" s="27">
        <v>0</v>
      </c>
      <c r="AA11" s="27">
        <v>0</v>
      </c>
      <c r="AB11" s="27">
        <v>0</v>
      </c>
      <c r="AC11" s="27">
        <v>0</v>
      </c>
      <c r="AD11" s="27">
        <v>0</v>
      </c>
      <c r="AE11" s="27">
        <v>0</v>
      </c>
      <c r="AF11" s="27">
        <v>0</v>
      </c>
      <c r="AG11" s="21">
        <f t="shared" si="2"/>
        <v>7</v>
      </c>
      <c r="AH11" s="21" t="b">
        <f t="shared" si="3"/>
        <v>1</v>
      </c>
    </row>
    <row r="12" spans="1:34" ht="18.600000000000001" customHeight="1">
      <c r="A12" s="26">
        <v>13</v>
      </c>
      <c r="B12" s="27" t="s">
        <v>12</v>
      </c>
      <c r="C12" s="28" t="s">
        <v>795</v>
      </c>
      <c r="D12" s="27" t="s">
        <v>267</v>
      </c>
      <c r="E12" s="29">
        <v>12414</v>
      </c>
      <c r="F12" s="29">
        <f t="shared" si="0"/>
        <v>397248</v>
      </c>
      <c r="G12" s="245">
        <f t="shared" si="1"/>
        <v>32</v>
      </c>
      <c r="H12" s="266">
        <v>20</v>
      </c>
      <c r="I12" s="27">
        <v>0</v>
      </c>
      <c r="J12" s="27">
        <v>0</v>
      </c>
      <c r="K12" s="27">
        <v>0</v>
      </c>
      <c r="L12" s="266">
        <v>7</v>
      </c>
      <c r="M12" s="266">
        <v>2</v>
      </c>
      <c r="N12" s="27">
        <v>0</v>
      </c>
      <c r="O12" s="27">
        <v>0</v>
      </c>
      <c r="P12" s="27">
        <v>0</v>
      </c>
      <c r="Q12" s="27">
        <v>0</v>
      </c>
      <c r="R12" s="27">
        <v>0</v>
      </c>
      <c r="S12" s="27">
        <v>0</v>
      </c>
      <c r="T12" s="266">
        <v>3</v>
      </c>
      <c r="U12" s="27">
        <v>0</v>
      </c>
      <c r="V12" s="27">
        <v>0</v>
      </c>
      <c r="W12" s="27">
        <v>0</v>
      </c>
      <c r="X12" s="27">
        <v>0</v>
      </c>
      <c r="Y12" s="27">
        <v>0</v>
      </c>
      <c r="Z12" s="27">
        <v>0</v>
      </c>
      <c r="AA12" s="27">
        <v>0</v>
      </c>
      <c r="AB12" s="27">
        <v>0</v>
      </c>
      <c r="AC12" s="27">
        <v>0</v>
      </c>
      <c r="AD12" s="27">
        <v>0</v>
      </c>
      <c r="AE12" s="27">
        <v>0</v>
      </c>
      <c r="AF12" s="27">
        <v>0</v>
      </c>
      <c r="AG12" s="21">
        <f t="shared" si="2"/>
        <v>32</v>
      </c>
      <c r="AH12" s="21" t="b">
        <f t="shared" si="3"/>
        <v>1</v>
      </c>
    </row>
    <row r="13" spans="1:34" ht="18.600000000000001" customHeight="1">
      <c r="A13" s="26">
        <v>17</v>
      </c>
      <c r="B13" s="27" t="s">
        <v>14</v>
      </c>
      <c r="C13" s="28" t="s">
        <v>274</v>
      </c>
      <c r="D13" s="27" t="s">
        <v>275</v>
      </c>
      <c r="E13" s="29">
        <v>10310</v>
      </c>
      <c r="F13" s="29">
        <f t="shared" si="0"/>
        <v>185580</v>
      </c>
      <c r="G13" s="245">
        <f t="shared" si="1"/>
        <v>18</v>
      </c>
      <c r="H13" s="266">
        <v>10</v>
      </c>
      <c r="I13" s="27">
        <v>0</v>
      </c>
      <c r="J13" s="27">
        <v>0</v>
      </c>
      <c r="K13" s="27">
        <v>0</v>
      </c>
      <c r="L13" s="27">
        <v>0</v>
      </c>
      <c r="M13" s="266">
        <v>2</v>
      </c>
      <c r="N13" s="27">
        <v>0</v>
      </c>
      <c r="O13" s="266">
        <v>3</v>
      </c>
      <c r="P13" s="266">
        <v>3</v>
      </c>
      <c r="Q13" s="27">
        <v>0</v>
      </c>
      <c r="R13" s="27">
        <v>0</v>
      </c>
      <c r="S13" s="27">
        <v>0</v>
      </c>
      <c r="T13" s="27">
        <v>0</v>
      </c>
      <c r="U13" s="27">
        <v>0</v>
      </c>
      <c r="V13" s="27">
        <v>0</v>
      </c>
      <c r="W13" s="27">
        <v>0</v>
      </c>
      <c r="X13" s="27">
        <v>0</v>
      </c>
      <c r="Y13" s="27">
        <v>0</v>
      </c>
      <c r="Z13" s="27">
        <v>0</v>
      </c>
      <c r="AA13" s="27">
        <v>0</v>
      </c>
      <c r="AB13" s="27">
        <v>0</v>
      </c>
      <c r="AC13" s="27">
        <v>0</v>
      </c>
      <c r="AD13" s="27">
        <v>0</v>
      </c>
      <c r="AE13" s="27">
        <v>0</v>
      </c>
      <c r="AF13" s="27">
        <v>0</v>
      </c>
      <c r="AG13" s="21">
        <f t="shared" si="2"/>
        <v>18</v>
      </c>
      <c r="AH13" s="21" t="b">
        <f t="shared" si="3"/>
        <v>1</v>
      </c>
    </row>
    <row r="14" spans="1:34" ht="18.600000000000001" customHeight="1">
      <c r="A14" s="31">
        <v>20</v>
      </c>
      <c r="B14" s="27" t="s">
        <v>15</v>
      </c>
      <c r="C14" s="28" t="s">
        <v>276</v>
      </c>
      <c r="D14" s="27" t="s">
        <v>277</v>
      </c>
      <c r="E14" s="29">
        <v>10520</v>
      </c>
      <c r="F14" s="29">
        <f t="shared" si="0"/>
        <v>105200</v>
      </c>
      <c r="G14" s="245">
        <f t="shared" si="1"/>
        <v>10</v>
      </c>
      <c r="H14" s="27">
        <v>0</v>
      </c>
      <c r="I14" s="27">
        <v>0</v>
      </c>
      <c r="J14" s="27">
        <v>0</v>
      </c>
      <c r="K14" s="27">
        <v>0</v>
      </c>
      <c r="L14" s="266">
        <v>2</v>
      </c>
      <c r="M14" s="27">
        <v>0</v>
      </c>
      <c r="N14" s="27">
        <v>0</v>
      </c>
      <c r="O14" s="27">
        <v>0</v>
      </c>
      <c r="P14" s="27">
        <v>0</v>
      </c>
      <c r="Q14" s="266">
        <v>8</v>
      </c>
      <c r="R14" s="27">
        <v>0</v>
      </c>
      <c r="S14" s="27">
        <v>0</v>
      </c>
      <c r="T14" s="27">
        <v>0</v>
      </c>
      <c r="U14" s="27">
        <v>0</v>
      </c>
      <c r="V14" s="27">
        <v>0</v>
      </c>
      <c r="W14" s="27">
        <v>0</v>
      </c>
      <c r="X14" s="27">
        <v>0</v>
      </c>
      <c r="Y14" s="27">
        <v>0</v>
      </c>
      <c r="Z14" s="27">
        <v>0</v>
      </c>
      <c r="AA14" s="27">
        <v>0</v>
      </c>
      <c r="AB14" s="27">
        <v>0</v>
      </c>
      <c r="AC14" s="27">
        <v>0</v>
      </c>
      <c r="AD14" s="27">
        <v>0</v>
      </c>
      <c r="AE14" s="27">
        <v>0</v>
      </c>
      <c r="AF14" s="27">
        <v>0</v>
      </c>
      <c r="AG14" s="21">
        <f t="shared" si="2"/>
        <v>10</v>
      </c>
      <c r="AH14" s="21" t="b">
        <f t="shared" si="3"/>
        <v>1</v>
      </c>
    </row>
    <row r="15" spans="1:34" ht="18.600000000000001" customHeight="1">
      <c r="A15" s="26">
        <v>21</v>
      </c>
      <c r="B15" s="27" t="s">
        <v>17</v>
      </c>
      <c r="C15" s="28" t="s">
        <v>274</v>
      </c>
      <c r="D15" s="27" t="s">
        <v>267</v>
      </c>
      <c r="E15" s="29">
        <v>11730</v>
      </c>
      <c r="F15" s="29">
        <f t="shared" si="0"/>
        <v>117300</v>
      </c>
      <c r="G15" s="245">
        <f t="shared" si="1"/>
        <v>10</v>
      </c>
      <c r="H15" s="27">
        <v>0</v>
      </c>
      <c r="I15" s="27">
        <v>0</v>
      </c>
      <c r="J15" s="27">
        <v>0</v>
      </c>
      <c r="K15" s="27">
        <v>0</v>
      </c>
      <c r="L15" s="27">
        <v>0</v>
      </c>
      <c r="M15" s="27">
        <v>0</v>
      </c>
      <c r="N15" s="27">
        <v>0</v>
      </c>
      <c r="O15" s="27">
        <v>0</v>
      </c>
      <c r="P15" s="27">
        <v>0</v>
      </c>
      <c r="Q15" s="266">
        <v>10</v>
      </c>
      <c r="R15" s="27">
        <v>0</v>
      </c>
      <c r="S15" s="27">
        <v>0</v>
      </c>
      <c r="T15" s="27">
        <v>0</v>
      </c>
      <c r="U15" s="27">
        <v>0</v>
      </c>
      <c r="V15" s="27">
        <v>0</v>
      </c>
      <c r="W15" s="27">
        <v>0</v>
      </c>
      <c r="X15" s="27">
        <v>0</v>
      </c>
      <c r="Y15" s="27">
        <v>0</v>
      </c>
      <c r="Z15" s="27">
        <v>0</v>
      </c>
      <c r="AA15" s="27">
        <v>0</v>
      </c>
      <c r="AB15" s="27">
        <v>0</v>
      </c>
      <c r="AC15" s="27">
        <v>0</v>
      </c>
      <c r="AD15" s="27">
        <v>0</v>
      </c>
      <c r="AE15" s="27">
        <v>0</v>
      </c>
      <c r="AF15" s="27">
        <v>0</v>
      </c>
      <c r="AG15" s="21">
        <f t="shared" si="2"/>
        <v>10</v>
      </c>
      <c r="AH15" s="21" t="b">
        <f t="shared" si="3"/>
        <v>1</v>
      </c>
    </row>
    <row r="16" spans="1:34" ht="18.600000000000001" customHeight="1">
      <c r="A16" s="26">
        <v>28</v>
      </c>
      <c r="B16" s="27" t="s">
        <v>19</v>
      </c>
      <c r="C16" s="30" t="s">
        <v>278</v>
      </c>
      <c r="D16" s="27" t="s">
        <v>279</v>
      </c>
      <c r="E16" s="29">
        <v>4576</v>
      </c>
      <c r="F16" s="29">
        <f t="shared" si="0"/>
        <v>228800</v>
      </c>
      <c r="G16" s="245">
        <f t="shared" si="1"/>
        <v>50</v>
      </c>
      <c r="H16" s="27">
        <v>0</v>
      </c>
      <c r="I16" s="27">
        <v>0</v>
      </c>
      <c r="J16" s="27">
        <v>0</v>
      </c>
      <c r="K16" s="27">
        <v>0</v>
      </c>
      <c r="L16" s="27">
        <v>0</v>
      </c>
      <c r="M16" s="27">
        <v>0</v>
      </c>
      <c r="N16" s="27">
        <v>0</v>
      </c>
      <c r="O16" s="27">
        <v>0</v>
      </c>
      <c r="P16" s="27">
        <v>0</v>
      </c>
      <c r="Q16" s="27">
        <v>0</v>
      </c>
      <c r="R16" s="27">
        <v>0</v>
      </c>
      <c r="S16" s="27">
        <v>0</v>
      </c>
      <c r="T16" s="266">
        <v>15</v>
      </c>
      <c r="U16" s="27">
        <v>0</v>
      </c>
      <c r="V16" s="27">
        <v>0</v>
      </c>
      <c r="W16" s="27">
        <v>0</v>
      </c>
      <c r="X16" s="27">
        <v>0</v>
      </c>
      <c r="Y16" s="27">
        <v>0</v>
      </c>
      <c r="Z16" s="266">
        <v>10</v>
      </c>
      <c r="AA16" s="27">
        <v>0</v>
      </c>
      <c r="AB16" s="27">
        <v>0</v>
      </c>
      <c r="AC16" s="266">
        <v>25</v>
      </c>
      <c r="AD16" s="27">
        <v>0</v>
      </c>
      <c r="AE16" s="27">
        <v>0</v>
      </c>
      <c r="AF16" s="27">
        <v>0</v>
      </c>
      <c r="AG16" s="21">
        <f t="shared" si="2"/>
        <v>50</v>
      </c>
      <c r="AH16" s="21" t="b">
        <f t="shared" si="3"/>
        <v>1</v>
      </c>
    </row>
    <row r="17" spans="1:34" ht="18.600000000000001" customHeight="1">
      <c r="A17" s="26">
        <v>32</v>
      </c>
      <c r="B17" s="27" t="s">
        <v>23</v>
      </c>
      <c r="C17" s="28" t="s">
        <v>281</v>
      </c>
      <c r="D17" s="27" t="s">
        <v>282</v>
      </c>
      <c r="E17" s="29">
        <v>7206</v>
      </c>
      <c r="F17" s="29">
        <f t="shared" si="0"/>
        <v>468390</v>
      </c>
      <c r="G17" s="245">
        <f t="shared" si="1"/>
        <v>65</v>
      </c>
      <c r="H17" s="266">
        <v>60</v>
      </c>
      <c r="I17" s="27">
        <v>0</v>
      </c>
      <c r="J17" s="27">
        <v>0</v>
      </c>
      <c r="K17" s="27">
        <v>0</v>
      </c>
      <c r="L17" s="27">
        <v>0</v>
      </c>
      <c r="M17" s="27">
        <v>0</v>
      </c>
      <c r="N17" s="27">
        <v>0</v>
      </c>
      <c r="O17" s="266">
        <v>2</v>
      </c>
      <c r="P17" s="266">
        <v>3</v>
      </c>
      <c r="Q17" s="27">
        <v>0</v>
      </c>
      <c r="R17" s="27">
        <v>0</v>
      </c>
      <c r="S17" s="27">
        <v>0</v>
      </c>
      <c r="T17" s="27">
        <v>0</v>
      </c>
      <c r="U17" s="27">
        <v>0</v>
      </c>
      <c r="V17" s="27">
        <v>0</v>
      </c>
      <c r="W17" s="27">
        <v>0</v>
      </c>
      <c r="X17" s="27">
        <v>0</v>
      </c>
      <c r="Y17" s="27">
        <v>0</v>
      </c>
      <c r="Z17" s="27">
        <v>0</v>
      </c>
      <c r="AA17" s="27">
        <v>0</v>
      </c>
      <c r="AB17" s="27">
        <v>0</v>
      </c>
      <c r="AC17" s="27">
        <v>0</v>
      </c>
      <c r="AD17" s="27">
        <v>0</v>
      </c>
      <c r="AE17" s="27">
        <v>0</v>
      </c>
      <c r="AF17" s="27">
        <v>0</v>
      </c>
      <c r="AG17" s="21">
        <f t="shared" si="2"/>
        <v>65</v>
      </c>
      <c r="AH17" s="21" t="b">
        <f t="shared" si="3"/>
        <v>1</v>
      </c>
    </row>
    <row r="18" spans="1:34" ht="18.600000000000001" customHeight="1">
      <c r="A18" s="26">
        <v>44</v>
      </c>
      <c r="B18" s="27" t="s">
        <v>26</v>
      </c>
      <c r="C18" s="28" t="s">
        <v>284</v>
      </c>
      <c r="D18" s="27" t="s">
        <v>285</v>
      </c>
      <c r="E18" s="29">
        <v>5786</v>
      </c>
      <c r="F18" s="29">
        <f t="shared" si="0"/>
        <v>46288</v>
      </c>
      <c r="G18" s="245">
        <f t="shared" si="1"/>
        <v>8</v>
      </c>
      <c r="H18" s="27">
        <v>0</v>
      </c>
      <c r="I18" s="27">
        <v>0</v>
      </c>
      <c r="J18" s="27">
        <v>0</v>
      </c>
      <c r="K18" s="27">
        <v>0</v>
      </c>
      <c r="L18" s="27">
        <v>0</v>
      </c>
      <c r="M18" s="27">
        <v>0</v>
      </c>
      <c r="N18" s="27">
        <v>0</v>
      </c>
      <c r="O18" s="27">
        <v>0</v>
      </c>
      <c r="P18" s="27">
        <v>0</v>
      </c>
      <c r="Q18" s="266">
        <v>8</v>
      </c>
      <c r="R18" s="27">
        <v>0</v>
      </c>
      <c r="S18" s="27">
        <v>0</v>
      </c>
      <c r="T18" s="27">
        <v>0</v>
      </c>
      <c r="U18" s="27">
        <v>0</v>
      </c>
      <c r="V18" s="27">
        <v>0</v>
      </c>
      <c r="W18" s="27">
        <v>0</v>
      </c>
      <c r="X18" s="27">
        <v>0</v>
      </c>
      <c r="Y18" s="27">
        <v>0</v>
      </c>
      <c r="Z18" s="27">
        <v>0</v>
      </c>
      <c r="AA18" s="27">
        <v>0</v>
      </c>
      <c r="AB18" s="27">
        <v>0</v>
      </c>
      <c r="AC18" s="27">
        <v>0</v>
      </c>
      <c r="AD18" s="27">
        <v>0</v>
      </c>
      <c r="AE18" s="27">
        <v>0</v>
      </c>
      <c r="AF18" s="27">
        <v>0</v>
      </c>
      <c r="AG18" s="21">
        <f t="shared" si="2"/>
        <v>8</v>
      </c>
      <c r="AH18" s="21" t="b">
        <f t="shared" si="3"/>
        <v>1</v>
      </c>
    </row>
    <row r="19" spans="1:34" ht="18.600000000000001" customHeight="1">
      <c r="A19" s="26">
        <v>50</v>
      </c>
      <c r="B19" s="27" t="s">
        <v>29</v>
      </c>
      <c r="C19" s="28" t="s">
        <v>286</v>
      </c>
      <c r="D19" s="27" t="s">
        <v>267</v>
      </c>
      <c r="E19" s="29">
        <v>51706</v>
      </c>
      <c r="F19" s="29">
        <f t="shared" si="0"/>
        <v>413648</v>
      </c>
      <c r="G19" s="245">
        <f t="shared" si="1"/>
        <v>8</v>
      </c>
      <c r="H19" s="27">
        <v>0</v>
      </c>
      <c r="I19" s="27">
        <v>0</v>
      </c>
      <c r="J19" s="27">
        <v>0</v>
      </c>
      <c r="K19" s="27">
        <v>0</v>
      </c>
      <c r="L19" s="27">
        <v>0</v>
      </c>
      <c r="M19" s="27">
        <v>0</v>
      </c>
      <c r="N19" s="266">
        <v>3</v>
      </c>
      <c r="O19" s="27">
        <v>0</v>
      </c>
      <c r="P19" s="266">
        <v>5</v>
      </c>
      <c r="Q19" s="27">
        <v>0</v>
      </c>
      <c r="R19" s="27">
        <v>0</v>
      </c>
      <c r="S19" s="27">
        <v>0</v>
      </c>
      <c r="T19" s="27">
        <v>0</v>
      </c>
      <c r="U19" s="27">
        <v>0</v>
      </c>
      <c r="V19" s="27">
        <v>0</v>
      </c>
      <c r="W19" s="27">
        <v>0</v>
      </c>
      <c r="X19" s="27">
        <v>0</v>
      </c>
      <c r="Y19" s="27">
        <v>0</v>
      </c>
      <c r="Z19" s="27">
        <v>0</v>
      </c>
      <c r="AA19" s="27">
        <v>0</v>
      </c>
      <c r="AB19" s="27">
        <v>0</v>
      </c>
      <c r="AC19" s="27">
        <v>0</v>
      </c>
      <c r="AD19" s="27">
        <v>0</v>
      </c>
      <c r="AE19" s="27">
        <v>0</v>
      </c>
      <c r="AF19" s="27">
        <v>0</v>
      </c>
      <c r="AG19" s="21">
        <f t="shared" si="2"/>
        <v>8</v>
      </c>
      <c r="AH19" s="21" t="b">
        <f t="shared" si="3"/>
        <v>1</v>
      </c>
    </row>
    <row r="20" spans="1:34" ht="18.600000000000001" customHeight="1">
      <c r="A20" s="26">
        <v>52</v>
      </c>
      <c r="B20" s="27" t="s">
        <v>31</v>
      </c>
      <c r="C20" s="28" t="s">
        <v>287</v>
      </c>
      <c r="D20" s="27" t="s">
        <v>267</v>
      </c>
      <c r="E20" s="29">
        <v>12045</v>
      </c>
      <c r="F20" s="29">
        <f t="shared" si="0"/>
        <v>313170</v>
      </c>
      <c r="G20" s="245">
        <f t="shared" si="1"/>
        <v>26</v>
      </c>
      <c r="H20" s="266">
        <v>20</v>
      </c>
      <c r="I20" s="27">
        <v>0</v>
      </c>
      <c r="J20" s="27">
        <v>0</v>
      </c>
      <c r="K20" s="27">
        <v>0</v>
      </c>
      <c r="L20" s="27">
        <v>0</v>
      </c>
      <c r="M20" s="27">
        <v>0</v>
      </c>
      <c r="N20" s="266">
        <v>3</v>
      </c>
      <c r="O20" s="27">
        <v>0</v>
      </c>
      <c r="P20" s="27">
        <v>0</v>
      </c>
      <c r="Q20" s="266">
        <v>3</v>
      </c>
      <c r="R20" s="27">
        <v>0</v>
      </c>
      <c r="S20" s="27">
        <v>0</v>
      </c>
      <c r="T20" s="27">
        <v>0</v>
      </c>
      <c r="U20" s="27">
        <v>0</v>
      </c>
      <c r="V20" s="27">
        <v>0</v>
      </c>
      <c r="W20" s="27">
        <v>0</v>
      </c>
      <c r="X20" s="27">
        <v>0</v>
      </c>
      <c r="Y20" s="27">
        <v>0</v>
      </c>
      <c r="Z20" s="27">
        <v>0</v>
      </c>
      <c r="AA20" s="27">
        <v>0</v>
      </c>
      <c r="AB20" s="27">
        <v>0</v>
      </c>
      <c r="AC20" s="27">
        <v>0</v>
      </c>
      <c r="AD20" s="27">
        <v>0</v>
      </c>
      <c r="AE20" s="27">
        <v>0</v>
      </c>
      <c r="AF20" s="27">
        <v>0</v>
      </c>
      <c r="AG20" s="21">
        <f t="shared" si="2"/>
        <v>26</v>
      </c>
      <c r="AH20" s="21" t="b">
        <f t="shared" si="3"/>
        <v>1</v>
      </c>
    </row>
    <row r="21" spans="1:34" ht="18.600000000000001" customHeight="1">
      <c r="A21" s="26">
        <v>54</v>
      </c>
      <c r="B21" s="27" t="s">
        <v>32</v>
      </c>
      <c r="C21" s="28" t="s">
        <v>664</v>
      </c>
      <c r="D21" s="27" t="s">
        <v>663</v>
      </c>
      <c r="E21" s="29">
        <v>10941</v>
      </c>
      <c r="F21" s="29">
        <f t="shared" si="0"/>
        <v>109410</v>
      </c>
      <c r="G21" s="245">
        <f t="shared" si="1"/>
        <v>10</v>
      </c>
      <c r="H21" s="27">
        <v>0</v>
      </c>
      <c r="I21" s="27">
        <v>0</v>
      </c>
      <c r="J21" s="27">
        <v>0</v>
      </c>
      <c r="K21" s="27">
        <v>0</v>
      </c>
      <c r="L21" s="27">
        <v>0</v>
      </c>
      <c r="M21" s="27">
        <v>0</v>
      </c>
      <c r="N21" s="27">
        <v>0</v>
      </c>
      <c r="O21" s="27">
        <v>0</v>
      </c>
      <c r="P21" s="27">
        <v>0</v>
      </c>
      <c r="Q21" s="266">
        <v>5</v>
      </c>
      <c r="R21" s="27">
        <v>0</v>
      </c>
      <c r="S21" s="27">
        <v>0</v>
      </c>
      <c r="T21" s="27">
        <v>0</v>
      </c>
      <c r="U21" s="27">
        <v>0</v>
      </c>
      <c r="V21" s="27">
        <v>0</v>
      </c>
      <c r="W21" s="27">
        <v>0</v>
      </c>
      <c r="X21" s="27">
        <v>0</v>
      </c>
      <c r="Y21" s="27">
        <v>0</v>
      </c>
      <c r="Z21" s="266">
        <v>5</v>
      </c>
      <c r="AA21" s="27">
        <v>0</v>
      </c>
      <c r="AB21" s="27">
        <v>0</v>
      </c>
      <c r="AC21" s="27">
        <v>0</v>
      </c>
      <c r="AD21" s="27">
        <v>0</v>
      </c>
      <c r="AE21" s="27">
        <v>0</v>
      </c>
      <c r="AF21" s="27">
        <v>0</v>
      </c>
      <c r="AG21" s="21">
        <f t="shared" si="2"/>
        <v>10</v>
      </c>
      <c r="AH21" s="21" t="b">
        <f t="shared" si="3"/>
        <v>1</v>
      </c>
    </row>
    <row r="22" spans="1:34" ht="18.600000000000001" customHeight="1">
      <c r="A22" s="26">
        <v>57</v>
      </c>
      <c r="B22" s="27" t="s">
        <v>34</v>
      </c>
      <c r="C22" s="28" t="s">
        <v>288</v>
      </c>
      <c r="D22" s="27" t="s">
        <v>267</v>
      </c>
      <c r="E22" s="29">
        <v>29456</v>
      </c>
      <c r="F22" s="29">
        <f t="shared" si="0"/>
        <v>58912</v>
      </c>
      <c r="G22" s="245">
        <f t="shared" si="1"/>
        <v>2</v>
      </c>
      <c r="H22" s="27">
        <v>0</v>
      </c>
      <c r="I22" s="27">
        <v>0</v>
      </c>
      <c r="J22" s="27">
        <v>0</v>
      </c>
      <c r="K22" s="27">
        <v>0</v>
      </c>
      <c r="L22" s="27">
        <v>0</v>
      </c>
      <c r="M22" s="27">
        <v>0</v>
      </c>
      <c r="N22" s="266">
        <v>2</v>
      </c>
      <c r="O22" s="27">
        <v>0</v>
      </c>
      <c r="P22" s="27">
        <v>0</v>
      </c>
      <c r="Q22" s="27">
        <v>0</v>
      </c>
      <c r="R22" s="27">
        <v>0</v>
      </c>
      <c r="S22" s="27">
        <v>0</v>
      </c>
      <c r="T22" s="27">
        <v>0</v>
      </c>
      <c r="U22" s="27">
        <v>0</v>
      </c>
      <c r="V22" s="27">
        <v>0</v>
      </c>
      <c r="W22" s="27">
        <v>0</v>
      </c>
      <c r="X22" s="27">
        <v>0</v>
      </c>
      <c r="Y22" s="27">
        <v>0</v>
      </c>
      <c r="Z22" s="27">
        <v>0</v>
      </c>
      <c r="AA22" s="27">
        <v>0</v>
      </c>
      <c r="AB22" s="27">
        <v>0</v>
      </c>
      <c r="AC22" s="27">
        <v>0</v>
      </c>
      <c r="AD22" s="27">
        <v>0</v>
      </c>
      <c r="AE22" s="27">
        <v>0</v>
      </c>
      <c r="AF22" s="27">
        <v>0</v>
      </c>
      <c r="AG22" s="21">
        <f t="shared" si="2"/>
        <v>2</v>
      </c>
      <c r="AH22" s="21" t="b">
        <f t="shared" si="3"/>
        <v>1</v>
      </c>
    </row>
    <row r="23" spans="1:34" ht="18.600000000000001" customHeight="1">
      <c r="A23" s="26">
        <v>62</v>
      </c>
      <c r="B23" s="27" t="s">
        <v>37</v>
      </c>
      <c r="C23" s="28" t="s">
        <v>291</v>
      </c>
      <c r="D23" s="27" t="s">
        <v>282</v>
      </c>
      <c r="E23" s="29">
        <v>10836</v>
      </c>
      <c r="F23" s="29">
        <f t="shared" si="0"/>
        <v>671832</v>
      </c>
      <c r="G23" s="245">
        <f t="shared" si="1"/>
        <v>62</v>
      </c>
      <c r="H23" s="266">
        <v>20</v>
      </c>
      <c r="I23" s="27">
        <v>0</v>
      </c>
      <c r="J23" s="27">
        <v>0</v>
      </c>
      <c r="K23" s="27">
        <v>0</v>
      </c>
      <c r="L23" s="266">
        <v>3</v>
      </c>
      <c r="M23" s="266">
        <v>5</v>
      </c>
      <c r="N23" s="266">
        <v>2</v>
      </c>
      <c r="O23" s="266">
        <v>6</v>
      </c>
      <c r="P23" s="266">
        <v>4</v>
      </c>
      <c r="Q23" s="266">
        <v>5</v>
      </c>
      <c r="R23" s="27">
        <v>0</v>
      </c>
      <c r="S23" s="27">
        <v>0</v>
      </c>
      <c r="T23" s="27">
        <v>0</v>
      </c>
      <c r="U23" s="266">
        <v>2</v>
      </c>
      <c r="V23" s="27">
        <v>0</v>
      </c>
      <c r="W23" s="27">
        <v>0</v>
      </c>
      <c r="X23" s="266">
        <v>2</v>
      </c>
      <c r="Y23" s="266">
        <v>3</v>
      </c>
      <c r="Z23" s="27">
        <v>0</v>
      </c>
      <c r="AA23" s="27">
        <v>0</v>
      </c>
      <c r="AB23" s="27">
        <v>0</v>
      </c>
      <c r="AC23" s="266">
        <v>4</v>
      </c>
      <c r="AD23" s="266">
        <v>4</v>
      </c>
      <c r="AE23" s="27">
        <v>0</v>
      </c>
      <c r="AF23" s="266">
        <v>2</v>
      </c>
      <c r="AG23" s="21">
        <f t="shared" si="2"/>
        <v>62</v>
      </c>
      <c r="AH23" s="21" t="b">
        <f t="shared" si="3"/>
        <v>1</v>
      </c>
    </row>
    <row r="24" spans="1:34" ht="18.600000000000001" customHeight="1">
      <c r="A24" s="26">
        <v>63</v>
      </c>
      <c r="B24" s="27" t="s">
        <v>38</v>
      </c>
      <c r="C24" s="30" t="s">
        <v>292</v>
      </c>
      <c r="D24" s="27" t="s">
        <v>293</v>
      </c>
      <c r="E24" s="246">
        <v>12308</v>
      </c>
      <c r="F24" s="29">
        <f t="shared" si="0"/>
        <v>1464652</v>
      </c>
      <c r="G24" s="245">
        <f t="shared" si="1"/>
        <v>119</v>
      </c>
      <c r="H24" s="266">
        <v>40</v>
      </c>
      <c r="I24" s="27">
        <v>0</v>
      </c>
      <c r="J24" s="27">
        <v>0</v>
      </c>
      <c r="K24" s="27">
        <v>0</v>
      </c>
      <c r="L24" s="266">
        <v>5</v>
      </c>
      <c r="M24" s="266">
        <v>5</v>
      </c>
      <c r="N24" s="266">
        <v>6</v>
      </c>
      <c r="O24" s="27">
        <v>0</v>
      </c>
      <c r="P24" s="266">
        <v>3</v>
      </c>
      <c r="Q24" s="266">
        <v>5</v>
      </c>
      <c r="R24" s="27">
        <v>0</v>
      </c>
      <c r="S24" s="27">
        <v>0</v>
      </c>
      <c r="T24" s="266">
        <v>10</v>
      </c>
      <c r="U24" s="266">
        <v>3</v>
      </c>
      <c r="V24" s="27">
        <v>0</v>
      </c>
      <c r="W24" s="27">
        <v>0</v>
      </c>
      <c r="X24" s="27">
        <v>0</v>
      </c>
      <c r="Y24" s="266">
        <v>2</v>
      </c>
      <c r="Z24" s="266">
        <v>10</v>
      </c>
      <c r="AA24" s="27">
        <v>0</v>
      </c>
      <c r="AB24" s="266">
        <v>10</v>
      </c>
      <c r="AC24" s="266">
        <v>10</v>
      </c>
      <c r="AD24" s="266">
        <v>5</v>
      </c>
      <c r="AE24" s="27">
        <v>0</v>
      </c>
      <c r="AF24" s="266">
        <v>5</v>
      </c>
      <c r="AG24" s="21">
        <f t="shared" si="2"/>
        <v>119</v>
      </c>
      <c r="AH24" s="21" t="b">
        <f t="shared" si="3"/>
        <v>1</v>
      </c>
    </row>
    <row r="25" spans="1:34" ht="18.600000000000001" customHeight="1">
      <c r="A25" s="26">
        <v>64</v>
      </c>
      <c r="B25" s="27" t="s">
        <v>40</v>
      </c>
      <c r="C25" s="30" t="s">
        <v>294</v>
      </c>
      <c r="D25" s="27" t="s">
        <v>295</v>
      </c>
      <c r="E25" s="246">
        <v>21882</v>
      </c>
      <c r="F25" s="29">
        <f t="shared" si="0"/>
        <v>459522</v>
      </c>
      <c r="G25" s="245">
        <f t="shared" si="1"/>
        <v>21</v>
      </c>
      <c r="H25" s="27">
        <v>0</v>
      </c>
      <c r="I25" s="27">
        <v>0</v>
      </c>
      <c r="J25" s="27">
        <v>0</v>
      </c>
      <c r="K25" s="27">
        <v>0</v>
      </c>
      <c r="L25" s="266">
        <v>4</v>
      </c>
      <c r="M25" s="27">
        <v>0</v>
      </c>
      <c r="N25" s="27">
        <v>0</v>
      </c>
      <c r="O25" s="27">
        <v>0</v>
      </c>
      <c r="P25" s="27">
        <v>0</v>
      </c>
      <c r="Q25" s="266">
        <v>5</v>
      </c>
      <c r="R25" s="27">
        <v>0</v>
      </c>
      <c r="S25" s="27">
        <v>0</v>
      </c>
      <c r="T25" s="27">
        <v>0</v>
      </c>
      <c r="U25" s="266">
        <v>2</v>
      </c>
      <c r="V25" s="27">
        <v>0</v>
      </c>
      <c r="W25" s="27">
        <v>0</v>
      </c>
      <c r="X25" s="27">
        <v>0</v>
      </c>
      <c r="Y25" s="27">
        <v>0</v>
      </c>
      <c r="Z25" s="27">
        <v>0</v>
      </c>
      <c r="AA25" s="27">
        <v>0</v>
      </c>
      <c r="AB25" s="27">
        <v>0</v>
      </c>
      <c r="AC25" s="266">
        <v>10</v>
      </c>
      <c r="AD25" s="27">
        <v>0</v>
      </c>
      <c r="AE25" s="27">
        <v>0</v>
      </c>
      <c r="AF25" s="27">
        <v>0</v>
      </c>
      <c r="AG25" s="21">
        <f t="shared" si="2"/>
        <v>21</v>
      </c>
      <c r="AH25" s="21" t="b">
        <f t="shared" si="3"/>
        <v>1</v>
      </c>
    </row>
    <row r="26" spans="1:34" ht="18.600000000000001" customHeight="1">
      <c r="A26" s="26">
        <v>65</v>
      </c>
      <c r="B26" s="27" t="s">
        <v>41</v>
      </c>
      <c r="C26" s="30" t="s">
        <v>296</v>
      </c>
      <c r="D26" s="27" t="s">
        <v>295</v>
      </c>
      <c r="E26" s="246">
        <v>22828</v>
      </c>
      <c r="F26" s="29">
        <f t="shared" si="0"/>
        <v>388076</v>
      </c>
      <c r="G26" s="245">
        <f t="shared" si="1"/>
        <v>17</v>
      </c>
      <c r="H26" s="27">
        <v>0</v>
      </c>
      <c r="I26" s="27">
        <v>0</v>
      </c>
      <c r="J26" s="27">
        <v>0</v>
      </c>
      <c r="K26" s="27">
        <v>0</v>
      </c>
      <c r="L26" s="27">
        <v>0</v>
      </c>
      <c r="M26" s="27">
        <v>0</v>
      </c>
      <c r="N26" s="27">
        <v>0</v>
      </c>
      <c r="O26" s="27">
        <v>0</v>
      </c>
      <c r="P26" s="27">
        <v>0</v>
      </c>
      <c r="Q26" s="266">
        <v>5</v>
      </c>
      <c r="R26" s="27">
        <v>0</v>
      </c>
      <c r="S26" s="27">
        <v>0</v>
      </c>
      <c r="T26" s="27">
        <v>0</v>
      </c>
      <c r="U26" s="266">
        <v>2</v>
      </c>
      <c r="V26" s="27">
        <v>0</v>
      </c>
      <c r="W26" s="27">
        <v>0</v>
      </c>
      <c r="X26" s="27">
        <v>0</v>
      </c>
      <c r="Y26" s="27">
        <v>0</v>
      </c>
      <c r="Z26" s="27">
        <v>0</v>
      </c>
      <c r="AA26" s="27">
        <v>0</v>
      </c>
      <c r="AB26" s="27">
        <v>0</v>
      </c>
      <c r="AC26" s="266">
        <v>10</v>
      </c>
      <c r="AD26" s="27">
        <v>0</v>
      </c>
      <c r="AE26" s="27">
        <v>0</v>
      </c>
      <c r="AF26" s="27">
        <v>0</v>
      </c>
      <c r="AG26" s="21">
        <f t="shared" si="2"/>
        <v>17</v>
      </c>
      <c r="AH26" s="21" t="b">
        <f t="shared" si="3"/>
        <v>1</v>
      </c>
    </row>
    <row r="27" spans="1:34" ht="18.600000000000001" customHeight="1">
      <c r="A27" s="26">
        <v>66</v>
      </c>
      <c r="B27" s="27" t="s">
        <v>42</v>
      </c>
      <c r="C27" s="28" t="s">
        <v>297</v>
      </c>
      <c r="D27" s="27" t="s">
        <v>298</v>
      </c>
      <c r="E27" s="246">
        <v>4524</v>
      </c>
      <c r="F27" s="29">
        <f t="shared" si="0"/>
        <v>235248</v>
      </c>
      <c r="G27" s="245">
        <f t="shared" si="1"/>
        <v>52</v>
      </c>
      <c r="H27" s="266">
        <v>30</v>
      </c>
      <c r="I27" s="27">
        <v>0</v>
      </c>
      <c r="J27" s="27">
        <v>0</v>
      </c>
      <c r="K27" s="27">
        <v>0</v>
      </c>
      <c r="L27" s="266">
        <v>4</v>
      </c>
      <c r="M27" s="266">
        <v>15</v>
      </c>
      <c r="N27" s="27">
        <v>0</v>
      </c>
      <c r="O27" s="27">
        <v>0</v>
      </c>
      <c r="P27" s="266">
        <v>3</v>
      </c>
      <c r="Q27" s="27">
        <v>0</v>
      </c>
      <c r="R27" s="27">
        <v>0</v>
      </c>
      <c r="S27" s="27">
        <v>0</v>
      </c>
      <c r="T27" s="27">
        <v>0</v>
      </c>
      <c r="U27" s="27">
        <v>0</v>
      </c>
      <c r="V27" s="27">
        <v>0</v>
      </c>
      <c r="W27" s="27">
        <v>0</v>
      </c>
      <c r="X27" s="27">
        <v>0</v>
      </c>
      <c r="Y27" s="27">
        <v>0</v>
      </c>
      <c r="Z27" s="27">
        <v>0</v>
      </c>
      <c r="AA27" s="27">
        <v>0</v>
      </c>
      <c r="AB27" s="27">
        <v>0</v>
      </c>
      <c r="AC27" s="27">
        <v>0</v>
      </c>
      <c r="AD27" s="27">
        <v>0</v>
      </c>
      <c r="AE27" s="27">
        <v>0</v>
      </c>
      <c r="AF27" s="27">
        <v>0</v>
      </c>
      <c r="AG27" s="21">
        <f t="shared" si="2"/>
        <v>52</v>
      </c>
      <c r="AH27" s="21" t="b">
        <f t="shared" si="3"/>
        <v>1</v>
      </c>
    </row>
    <row r="28" spans="1:34" ht="18.600000000000001" customHeight="1">
      <c r="A28" s="26">
        <v>72</v>
      </c>
      <c r="B28" s="27" t="s">
        <v>44</v>
      </c>
      <c r="C28" s="28" t="s">
        <v>300</v>
      </c>
      <c r="D28" s="27" t="s">
        <v>298</v>
      </c>
      <c r="E28" s="246">
        <v>8416</v>
      </c>
      <c r="F28" s="29">
        <f t="shared" si="0"/>
        <v>496544</v>
      </c>
      <c r="G28" s="245">
        <f t="shared" si="1"/>
        <v>59</v>
      </c>
      <c r="H28" s="266">
        <v>30</v>
      </c>
      <c r="I28" s="266">
        <v>10</v>
      </c>
      <c r="J28" s="266">
        <v>4</v>
      </c>
      <c r="K28" s="27">
        <v>0</v>
      </c>
      <c r="L28" s="27">
        <v>0</v>
      </c>
      <c r="M28" s="266">
        <v>15</v>
      </c>
      <c r="N28" s="27">
        <v>0</v>
      </c>
      <c r="O28" s="27">
        <v>0</v>
      </c>
      <c r="P28" s="27">
        <v>0</v>
      </c>
      <c r="Q28" s="27">
        <v>0</v>
      </c>
      <c r="R28" s="27">
        <v>0</v>
      </c>
      <c r="S28" s="27">
        <v>0</v>
      </c>
      <c r="T28" s="27">
        <v>0</v>
      </c>
      <c r="U28" s="27">
        <v>0</v>
      </c>
      <c r="V28" s="27">
        <v>0</v>
      </c>
      <c r="W28" s="27">
        <v>0</v>
      </c>
      <c r="X28" s="27">
        <v>0</v>
      </c>
      <c r="Y28" s="27">
        <v>0</v>
      </c>
      <c r="Z28" s="27">
        <v>0</v>
      </c>
      <c r="AA28" s="27">
        <v>0</v>
      </c>
      <c r="AB28" s="27">
        <v>0</v>
      </c>
      <c r="AC28" s="27">
        <v>0</v>
      </c>
      <c r="AD28" s="27">
        <v>0</v>
      </c>
      <c r="AE28" s="27">
        <v>0</v>
      </c>
      <c r="AF28" s="27">
        <v>0</v>
      </c>
      <c r="AG28" s="21">
        <f t="shared" si="2"/>
        <v>59</v>
      </c>
      <c r="AH28" s="21" t="b">
        <f t="shared" si="3"/>
        <v>1</v>
      </c>
    </row>
    <row r="29" spans="1:34" ht="18.600000000000001" customHeight="1">
      <c r="A29" s="26">
        <v>73</v>
      </c>
      <c r="B29" s="27" t="s">
        <v>45</v>
      </c>
      <c r="C29" s="28" t="s">
        <v>301</v>
      </c>
      <c r="D29" s="27" t="s">
        <v>298</v>
      </c>
      <c r="E29" s="246">
        <v>23144</v>
      </c>
      <c r="F29" s="29">
        <f t="shared" si="0"/>
        <v>763752</v>
      </c>
      <c r="G29" s="245">
        <f t="shared" si="1"/>
        <v>33</v>
      </c>
      <c r="H29" s="266">
        <v>20</v>
      </c>
      <c r="I29" s="266">
        <v>3</v>
      </c>
      <c r="J29" s="266">
        <v>2</v>
      </c>
      <c r="K29" s="27">
        <v>0</v>
      </c>
      <c r="L29" s="266">
        <v>2</v>
      </c>
      <c r="M29" s="27">
        <v>0</v>
      </c>
      <c r="N29" s="266">
        <v>4</v>
      </c>
      <c r="O29" s="27">
        <v>0</v>
      </c>
      <c r="P29" s="27">
        <v>0</v>
      </c>
      <c r="Q29" s="27">
        <v>0</v>
      </c>
      <c r="R29" s="27">
        <v>0</v>
      </c>
      <c r="S29" s="27">
        <v>0</v>
      </c>
      <c r="T29" s="27">
        <v>0</v>
      </c>
      <c r="U29" s="27">
        <v>0</v>
      </c>
      <c r="V29" s="27">
        <v>0</v>
      </c>
      <c r="W29" s="27">
        <v>0</v>
      </c>
      <c r="X29" s="27">
        <v>0</v>
      </c>
      <c r="Y29" s="266">
        <v>2</v>
      </c>
      <c r="Z29" s="27">
        <v>0</v>
      </c>
      <c r="AA29" s="27">
        <v>0</v>
      </c>
      <c r="AB29" s="27">
        <v>0</v>
      </c>
      <c r="AC29" s="27">
        <v>0</v>
      </c>
      <c r="AD29" s="27">
        <v>0</v>
      </c>
      <c r="AE29" s="27">
        <v>0</v>
      </c>
      <c r="AF29" s="27">
        <v>0</v>
      </c>
      <c r="AG29" s="21">
        <f t="shared" si="2"/>
        <v>33</v>
      </c>
      <c r="AH29" s="21" t="b">
        <f t="shared" si="3"/>
        <v>1</v>
      </c>
    </row>
    <row r="30" spans="1:34" ht="18.600000000000001" customHeight="1">
      <c r="A30" s="26">
        <v>74</v>
      </c>
      <c r="B30" s="27" t="s">
        <v>47</v>
      </c>
      <c r="C30" s="28" t="s">
        <v>302</v>
      </c>
      <c r="D30" s="27" t="s">
        <v>303</v>
      </c>
      <c r="E30" s="246">
        <v>7417</v>
      </c>
      <c r="F30" s="29">
        <f t="shared" si="0"/>
        <v>89004</v>
      </c>
      <c r="G30" s="245">
        <f t="shared" si="1"/>
        <v>12</v>
      </c>
      <c r="H30" s="27">
        <v>0</v>
      </c>
      <c r="I30" s="266">
        <v>2</v>
      </c>
      <c r="J30" s="266">
        <v>2</v>
      </c>
      <c r="K30" s="27">
        <v>0</v>
      </c>
      <c r="L30" s="27">
        <v>0</v>
      </c>
      <c r="M30" s="27">
        <v>0</v>
      </c>
      <c r="N30" s="27">
        <v>0</v>
      </c>
      <c r="O30" s="27">
        <v>0</v>
      </c>
      <c r="P30" s="266">
        <v>3</v>
      </c>
      <c r="Q30" s="27">
        <v>0</v>
      </c>
      <c r="R30" s="27">
        <v>0</v>
      </c>
      <c r="S30" s="27">
        <v>0</v>
      </c>
      <c r="T30" s="266">
        <v>5</v>
      </c>
      <c r="U30" s="27">
        <v>0</v>
      </c>
      <c r="V30" s="27">
        <v>0</v>
      </c>
      <c r="W30" s="27">
        <v>0</v>
      </c>
      <c r="X30" s="27">
        <v>0</v>
      </c>
      <c r="Y30" s="27">
        <v>0</v>
      </c>
      <c r="Z30" s="27">
        <v>0</v>
      </c>
      <c r="AA30" s="27">
        <v>0</v>
      </c>
      <c r="AB30" s="27">
        <v>0</v>
      </c>
      <c r="AC30" s="27">
        <v>0</v>
      </c>
      <c r="AD30" s="27">
        <v>0</v>
      </c>
      <c r="AE30" s="27">
        <v>0</v>
      </c>
      <c r="AF30" s="27">
        <v>0</v>
      </c>
      <c r="AG30" s="21">
        <f t="shared" si="2"/>
        <v>12</v>
      </c>
      <c r="AH30" s="21" t="b">
        <f t="shared" si="3"/>
        <v>1</v>
      </c>
    </row>
    <row r="31" spans="1:34" ht="18.600000000000001" customHeight="1">
      <c r="A31" s="26">
        <v>79</v>
      </c>
      <c r="B31" s="33" t="s">
        <v>48</v>
      </c>
      <c r="C31" s="28" t="s">
        <v>304</v>
      </c>
      <c r="D31" s="27" t="s">
        <v>298</v>
      </c>
      <c r="E31" s="246">
        <v>999</v>
      </c>
      <c r="F31" s="29">
        <f t="shared" si="0"/>
        <v>3996</v>
      </c>
      <c r="G31" s="245">
        <f t="shared" si="1"/>
        <v>4</v>
      </c>
      <c r="H31" s="27">
        <v>0</v>
      </c>
      <c r="I31" s="27">
        <v>0</v>
      </c>
      <c r="J31" s="27">
        <v>0</v>
      </c>
      <c r="K31" s="27">
        <v>0</v>
      </c>
      <c r="L31" s="27">
        <v>0</v>
      </c>
      <c r="M31" s="27">
        <v>0</v>
      </c>
      <c r="N31" s="27">
        <v>0</v>
      </c>
      <c r="O31" s="27">
        <v>0</v>
      </c>
      <c r="P31" s="27">
        <v>0</v>
      </c>
      <c r="Q31" s="27">
        <v>0</v>
      </c>
      <c r="R31" s="27">
        <v>0</v>
      </c>
      <c r="S31" s="27">
        <v>0</v>
      </c>
      <c r="T31" s="27">
        <v>0</v>
      </c>
      <c r="U31" s="266">
        <v>4</v>
      </c>
      <c r="V31" s="27">
        <v>0</v>
      </c>
      <c r="W31" s="27">
        <v>0</v>
      </c>
      <c r="X31" s="27">
        <v>0</v>
      </c>
      <c r="Y31" s="27">
        <v>0</v>
      </c>
      <c r="Z31" s="27">
        <v>0</v>
      </c>
      <c r="AA31" s="27">
        <v>0</v>
      </c>
      <c r="AB31" s="27">
        <v>0</v>
      </c>
      <c r="AC31" s="27">
        <v>0</v>
      </c>
      <c r="AD31" s="27">
        <v>0</v>
      </c>
      <c r="AE31" s="27">
        <v>0</v>
      </c>
      <c r="AF31" s="27">
        <v>0</v>
      </c>
      <c r="AG31" s="21">
        <f t="shared" si="2"/>
        <v>4</v>
      </c>
      <c r="AH31" s="21" t="b">
        <f t="shared" si="3"/>
        <v>1</v>
      </c>
    </row>
    <row r="32" spans="1:34" ht="18.600000000000001" customHeight="1">
      <c r="A32" s="26">
        <v>80</v>
      </c>
      <c r="B32" s="27" t="s">
        <v>49</v>
      </c>
      <c r="C32" s="28" t="s">
        <v>305</v>
      </c>
      <c r="D32" s="27" t="s">
        <v>298</v>
      </c>
      <c r="E32" s="246">
        <v>652</v>
      </c>
      <c r="F32" s="29">
        <f t="shared" si="0"/>
        <v>6520</v>
      </c>
      <c r="G32" s="245">
        <f t="shared" si="1"/>
        <v>10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66">
        <v>5</v>
      </c>
      <c r="Z32" s="27">
        <v>0</v>
      </c>
      <c r="AA32" s="27">
        <v>0</v>
      </c>
      <c r="AB32" s="27">
        <v>0</v>
      </c>
      <c r="AC32" s="27">
        <v>0</v>
      </c>
      <c r="AD32" s="266">
        <v>5</v>
      </c>
      <c r="AE32" s="27">
        <v>0</v>
      </c>
      <c r="AF32" s="27">
        <v>0</v>
      </c>
      <c r="AG32" s="21">
        <f t="shared" si="2"/>
        <v>10</v>
      </c>
      <c r="AH32" s="21" t="b">
        <f t="shared" si="3"/>
        <v>1</v>
      </c>
    </row>
    <row r="33" spans="1:33" ht="18.600000000000001" customHeight="1">
      <c r="A33" s="26">
        <v>81</v>
      </c>
      <c r="B33" s="27" t="s">
        <v>50</v>
      </c>
      <c r="C33" s="28" t="s">
        <v>306</v>
      </c>
      <c r="D33" s="27" t="s">
        <v>298</v>
      </c>
      <c r="E33" s="246">
        <v>421</v>
      </c>
      <c r="F33" s="29">
        <f t="shared" si="0"/>
        <v>12630</v>
      </c>
      <c r="G33" s="245">
        <f t="shared" si="1"/>
        <v>30</v>
      </c>
      <c r="H33" s="266">
        <v>15</v>
      </c>
      <c r="I33" s="27">
        <v>0</v>
      </c>
      <c r="J33" s="27">
        <v>0</v>
      </c>
      <c r="K33" s="27">
        <v>0</v>
      </c>
      <c r="L33" s="27">
        <v>0</v>
      </c>
      <c r="M33" s="27">
        <v>0</v>
      </c>
      <c r="N33" s="27">
        <v>0</v>
      </c>
      <c r="O33" s="27">
        <v>0</v>
      </c>
      <c r="P33" s="266">
        <v>10</v>
      </c>
      <c r="Q33" s="27">
        <v>0</v>
      </c>
      <c r="R33" s="27">
        <v>0</v>
      </c>
      <c r="S33" s="27">
        <v>0</v>
      </c>
      <c r="T33" s="27">
        <v>0</v>
      </c>
      <c r="U33" s="266">
        <v>5</v>
      </c>
      <c r="V33" s="27">
        <v>0</v>
      </c>
      <c r="W33" s="27">
        <v>0</v>
      </c>
      <c r="X33" s="27">
        <v>0</v>
      </c>
      <c r="Y33" s="27">
        <v>0</v>
      </c>
      <c r="Z33" s="27">
        <v>0</v>
      </c>
      <c r="AA33" s="27">
        <v>0</v>
      </c>
      <c r="AB33" s="27">
        <v>0</v>
      </c>
      <c r="AC33" s="27">
        <v>0</v>
      </c>
      <c r="AD33" s="27">
        <v>0</v>
      </c>
      <c r="AE33" s="27">
        <v>0</v>
      </c>
      <c r="AF33" s="27">
        <v>0</v>
      </c>
      <c r="AG33" s="21">
        <f t="shared" si="2"/>
        <v>30</v>
      </c>
    </row>
    <row r="34" spans="1:33" ht="18.600000000000001" customHeight="1">
      <c r="A34" s="26">
        <v>88</v>
      </c>
      <c r="B34" s="27" t="s">
        <v>56</v>
      </c>
      <c r="C34" s="28" t="s">
        <v>309</v>
      </c>
      <c r="D34" s="27" t="s">
        <v>298</v>
      </c>
      <c r="E34" s="246">
        <v>5102</v>
      </c>
      <c r="F34" s="29">
        <f t="shared" si="0"/>
        <v>30612</v>
      </c>
      <c r="G34" s="245">
        <f t="shared" si="1"/>
        <v>6</v>
      </c>
      <c r="H34" s="27">
        <v>0</v>
      </c>
      <c r="I34" s="27">
        <v>0</v>
      </c>
      <c r="J34" s="27">
        <v>0</v>
      </c>
      <c r="K34" s="27">
        <v>0</v>
      </c>
      <c r="L34" s="27">
        <v>0</v>
      </c>
      <c r="M34" s="27">
        <v>0</v>
      </c>
      <c r="N34" s="27">
        <v>0</v>
      </c>
      <c r="O34" s="27">
        <v>0</v>
      </c>
      <c r="P34" s="27">
        <v>0</v>
      </c>
      <c r="Q34" s="27">
        <v>0</v>
      </c>
      <c r="R34" s="27">
        <v>0</v>
      </c>
      <c r="S34" s="27">
        <v>0</v>
      </c>
      <c r="T34" s="27">
        <v>0</v>
      </c>
      <c r="U34" s="27">
        <v>0</v>
      </c>
      <c r="V34" s="27">
        <v>0</v>
      </c>
      <c r="W34" s="27">
        <v>0</v>
      </c>
      <c r="X34" s="27">
        <v>0</v>
      </c>
      <c r="Y34" s="27">
        <v>0</v>
      </c>
      <c r="Z34" s="27">
        <v>0</v>
      </c>
      <c r="AA34" s="27">
        <v>0</v>
      </c>
      <c r="AB34" s="27">
        <v>0</v>
      </c>
      <c r="AC34" s="27">
        <v>0</v>
      </c>
      <c r="AD34" s="27">
        <v>0</v>
      </c>
      <c r="AE34" s="27">
        <v>0</v>
      </c>
      <c r="AF34" s="266">
        <v>6</v>
      </c>
      <c r="AG34" s="21">
        <f t="shared" si="2"/>
        <v>6</v>
      </c>
    </row>
    <row r="35" spans="1:33" ht="18.600000000000001" customHeight="1">
      <c r="A35" s="26">
        <v>98</v>
      </c>
      <c r="B35" s="27" t="s">
        <v>63</v>
      </c>
      <c r="C35" s="28" t="s">
        <v>312</v>
      </c>
      <c r="D35" s="27" t="s">
        <v>298</v>
      </c>
      <c r="E35" s="29">
        <v>10204</v>
      </c>
      <c r="F35" s="29">
        <f t="shared" si="0"/>
        <v>102040</v>
      </c>
      <c r="G35" s="245">
        <f t="shared" si="1"/>
        <v>10</v>
      </c>
      <c r="H35" s="27">
        <v>0</v>
      </c>
      <c r="I35" s="27">
        <v>0</v>
      </c>
      <c r="J35" s="27">
        <v>0</v>
      </c>
      <c r="K35" s="27">
        <v>0</v>
      </c>
      <c r="L35" s="27">
        <v>0</v>
      </c>
      <c r="M35" s="266">
        <v>10</v>
      </c>
      <c r="N35" s="27">
        <v>0</v>
      </c>
      <c r="O35" s="27">
        <v>0</v>
      </c>
      <c r="P35" s="27">
        <v>0</v>
      </c>
      <c r="Q35" s="27">
        <v>0</v>
      </c>
      <c r="R35" s="27">
        <v>0</v>
      </c>
      <c r="S35" s="27">
        <v>0</v>
      </c>
      <c r="T35" s="27">
        <v>0</v>
      </c>
      <c r="U35" s="27">
        <v>0</v>
      </c>
      <c r="V35" s="27">
        <v>0</v>
      </c>
      <c r="W35" s="27">
        <v>0</v>
      </c>
      <c r="X35" s="27">
        <v>0</v>
      </c>
      <c r="Y35" s="27">
        <v>0</v>
      </c>
      <c r="Z35" s="27">
        <v>0</v>
      </c>
      <c r="AA35" s="27">
        <v>0</v>
      </c>
      <c r="AB35" s="27">
        <v>0</v>
      </c>
      <c r="AC35" s="27">
        <v>0</v>
      </c>
      <c r="AD35" s="27">
        <v>0</v>
      </c>
      <c r="AE35" s="27">
        <v>0</v>
      </c>
      <c r="AF35" s="27">
        <v>0</v>
      </c>
      <c r="AG35" s="21">
        <f t="shared" si="2"/>
        <v>10</v>
      </c>
    </row>
    <row r="36" spans="1:33" ht="18.600000000000001" customHeight="1">
      <c r="A36" s="26">
        <v>110</v>
      </c>
      <c r="B36" s="27" t="s">
        <v>73</v>
      </c>
      <c r="C36" s="28" t="s">
        <v>315</v>
      </c>
      <c r="D36" s="27" t="s">
        <v>316</v>
      </c>
      <c r="E36" s="226">
        <v>1546</v>
      </c>
      <c r="F36" s="29">
        <f t="shared" si="0"/>
        <v>802374</v>
      </c>
      <c r="G36" s="245">
        <f t="shared" si="1"/>
        <v>519</v>
      </c>
      <c r="H36" s="266">
        <v>350</v>
      </c>
      <c r="I36" s="27">
        <v>0</v>
      </c>
      <c r="J36" s="27">
        <v>0</v>
      </c>
      <c r="K36" s="27">
        <v>0</v>
      </c>
      <c r="L36" s="266">
        <v>25</v>
      </c>
      <c r="M36" s="266">
        <v>20</v>
      </c>
      <c r="N36" s="266">
        <v>20</v>
      </c>
      <c r="O36" s="27">
        <v>0</v>
      </c>
      <c r="P36" s="266">
        <v>5</v>
      </c>
      <c r="Q36" s="27">
        <v>0</v>
      </c>
      <c r="R36" s="27">
        <v>0</v>
      </c>
      <c r="S36" s="27">
        <v>0</v>
      </c>
      <c r="T36" s="266">
        <v>30</v>
      </c>
      <c r="U36" s="266">
        <v>4</v>
      </c>
      <c r="V36" s="27">
        <v>0</v>
      </c>
      <c r="W36" s="27">
        <v>0</v>
      </c>
      <c r="X36" s="27">
        <v>0</v>
      </c>
      <c r="Y36" s="266">
        <v>50</v>
      </c>
      <c r="Z36" s="27">
        <v>0</v>
      </c>
      <c r="AA36" s="27">
        <v>0</v>
      </c>
      <c r="AB36" s="27">
        <v>0</v>
      </c>
      <c r="AC36" s="266">
        <v>15</v>
      </c>
      <c r="AD36" s="27">
        <v>0</v>
      </c>
      <c r="AE36" s="27">
        <v>0</v>
      </c>
      <c r="AF36" s="27">
        <v>0</v>
      </c>
      <c r="AG36" s="21">
        <f t="shared" si="2"/>
        <v>519</v>
      </c>
    </row>
    <row r="37" spans="1:33" ht="18.600000000000001" customHeight="1">
      <c r="A37" s="26">
        <v>118</v>
      </c>
      <c r="B37" s="27" t="s">
        <v>74</v>
      </c>
      <c r="C37" s="28" t="s">
        <v>317</v>
      </c>
      <c r="D37" s="27" t="s">
        <v>316</v>
      </c>
      <c r="E37" s="226">
        <v>4408</v>
      </c>
      <c r="F37" s="29">
        <f t="shared" si="0"/>
        <v>881600</v>
      </c>
      <c r="G37" s="245">
        <f t="shared" si="1"/>
        <v>200</v>
      </c>
      <c r="H37" s="266">
        <v>200</v>
      </c>
      <c r="I37" s="27">
        <v>0</v>
      </c>
      <c r="J37" s="27">
        <v>0</v>
      </c>
      <c r="K37" s="27">
        <v>0</v>
      </c>
      <c r="L37" s="27">
        <v>0</v>
      </c>
      <c r="M37" s="27">
        <v>0</v>
      </c>
      <c r="N37" s="27">
        <v>0</v>
      </c>
      <c r="O37" s="27">
        <v>0</v>
      </c>
      <c r="P37" s="27">
        <v>0</v>
      </c>
      <c r="Q37" s="27">
        <v>0</v>
      </c>
      <c r="R37" s="27">
        <v>0</v>
      </c>
      <c r="S37" s="27">
        <v>0</v>
      </c>
      <c r="T37" s="27">
        <v>0</v>
      </c>
      <c r="U37" s="27">
        <v>0</v>
      </c>
      <c r="V37" s="27">
        <v>0</v>
      </c>
      <c r="W37" s="27">
        <v>0</v>
      </c>
      <c r="X37" s="27">
        <v>0</v>
      </c>
      <c r="Y37" s="27">
        <v>0</v>
      </c>
      <c r="Z37" s="27">
        <v>0</v>
      </c>
      <c r="AA37" s="27">
        <v>0</v>
      </c>
      <c r="AB37" s="27">
        <v>0</v>
      </c>
      <c r="AC37" s="27">
        <v>0</v>
      </c>
      <c r="AD37" s="27">
        <v>0</v>
      </c>
      <c r="AE37" s="27">
        <v>0</v>
      </c>
      <c r="AF37" s="27">
        <v>0</v>
      </c>
      <c r="AG37" s="21">
        <f t="shared" si="2"/>
        <v>200</v>
      </c>
    </row>
    <row r="38" spans="1:33" ht="18.600000000000001" customHeight="1">
      <c r="A38" s="26">
        <v>135</v>
      </c>
      <c r="B38" s="27" t="s">
        <v>86</v>
      </c>
      <c r="C38" s="30" t="s">
        <v>683</v>
      </c>
      <c r="D38" s="27" t="s">
        <v>684</v>
      </c>
      <c r="E38" s="226">
        <v>18463</v>
      </c>
      <c r="F38" s="29">
        <f t="shared" si="0"/>
        <v>166167</v>
      </c>
      <c r="G38" s="245">
        <f t="shared" si="1"/>
        <v>9</v>
      </c>
      <c r="H38" s="27">
        <v>0</v>
      </c>
      <c r="I38" s="27">
        <v>0</v>
      </c>
      <c r="J38" s="27">
        <v>0</v>
      </c>
      <c r="K38" s="27">
        <v>0</v>
      </c>
      <c r="L38" s="27">
        <v>0</v>
      </c>
      <c r="M38" s="27">
        <v>0</v>
      </c>
      <c r="N38" s="266">
        <v>9</v>
      </c>
      <c r="O38" s="27">
        <v>0</v>
      </c>
      <c r="P38" s="27">
        <v>0</v>
      </c>
      <c r="Q38" s="27">
        <v>0</v>
      </c>
      <c r="R38" s="27">
        <v>0</v>
      </c>
      <c r="S38" s="27">
        <v>0</v>
      </c>
      <c r="T38" s="27">
        <v>0</v>
      </c>
      <c r="U38" s="27">
        <v>0</v>
      </c>
      <c r="V38" s="27">
        <v>0</v>
      </c>
      <c r="W38" s="27">
        <v>0</v>
      </c>
      <c r="X38" s="27">
        <v>0</v>
      </c>
      <c r="Y38" s="27">
        <v>0</v>
      </c>
      <c r="Z38" s="27">
        <v>0</v>
      </c>
      <c r="AA38" s="27">
        <v>0</v>
      </c>
      <c r="AB38" s="27">
        <v>0</v>
      </c>
      <c r="AC38" s="27">
        <v>0</v>
      </c>
      <c r="AD38" s="27">
        <v>0</v>
      </c>
      <c r="AE38" s="27">
        <v>0</v>
      </c>
      <c r="AF38" s="27">
        <v>0</v>
      </c>
      <c r="AG38" s="21">
        <f t="shared" ref="AG38:AG47" si="4">SUM(H38:AF38)</f>
        <v>9</v>
      </c>
    </row>
    <row r="39" spans="1:33" ht="18.600000000000001" customHeight="1">
      <c r="A39" s="26">
        <v>139</v>
      </c>
      <c r="B39" s="27" t="s">
        <v>89</v>
      </c>
      <c r="C39" s="28" t="s">
        <v>325</v>
      </c>
      <c r="D39" s="27" t="s">
        <v>326</v>
      </c>
      <c r="E39" s="29">
        <v>55020</v>
      </c>
      <c r="F39" s="29">
        <f t="shared" si="0"/>
        <v>330120</v>
      </c>
      <c r="G39" s="245">
        <f t="shared" si="1"/>
        <v>6</v>
      </c>
      <c r="H39" s="27">
        <v>0</v>
      </c>
      <c r="I39" s="27">
        <v>0</v>
      </c>
      <c r="J39" s="27">
        <v>0</v>
      </c>
      <c r="K39" s="27">
        <v>0</v>
      </c>
      <c r="L39" s="27">
        <v>0</v>
      </c>
      <c r="M39" s="27">
        <v>0</v>
      </c>
      <c r="N39" s="27">
        <v>0</v>
      </c>
      <c r="O39" s="27">
        <v>0</v>
      </c>
      <c r="P39" s="27">
        <v>0</v>
      </c>
      <c r="Q39" s="27">
        <v>0</v>
      </c>
      <c r="R39" s="27">
        <v>0</v>
      </c>
      <c r="S39" s="27">
        <v>0</v>
      </c>
      <c r="T39" s="27">
        <v>0</v>
      </c>
      <c r="U39" s="266">
        <v>6</v>
      </c>
      <c r="V39" s="27">
        <v>0</v>
      </c>
      <c r="W39" s="27">
        <v>0</v>
      </c>
      <c r="X39" s="27">
        <v>0</v>
      </c>
      <c r="Y39" s="27">
        <v>0</v>
      </c>
      <c r="Z39" s="27">
        <v>0</v>
      </c>
      <c r="AA39" s="27">
        <v>0</v>
      </c>
      <c r="AB39" s="27">
        <v>0</v>
      </c>
      <c r="AC39" s="27">
        <v>0</v>
      </c>
      <c r="AD39" s="27">
        <v>0</v>
      </c>
      <c r="AE39" s="27">
        <v>0</v>
      </c>
      <c r="AF39" s="27">
        <v>0</v>
      </c>
      <c r="AG39" s="21">
        <f t="shared" si="4"/>
        <v>6</v>
      </c>
    </row>
    <row r="40" spans="1:33" ht="18.600000000000001" customHeight="1">
      <c r="A40" s="268">
        <v>151</v>
      </c>
      <c r="B40" s="267" t="s">
        <v>91</v>
      </c>
      <c r="C40" s="269" t="s">
        <v>327</v>
      </c>
      <c r="D40" s="267" t="s">
        <v>298</v>
      </c>
      <c r="E40" s="270">
        <v>8574</v>
      </c>
      <c r="F40" s="271">
        <f t="shared" si="0"/>
        <v>30772086</v>
      </c>
      <c r="G40" s="245">
        <f>SUM(H40:AF40)</f>
        <v>3589</v>
      </c>
      <c r="H40" s="267">
        <f>3000+120</f>
        <v>3120</v>
      </c>
      <c r="I40" s="27">
        <v>0</v>
      </c>
      <c r="J40" s="27">
        <v>0</v>
      </c>
      <c r="K40" s="27">
        <v>0</v>
      </c>
      <c r="L40" s="266">
        <v>50</v>
      </c>
      <c r="M40" s="266">
        <v>30</v>
      </c>
      <c r="N40" s="266">
        <v>50</v>
      </c>
      <c r="O40" s="266">
        <v>25</v>
      </c>
      <c r="P40" s="266">
        <v>72</v>
      </c>
      <c r="Q40" s="27">
        <v>0</v>
      </c>
      <c r="R40" s="27">
        <v>0</v>
      </c>
      <c r="S40" s="27">
        <v>0</v>
      </c>
      <c r="T40" s="266">
        <v>15</v>
      </c>
      <c r="U40" s="266">
        <v>23</v>
      </c>
      <c r="V40" s="27">
        <v>0</v>
      </c>
      <c r="W40" s="27">
        <v>0</v>
      </c>
      <c r="X40" s="27">
        <v>0</v>
      </c>
      <c r="Y40" s="266">
        <v>80</v>
      </c>
      <c r="Z40" s="266">
        <v>20</v>
      </c>
      <c r="AA40" s="27">
        <v>0</v>
      </c>
      <c r="AB40" s="266">
        <v>30</v>
      </c>
      <c r="AC40" s="266">
        <v>20</v>
      </c>
      <c r="AD40" s="266">
        <v>30</v>
      </c>
      <c r="AE40" s="27">
        <v>0</v>
      </c>
      <c r="AF40" s="266">
        <v>24</v>
      </c>
      <c r="AG40" s="21">
        <f t="shared" si="4"/>
        <v>3589</v>
      </c>
    </row>
    <row r="41" spans="1:33" ht="18.600000000000001" customHeight="1">
      <c r="A41" s="26">
        <v>155</v>
      </c>
      <c r="B41" s="27" t="s">
        <v>95</v>
      </c>
      <c r="C41" s="28" t="s">
        <v>328</v>
      </c>
      <c r="D41" s="27" t="s">
        <v>329</v>
      </c>
      <c r="E41" s="226">
        <v>6365</v>
      </c>
      <c r="F41" s="29">
        <f t="shared" si="0"/>
        <v>827450</v>
      </c>
      <c r="G41" s="245">
        <f t="shared" si="1"/>
        <v>130</v>
      </c>
      <c r="H41" s="27">
        <v>0</v>
      </c>
      <c r="I41" s="27">
        <v>0</v>
      </c>
      <c r="J41" s="27">
        <v>0</v>
      </c>
      <c r="K41" s="27">
        <v>0</v>
      </c>
      <c r="L41" s="27">
        <v>0</v>
      </c>
      <c r="M41" s="27">
        <v>0</v>
      </c>
      <c r="N41" s="27">
        <v>0</v>
      </c>
      <c r="O41" s="27">
        <v>0</v>
      </c>
      <c r="P41" s="27">
        <v>0</v>
      </c>
      <c r="Q41" s="27">
        <v>0</v>
      </c>
      <c r="R41" s="27">
        <v>0</v>
      </c>
      <c r="S41" s="27">
        <v>0</v>
      </c>
      <c r="T41" s="27">
        <v>0</v>
      </c>
      <c r="U41" s="27">
        <v>0</v>
      </c>
      <c r="V41" s="27">
        <v>0</v>
      </c>
      <c r="W41" s="27">
        <v>0</v>
      </c>
      <c r="X41" s="27">
        <v>0</v>
      </c>
      <c r="Y41" s="27">
        <v>0</v>
      </c>
      <c r="Z41" s="266">
        <v>80</v>
      </c>
      <c r="AA41" s="27">
        <v>0</v>
      </c>
      <c r="AB41" s="27">
        <v>0</v>
      </c>
      <c r="AC41" s="266">
        <v>50</v>
      </c>
      <c r="AD41" s="27">
        <v>0</v>
      </c>
      <c r="AE41" s="27">
        <v>0</v>
      </c>
      <c r="AF41" s="27">
        <v>0</v>
      </c>
      <c r="AG41" s="21">
        <f t="shared" si="4"/>
        <v>130</v>
      </c>
    </row>
    <row r="42" spans="1:33" ht="18.600000000000001" customHeight="1">
      <c r="A42" s="26">
        <v>157</v>
      </c>
      <c r="B42" s="27" t="s">
        <v>97</v>
      </c>
      <c r="C42" s="28" t="s">
        <v>332</v>
      </c>
      <c r="D42" s="27" t="s">
        <v>333</v>
      </c>
      <c r="E42" s="226">
        <v>9626</v>
      </c>
      <c r="F42" s="29">
        <f t="shared" si="0"/>
        <v>2887800</v>
      </c>
      <c r="G42" s="245">
        <f t="shared" si="1"/>
        <v>300</v>
      </c>
      <c r="H42" s="266">
        <v>300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27">
        <v>0</v>
      </c>
      <c r="AB42" s="27">
        <v>0</v>
      </c>
      <c r="AC42" s="27">
        <v>0</v>
      </c>
      <c r="AD42" s="27">
        <v>0</v>
      </c>
      <c r="AE42" s="27">
        <v>0</v>
      </c>
      <c r="AF42" s="27">
        <v>0</v>
      </c>
      <c r="AG42" s="21">
        <f t="shared" si="4"/>
        <v>300</v>
      </c>
    </row>
    <row r="43" spans="1:33" ht="18.600000000000001" customHeight="1">
      <c r="A43" s="26">
        <v>162</v>
      </c>
      <c r="B43" s="27" t="s">
        <v>101</v>
      </c>
      <c r="C43" s="30" t="s">
        <v>338</v>
      </c>
      <c r="D43" s="27" t="s">
        <v>298</v>
      </c>
      <c r="E43" s="246">
        <v>4313</v>
      </c>
      <c r="F43" s="29">
        <f t="shared" si="0"/>
        <v>25878</v>
      </c>
      <c r="G43" s="245">
        <f t="shared" si="1"/>
        <v>6</v>
      </c>
      <c r="H43" s="27">
        <v>0</v>
      </c>
      <c r="I43" s="27">
        <v>0</v>
      </c>
      <c r="J43" s="27">
        <v>0</v>
      </c>
      <c r="K43" s="27">
        <v>0</v>
      </c>
      <c r="L43" s="27">
        <v>0</v>
      </c>
      <c r="M43" s="27">
        <v>0</v>
      </c>
      <c r="N43" s="27">
        <v>0</v>
      </c>
      <c r="O43" s="27">
        <v>0</v>
      </c>
      <c r="P43" s="27">
        <v>0</v>
      </c>
      <c r="Q43" s="27">
        <v>0</v>
      </c>
      <c r="R43" s="27">
        <v>0</v>
      </c>
      <c r="S43" s="27">
        <v>0</v>
      </c>
      <c r="T43" s="27">
        <v>0</v>
      </c>
      <c r="U43" s="27">
        <v>0</v>
      </c>
      <c r="V43" s="27">
        <v>0</v>
      </c>
      <c r="W43" s="27">
        <v>0</v>
      </c>
      <c r="X43" s="27">
        <v>0</v>
      </c>
      <c r="Y43" s="27">
        <v>0</v>
      </c>
      <c r="Z43" s="27">
        <v>0</v>
      </c>
      <c r="AA43" s="27">
        <v>0</v>
      </c>
      <c r="AB43" s="27">
        <v>0</v>
      </c>
      <c r="AC43" s="266">
        <v>6</v>
      </c>
      <c r="AD43" s="27">
        <v>0</v>
      </c>
      <c r="AE43" s="27">
        <v>0</v>
      </c>
      <c r="AF43" s="27">
        <v>0</v>
      </c>
      <c r="AG43" s="21">
        <f t="shared" si="4"/>
        <v>6</v>
      </c>
    </row>
    <row r="44" spans="1:33" ht="18.600000000000001" customHeight="1">
      <c r="A44" s="268">
        <v>170</v>
      </c>
      <c r="B44" s="267" t="s">
        <v>106</v>
      </c>
      <c r="C44" s="269" t="s">
        <v>341</v>
      </c>
      <c r="D44" s="267" t="s">
        <v>342</v>
      </c>
      <c r="E44" s="272">
        <v>49023</v>
      </c>
      <c r="F44" s="271">
        <f t="shared" si="0"/>
        <v>24511500</v>
      </c>
      <c r="G44" s="245">
        <f t="shared" si="1"/>
        <v>500</v>
      </c>
      <c r="H44" s="267">
        <f>50+450</f>
        <v>500</v>
      </c>
      <c r="I44" s="27">
        <v>0</v>
      </c>
      <c r="J44" s="27">
        <v>0</v>
      </c>
      <c r="K44" s="27">
        <v>0</v>
      </c>
      <c r="L44" s="27">
        <v>0</v>
      </c>
      <c r="M44" s="27">
        <v>0</v>
      </c>
      <c r="N44" s="27">
        <v>0</v>
      </c>
      <c r="O44" s="27">
        <v>0</v>
      </c>
      <c r="P44" s="27">
        <v>0</v>
      </c>
      <c r="Q44" s="27">
        <v>0</v>
      </c>
      <c r="R44" s="27">
        <v>0</v>
      </c>
      <c r="S44" s="27">
        <v>0</v>
      </c>
      <c r="T44" s="27">
        <v>0</v>
      </c>
      <c r="U44" s="27">
        <v>0</v>
      </c>
      <c r="V44" s="27">
        <v>0</v>
      </c>
      <c r="W44" s="27">
        <v>0</v>
      </c>
      <c r="X44" s="27">
        <v>0</v>
      </c>
      <c r="Y44" s="27">
        <v>0</v>
      </c>
      <c r="Z44" s="27">
        <v>0</v>
      </c>
      <c r="AA44" s="27">
        <v>0</v>
      </c>
      <c r="AB44" s="27">
        <v>0</v>
      </c>
      <c r="AC44" s="27">
        <v>0</v>
      </c>
      <c r="AD44" s="27">
        <v>0</v>
      </c>
      <c r="AE44" s="27">
        <v>0</v>
      </c>
      <c r="AF44" s="27">
        <v>0</v>
      </c>
      <c r="AG44" s="21">
        <f t="shared" si="4"/>
        <v>500</v>
      </c>
    </row>
    <row r="45" spans="1:33" ht="18.600000000000001" customHeight="1">
      <c r="A45" s="26">
        <v>192</v>
      </c>
      <c r="B45" s="27" t="s">
        <v>111</v>
      </c>
      <c r="C45" s="28" t="s">
        <v>345</v>
      </c>
      <c r="D45" s="27" t="s">
        <v>346</v>
      </c>
      <c r="E45" s="29">
        <v>7364</v>
      </c>
      <c r="F45" s="29">
        <f t="shared" si="0"/>
        <v>3173884</v>
      </c>
      <c r="G45" s="245">
        <f t="shared" si="1"/>
        <v>431</v>
      </c>
      <c r="H45" s="266">
        <v>200</v>
      </c>
      <c r="I45" s="27">
        <v>0</v>
      </c>
      <c r="J45" s="27">
        <v>0</v>
      </c>
      <c r="K45" s="27">
        <v>0</v>
      </c>
      <c r="L45" s="266">
        <v>35</v>
      </c>
      <c r="M45" s="27">
        <v>0</v>
      </c>
      <c r="N45" s="27">
        <v>0</v>
      </c>
      <c r="O45" s="27">
        <v>0</v>
      </c>
      <c r="P45" s="266">
        <v>50</v>
      </c>
      <c r="Q45" s="27">
        <v>0</v>
      </c>
      <c r="R45" s="27">
        <v>0</v>
      </c>
      <c r="S45" s="27">
        <v>0</v>
      </c>
      <c r="T45" s="266">
        <v>10</v>
      </c>
      <c r="U45" s="266">
        <v>6</v>
      </c>
      <c r="V45" s="27">
        <v>0</v>
      </c>
      <c r="W45" s="27">
        <v>0</v>
      </c>
      <c r="X45" s="266">
        <v>30</v>
      </c>
      <c r="Y45" s="266">
        <v>40</v>
      </c>
      <c r="Z45" s="27">
        <v>0</v>
      </c>
      <c r="AA45" s="27">
        <v>0</v>
      </c>
      <c r="AB45" s="266">
        <v>20</v>
      </c>
      <c r="AC45" s="27">
        <v>0</v>
      </c>
      <c r="AD45" s="27">
        <v>0</v>
      </c>
      <c r="AE45" s="27">
        <v>0</v>
      </c>
      <c r="AF45" s="266">
        <v>40</v>
      </c>
      <c r="AG45" s="21">
        <f t="shared" si="4"/>
        <v>431</v>
      </c>
    </row>
    <row r="46" spans="1:33" ht="18.600000000000001" customHeight="1">
      <c r="A46" s="26">
        <v>195</v>
      </c>
      <c r="B46" s="27" t="s">
        <v>112</v>
      </c>
      <c r="C46" s="28" t="s">
        <v>347</v>
      </c>
      <c r="D46" s="27" t="s">
        <v>346</v>
      </c>
      <c r="E46" s="29">
        <v>11467</v>
      </c>
      <c r="F46" s="29">
        <f t="shared" si="0"/>
        <v>7912230</v>
      </c>
      <c r="G46" s="245">
        <f t="shared" si="1"/>
        <v>690</v>
      </c>
      <c r="H46" s="266">
        <v>200</v>
      </c>
      <c r="I46" s="27">
        <v>0</v>
      </c>
      <c r="J46" s="27">
        <v>0</v>
      </c>
      <c r="K46" s="27">
        <v>0</v>
      </c>
      <c r="L46" s="266">
        <v>80</v>
      </c>
      <c r="M46" s="266">
        <v>40</v>
      </c>
      <c r="N46" s="266">
        <v>50</v>
      </c>
      <c r="O46" s="266">
        <v>10</v>
      </c>
      <c r="P46" s="266">
        <v>50</v>
      </c>
      <c r="Q46" s="27">
        <v>0</v>
      </c>
      <c r="R46" s="27">
        <v>0</v>
      </c>
      <c r="S46" s="27">
        <v>0</v>
      </c>
      <c r="T46" s="27">
        <v>0</v>
      </c>
      <c r="U46" s="266">
        <v>10</v>
      </c>
      <c r="V46" s="27">
        <v>0</v>
      </c>
      <c r="W46" s="27">
        <v>0</v>
      </c>
      <c r="X46" s="266">
        <v>30</v>
      </c>
      <c r="Y46" s="266">
        <v>40</v>
      </c>
      <c r="Z46" s="266">
        <v>40</v>
      </c>
      <c r="AA46" s="27">
        <v>0</v>
      </c>
      <c r="AB46" s="266">
        <v>20</v>
      </c>
      <c r="AC46" s="266">
        <v>50</v>
      </c>
      <c r="AD46" s="266">
        <v>30</v>
      </c>
      <c r="AE46" s="27">
        <v>0</v>
      </c>
      <c r="AF46" s="266">
        <v>40</v>
      </c>
      <c r="AG46" s="21">
        <f t="shared" si="4"/>
        <v>690</v>
      </c>
    </row>
    <row r="47" spans="1:33" ht="18.600000000000001" customHeight="1">
      <c r="A47" s="26">
        <v>204</v>
      </c>
      <c r="B47" s="27" t="s">
        <v>113</v>
      </c>
      <c r="C47" s="28" t="s">
        <v>348</v>
      </c>
      <c r="D47" s="27" t="s">
        <v>349</v>
      </c>
      <c r="E47" s="246">
        <v>27510</v>
      </c>
      <c r="F47" s="29">
        <f t="shared" si="0"/>
        <v>7950390</v>
      </c>
      <c r="G47" s="245">
        <f t="shared" si="1"/>
        <v>289</v>
      </c>
      <c r="H47" s="266">
        <v>50</v>
      </c>
      <c r="I47" s="266">
        <v>15</v>
      </c>
      <c r="J47" s="266">
        <v>12</v>
      </c>
      <c r="K47" s="27">
        <v>0</v>
      </c>
      <c r="L47" s="266">
        <v>5</v>
      </c>
      <c r="M47" s="266">
        <v>40</v>
      </c>
      <c r="N47" s="266">
        <v>50</v>
      </c>
      <c r="O47" s="266">
        <v>3</v>
      </c>
      <c r="P47" s="266">
        <v>12</v>
      </c>
      <c r="Q47" s="27">
        <v>0</v>
      </c>
      <c r="R47" s="266">
        <v>10</v>
      </c>
      <c r="S47" s="266">
        <v>6</v>
      </c>
      <c r="T47" s="266">
        <v>5</v>
      </c>
      <c r="U47" s="266">
        <v>5</v>
      </c>
      <c r="V47" s="266">
        <v>6</v>
      </c>
      <c r="W47" s="266">
        <v>10</v>
      </c>
      <c r="X47" s="266">
        <v>5</v>
      </c>
      <c r="Y47" s="266">
        <v>12</v>
      </c>
      <c r="Z47" s="266">
        <v>10</v>
      </c>
      <c r="AA47" s="27">
        <v>0</v>
      </c>
      <c r="AB47" s="266">
        <v>5</v>
      </c>
      <c r="AC47" s="266">
        <v>12</v>
      </c>
      <c r="AD47" s="266">
        <v>5</v>
      </c>
      <c r="AE47" s="266">
        <v>6</v>
      </c>
      <c r="AF47" s="266">
        <v>5</v>
      </c>
      <c r="AG47" s="21">
        <f t="shared" si="4"/>
        <v>289</v>
      </c>
    </row>
    <row r="48" spans="1:33" ht="15.75">
      <c r="A48" s="250" t="s">
        <v>796</v>
      </c>
      <c r="B48" s="247" t="s">
        <v>796</v>
      </c>
      <c r="C48" s="248"/>
      <c r="D48" s="27"/>
      <c r="E48" s="29">
        <f>SUM(E10:E47)</f>
        <v>507150</v>
      </c>
      <c r="F48" s="29">
        <f>SUM(F10:F47)</f>
        <v>87451461</v>
      </c>
      <c r="G48" s="249">
        <f>SUM(G10:G47)</f>
        <v>7353</v>
      </c>
      <c r="H48" s="249">
        <f t="shared" ref="H48:AF48" si="5">SUM(H10:H47)</f>
        <v>5185</v>
      </c>
      <c r="I48" s="249">
        <f t="shared" si="5"/>
        <v>30</v>
      </c>
      <c r="J48" s="249">
        <f t="shared" si="5"/>
        <v>20</v>
      </c>
      <c r="K48" s="249">
        <f t="shared" si="5"/>
        <v>0</v>
      </c>
      <c r="L48" s="249">
        <f t="shared" si="5"/>
        <v>222</v>
      </c>
      <c r="M48" s="249">
        <f t="shared" si="5"/>
        <v>184</v>
      </c>
      <c r="N48" s="249">
        <f t="shared" si="5"/>
        <v>199</v>
      </c>
      <c r="O48" s="249">
        <f t="shared" si="5"/>
        <v>49</v>
      </c>
      <c r="P48" s="249">
        <f t="shared" si="5"/>
        <v>223</v>
      </c>
      <c r="Q48" s="249">
        <f t="shared" si="5"/>
        <v>54</v>
      </c>
      <c r="R48" s="249">
        <f t="shared" si="5"/>
        <v>10</v>
      </c>
      <c r="S48" s="249">
        <f t="shared" si="5"/>
        <v>6</v>
      </c>
      <c r="T48" s="249">
        <f t="shared" si="5"/>
        <v>99</v>
      </c>
      <c r="U48" s="249">
        <f t="shared" si="5"/>
        <v>74</v>
      </c>
      <c r="V48" s="249">
        <f t="shared" si="5"/>
        <v>6</v>
      </c>
      <c r="W48" s="249">
        <f t="shared" si="5"/>
        <v>10</v>
      </c>
      <c r="X48" s="249">
        <f t="shared" si="5"/>
        <v>67</v>
      </c>
      <c r="Y48" s="249">
        <f t="shared" si="5"/>
        <v>236</v>
      </c>
      <c r="Z48" s="249">
        <f t="shared" si="5"/>
        <v>175</v>
      </c>
      <c r="AA48" s="249">
        <f t="shared" si="5"/>
        <v>0</v>
      </c>
      <c r="AB48" s="249">
        <f t="shared" si="5"/>
        <v>85</v>
      </c>
      <c r="AC48" s="249">
        <f t="shared" si="5"/>
        <v>212</v>
      </c>
      <c r="AD48" s="249">
        <f t="shared" si="5"/>
        <v>79</v>
      </c>
      <c r="AE48" s="249">
        <f t="shared" si="5"/>
        <v>6</v>
      </c>
      <c r="AF48" s="249">
        <f t="shared" si="5"/>
        <v>122</v>
      </c>
      <c r="AG48" s="249">
        <f>SUM(AG10:AG47)</f>
        <v>7353</v>
      </c>
    </row>
    <row r="50" spans="19:19" ht="16.5" customHeight="1">
      <c r="S50" s="21">
        <v>10</v>
      </c>
    </row>
    <row r="55" spans="19:19" ht="16.5" customHeight="1">
      <c r="S55" s="21">
        <v>0</v>
      </c>
    </row>
    <row r="60" spans="19:19" ht="16.5" customHeight="1">
      <c r="S60" s="21">
        <v>10</v>
      </c>
    </row>
    <row r="65" spans="19:19" ht="16.5" customHeight="1">
      <c r="S65" s="21">
        <v>0</v>
      </c>
    </row>
    <row r="68" spans="19:19" ht="16.5" customHeight="1">
      <c r="S68" s="21">
        <v>0</v>
      </c>
    </row>
    <row r="70" spans="19:19" ht="16.5" customHeight="1">
      <c r="S70" s="21">
        <v>0</v>
      </c>
    </row>
    <row r="72" spans="19:19" ht="16.5" customHeight="1">
      <c r="S72" s="21">
        <v>0</v>
      </c>
    </row>
    <row r="75" spans="19:19" ht="16.5" customHeight="1">
      <c r="S75" s="21">
        <v>0</v>
      </c>
    </row>
    <row r="78" spans="19:19" ht="16.5" customHeight="1">
      <c r="S78" s="21">
        <v>0</v>
      </c>
    </row>
    <row r="81" spans="19:19" ht="16.5" customHeight="1">
      <c r="S81" s="21">
        <v>30</v>
      </c>
    </row>
    <row r="84" spans="19:19" ht="16.5" customHeight="1">
      <c r="S84" s="21">
        <v>0</v>
      </c>
    </row>
    <row r="89" spans="19:19" ht="16.5" customHeight="1">
      <c r="S89" s="21">
        <v>0</v>
      </c>
    </row>
    <row r="91" spans="19:19" ht="16.5" customHeight="1">
      <c r="S91" s="21">
        <v>0</v>
      </c>
    </row>
    <row r="93" spans="19:19" ht="16.5" customHeight="1">
      <c r="S93" s="21">
        <v>0</v>
      </c>
    </row>
    <row r="95" spans="19:19" ht="16.5" customHeight="1">
      <c r="S95" s="21">
        <v>0</v>
      </c>
    </row>
    <row r="97" spans="19:19" ht="16.5" customHeight="1">
      <c r="S97" s="21">
        <v>0</v>
      </c>
    </row>
    <row r="99" spans="19:19" ht="16.5" customHeight="1">
      <c r="S99" s="21">
        <v>5</v>
      </c>
    </row>
    <row r="106" spans="19:19" ht="16.5" customHeight="1">
      <c r="S106" s="21">
        <v>0</v>
      </c>
    </row>
    <row r="110" spans="19:19" ht="16.5" customHeight="1">
      <c r="S110" s="21">
        <v>5</v>
      </c>
    </row>
    <row r="114" spans="19:19" ht="16.5" customHeight="1">
      <c r="S114" s="21">
        <v>0</v>
      </c>
    </row>
    <row r="117" spans="19:19" ht="16.5" customHeight="1">
      <c r="S117" s="21">
        <v>0</v>
      </c>
    </row>
    <row r="122" spans="19:19" ht="16.5" customHeight="1">
      <c r="S122" s="21">
        <v>20</v>
      </c>
    </row>
    <row r="128" spans="19:19" ht="16.5" customHeight="1">
      <c r="S128" s="21">
        <v>10</v>
      </c>
    </row>
    <row r="130" spans="19:19" ht="16.5" customHeight="1">
      <c r="S130" s="21">
        <v>0</v>
      </c>
    </row>
    <row r="133" spans="19:19" ht="16.5" customHeight="1">
      <c r="S133" s="21">
        <v>0</v>
      </c>
    </row>
    <row r="136" spans="19:19" ht="16.5" customHeight="1">
      <c r="S136" s="21">
        <v>12</v>
      </c>
    </row>
    <row r="142" spans="19:19" ht="16.5" customHeight="1">
      <c r="S142" s="21">
        <v>0</v>
      </c>
    </row>
    <row r="146" spans="19:19" ht="16.5" customHeight="1">
      <c r="S146" s="21">
        <v>10</v>
      </c>
    </row>
    <row r="147" spans="19:19" ht="16.5" customHeight="1">
      <c r="S147" s="21">
        <v>0</v>
      </c>
    </row>
    <row r="148" spans="19:19" ht="16.5" customHeight="1">
      <c r="S148" s="21">
        <v>0</v>
      </c>
    </row>
    <row r="151" spans="19:19" ht="16.5" customHeight="1">
      <c r="S151" s="21">
        <v>0</v>
      </c>
    </row>
    <row r="154" spans="19:19" ht="16.5" customHeight="1">
      <c r="S154" s="21">
        <v>0</v>
      </c>
    </row>
    <row r="157" spans="19:19" ht="16.5" customHeight="1">
      <c r="S157" s="21">
        <v>0</v>
      </c>
    </row>
    <row r="159" spans="19:19" ht="16.5" customHeight="1">
      <c r="S159" s="21">
        <v>0</v>
      </c>
    </row>
    <row r="161" spans="19:19" ht="16.5" customHeight="1">
      <c r="S161" s="21">
        <v>0</v>
      </c>
    </row>
    <row r="166" spans="19:19" ht="16.5" customHeight="1">
      <c r="S166" s="21">
        <v>0</v>
      </c>
    </row>
    <row r="170" spans="19:19" ht="16.5" customHeight="1">
      <c r="S170" s="21">
        <v>0</v>
      </c>
    </row>
    <row r="172" spans="19:19" ht="16.5" customHeight="1">
      <c r="S172" s="21">
        <v>0</v>
      </c>
    </row>
    <row r="175" spans="19:19" ht="16.5" customHeight="1">
      <c r="S175" s="21">
        <v>0</v>
      </c>
    </row>
    <row r="179" spans="19:19" ht="16.5" customHeight="1">
      <c r="S179" s="21">
        <v>0</v>
      </c>
    </row>
    <row r="181" spans="19:19" ht="16.5" customHeight="1">
      <c r="S181" s="21">
        <v>0</v>
      </c>
    </row>
    <row r="185" spans="19:19" ht="16.5" customHeight="1">
      <c r="S185" s="21">
        <v>0</v>
      </c>
    </row>
    <row r="189" spans="19:19" ht="16.5" customHeight="1">
      <c r="S189" s="21">
        <v>0</v>
      </c>
    </row>
    <row r="195" spans="19:19" ht="16.5" customHeight="1">
      <c r="S195" s="21">
        <v>0</v>
      </c>
    </row>
    <row r="201" spans="19:19" ht="16.5" customHeight="1">
      <c r="S201" s="21">
        <v>0</v>
      </c>
    </row>
    <row r="205" spans="19:19" ht="16.5" customHeight="1">
      <c r="S205" s="21">
        <v>0</v>
      </c>
    </row>
    <row r="208" spans="19:19" ht="16.5" customHeight="1">
      <c r="S208" s="21">
        <v>0</v>
      </c>
    </row>
    <row r="211" spans="19:19" ht="16.5" customHeight="1">
      <c r="S211" s="21">
        <v>0</v>
      </c>
    </row>
    <row r="213" spans="19:19" ht="16.5" customHeight="1">
      <c r="S213" s="21">
        <v>0</v>
      </c>
    </row>
    <row r="215" spans="19:19" ht="16.5" customHeight="1">
      <c r="S215" s="21">
        <v>0</v>
      </c>
    </row>
    <row r="218" spans="19:19" ht="16.5" customHeight="1">
      <c r="S218" s="21">
        <v>0</v>
      </c>
    </row>
    <row r="221" spans="19:19" ht="16.5" customHeight="1">
      <c r="S221" s="21">
        <v>0</v>
      </c>
    </row>
    <row r="223" spans="19:19" ht="16.5" customHeight="1">
      <c r="S223" s="21">
        <v>0</v>
      </c>
    </row>
    <row r="227" spans="19:19" ht="16.5" customHeight="1">
      <c r="S227" s="21">
        <v>0</v>
      </c>
    </row>
    <row r="231" spans="19:19" ht="16.5" customHeight="1">
      <c r="S231" s="21">
        <v>0</v>
      </c>
    </row>
    <row r="237" spans="19:19" ht="16.5" customHeight="1">
      <c r="S237" s="21">
        <v>0</v>
      </c>
    </row>
    <row r="238" spans="19:19" ht="16.5" customHeight="1">
      <c r="S238" s="21">
        <v>0</v>
      </c>
    </row>
    <row r="245" spans="19:19" ht="16.5" customHeight="1">
      <c r="S245" s="21">
        <v>0</v>
      </c>
    </row>
    <row r="249" spans="19:19" ht="16.5" customHeight="1">
      <c r="S249" s="21">
        <v>0</v>
      </c>
    </row>
    <row r="253" spans="19:19" ht="16.5" customHeight="1">
      <c r="S253" s="21">
        <v>0</v>
      </c>
    </row>
    <row r="258" spans="19:19" ht="16.5" customHeight="1">
      <c r="S258" s="21">
        <v>0</v>
      </c>
    </row>
    <row r="263" spans="19:19" ht="16.5" customHeight="1">
      <c r="S263" s="21">
        <v>0</v>
      </c>
    </row>
    <row r="270" spans="19:19" ht="16.5" customHeight="1">
      <c r="S270" s="21">
        <v>0</v>
      </c>
    </row>
    <row r="277" spans="19:19" ht="16.5" customHeight="1">
      <c r="S277" s="21">
        <v>0</v>
      </c>
    </row>
    <row r="280" spans="19:19" ht="16.5" customHeight="1">
      <c r="S280" s="21">
        <v>0</v>
      </c>
    </row>
    <row r="285" spans="19:19" ht="16.5" customHeight="1">
      <c r="S285" s="21">
        <v>0</v>
      </c>
    </row>
    <row r="293" spans="19:19" ht="16.5" customHeight="1">
      <c r="S293" s="21">
        <v>0</v>
      </c>
    </row>
  </sheetData>
  <autoFilter ref="A9:AN48" xr:uid="{00000000-0009-0000-0000-00000D000000}"/>
  <sortState xmlns:xlrd2="http://schemas.microsoft.com/office/spreadsheetml/2017/richdata2" ref="A10:AH44">
    <sortCondition ref="A10:A44"/>
  </sortState>
  <mergeCells count="2">
    <mergeCell ref="A3:AF5"/>
    <mergeCell ref="A7:G7"/>
  </mergeCells>
  <pageMargins left="0.7" right="0.7" top="0.75" bottom="0.75" header="0.3" footer="0.3"/>
  <pageSetup orientation="portrait"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66FFFF"/>
  </sheetPr>
  <dimension ref="A1:CS114"/>
  <sheetViews>
    <sheetView topLeftCell="CK100" zoomScale="95" zoomScaleNormal="95" workbookViewId="0">
      <selection activeCell="CP115" sqref="CP115"/>
    </sheetView>
  </sheetViews>
  <sheetFormatPr baseColWidth="10" defaultColWidth="11.7109375" defaultRowHeight="13.5"/>
  <cols>
    <col min="1" max="1" width="5.5703125" style="1" customWidth="1"/>
    <col min="2" max="2" width="8.7109375" style="1" customWidth="1"/>
    <col min="3" max="3" width="71.42578125" style="1" customWidth="1"/>
    <col min="4" max="4" width="11.7109375" style="1" customWidth="1"/>
    <col min="5" max="5" width="15.5703125" style="1" customWidth="1"/>
    <col min="6" max="6" width="12.140625" style="1" customWidth="1"/>
    <col min="7" max="8" width="13.5703125" style="1" customWidth="1"/>
    <col min="9" max="9" width="18.85546875" style="1" customWidth="1"/>
    <col min="10" max="11" width="14.5703125" style="1" customWidth="1"/>
    <col min="12" max="12" width="16.85546875" style="1" customWidth="1"/>
    <col min="13" max="15" width="18.28515625" style="1" customWidth="1"/>
    <col min="16" max="18" width="17.42578125" style="1" customWidth="1"/>
    <col min="19" max="21" width="18.42578125" style="1" customWidth="1"/>
    <col min="22" max="24" width="21.5703125" style="1" customWidth="1"/>
    <col min="25" max="27" width="18.28515625" style="1" customWidth="1"/>
    <col min="28" max="30" width="15.85546875" style="1" customWidth="1"/>
    <col min="31" max="33" width="23.140625" style="1" customWidth="1"/>
    <col min="34" max="36" width="24.28515625" style="1" customWidth="1"/>
    <col min="37" max="39" width="26.42578125" style="1" customWidth="1"/>
    <col min="40" max="40" width="22.85546875" style="1" customWidth="1"/>
    <col min="41" max="41" width="15.85546875" style="1" customWidth="1"/>
    <col min="42" max="42" width="16.140625" style="1" customWidth="1"/>
    <col min="43" max="45" width="15.85546875" style="1" customWidth="1"/>
    <col min="46" max="48" width="25.85546875" style="1" customWidth="1"/>
    <col min="49" max="51" width="25.42578125" style="1" customWidth="1"/>
    <col min="52" max="54" width="14.5703125" style="1" customWidth="1"/>
    <col min="55" max="57" width="25.140625" style="1" customWidth="1"/>
    <col min="58" max="60" width="18.42578125" style="1" customWidth="1"/>
    <col min="61" max="63" width="24.140625" style="1" customWidth="1"/>
    <col min="64" max="66" width="15.28515625" style="1" customWidth="1"/>
    <col min="67" max="69" width="23.140625" style="1" customWidth="1"/>
    <col min="70" max="72" width="18.28515625" style="1" customWidth="1"/>
    <col min="73" max="75" width="19.85546875" style="1" customWidth="1"/>
    <col min="76" max="78" width="14.5703125" style="1" customWidth="1"/>
    <col min="79" max="81" width="18.7109375" style="1" customWidth="1"/>
    <col min="82" max="82" width="12.140625" style="1" customWidth="1"/>
    <col min="83" max="83" width="10.85546875" style="1" customWidth="1"/>
    <col min="84" max="84" width="16.5703125" style="1" customWidth="1"/>
    <col min="85" max="85" width="15.85546875" style="1" customWidth="1"/>
    <col min="86" max="86" width="16.140625" style="1" customWidth="1"/>
    <col min="87" max="87" width="13.5703125" style="1" customWidth="1"/>
    <col min="88" max="88" width="18.5703125" style="1" customWidth="1"/>
    <col min="89" max="89" width="19" style="1" customWidth="1"/>
    <col min="90" max="90" width="21" style="1" customWidth="1"/>
    <col min="91" max="92" width="16.5703125" style="1" customWidth="1"/>
    <col min="93" max="93" width="18.28515625" style="1" customWidth="1"/>
    <col min="94" max="94" width="11.7109375" style="1" customWidth="1"/>
    <col min="95" max="95" width="16.42578125" style="1" customWidth="1"/>
    <col min="96" max="96" width="15.85546875" style="1" customWidth="1"/>
    <col min="97" max="97" width="14.140625" style="1" bestFit="1" customWidth="1"/>
    <col min="98" max="16384" width="11.7109375" style="1"/>
  </cols>
  <sheetData>
    <row r="1" spans="1:97">
      <c r="B1" s="145">
        <v>1</v>
      </c>
      <c r="C1" s="145">
        <v>2</v>
      </c>
      <c r="D1" s="145">
        <v>3</v>
      </c>
      <c r="E1" s="145">
        <v>4</v>
      </c>
      <c r="F1" s="145">
        <v>5</v>
      </c>
      <c r="G1" s="145">
        <v>6</v>
      </c>
      <c r="H1" s="145">
        <v>7</v>
      </c>
      <c r="I1" s="145">
        <v>8</v>
      </c>
      <c r="J1" s="145">
        <v>9</v>
      </c>
      <c r="K1" s="145">
        <v>10</v>
      </c>
      <c r="L1" s="145">
        <v>11</v>
      </c>
      <c r="M1" s="145">
        <v>12</v>
      </c>
      <c r="N1" s="145">
        <v>13</v>
      </c>
      <c r="O1" s="145">
        <v>14</v>
      </c>
      <c r="P1" s="145">
        <v>15</v>
      </c>
      <c r="Q1" s="145">
        <v>16</v>
      </c>
      <c r="R1" s="145">
        <v>17</v>
      </c>
      <c r="S1" s="145">
        <v>18</v>
      </c>
      <c r="T1" s="145">
        <v>19</v>
      </c>
      <c r="U1" s="145">
        <v>20</v>
      </c>
      <c r="V1" s="145">
        <v>21</v>
      </c>
      <c r="W1" s="145">
        <v>22</v>
      </c>
      <c r="X1" s="145">
        <v>23</v>
      </c>
      <c r="Y1" s="145">
        <v>24</v>
      </c>
      <c r="Z1" s="145">
        <v>25</v>
      </c>
      <c r="AA1" s="145">
        <v>26</v>
      </c>
      <c r="AB1" s="145">
        <v>27</v>
      </c>
      <c r="AC1" s="145">
        <v>28</v>
      </c>
      <c r="AD1" s="145">
        <v>29</v>
      </c>
      <c r="AE1" s="145">
        <v>30</v>
      </c>
      <c r="AF1" s="145">
        <v>31</v>
      </c>
      <c r="AG1" s="145">
        <v>32</v>
      </c>
      <c r="AH1" s="145">
        <v>33</v>
      </c>
      <c r="AI1" s="145">
        <v>34</v>
      </c>
      <c r="AJ1" s="145">
        <v>35</v>
      </c>
      <c r="AK1" s="145">
        <v>36</v>
      </c>
      <c r="AL1" s="145">
        <v>37</v>
      </c>
      <c r="AM1" s="145">
        <v>38</v>
      </c>
      <c r="AN1" s="145">
        <v>39</v>
      </c>
      <c r="AO1" s="145">
        <v>40</v>
      </c>
      <c r="AP1" s="145">
        <v>41</v>
      </c>
      <c r="AQ1" s="145">
        <v>42</v>
      </c>
      <c r="AR1" s="145">
        <v>43</v>
      </c>
      <c r="AS1" s="145">
        <v>44</v>
      </c>
      <c r="AT1" s="145">
        <v>45</v>
      </c>
      <c r="AU1" s="145">
        <v>46</v>
      </c>
      <c r="AV1" s="145">
        <v>47</v>
      </c>
      <c r="AW1" s="145">
        <v>48</v>
      </c>
      <c r="AX1" s="145">
        <v>49</v>
      </c>
      <c r="AY1" s="145">
        <v>50</v>
      </c>
      <c r="AZ1" s="145">
        <v>51</v>
      </c>
      <c r="BA1" s="145">
        <v>52</v>
      </c>
      <c r="BB1" s="145">
        <v>53</v>
      </c>
      <c r="BC1" s="145">
        <v>54</v>
      </c>
      <c r="BD1" s="145">
        <v>55</v>
      </c>
      <c r="BE1" s="145">
        <v>56</v>
      </c>
      <c r="BF1" s="145">
        <v>57</v>
      </c>
      <c r="BG1" s="145">
        <v>58</v>
      </c>
      <c r="BH1" s="145">
        <v>59</v>
      </c>
      <c r="BI1" s="145">
        <v>60</v>
      </c>
      <c r="BJ1" s="145">
        <v>61</v>
      </c>
      <c r="BK1" s="145">
        <v>62</v>
      </c>
      <c r="BL1" s="145">
        <v>63</v>
      </c>
      <c r="BM1" s="145">
        <v>64</v>
      </c>
      <c r="BN1" s="145">
        <v>65</v>
      </c>
      <c r="BO1" s="145">
        <v>66</v>
      </c>
      <c r="BP1" s="145">
        <v>67</v>
      </c>
      <c r="BQ1" s="145">
        <v>68</v>
      </c>
      <c r="BR1" s="145">
        <v>69</v>
      </c>
      <c r="BS1" s="145">
        <v>70</v>
      </c>
      <c r="BT1" s="145">
        <v>71</v>
      </c>
      <c r="BU1" s="145">
        <v>72</v>
      </c>
      <c r="BV1" s="145">
        <v>73</v>
      </c>
      <c r="BW1" s="145">
        <v>74</v>
      </c>
      <c r="BX1" s="145">
        <v>75</v>
      </c>
      <c r="BY1" s="145">
        <v>76</v>
      </c>
      <c r="BZ1" s="145">
        <v>77</v>
      </c>
      <c r="CA1" s="145">
        <v>78</v>
      </c>
      <c r="CB1" s="145">
        <v>79</v>
      </c>
      <c r="CC1" s="145">
        <v>80</v>
      </c>
      <c r="CD1" s="145">
        <v>81</v>
      </c>
      <c r="CE1" s="145">
        <v>82</v>
      </c>
      <c r="CF1" s="145">
        <v>83</v>
      </c>
      <c r="CG1" s="145">
        <v>84</v>
      </c>
      <c r="CH1" s="145">
        <v>85</v>
      </c>
      <c r="CI1" s="145">
        <v>86</v>
      </c>
      <c r="CJ1" s="145">
        <v>87</v>
      </c>
      <c r="CK1" s="145">
        <v>88</v>
      </c>
      <c r="CL1" s="145">
        <v>89</v>
      </c>
    </row>
    <row r="2" spans="1:97">
      <c r="A2" s="1">
        <v>1</v>
      </c>
      <c r="B2" s="1">
        <v>2</v>
      </c>
      <c r="C2" s="1">
        <v>4</v>
      </c>
      <c r="D2" s="1">
        <v>5</v>
      </c>
      <c r="E2" s="1">
        <v>6</v>
      </c>
      <c r="F2" s="1">
        <v>7</v>
      </c>
      <c r="G2" s="1">
        <v>8</v>
      </c>
      <c r="H2" s="1">
        <v>9</v>
      </c>
      <c r="I2" s="1">
        <v>10</v>
      </c>
      <c r="J2" s="1">
        <v>11</v>
      </c>
      <c r="K2" s="1">
        <v>12</v>
      </c>
      <c r="L2" s="1">
        <v>13</v>
      </c>
      <c r="M2" s="1">
        <v>14</v>
      </c>
      <c r="N2" s="1">
        <v>15</v>
      </c>
      <c r="O2" s="1">
        <v>16</v>
      </c>
      <c r="P2" s="1">
        <v>17</v>
      </c>
      <c r="Q2" s="1">
        <v>18</v>
      </c>
      <c r="R2" s="1">
        <v>19</v>
      </c>
      <c r="S2" s="1">
        <v>20</v>
      </c>
      <c r="T2" s="1">
        <v>21</v>
      </c>
      <c r="U2" s="1">
        <v>22</v>
      </c>
      <c r="V2" s="1">
        <v>23</v>
      </c>
      <c r="W2" s="1">
        <v>24</v>
      </c>
      <c r="X2" s="1">
        <v>25</v>
      </c>
      <c r="Y2" s="1">
        <v>26</v>
      </c>
      <c r="Z2" s="1">
        <v>27</v>
      </c>
      <c r="AA2" s="1">
        <v>28</v>
      </c>
      <c r="AB2" s="1">
        <v>29</v>
      </c>
      <c r="AC2" s="1">
        <v>30</v>
      </c>
      <c r="AD2" s="1">
        <v>31</v>
      </c>
      <c r="AE2" s="1">
        <v>32</v>
      </c>
      <c r="AF2" s="1">
        <v>33</v>
      </c>
      <c r="AG2" s="1">
        <v>34</v>
      </c>
      <c r="AH2" s="1">
        <v>35</v>
      </c>
      <c r="AI2" s="1">
        <v>36</v>
      </c>
      <c r="AJ2" s="1">
        <v>37</v>
      </c>
      <c r="AK2" s="1">
        <v>38</v>
      </c>
      <c r="AL2" s="1">
        <v>39</v>
      </c>
      <c r="AM2" s="1">
        <v>40</v>
      </c>
      <c r="AN2" s="1">
        <v>41</v>
      </c>
      <c r="AO2" s="1">
        <v>42</v>
      </c>
      <c r="AP2" s="1">
        <v>43</v>
      </c>
      <c r="AQ2" s="1">
        <v>44</v>
      </c>
      <c r="AR2" s="1">
        <v>45</v>
      </c>
      <c r="AS2" s="1">
        <v>46</v>
      </c>
      <c r="AT2" s="1">
        <v>47</v>
      </c>
      <c r="AU2" s="1">
        <v>48</v>
      </c>
      <c r="AV2" s="1">
        <v>49</v>
      </c>
      <c r="AW2" s="1">
        <v>50</v>
      </c>
      <c r="AX2" s="1">
        <v>51</v>
      </c>
      <c r="AY2" s="1">
        <v>52</v>
      </c>
      <c r="AZ2" s="1">
        <v>53</v>
      </c>
      <c r="BA2" s="1">
        <v>54</v>
      </c>
      <c r="BB2" s="1">
        <v>55</v>
      </c>
      <c r="BC2" s="1">
        <v>56</v>
      </c>
      <c r="BD2" s="1">
        <v>57</v>
      </c>
      <c r="BE2" s="1">
        <v>58</v>
      </c>
      <c r="BF2" s="1">
        <v>59</v>
      </c>
      <c r="BG2" s="1">
        <v>60</v>
      </c>
      <c r="BH2" s="1">
        <v>61</v>
      </c>
      <c r="BI2" s="1">
        <v>62</v>
      </c>
      <c r="BJ2" s="1">
        <v>63</v>
      </c>
      <c r="BK2" s="1">
        <v>64</v>
      </c>
      <c r="BL2" s="1">
        <v>65</v>
      </c>
      <c r="BM2" s="1">
        <v>66</v>
      </c>
      <c r="BN2" s="1">
        <v>67</v>
      </c>
      <c r="BO2" s="1">
        <v>68</v>
      </c>
      <c r="BP2" s="1">
        <v>69</v>
      </c>
      <c r="BQ2" s="1">
        <v>70</v>
      </c>
      <c r="BR2" s="1">
        <v>71</v>
      </c>
      <c r="BS2" s="1">
        <v>72</v>
      </c>
      <c r="BT2" s="1">
        <v>73</v>
      </c>
      <c r="BU2" s="1">
        <v>74</v>
      </c>
      <c r="BV2" s="1">
        <v>75</v>
      </c>
      <c r="BW2" s="1">
        <v>76</v>
      </c>
      <c r="BX2" s="1">
        <v>77</v>
      </c>
      <c r="BY2" s="1">
        <v>78</v>
      </c>
      <c r="BZ2" s="1">
        <v>79</v>
      </c>
      <c r="CA2" s="1">
        <v>80</v>
      </c>
      <c r="CB2" s="1">
        <v>81</v>
      </c>
      <c r="CC2" s="1">
        <v>82</v>
      </c>
      <c r="CD2" s="1">
        <v>83</v>
      </c>
      <c r="CE2" s="1">
        <v>84</v>
      </c>
      <c r="CF2" s="1">
        <v>85</v>
      </c>
      <c r="CG2" s="1">
        <v>86</v>
      </c>
      <c r="CH2" s="1">
        <v>87</v>
      </c>
      <c r="CI2" s="1">
        <v>88</v>
      </c>
      <c r="CJ2" s="1">
        <v>89</v>
      </c>
      <c r="CK2" s="1">
        <v>90</v>
      </c>
      <c r="CL2" s="1">
        <v>91</v>
      </c>
    </row>
    <row r="3" spans="1:97">
      <c r="CK3" s="1">
        <f>+CI91-CD91</f>
        <v>-100</v>
      </c>
    </row>
    <row r="4" spans="1:97" ht="19.5" customHeight="1">
      <c r="G4" s="278" t="s">
        <v>0</v>
      </c>
      <c r="H4" s="279"/>
      <c r="I4" s="280"/>
      <c r="J4" s="278" t="s">
        <v>187</v>
      </c>
      <c r="K4" s="279"/>
      <c r="L4" s="280"/>
      <c r="M4" s="278" t="s">
        <v>188</v>
      </c>
      <c r="N4" s="279"/>
      <c r="O4" s="280"/>
      <c r="P4" s="278" t="s">
        <v>189</v>
      </c>
      <c r="Q4" s="279"/>
      <c r="R4" s="280"/>
      <c r="S4" s="278" t="s">
        <v>190</v>
      </c>
      <c r="T4" s="279"/>
      <c r="U4" s="280"/>
      <c r="V4" s="278" t="s">
        <v>191</v>
      </c>
      <c r="W4" s="279"/>
      <c r="X4" s="280"/>
      <c r="Y4" s="278" t="s">
        <v>192</v>
      </c>
      <c r="Z4" s="279"/>
      <c r="AA4" s="280"/>
      <c r="AB4" s="278" t="s">
        <v>193</v>
      </c>
      <c r="AC4" s="279"/>
      <c r="AD4" s="280"/>
      <c r="AE4" s="278" t="s">
        <v>194</v>
      </c>
      <c r="AF4" s="279"/>
      <c r="AG4" s="280"/>
      <c r="AH4" s="278" t="s">
        <v>195</v>
      </c>
      <c r="AI4" s="279"/>
      <c r="AJ4" s="280"/>
      <c r="AK4" s="278" t="s">
        <v>196</v>
      </c>
      <c r="AL4" s="279"/>
      <c r="AM4" s="280"/>
      <c r="AN4" s="278" t="s">
        <v>197</v>
      </c>
      <c r="AO4" s="279"/>
      <c r="AP4" s="280"/>
      <c r="AQ4" s="278" t="s">
        <v>198</v>
      </c>
      <c r="AR4" s="279"/>
      <c r="AS4" s="280"/>
      <c r="AT4" s="278" t="s">
        <v>199</v>
      </c>
      <c r="AU4" s="279"/>
      <c r="AV4" s="280"/>
      <c r="AW4" s="278" t="s">
        <v>200</v>
      </c>
      <c r="AX4" s="279"/>
      <c r="AY4" s="280"/>
      <c r="AZ4" s="278" t="s">
        <v>201</v>
      </c>
      <c r="BA4" s="279"/>
      <c r="BB4" s="280"/>
      <c r="BC4" s="278" t="s">
        <v>202</v>
      </c>
      <c r="BD4" s="279"/>
      <c r="BE4" s="280"/>
      <c r="BF4" s="278" t="s">
        <v>203</v>
      </c>
      <c r="BG4" s="279"/>
      <c r="BH4" s="280"/>
      <c r="BI4" s="278" t="s">
        <v>204</v>
      </c>
      <c r="BJ4" s="279"/>
      <c r="BK4" s="280"/>
      <c r="BL4" s="278" t="s">
        <v>205</v>
      </c>
      <c r="BM4" s="279"/>
      <c r="BN4" s="280"/>
      <c r="BO4" s="278" t="s">
        <v>206</v>
      </c>
      <c r="BP4" s="279"/>
      <c r="BQ4" s="280"/>
      <c r="BR4" s="278" t="s">
        <v>207</v>
      </c>
      <c r="BS4" s="279"/>
      <c r="BT4" s="280"/>
      <c r="BU4" s="278" t="s">
        <v>208</v>
      </c>
      <c r="BV4" s="279"/>
      <c r="BW4" s="280"/>
      <c r="BX4" s="278" t="s">
        <v>209</v>
      </c>
      <c r="BY4" s="279"/>
      <c r="BZ4" s="280"/>
      <c r="CA4" s="278" t="s">
        <v>210</v>
      </c>
      <c r="CB4" s="279"/>
      <c r="CC4" s="280"/>
      <c r="CL4" s="1">
        <f>+CI93-CD93</f>
        <v>-55</v>
      </c>
      <c r="CR4" s="19">
        <f>+CL15-CQ15</f>
        <v>0</v>
      </c>
    </row>
    <row r="5" spans="1:97" s="2" customFormat="1" ht="51">
      <c r="A5" s="142" t="s">
        <v>1</v>
      </c>
      <c r="B5" s="142" t="s">
        <v>619</v>
      </c>
      <c r="C5" s="142" t="s">
        <v>3</v>
      </c>
      <c r="D5" s="142" t="s">
        <v>620</v>
      </c>
      <c r="E5" s="142" t="s">
        <v>701</v>
      </c>
      <c r="F5" s="142" t="s">
        <v>621</v>
      </c>
      <c r="G5" s="143" t="s">
        <v>4</v>
      </c>
      <c r="H5" s="144" t="s">
        <v>622</v>
      </c>
      <c r="I5" s="144" t="s">
        <v>512</v>
      </c>
      <c r="J5" s="145" t="s">
        <v>4</v>
      </c>
      <c r="K5" s="144" t="s">
        <v>622</v>
      </c>
      <c r="L5" s="144" t="s">
        <v>513</v>
      </c>
      <c r="M5" s="145" t="s">
        <v>4</v>
      </c>
      <c r="N5" s="144" t="s">
        <v>622</v>
      </c>
      <c r="O5" s="144" t="s">
        <v>514</v>
      </c>
      <c r="P5" s="145" t="s">
        <v>4</v>
      </c>
      <c r="Q5" s="144" t="s">
        <v>622</v>
      </c>
      <c r="R5" s="144" t="s">
        <v>515</v>
      </c>
      <c r="S5" s="145" t="s">
        <v>4</v>
      </c>
      <c r="T5" s="144" t="s">
        <v>622</v>
      </c>
      <c r="U5" s="144" t="s">
        <v>516</v>
      </c>
      <c r="V5" s="145" t="s">
        <v>4</v>
      </c>
      <c r="W5" s="144" t="s">
        <v>622</v>
      </c>
      <c r="X5" s="144" t="s">
        <v>517</v>
      </c>
      <c r="Y5" s="145" t="s">
        <v>4</v>
      </c>
      <c r="Z5" s="144" t="s">
        <v>622</v>
      </c>
      <c r="AA5" s="144" t="s">
        <v>518</v>
      </c>
      <c r="AB5" s="145" t="s">
        <v>4</v>
      </c>
      <c r="AC5" s="144" t="s">
        <v>622</v>
      </c>
      <c r="AD5" s="144" t="s">
        <v>519</v>
      </c>
      <c r="AE5" s="145" t="s">
        <v>4</v>
      </c>
      <c r="AF5" s="144" t="s">
        <v>622</v>
      </c>
      <c r="AG5" s="144" t="s">
        <v>520</v>
      </c>
      <c r="AH5" s="145" t="s">
        <v>4</v>
      </c>
      <c r="AI5" s="144" t="s">
        <v>622</v>
      </c>
      <c r="AJ5" s="144" t="s">
        <v>521</v>
      </c>
      <c r="AK5" s="145" t="s">
        <v>4</v>
      </c>
      <c r="AL5" s="144" t="s">
        <v>622</v>
      </c>
      <c r="AM5" s="144" t="s">
        <v>522</v>
      </c>
      <c r="AN5" s="145" t="s">
        <v>4</v>
      </c>
      <c r="AO5" s="144" t="s">
        <v>622</v>
      </c>
      <c r="AP5" s="144" t="s">
        <v>523</v>
      </c>
      <c r="AQ5" s="145" t="s">
        <v>4</v>
      </c>
      <c r="AR5" s="144" t="s">
        <v>622</v>
      </c>
      <c r="AS5" s="144" t="s">
        <v>524</v>
      </c>
      <c r="AT5" s="145" t="s">
        <v>4</v>
      </c>
      <c r="AU5" s="144" t="s">
        <v>622</v>
      </c>
      <c r="AV5" s="144" t="s">
        <v>525</v>
      </c>
      <c r="AW5" s="145" t="s">
        <v>4</v>
      </c>
      <c r="AX5" s="144" t="s">
        <v>622</v>
      </c>
      <c r="AY5" s="144" t="s">
        <v>526</v>
      </c>
      <c r="AZ5" s="145" t="s">
        <v>4</v>
      </c>
      <c r="BA5" s="144" t="s">
        <v>622</v>
      </c>
      <c r="BB5" s="144" t="s">
        <v>527</v>
      </c>
      <c r="BC5" s="145" t="s">
        <v>4</v>
      </c>
      <c r="BD5" s="144" t="s">
        <v>622</v>
      </c>
      <c r="BE5" s="144" t="s">
        <v>528</v>
      </c>
      <c r="BF5" s="145" t="s">
        <v>4</v>
      </c>
      <c r="BG5" s="144" t="s">
        <v>622</v>
      </c>
      <c r="BH5" s="144" t="s">
        <v>529</v>
      </c>
      <c r="BI5" s="145" t="s">
        <v>4</v>
      </c>
      <c r="BJ5" s="144" t="s">
        <v>622</v>
      </c>
      <c r="BK5" s="144" t="s">
        <v>530</v>
      </c>
      <c r="BL5" s="145" t="s">
        <v>4</v>
      </c>
      <c r="BM5" s="144" t="s">
        <v>622</v>
      </c>
      <c r="BN5" s="144" t="s">
        <v>531</v>
      </c>
      <c r="BO5" s="145" t="s">
        <v>4</v>
      </c>
      <c r="BP5" s="144" t="s">
        <v>622</v>
      </c>
      <c r="BQ5" s="144" t="s">
        <v>532</v>
      </c>
      <c r="BR5" s="145" t="s">
        <v>4</v>
      </c>
      <c r="BS5" s="144" t="s">
        <v>622</v>
      </c>
      <c r="BT5" s="144" t="s">
        <v>533</v>
      </c>
      <c r="BU5" s="145" t="s">
        <v>4</v>
      </c>
      <c r="BV5" s="144" t="s">
        <v>622</v>
      </c>
      <c r="BW5" s="144" t="s">
        <v>534</v>
      </c>
      <c r="BX5" s="145" t="s">
        <v>4</v>
      </c>
      <c r="BY5" s="144" t="s">
        <v>622</v>
      </c>
      <c r="BZ5" s="144" t="s">
        <v>535</v>
      </c>
      <c r="CA5" s="145" t="s">
        <v>4</v>
      </c>
      <c r="CB5" s="144" t="s">
        <v>622</v>
      </c>
      <c r="CC5" s="144" t="s">
        <v>536</v>
      </c>
      <c r="CD5" s="146" t="s">
        <v>148</v>
      </c>
      <c r="CE5" s="146" t="s">
        <v>623</v>
      </c>
      <c r="CF5" s="147" t="s">
        <v>624</v>
      </c>
      <c r="CG5" s="148" t="s">
        <v>625</v>
      </c>
      <c r="CH5" s="148" t="s">
        <v>626</v>
      </c>
      <c r="CI5" s="149" t="s">
        <v>627</v>
      </c>
      <c r="CJ5" s="150" t="s">
        <v>628</v>
      </c>
      <c r="CK5" s="150" t="s">
        <v>629</v>
      </c>
      <c r="CL5" s="150" t="s">
        <v>630</v>
      </c>
      <c r="CM5" s="20" t="s">
        <v>146</v>
      </c>
      <c r="CN5" s="20" t="s">
        <v>147</v>
      </c>
      <c r="CO5" s="20" t="s">
        <v>148</v>
      </c>
      <c r="CQ5" s="2" t="s">
        <v>631</v>
      </c>
      <c r="CR5" s="2" t="s">
        <v>632</v>
      </c>
      <c r="CS5" s="2" t="s">
        <v>633</v>
      </c>
    </row>
    <row r="6" spans="1:97" ht="14.45" customHeight="1">
      <c r="A6" s="3">
        <v>1</v>
      </c>
      <c r="B6" s="151">
        <v>3</v>
      </c>
      <c r="C6" s="4" t="s">
        <v>5</v>
      </c>
      <c r="D6" s="152">
        <f>IFERROR(VLOOKUP($B6,'[4]INSUMOS FEBRERO'!$A$2:$F$105,5,0),"")</f>
        <v>30</v>
      </c>
      <c r="E6" s="152" t="str">
        <f>IFERROR(VLOOKUP($B6,'PEDIDO JULIO'!$A$10:$AG$32,33,0),"0")</f>
        <v>0</v>
      </c>
      <c r="F6" s="152">
        <f>+E6-D6</f>
        <v>-30</v>
      </c>
      <c r="G6" s="152" t="str">
        <f>IFERROR(VLOOKUP($B6,'PEDIDO JULIO'!$A$10:$AG$200,8,0),"0")</f>
        <v>0</v>
      </c>
      <c r="H6" s="153">
        <f>IFERROR(VLOOKUP($B6,'[5]INSUMOS MARZO'!$A$2:$S$105,17,0),"")</f>
        <v>7268.7160000000003</v>
      </c>
      <c r="I6" s="154">
        <f t="shared" ref="I6:I69" si="0">G6*H6</f>
        <v>0</v>
      </c>
      <c r="J6" s="152" t="str">
        <f>IFERROR(VLOOKUP($B6,'PEDIDO JULIO'!$A$10:$AG$200,9,0),"0")</f>
        <v>0</v>
      </c>
      <c r="K6" s="153">
        <f>IFERROR(VLOOKUP($B6,'[5]INSUMOS MARZO'!$A$2:$S$105,17,0),"")</f>
        <v>7268.7160000000003</v>
      </c>
      <c r="L6" s="155">
        <f>+J6*K6</f>
        <v>0</v>
      </c>
      <c r="M6" s="152" t="str">
        <f>IFERROR(VLOOKUP($B6,'PEDIDO JULIO'!$A$10:$AG$200,10,0),"0")</f>
        <v>0</v>
      </c>
      <c r="N6" s="153">
        <f>IFERROR(VLOOKUP($B6,'[5]INSUMOS MARZO'!$A$2:$S$105,17,0),"")</f>
        <v>7268.7160000000003</v>
      </c>
      <c r="O6" s="154">
        <f>M6*N6</f>
        <v>0</v>
      </c>
      <c r="P6" s="152" t="str">
        <f>IFERROR(VLOOKUP($B6,'PEDIDO JULIO'!$A$10:$AG$200,11,0),"0")</f>
        <v>0</v>
      </c>
      <c r="Q6" s="153">
        <f>IFERROR(VLOOKUP($B6,'[5]INSUMOS MARZO'!$A$2:$S$105,17,0),"")</f>
        <v>7268.7160000000003</v>
      </c>
      <c r="R6" s="154">
        <f>P6*Q6</f>
        <v>0</v>
      </c>
      <c r="S6" s="152" t="str">
        <f>IFERROR(VLOOKUP($B6,'PEDIDO JULIO'!$A$10:$AG$200,12,0),"0")</f>
        <v>0</v>
      </c>
      <c r="T6" s="153">
        <f>IFERROR(VLOOKUP($B6,'[5]INSUMOS MARZO'!$A$2:$S$105,17,0),"")</f>
        <v>7268.7160000000003</v>
      </c>
      <c r="U6" s="154">
        <f>S6*T6</f>
        <v>0</v>
      </c>
      <c r="V6" s="152" t="str">
        <f>IFERROR(VLOOKUP($B6,'PEDIDO JULIO'!$A$10:$AG$200,13,0),"0")</f>
        <v>0</v>
      </c>
      <c r="W6" s="153">
        <f>IFERROR(VLOOKUP($B6,'[5]INSUMOS MARZO'!$A$2:$S$105,17,0),"")</f>
        <v>7268.7160000000003</v>
      </c>
      <c r="X6" s="154">
        <f>V6*W6</f>
        <v>0</v>
      </c>
      <c r="Y6" s="152" t="str">
        <f>IFERROR(VLOOKUP($B6,'PEDIDO JULIO'!$A$10:$AG$200,14,0),"0")</f>
        <v>0</v>
      </c>
      <c r="Z6" s="153">
        <f>IFERROR(VLOOKUP($B6,'[5]INSUMOS MARZO'!$A$2:$S$105,17,0),"")</f>
        <v>7268.7160000000003</v>
      </c>
      <c r="AA6" s="154">
        <f>Y6*Z6</f>
        <v>0</v>
      </c>
      <c r="AB6" s="152" t="str">
        <f>IFERROR(VLOOKUP($B6,'PEDIDO JULIO'!$A$10:$AG$200,15,0),"0")</f>
        <v>0</v>
      </c>
      <c r="AC6" s="153">
        <f>IFERROR(VLOOKUP($B6,'[5]INSUMOS MARZO'!$A$2:$S$105,17,0),"")</f>
        <v>7268.7160000000003</v>
      </c>
      <c r="AD6" s="154">
        <f>AB6*AC6</f>
        <v>0</v>
      </c>
      <c r="AE6" s="152" t="str">
        <f>IFERROR(VLOOKUP($B6,'PEDIDO JULIO'!$A$10:$AG$200,16,0),"0")</f>
        <v>0</v>
      </c>
      <c r="AF6" s="153">
        <f>IFERROR(VLOOKUP($B6,'[5]INSUMOS MARZO'!$A$2:$S$105,17,0),"")</f>
        <v>7268.7160000000003</v>
      </c>
      <c r="AG6" s="154">
        <f>AE6*AF6</f>
        <v>0</v>
      </c>
      <c r="AH6" s="152" t="str">
        <f>IFERROR(VLOOKUP($B6,'PEDIDO JULIO'!$A$10:$AG$200,17,0),"0")</f>
        <v>0</v>
      </c>
      <c r="AI6" s="153">
        <f>IFERROR(VLOOKUP($B6,'[5]INSUMOS MARZO'!$A$2:$S$105,17,0),"")</f>
        <v>7268.7160000000003</v>
      </c>
      <c r="AJ6" s="154">
        <f>AH6*AI6</f>
        <v>0</v>
      </c>
      <c r="AK6" s="152" t="str">
        <f>IFERROR(VLOOKUP($B6,'PEDIDO JULIO'!$A$10:$AG$200,18,0),"0")</f>
        <v>0</v>
      </c>
      <c r="AL6" s="153">
        <f>IFERROR(VLOOKUP($B6,'[5]INSUMOS MARZO'!$A$2:$S$105,17,0),"")</f>
        <v>7268.7160000000003</v>
      </c>
      <c r="AM6" s="154">
        <f>AK6*AL6</f>
        <v>0</v>
      </c>
      <c r="AN6" s="152" t="str">
        <f>IFERROR(VLOOKUP($B6,'PEDIDO JULIO'!$A$10:$AG$200,19,0),"0")</f>
        <v>0</v>
      </c>
      <c r="AO6" s="153">
        <f>IFERROR(VLOOKUP($B6,'[5]INSUMOS MARZO'!$A$2:$S$105,17,0),"")</f>
        <v>7268.7160000000003</v>
      </c>
      <c r="AP6" s="154">
        <f>AN6*AO6</f>
        <v>0</v>
      </c>
      <c r="AQ6" s="152" t="str">
        <f>IFERROR(VLOOKUP($B6,'PEDIDO JULIO'!$A$10:$AG$200,20,0),"0")</f>
        <v>0</v>
      </c>
      <c r="AR6" s="153">
        <f>IFERROR(VLOOKUP($B6,'[5]INSUMOS MARZO'!$A$2:$S$105,17,0),"")</f>
        <v>7268.7160000000003</v>
      </c>
      <c r="AS6" s="154">
        <f>AQ6*AR6</f>
        <v>0</v>
      </c>
      <c r="AT6" s="152" t="str">
        <f>IFERROR(VLOOKUP($B6,'PEDIDO JULIO'!$A$10:$AG$200,21,0),"0")</f>
        <v>0</v>
      </c>
      <c r="AU6" s="156">
        <f>IFERROR(VLOOKUP($B6,'[5]INSUMOS MARZO'!$A$2:$S$105,14,0),"")</f>
        <v>14727.663</v>
      </c>
      <c r="AV6" s="154">
        <f>AT6*AU6</f>
        <v>0</v>
      </c>
      <c r="AW6" s="152" t="str">
        <f>IFERROR(VLOOKUP($B6,'PEDIDO JULIO'!$A$10:$AG$200,22,0),"0")</f>
        <v>0</v>
      </c>
      <c r="AX6" s="153">
        <f>IFERROR(VLOOKUP($B6,'[5]INSUMOS MARZO'!$A$2:$S$105,17,0),"")</f>
        <v>7268.7160000000003</v>
      </c>
      <c r="AY6" s="154">
        <f>AW6*AX6</f>
        <v>0</v>
      </c>
      <c r="AZ6" s="152" t="str">
        <f>IFERROR(VLOOKUP($B6,'PEDIDO JULIO'!$A$10:$AG$200,23,0),"0")</f>
        <v>0</v>
      </c>
      <c r="BA6" s="153">
        <f>IFERROR(VLOOKUP($B6,'[5]INSUMOS MARZO'!$A$2:$S$105,17,0),"")</f>
        <v>7268.7160000000003</v>
      </c>
      <c r="BB6" s="154">
        <f>AZ6*BA6</f>
        <v>0</v>
      </c>
      <c r="BC6" s="152" t="str">
        <f>IFERROR(VLOOKUP($B6,'PEDIDO JULIO'!$A$10:$AG$200,24,0),"0")</f>
        <v>0</v>
      </c>
      <c r="BD6" s="153">
        <f>IFERROR(VLOOKUP($B6,'[5]INSUMOS MARZO'!$A$2:$S$105,17,0),"")</f>
        <v>7268.7160000000003</v>
      </c>
      <c r="BE6" s="155">
        <f>+BC6*BD6</f>
        <v>0</v>
      </c>
      <c r="BF6" s="152" t="str">
        <f>IFERROR(VLOOKUP($B6,'PEDIDO JULIO'!$A$10:$AG$200,25,0),"0")</f>
        <v>0</v>
      </c>
      <c r="BG6" s="153">
        <f>IFERROR(VLOOKUP($B6,'[5]INSUMOS MARZO'!$A$2:$S$105,17,0),"")</f>
        <v>7268.7160000000003</v>
      </c>
      <c r="BH6" s="155">
        <f>+BF6*BG6</f>
        <v>0</v>
      </c>
      <c r="BI6" s="152" t="str">
        <f>IFERROR(VLOOKUP($B6,'PEDIDO JULIO'!$A$10:$AG$200,26,0),"0")</f>
        <v>0</v>
      </c>
      <c r="BJ6" s="153">
        <f>IFERROR(VLOOKUP($B6,'[5]INSUMOS MARZO'!$A$2:$S$105,17,0),"")</f>
        <v>7268.7160000000003</v>
      </c>
      <c r="BK6" s="154">
        <f>BI6*BJ6</f>
        <v>0</v>
      </c>
      <c r="BL6" s="152" t="str">
        <f>IFERROR(VLOOKUP($B6,'PEDIDO JULIO'!$A$10:$AG$200,27,0),"0")</f>
        <v>0</v>
      </c>
      <c r="BM6" s="153">
        <f>IFERROR(VLOOKUP($B6,'[5]INSUMOS MARZO'!$A$2:$S$105,17,0),"")</f>
        <v>7268.7160000000003</v>
      </c>
      <c r="BN6" s="154">
        <f>BL6*BM6</f>
        <v>0</v>
      </c>
      <c r="BO6" s="152" t="str">
        <f>IFERROR(VLOOKUP($B6,'PEDIDO JULIO'!$A$10:$AG$200,28,0),"0")</f>
        <v>0</v>
      </c>
      <c r="BP6" s="153">
        <f>IFERROR(VLOOKUP($B6,'[5]INSUMOS MARZO'!$A$2:$S$105,17,0),"")</f>
        <v>7268.7160000000003</v>
      </c>
      <c r="BQ6" s="154">
        <f>BO6*BP6</f>
        <v>0</v>
      </c>
      <c r="BR6" s="152" t="str">
        <f>IFERROR(VLOOKUP($B6,'PEDIDO JULIO'!$A$10:$AG$200,29,0),"0")</f>
        <v>0</v>
      </c>
      <c r="BS6" s="153">
        <f>IFERROR(VLOOKUP($B6,'[5]INSUMOS MARZO'!$A$2:$S$105,17,0),"")</f>
        <v>7268.7160000000003</v>
      </c>
      <c r="BT6" s="155">
        <f>+BR6*BS6</f>
        <v>0</v>
      </c>
      <c r="BU6" s="152" t="str">
        <f>IFERROR(VLOOKUP($B6,'PEDIDO JULIO'!$A$10:$AG$200,30,0),"0")</f>
        <v>0</v>
      </c>
      <c r="BV6" s="153">
        <f>IFERROR(VLOOKUP($B6,'[5]INSUMOS MARZO'!$A$2:$S$105,17,0),"")</f>
        <v>7268.7160000000003</v>
      </c>
      <c r="BW6" s="155">
        <f>+BU6*BV6</f>
        <v>0</v>
      </c>
      <c r="BX6" s="152" t="str">
        <f>IFERROR(VLOOKUP($B6,'PEDIDO JULIO'!$A$10:$AG$200,31,0),"0")</f>
        <v>0</v>
      </c>
      <c r="BY6" s="153">
        <f>IFERROR(VLOOKUP($B6,'[5]INSUMOS MARZO'!$A$2:$S$105,17,0),"")</f>
        <v>7268.7160000000003</v>
      </c>
      <c r="BZ6" s="155">
        <f>+BX6*BY6</f>
        <v>0</v>
      </c>
      <c r="CA6" s="152" t="str">
        <f>IFERROR(VLOOKUP($B6,'PEDIDO JULIO'!$A$10:$AG$200,32,0),"0")</f>
        <v>0</v>
      </c>
      <c r="CB6" s="153">
        <f>IFERROR(VLOOKUP($B6,'[5]INSUMOS MARZO'!$A$2:$S$105,17,0),"")</f>
        <v>7268.7160000000003</v>
      </c>
      <c r="CC6" s="155">
        <f>+CA6*CB6</f>
        <v>0</v>
      </c>
      <c r="CD6" s="157">
        <f>IFERROR((G6+J6+M6+P6+S6+V6+Y6+AB6+AE6+AH6+AK6+AN6+AQ6+AT6+AW6+AZ6+BC6+BF6+BI6+BL6+BO6+BR6+BU6+BX6+CA6),"")</f>
        <v>0</v>
      </c>
      <c r="CE6" s="158">
        <f>+CD6-E6</f>
        <v>0</v>
      </c>
      <c r="CF6" s="251">
        <f>IFERROR(VLOOKUP($B6,'MATRIZ INSUMOS '!$A$3:$P$106,16,0),"")</f>
        <v>0</v>
      </c>
      <c r="CG6" s="153">
        <f>IFERROR(VLOOKUP($B6,'[5]INSUMOS MARZO'!$A$2:$S$105,17,0),"")</f>
        <v>7268.7160000000003</v>
      </c>
      <c r="CH6" s="156">
        <f>CF6*CG6</f>
        <v>0</v>
      </c>
      <c r="CI6" s="251">
        <f>IFERROR(VLOOKUP($B6,'MATRIZ INSUMOS '!$A$3:$P$106,10,0),"")</f>
        <v>0</v>
      </c>
      <c r="CJ6" s="156">
        <f>IFERROR(VLOOKUP($B6,'[5]INSUMOS MARZO'!$A$2:$S$105,14,0),"")</f>
        <v>14727.663</v>
      </c>
      <c r="CK6" s="159">
        <f>+CI6*CJ6</f>
        <v>0</v>
      </c>
      <c r="CL6" s="160">
        <f>+L6+BE6+BH6+BT6+BW6+BZ6+CC6+I6+O6+R6+U6+X6+AA6+AD6+AG6+AJ6+AM6+AP6+AS6+AV6+AY6+BB6+BK6+BN6+BQ6</f>
        <v>0</v>
      </c>
      <c r="CM6" s="14">
        <f>+CL6*10%</f>
        <v>0</v>
      </c>
      <c r="CN6" s="14">
        <f>+CM6*19%</f>
        <v>0</v>
      </c>
      <c r="CO6" s="14">
        <f>SUM(CL6:CN6)</f>
        <v>0</v>
      </c>
      <c r="CP6" s="1">
        <f>+CF6+CI6-CD6</f>
        <v>0</v>
      </c>
      <c r="CQ6" s="19">
        <f>+CH6+CK6</f>
        <v>0</v>
      </c>
      <c r="CR6" s="19" t="b">
        <f>CQ6=CL6</f>
        <v>1</v>
      </c>
      <c r="CS6" s="19">
        <f>+CQ6-CL6</f>
        <v>0</v>
      </c>
    </row>
    <row r="7" spans="1:97" ht="17.100000000000001" customHeight="1">
      <c r="A7" s="3">
        <v>2</v>
      </c>
      <c r="B7" s="151">
        <v>5</v>
      </c>
      <c r="C7" s="4" t="s">
        <v>7</v>
      </c>
      <c r="D7" s="152">
        <f>IFERROR(VLOOKUP($B7,'[4]INSUMOS FEBRERO'!$A$2:$F$105,5,0),"")</f>
        <v>6</v>
      </c>
      <c r="E7" s="152" t="str">
        <f>IFERROR(VLOOKUP($B7,'PEDIDO JULIO'!$A$10:$AG$32,33,0),"0")</f>
        <v>0</v>
      </c>
      <c r="F7" s="152">
        <f t="shared" ref="F7:F70" si="1">+E7-D7</f>
        <v>-6</v>
      </c>
      <c r="G7" s="152" t="str">
        <f>IFERROR(VLOOKUP($B7,'PEDIDO JULIO'!$A$10:$AG$200,8,0),"0")</f>
        <v>0</v>
      </c>
      <c r="H7" s="153">
        <f>IFERROR(VLOOKUP($B7,'[5]INSUMOS MARZO'!$A$2:$S$105,17,0),"")</f>
        <v>6494.1289999999999</v>
      </c>
      <c r="I7" s="154">
        <f t="shared" si="0"/>
        <v>0</v>
      </c>
      <c r="J7" s="152" t="str">
        <f>IFERROR(VLOOKUP($B7,'PEDIDO JULIO'!$A$10:$AG$200,9,0),"0")</f>
        <v>0</v>
      </c>
      <c r="K7" s="153">
        <f>IFERROR(VLOOKUP($B7,'[5]INSUMOS MARZO'!$A$2:$S$105,17,0),"")</f>
        <v>6494.1289999999999</v>
      </c>
      <c r="L7" s="155">
        <f t="shared" ref="L7:L70" si="2">+J7*K7</f>
        <v>0</v>
      </c>
      <c r="M7" s="152" t="str">
        <f>IFERROR(VLOOKUP($B7,'PEDIDO JULIO'!$A$10:$AG$200,10,0),"0")</f>
        <v>0</v>
      </c>
      <c r="N7" s="153">
        <f>IFERROR(VLOOKUP($B7,'[5]INSUMOS MARZO'!$A$2:$S$105,17,0),"")</f>
        <v>6494.1289999999999</v>
      </c>
      <c r="O7" s="154">
        <f t="shared" ref="O7:O70" si="3">M7*N7</f>
        <v>0</v>
      </c>
      <c r="P7" s="152" t="str">
        <f>IFERROR(VLOOKUP($B7,'PEDIDO JULIO'!$A$10:$AG$200,11,0),"0")</f>
        <v>0</v>
      </c>
      <c r="Q7" s="153">
        <f>IFERROR(VLOOKUP($B7,'[5]INSUMOS MARZO'!$A$2:$S$105,17,0),"")</f>
        <v>6494.1289999999999</v>
      </c>
      <c r="R7" s="154">
        <f t="shared" ref="R7:R70" si="4">P7*Q7</f>
        <v>0</v>
      </c>
      <c r="S7" s="152" t="str">
        <f>IFERROR(VLOOKUP($B7,'PEDIDO JULIO'!$A$10:$AG$200,12,0),"0")</f>
        <v>0</v>
      </c>
      <c r="T7" s="153">
        <f>IFERROR(VLOOKUP($B7,'[5]INSUMOS MARZO'!$A$2:$S$105,17,0),"")</f>
        <v>6494.1289999999999</v>
      </c>
      <c r="U7" s="154">
        <f t="shared" ref="U7:U70" si="5">S7*T7</f>
        <v>0</v>
      </c>
      <c r="V7" s="152" t="str">
        <f>IFERROR(VLOOKUP($B7,'PEDIDO JULIO'!$A$10:$AG$200,13,0),"0")</f>
        <v>0</v>
      </c>
      <c r="W7" s="153">
        <f>IFERROR(VLOOKUP($B7,'[5]INSUMOS MARZO'!$A$2:$S$105,17,0),"")</f>
        <v>6494.1289999999999</v>
      </c>
      <c r="X7" s="154">
        <f t="shared" ref="X7:X70" si="6">V7*W7</f>
        <v>0</v>
      </c>
      <c r="Y7" s="152" t="str">
        <f>IFERROR(VLOOKUP($B7,'PEDIDO JULIO'!$A$10:$AG$200,14,0),"0")</f>
        <v>0</v>
      </c>
      <c r="Z7" s="153">
        <f>IFERROR(VLOOKUP($B7,'[5]INSUMOS MARZO'!$A$2:$S$105,17,0),"")</f>
        <v>6494.1289999999999</v>
      </c>
      <c r="AA7" s="154">
        <f t="shared" ref="AA7:AA70" si="7">Y7*Z7</f>
        <v>0</v>
      </c>
      <c r="AB7" s="152" t="str">
        <f>IFERROR(VLOOKUP($B7,'PEDIDO JULIO'!$A$10:$AG$200,15,0),"0")</f>
        <v>0</v>
      </c>
      <c r="AC7" s="153">
        <f>IFERROR(VLOOKUP($B7,'[5]INSUMOS MARZO'!$A$2:$S$105,17,0),"")</f>
        <v>6494.1289999999999</v>
      </c>
      <c r="AD7" s="154">
        <f t="shared" ref="AD7:AD70" si="8">AB7*AC7</f>
        <v>0</v>
      </c>
      <c r="AE7" s="152" t="str">
        <f>IFERROR(VLOOKUP($B7,'PEDIDO JULIO'!$A$10:$AG$200,16,0),"0")</f>
        <v>0</v>
      </c>
      <c r="AF7" s="153">
        <f>IFERROR(VLOOKUP($B7,'[5]INSUMOS MARZO'!$A$2:$S$105,17,0),"")</f>
        <v>6494.1289999999999</v>
      </c>
      <c r="AG7" s="154">
        <f t="shared" ref="AG7:AG70" si="9">AE7*AF7</f>
        <v>0</v>
      </c>
      <c r="AH7" s="152" t="str">
        <f>IFERROR(VLOOKUP($B7,'PEDIDO JULIO'!$A$10:$AG$200,17,0),"0")</f>
        <v>0</v>
      </c>
      <c r="AI7" s="153">
        <f>IFERROR(VLOOKUP($B7,'[5]INSUMOS MARZO'!$A$2:$S$105,17,0),"")</f>
        <v>6494.1289999999999</v>
      </c>
      <c r="AJ7" s="154">
        <f t="shared" ref="AJ7:AJ70" si="10">AH7*AI7</f>
        <v>0</v>
      </c>
      <c r="AK7" s="152" t="str">
        <f>IFERROR(VLOOKUP($B7,'PEDIDO JULIO'!$A$10:$AG$200,18,0),"0")</f>
        <v>0</v>
      </c>
      <c r="AL7" s="153">
        <f>IFERROR(VLOOKUP($B7,'[5]INSUMOS MARZO'!$A$2:$S$105,17,0),"")</f>
        <v>6494.1289999999999</v>
      </c>
      <c r="AM7" s="154">
        <f t="shared" ref="AM7:AM70" si="11">AK7*AL7</f>
        <v>0</v>
      </c>
      <c r="AN7" s="152" t="str">
        <f>IFERROR(VLOOKUP($B7,'PEDIDO JULIO'!$A$10:$AG$200,19,0),"0")</f>
        <v>0</v>
      </c>
      <c r="AO7" s="153">
        <f>IFERROR(VLOOKUP($B7,'[5]INSUMOS MARZO'!$A$2:$S$105,17,0),"")</f>
        <v>6494.1289999999999</v>
      </c>
      <c r="AP7" s="154">
        <f t="shared" ref="AP7:AP70" si="12">AN7*AO7</f>
        <v>0</v>
      </c>
      <c r="AQ7" s="152" t="str">
        <f>IFERROR(VLOOKUP($B7,'PEDIDO JULIO'!$A$10:$AG$200,20,0),"0")</f>
        <v>0</v>
      </c>
      <c r="AR7" s="153">
        <f>IFERROR(VLOOKUP($B7,'[5]INSUMOS MARZO'!$A$2:$S$105,17,0),"")</f>
        <v>6494.1289999999999</v>
      </c>
      <c r="AS7" s="154">
        <f t="shared" ref="AS7:AS70" si="13">AQ7*AR7</f>
        <v>0</v>
      </c>
      <c r="AT7" s="152" t="str">
        <f>IFERROR(VLOOKUP($B7,'PEDIDO JULIO'!$A$10:$AG$200,21,0),"0")</f>
        <v>0</v>
      </c>
      <c r="AU7" s="156">
        <f>IFERROR(VLOOKUP($B7,'[5]INSUMOS MARZO'!$A$2:$S$105,14,0),"")</f>
        <v>10001.000700000001</v>
      </c>
      <c r="AV7" s="154">
        <f t="shared" ref="AV7:AV70" si="14">AT7*AU7</f>
        <v>0</v>
      </c>
      <c r="AW7" s="152" t="str">
        <f>IFERROR(VLOOKUP($B7,'PEDIDO JULIO'!$A$10:$AG$200,22,0),"0")</f>
        <v>0</v>
      </c>
      <c r="AX7" s="153">
        <f>IFERROR(VLOOKUP($B7,'[5]INSUMOS MARZO'!$A$2:$S$105,17,0),"")</f>
        <v>6494.1289999999999</v>
      </c>
      <c r="AY7" s="154">
        <f t="shared" ref="AY7:AY70" si="15">AW7*AX7</f>
        <v>0</v>
      </c>
      <c r="AZ7" s="152" t="str">
        <f>IFERROR(VLOOKUP($B7,'PEDIDO JULIO'!$A$10:$AG$200,23,0),"0")</f>
        <v>0</v>
      </c>
      <c r="BA7" s="153">
        <f>IFERROR(VLOOKUP($B7,'[5]INSUMOS MARZO'!$A$2:$S$105,17,0),"")</f>
        <v>6494.1289999999999</v>
      </c>
      <c r="BB7" s="154">
        <f t="shared" ref="BB7:BB70" si="16">AZ7*BA7</f>
        <v>0</v>
      </c>
      <c r="BC7" s="152" t="str">
        <f>IFERROR(VLOOKUP($B7,'PEDIDO JULIO'!$A$10:$AG$200,24,0),"0")</f>
        <v>0</v>
      </c>
      <c r="BD7" s="153">
        <f>IFERROR(VLOOKUP($B7,'[5]INSUMOS MARZO'!$A$2:$S$105,17,0),"")</f>
        <v>6494.1289999999999</v>
      </c>
      <c r="BE7" s="155">
        <f t="shared" ref="BE7:BE70" si="17">+BC7*BD7</f>
        <v>0</v>
      </c>
      <c r="BF7" s="152" t="str">
        <f>IFERROR(VLOOKUP($B7,'PEDIDO JULIO'!$A$10:$AG$200,25,0),"0")</f>
        <v>0</v>
      </c>
      <c r="BG7" s="153">
        <f>IFERROR(VLOOKUP($B7,'[5]INSUMOS MARZO'!$A$2:$S$105,17,0),"")</f>
        <v>6494.1289999999999</v>
      </c>
      <c r="BH7" s="155">
        <f t="shared" ref="BH7:BH70" si="18">+BF7*BG7</f>
        <v>0</v>
      </c>
      <c r="BI7" s="152" t="str">
        <f>IFERROR(VLOOKUP($B7,'PEDIDO JULIO'!$A$10:$AG$200,26,0),"0")</f>
        <v>0</v>
      </c>
      <c r="BJ7" s="153">
        <f>IFERROR(VLOOKUP($B7,'[5]INSUMOS MARZO'!$A$2:$S$105,17,0),"")</f>
        <v>6494.1289999999999</v>
      </c>
      <c r="BK7" s="154">
        <f t="shared" ref="BK7:BK70" si="19">BI7*BJ7</f>
        <v>0</v>
      </c>
      <c r="BL7" s="152" t="str">
        <f>IFERROR(VLOOKUP($B7,'PEDIDO JULIO'!$A$10:$AG$200,27,0),"0")</f>
        <v>0</v>
      </c>
      <c r="BM7" s="153">
        <f>IFERROR(VLOOKUP($B7,'[5]INSUMOS MARZO'!$A$2:$S$105,17,0),"")</f>
        <v>6494.1289999999999</v>
      </c>
      <c r="BN7" s="154">
        <f t="shared" ref="BN7:BN70" si="20">BL7*BM7</f>
        <v>0</v>
      </c>
      <c r="BO7" s="152" t="str">
        <f>IFERROR(VLOOKUP($B7,'PEDIDO JULIO'!$A$10:$AG$200,28,0),"0")</f>
        <v>0</v>
      </c>
      <c r="BP7" s="153">
        <f>IFERROR(VLOOKUP($B7,'[5]INSUMOS MARZO'!$A$2:$S$105,17,0),"")</f>
        <v>6494.1289999999999</v>
      </c>
      <c r="BQ7" s="154">
        <f t="shared" ref="BQ7:BQ70" si="21">BO7*BP7</f>
        <v>0</v>
      </c>
      <c r="BR7" s="152" t="str">
        <f>IFERROR(VLOOKUP($B7,'PEDIDO JULIO'!$A$10:$AG$200,29,0),"0")</f>
        <v>0</v>
      </c>
      <c r="BS7" s="153">
        <f>IFERROR(VLOOKUP($B7,'[5]INSUMOS MARZO'!$A$2:$S$105,17,0),"")</f>
        <v>6494.1289999999999</v>
      </c>
      <c r="BT7" s="155">
        <f t="shared" ref="BT7:BT70" si="22">+BR7*BS7</f>
        <v>0</v>
      </c>
      <c r="BU7" s="152" t="str">
        <f>IFERROR(VLOOKUP($B7,'PEDIDO JULIO'!$A$10:$AG$200,30,0),"0")</f>
        <v>0</v>
      </c>
      <c r="BV7" s="153">
        <f>IFERROR(VLOOKUP($B7,'[5]INSUMOS MARZO'!$A$2:$S$105,17,0),"")</f>
        <v>6494.1289999999999</v>
      </c>
      <c r="BW7" s="155">
        <f t="shared" ref="BW7:BW70" si="23">+BU7*BV7</f>
        <v>0</v>
      </c>
      <c r="BX7" s="152" t="str">
        <f>IFERROR(VLOOKUP($B7,'PEDIDO JULIO'!$A$10:$AG$200,31,0),"0")</f>
        <v>0</v>
      </c>
      <c r="BY7" s="153">
        <f>IFERROR(VLOOKUP($B7,'[5]INSUMOS MARZO'!$A$2:$S$105,17,0),"")</f>
        <v>6494.1289999999999</v>
      </c>
      <c r="BZ7" s="155">
        <f t="shared" ref="BZ7:BZ70" si="24">+BX7*BY7</f>
        <v>0</v>
      </c>
      <c r="CA7" s="152" t="str">
        <f>IFERROR(VLOOKUP($B7,'PEDIDO JULIO'!$A$10:$AG$200,32,0),"0")</f>
        <v>0</v>
      </c>
      <c r="CB7" s="153">
        <f>IFERROR(VLOOKUP($B7,'[5]INSUMOS MARZO'!$A$2:$S$105,17,0),"")</f>
        <v>6494.1289999999999</v>
      </c>
      <c r="CC7" s="155">
        <f t="shared" ref="CC7:CC70" si="25">+CA7*CB7</f>
        <v>0</v>
      </c>
      <c r="CD7" s="157">
        <f t="shared" ref="CD7:CD69" si="26">IFERROR((G7+J7+M7+P7+S7+V7+Y7+AB7+AE7+AH7+AK7+AN7+AQ7+AT7+AW7+AZ7+BC7+BF7+BI7+BL7+BO7+BR7+BU7+BX7+CA7),"")</f>
        <v>0</v>
      </c>
      <c r="CE7" s="158">
        <f t="shared" ref="CE7:CE70" si="27">+CD7-E7</f>
        <v>0</v>
      </c>
      <c r="CF7" s="251">
        <f>IFERROR(VLOOKUP($B7,'MATRIZ INSUMOS '!$A$3:$P$106,16,0),"")</f>
        <v>0</v>
      </c>
      <c r="CG7" s="153">
        <f>IFERROR(VLOOKUP($B7,'[5]INSUMOS MARZO'!$A$2:$S$105,17,0),"")</f>
        <v>6494.1289999999999</v>
      </c>
      <c r="CH7" s="156">
        <f t="shared" ref="CH7:CH70" si="28">CF7*CG7</f>
        <v>0</v>
      </c>
      <c r="CI7" s="251">
        <f>IFERROR(VLOOKUP($B7,'MATRIZ INSUMOS '!$A$3:$P$106,10,0),"")</f>
        <v>0</v>
      </c>
      <c r="CJ7" s="156">
        <f>IFERROR(VLOOKUP($B7,'[5]INSUMOS MARZO'!$A$2:$S$105,14,0),"")</f>
        <v>10001.000700000001</v>
      </c>
      <c r="CK7" s="159">
        <f t="shared" ref="CK7:CK70" si="29">+CI7*CJ7</f>
        <v>0</v>
      </c>
      <c r="CL7" s="160">
        <f t="shared" ref="CL7:CL70" si="30">+L7+BE7+BH7+BT7+BW7+BZ7+CC7+I7+O7+R7+U7+X7+AA7+AD7+AG7+AJ7+AM7+AP7+AS7+AV7+AY7+BB7+BK7+BN7+BQ7</f>
        <v>0</v>
      </c>
      <c r="CM7" s="14">
        <f t="shared" ref="CM7:CM70" si="31">+CL7*10%</f>
        <v>0</v>
      </c>
      <c r="CN7" s="14">
        <f t="shared" ref="CN7:CN70" si="32">+CM7*19%</f>
        <v>0</v>
      </c>
      <c r="CO7" s="14">
        <f t="shared" ref="CO7:CO70" si="33">SUM(CL7:CN7)</f>
        <v>0</v>
      </c>
      <c r="CQ7" s="19">
        <f t="shared" ref="CQ7:CQ70" si="34">+CH7+CK7</f>
        <v>0</v>
      </c>
      <c r="CR7" s="19" t="b">
        <f t="shared" ref="CR7:CR70" si="35">CQ7=CL7</f>
        <v>1</v>
      </c>
      <c r="CS7" s="19">
        <f t="shared" ref="CS7:CS70" si="36">+CQ7-CL7</f>
        <v>0</v>
      </c>
    </row>
    <row r="8" spans="1:97" ht="12.6" customHeight="1">
      <c r="A8" s="3">
        <v>3</v>
      </c>
      <c r="B8" s="151">
        <v>8</v>
      </c>
      <c r="C8" s="4" t="s">
        <v>8</v>
      </c>
      <c r="D8" s="152">
        <f>IFERROR(VLOOKUP($B8,'[4]INSUMOS FEBRERO'!$A$2:$F$105,5,0),"")</f>
        <v>116</v>
      </c>
      <c r="E8" s="152">
        <f>IFERROR(VLOOKUP($B8,'PEDIDO JULIO'!$A$10:$AG$32,33,0),"0")</f>
        <v>3</v>
      </c>
      <c r="F8" s="152">
        <f t="shared" si="1"/>
        <v>-113</v>
      </c>
      <c r="G8" s="152">
        <f>IFERROR(VLOOKUP($B8,'PEDIDO JULIO'!$A$10:$AG$200,8,0),"0")</f>
        <v>0</v>
      </c>
      <c r="H8" s="153">
        <f>IFERROR(VLOOKUP($B8,'[5]INSUMOS MARZO'!$A$2:$S$105,17,0),"")</f>
        <v>2211.3040000000001</v>
      </c>
      <c r="I8" s="154">
        <f t="shared" si="0"/>
        <v>0</v>
      </c>
      <c r="J8" s="152">
        <f>IFERROR(VLOOKUP($B8,'PEDIDO JULIO'!$A$10:$AG$200,9,0),"0")</f>
        <v>0</v>
      </c>
      <c r="K8" s="153">
        <f>IFERROR(VLOOKUP($B8,'[5]INSUMOS MARZO'!$A$2:$S$105,17,0),"")</f>
        <v>2211.3040000000001</v>
      </c>
      <c r="L8" s="155">
        <f t="shared" si="2"/>
        <v>0</v>
      </c>
      <c r="M8" s="152">
        <f>IFERROR(VLOOKUP($B8,'PEDIDO JULIO'!$A$10:$AG$200,10,0),"0")</f>
        <v>0</v>
      </c>
      <c r="N8" s="153">
        <f>IFERROR(VLOOKUP($B8,'[5]INSUMOS MARZO'!$A$2:$S$105,17,0),"")</f>
        <v>2211.3040000000001</v>
      </c>
      <c r="O8" s="154">
        <f t="shared" si="3"/>
        <v>0</v>
      </c>
      <c r="P8" s="152">
        <f>IFERROR(VLOOKUP($B8,'PEDIDO JULIO'!$A$10:$AG$200,11,0),"0")</f>
        <v>0</v>
      </c>
      <c r="Q8" s="153">
        <f>IFERROR(VLOOKUP($B8,'[5]INSUMOS MARZO'!$A$2:$S$105,17,0),"")</f>
        <v>2211.3040000000001</v>
      </c>
      <c r="R8" s="154">
        <f t="shared" si="4"/>
        <v>0</v>
      </c>
      <c r="S8" s="152">
        <f>IFERROR(VLOOKUP($B8,'PEDIDO JULIO'!$A$10:$AG$200,12,0),"0")</f>
        <v>0</v>
      </c>
      <c r="T8" s="153">
        <f>IFERROR(VLOOKUP($B8,'[5]INSUMOS MARZO'!$A$2:$S$105,17,0),"")</f>
        <v>2211.3040000000001</v>
      </c>
      <c r="U8" s="154">
        <f t="shared" si="5"/>
        <v>0</v>
      </c>
      <c r="V8" s="152">
        <f>IFERROR(VLOOKUP($B8,'PEDIDO JULIO'!$A$10:$AG$200,13,0),"0")</f>
        <v>0</v>
      </c>
      <c r="W8" s="153">
        <f>IFERROR(VLOOKUP($B8,'[5]INSUMOS MARZO'!$A$2:$S$105,17,0),"")</f>
        <v>2211.3040000000001</v>
      </c>
      <c r="X8" s="154">
        <f t="shared" si="6"/>
        <v>0</v>
      </c>
      <c r="Y8" s="152">
        <f>IFERROR(VLOOKUP($B8,'PEDIDO JULIO'!$A$10:$AG$200,14,0),"0")</f>
        <v>0</v>
      </c>
      <c r="Z8" s="153">
        <f>IFERROR(VLOOKUP($B8,'[5]INSUMOS MARZO'!$A$2:$S$105,17,0),"")</f>
        <v>2211.3040000000001</v>
      </c>
      <c r="AA8" s="154">
        <f t="shared" si="7"/>
        <v>0</v>
      </c>
      <c r="AB8" s="152">
        <f>IFERROR(VLOOKUP($B8,'PEDIDO JULIO'!$A$10:$AG$200,15,0),"0")</f>
        <v>0</v>
      </c>
      <c r="AC8" s="153">
        <f>IFERROR(VLOOKUP($B8,'[5]INSUMOS MARZO'!$A$2:$S$105,17,0),"")</f>
        <v>2211.3040000000001</v>
      </c>
      <c r="AD8" s="154">
        <f t="shared" si="8"/>
        <v>0</v>
      </c>
      <c r="AE8" s="152">
        <f>IFERROR(VLOOKUP($B8,'PEDIDO JULIO'!$A$10:$AG$200,16,0),"0")</f>
        <v>0</v>
      </c>
      <c r="AF8" s="153">
        <f>IFERROR(VLOOKUP($B8,'[5]INSUMOS MARZO'!$A$2:$S$105,17,0),"")</f>
        <v>2211.3040000000001</v>
      </c>
      <c r="AG8" s="154">
        <f t="shared" si="9"/>
        <v>0</v>
      </c>
      <c r="AH8" s="152">
        <f>IFERROR(VLOOKUP($B8,'PEDIDO JULIO'!$A$10:$AG$200,17,0),"0")</f>
        <v>0</v>
      </c>
      <c r="AI8" s="153">
        <f>IFERROR(VLOOKUP($B8,'[5]INSUMOS MARZO'!$A$2:$S$105,17,0),"")</f>
        <v>2211.3040000000001</v>
      </c>
      <c r="AJ8" s="154">
        <f t="shared" si="10"/>
        <v>0</v>
      </c>
      <c r="AK8" s="152">
        <f>IFERROR(VLOOKUP($B8,'PEDIDO JULIO'!$A$10:$AG$200,18,0),"0")</f>
        <v>0</v>
      </c>
      <c r="AL8" s="153">
        <f>IFERROR(VLOOKUP($B8,'[5]INSUMOS MARZO'!$A$2:$S$105,17,0),"")</f>
        <v>2211.3040000000001</v>
      </c>
      <c r="AM8" s="154">
        <f t="shared" si="11"/>
        <v>0</v>
      </c>
      <c r="AN8" s="152">
        <f>IFERROR(VLOOKUP($B8,'PEDIDO JULIO'!$A$10:$AG$200,19,0),"0")</f>
        <v>0</v>
      </c>
      <c r="AO8" s="153">
        <f>IFERROR(VLOOKUP($B8,'[5]INSUMOS MARZO'!$A$2:$S$105,17,0),"")</f>
        <v>2211.3040000000001</v>
      </c>
      <c r="AP8" s="154">
        <f t="shared" si="12"/>
        <v>0</v>
      </c>
      <c r="AQ8" s="152">
        <f>IFERROR(VLOOKUP($B8,'PEDIDO JULIO'!$A$10:$AG$200,20,0),"0")</f>
        <v>3</v>
      </c>
      <c r="AR8" s="153">
        <f>IFERROR(VLOOKUP($B8,'[5]INSUMOS MARZO'!$A$2:$S$105,17,0),"")</f>
        <v>2211.3040000000001</v>
      </c>
      <c r="AS8" s="154">
        <f t="shared" si="13"/>
        <v>6633.9120000000003</v>
      </c>
      <c r="AT8" s="152">
        <f>IFERROR(VLOOKUP($B8,'PEDIDO JULIO'!$A$10:$AG$200,21,0),"0")</f>
        <v>0</v>
      </c>
      <c r="AU8" s="153">
        <f>IFERROR(VLOOKUP($B8,'[5]INSUMOS MARZO'!$A$2:$S$105,17,0),"")</f>
        <v>2211.3040000000001</v>
      </c>
      <c r="AV8" s="154">
        <f t="shared" si="14"/>
        <v>0</v>
      </c>
      <c r="AW8" s="152">
        <f>IFERROR(VLOOKUP($B8,'PEDIDO JULIO'!$A$10:$AG$200,22,0),"0")</f>
        <v>0</v>
      </c>
      <c r="AX8" s="153">
        <f>IFERROR(VLOOKUP($B8,'[5]INSUMOS MARZO'!$A$2:$S$105,17,0),"")</f>
        <v>2211.3040000000001</v>
      </c>
      <c r="AY8" s="154">
        <f t="shared" si="15"/>
        <v>0</v>
      </c>
      <c r="AZ8" s="152">
        <f>IFERROR(VLOOKUP($B8,'PEDIDO JULIO'!$A$10:$AG$200,23,0),"0")</f>
        <v>0</v>
      </c>
      <c r="BA8" s="153">
        <f>IFERROR(VLOOKUP($B8,'[5]INSUMOS MARZO'!$A$2:$S$105,17,0),"")</f>
        <v>2211.3040000000001</v>
      </c>
      <c r="BB8" s="154">
        <f t="shared" si="16"/>
        <v>0</v>
      </c>
      <c r="BC8" s="152">
        <f>IFERROR(VLOOKUP($B8,'PEDIDO JULIO'!$A$10:$AG$200,24,0),"0")</f>
        <v>0</v>
      </c>
      <c r="BD8" s="153">
        <f>IFERROR(VLOOKUP($B8,'[5]INSUMOS MARZO'!$A$2:$S$105,17,0),"")</f>
        <v>2211.3040000000001</v>
      </c>
      <c r="BE8" s="155">
        <f t="shared" si="17"/>
        <v>0</v>
      </c>
      <c r="BF8" s="152">
        <f>IFERROR(VLOOKUP($B8,'PEDIDO JULIO'!$A$10:$AG$200,25,0),"0")</f>
        <v>0</v>
      </c>
      <c r="BG8" s="153">
        <f>IFERROR(VLOOKUP($B8,'[5]INSUMOS MARZO'!$A$2:$S$105,17,0),"")</f>
        <v>2211.3040000000001</v>
      </c>
      <c r="BH8" s="155">
        <f t="shared" si="18"/>
        <v>0</v>
      </c>
      <c r="BI8" s="152">
        <f>IFERROR(VLOOKUP($B8,'PEDIDO JULIO'!$A$10:$AG$200,26,0),"0")</f>
        <v>0</v>
      </c>
      <c r="BJ8" s="153">
        <f>IFERROR(VLOOKUP($B8,'[5]INSUMOS MARZO'!$A$2:$S$105,17,0),"")</f>
        <v>2211.3040000000001</v>
      </c>
      <c r="BK8" s="154">
        <f t="shared" si="19"/>
        <v>0</v>
      </c>
      <c r="BL8" s="152">
        <f>IFERROR(VLOOKUP($B8,'PEDIDO JULIO'!$A$10:$AG$200,27,0),"0")</f>
        <v>0</v>
      </c>
      <c r="BM8" s="153">
        <f>IFERROR(VLOOKUP($B8,'[5]INSUMOS MARZO'!$A$2:$S$105,17,0),"")</f>
        <v>2211.3040000000001</v>
      </c>
      <c r="BN8" s="154">
        <f t="shared" si="20"/>
        <v>0</v>
      </c>
      <c r="BO8" s="152">
        <f>IFERROR(VLOOKUP($B8,'PEDIDO JULIO'!$A$10:$AG$200,28,0),"0")</f>
        <v>0</v>
      </c>
      <c r="BP8" s="153">
        <f>IFERROR(VLOOKUP($B8,'[5]INSUMOS MARZO'!$A$2:$S$105,17,0),"")</f>
        <v>2211.3040000000001</v>
      </c>
      <c r="BQ8" s="154">
        <f t="shared" si="21"/>
        <v>0</v>
      </c>
      <c r="BR8" s="152">
        <f>IFERROR(VLOOKUP($B8,'PEDIDO JULIO'!$A$10:$AG$200,29,0),"0")</f>
        <v>0</v>
      </c>
      <c r="BS8" s="153">
        <f>IFERROR(VLOOKUP($B8,'[5]INSUMOS MARZO'!$A$2:$S$105,17,0),"")</f>
        <v>2211.3040000000001</v>
      </c>
      <c r="BT8" s="155">
        <f t="shared" si="22"/>
        <v>0</v>
      </c>
      <c r="BU8" s="152">
        <f>IFERROR(VLOOKUP($B8,'PEDIDO JULIO'!$A$10:$AG$200,30,0),"0")</f>
        <v>0</v>
      </c>
      <c r="BV8" s="153">
        <f>IFERROR(VLOOKUP($B8,'[5]INSUMOS MARZO'!$A$2:$S$105,17,0),"")</f>
        <v>2211.3040000000001</v>
      </c>
      <c r="BW8" s="155">
        <f t="shared" si="23"/>
        <v>0</v>
      </c>
      <c r="BX8" s="152">
        <f>IFERROR(VLOOKUP($B8,'PEDIDO JULIO'!$A$10:$AG$200,31,0),"0")</f>
        <v>0</v>
      </c>
      <c r="BY8" s="153">
        <f>IFERROR(VLOOKUP($B8,'[5]INSUMOS MARZO'!$A$2:$S$105,17,0),"")</f>
        <v>2211.3040000000001</v>
      </c>
      <c r="BZ8" s="155">
        <f t="shared" si="24"/>
        <v>0</v>
      </c>
      <c r="CA8" s="152">
        <f>IFERROR(VLOOKUP($B8,'PEDIDO JULIO'!$A$10:$AG$200,32,0),"0")</f>
        <v>0</v>
      </c>
      <c r="CB8" s="153">
        <f>IFERROR(VLOOKUP($B8,'[5]INSUMOS MARZO'!$A$2:$S$105,17,0),"")</f>
        <v>2211.3040000000001</v>
      </c>
      <c r="CC8" s="155">
        <f t="shared" si="25"/>
        <v>0</v>
      </c>
      <c r="CD8" s="157">
        <f t="shared" si="26"/>
        <v>3</v>
      </c>
      <c r="CE8" s="158">
        <f t="shared" si="27"/>
        <v>0</v>
      </c>
      <c r="CF8" s="251">
        <f>IFERROR(VLOOKUP($B8,'MATRIZ INSUMOS '!$A$3:$P$106,16,0),"")</f>
        <v>3</v>
      </c>
      <c r="CG8" s="153">
        <f>IFERROR(VLOOKUP($B8,'[5]INSUMOS MARZO'!$A$2:$S$105,17,0),"")</f>
        <v>2211.3040000000001</v>
      </c>
      <c r="CH8" s="156">
        <f t="shared" si="28"/>
        <v>6633.9120000000003</v>
      </c>
      <c r="CI8" s="251">
        <f>IFERROR(VLOOKUP($B8,'MATRIZ INSUMOS '!$A$3:$P$106,10,0),"")</f>
        <v>0</v>
      </c>
      <c r="CJ8" s="156">
        <f>IFERROR(VLOOKUP($B8,'[5]INSUMOS MARZO'!$A$2:$S$105,14,0),"")</f>
        <v>3432.6711</v>
      </c>
      <c r="CK8" s="159">
        <f t="shared" si="29"/>
        <v>0</v>
      </c>
      <c r="CL8" s="160">
        <f t="shared" si="30"/>
        <v>6633.9120000000003</v>
      </c>
      <c r="CM8" s="14">
        <f t="shared" si="31"/>
        <v>663.39120000000003</v>
      </c>
      <c r="CN8" s="14">
        <f t="shared" si="32"/>
        <v>126.04432800000001</v>
      </c>
      <c r="CO8" s="14">
        <f t="shared" si="33"/>
        <v>7423.3475280000002</v>
      </c>
      <c r="CQ8" s="19">
        <f t="shared" si="34"/>
        <v>6633.9120000000003</v>
      </c>
      <c r="CR8" s="19" t="b">
        <f t="shared" si="35"/>
        <v>1</v>
      </c>
      <c r="CS8" s="19">
        <f t="shared" si="36"/>
        <v>0</v>
      </c>
    </row>
    <row r="9" spans="1:97" ht="12.6" customHeight="1">
      <c r="A9" s="3">
        <v>4</v>
      </c>
      <c r="B9" s="151">
        <v>9</v>
      </c>
      <c r="C9" s="4" t="s">
        <v>10</v>
      </c>
      <c r="D9" s="152">
        <f>IFERROR(VLOOKUP($B9,'[4]INSUMOS FEBRERO'!$A$2:$F$105,5,0),"")</f>
        <v>91</v>
      </c>
      <c r="E9" s="152">
        <f>IFERROR(VLOOKUP($B9,'PEDIDO JULIO'!$A$10:$AG$32,33,0),"0")</f>
        <v>7</v>
      </c>
      <c r="F9" s="152">
        <f t="shared" si="1"/>
        <v>-84</v>
      </c>
      <c r="G9" s="152">
        <f>IFERROR(VLOOKUP($B9,'PEDIDO JULIO'!$A$10:$AG$200,8,0),"0")</f>
        <v>0</v>
      </c>
      <c r="H9" s="153">
        <f>IFERROR(VLOOKUP($B9,'[5]INSUMOS MARZO'!$A$2:$S$105,17,0),"")</f>
        <v>3298.0379999999996</v>
      </c>
      <c r="I9" s="154">
        <f t="shared" si="0"/>
        <v>0</v>
      </c>
      <c r="J9" s="152">
        <f>IFERROR(VLOOKUP($B9,'PEDIDO JULIO'!$A$10:$AG$200,9,0),"0")</f>
        <v>0</v>
      </c>
      <c r="K9" s="153">
        <f>IFERROR(VLOOKUP($B9,'[5]INSUMOS MARZO'!$A$2:$S$105,17,0),"")</f>
        <v>3298.0379999999996</v>
      </c>
      <c r="L9" s="155">
        <f t="shared" si="2"/>
        <v>0</v>
      </c>
      <c r="M9" s="152">
        <f>IFERROR(VLOOKUP($B9,'PEDIDO JULIO'!$A$10:$AG$200,10,0),"0")</f>
        <v>0</v>
      </c>
      <c r="N9" s="153">
        <f>IFERROR(VLOOKUP($B9,'[5]INSUMOS MARZO'!$A$2:$S$105,17,0),"")</f>
        <v>3298.0379999999996</v>
      </c>
      <c r="O9" s="154">
        <f t="shared" si="3"/>
        <v>0</v>
      </c>
      <c r="P9" s="152">
        <f>IFERROR(VLOOKUP($B9,'PEDIDO JULIO'!$A$10:$AG$200,11,0),"0")</f>
        <v>0</v>
      </c>
      <c r="Q9" s="153">
        <f>IFERROR(VLOOKUP($B9,'[5]INSUMOS MARZO'!$A$2:$S$105,17,0),"")</f>
        <v>3298.0379999999996</v>
      </c>
      <c r="R9" s="154">
        <f t="shared" si="4"/>
        <v>0</v>
      </c>
      <c r="S9" s="152">
        <f>IFERROR(VLOOKUP($B9,'PEDIDO JULIO'!$A$10:$AG$200,12,0),"0")</f>
        <v>0</v>
      </c>
      <c r="T9" s="153">
        <f>IFERROR(VLOOKUP($B9,'[5]INSUMOS MARZO'!$A$2:$S$105,17,0),"")</f>
        <v>3298.0379999999996</v>
      </c>
      <c r="U9" s="154">
        <f t="shared" si="5"/>
        <v>0</v>
      </c>
      <c r="V9" s="152">
        <f>IFERROR(VLOOKUP($B9,'PEDIDO JULIO'!$A$10:$AG$200,13,0),"0")</f>
        <v>0</v>
      </c>
      <c r="W9" s="153">
        <f>IFERROR(VLOOKUP($B9,'[5]INSUMOS MARZO'!$A$2:$S$105,17,0),"")</f>
        <v>3298.0379999999996</v>
      </c>
      <c r="X9" s="154">
        <f t="shared" si="6"/>
        <v>0</v>
      </c>
      <c r="Y9" s="152">
        <f>IFERROR(VLOOKUP($B9,'PEDIDO JULIO'!$A$10:$AG$200,14,0),"0")</f>
        <v>0</v>
      </c>
      <c r="Z9" s="153">
        <f>IFERROR(VLOOKUP($B9,'[5]INSUMOS MARZO'!$A$2:$S$105,17,0),"")</f>
        <v>3298.0379999999996</v>
      </c>
      <c r="AA9" s="154">
        <f t="shared" si="7"/>
        <v>0</v>
      </c>
      <c r="AB9" s="152">
        <f>IFERROR(VLOOKUP($B9,'PEDIDO JULIO'!$A$10:$AG$200,15,0),"0")</f>
        <v>0</v>
      </c>
      <c r="AC9" s="153">
        <f>IFERROR(VLOOKUP($B9,'[5]INSUMOS MARZO'!$A$2:$S$105,17,0),"")</f>
        <v>3298.0379999999996</v>
      </c>
      <c r="AD9" s="154">
        <f t="shared" si="8"/>
        <v>0</v>
      </c>
      <c r="AE9" s="152">
        <f>IFERROR(VLOOKUP($B9,'PEDIDO JULIO'!$A$10:$AG$200,16,0),"0")</f>
        <v>0</v>
      </c>
      <c r="AF9" s="153">
        <f>IFERROR(VLOOKUP($B9,'[5]INSUMOS MARZO'!$A$2:$S$105,17,0),"")</f>
        <v>3298.0379999999996</v>
      </c>
      <c r="AG9" s="154">
        <f t="shared" si="9"/>
        <v>0</v>
      </c>
      <c r="AH9" s="152">
        <f>IFERROR(VLOOKUP($B9,'PEDIDO JULIO'!$A$10:$AG$200,17,0),"0")</f>
        <v>0</v>
      </c>
      <c r="AI9" s="153">
        <f>IFERROR(VLOOKUP($B9,'[5]INSUMOS MARZO'!$A$2:$S$105,17,0),"")</f>
        <v>3298.0379999999996</v>
      </c>
      <c r="AJ9" s="154">
        <f t="shared" si="10"/>
        <v>0</v>
      </c>
      <c r="AK9" s="152">
        <f>IFERROR(VLOOKUP($B9,'PEDIDO JULIO'!$A$10:$AG$200,18,0),"0")</f>
        <v>0</v>
      </c>
      <c r="AL9" s="153">
        <f>IFERROR(VLOOKUP($B9,'[5]INSUMOS MARZO'!$A$2:$S$105,17,0),"")</f>
        <v>3298.0379999999996</v>
      </c>
      <c r="AM9" s="154">
        <f t="shared" si="11"/>
        <v>0</v>
      </c>
      <c r="AN9" s="152">
        <f>IFERROR(VLOOKUP($B9,'PEDIDO JULIO'!$A$10:$AG$200,19,0),"0")</f>
        <v>0</v>
      </c>
      <c r="AO9" s="153">
        <f>IFERROR(VLOOKUP($B9,'[5]INSUMOS MARZO'!$A$2:$S$105,17,0),"")</f>
        <v>3298.0379999999996</v>
      </c>
      <c r="AP9" s="154">
        <f t="shared" si="12"/>
        <v>0</v>
      </c>
      <c r="AQ9" s="152">
        <f>IFERROR(VLOOKUP($B9,'PEDIDO JULIO'!$A$10:$AG$200,20,0),"0")</f>
        <v>3</v>
      </c>
      <c r="AR9" s="153">
        <f>IFERROR(VLOOKUP($B9,'[5]INSUMOS MARZO'!$A$2:$S$105,17,0),"")</f>
        <v>3298.0379999999996</v>
      </c>
      <c r="AS9" s="154">
        <f t="shared" si="13"/>
        <v>9894.1139999999978</v>
      </c>
      <c r="AT9" s="152">
        <f>IFERROR(VLOOKUP($B9,'PEDIDO JULIO'!$A$10:$AG$200,21,0),"0")</f>
        <v>2</v>
      </c>
      <c r="AU9" s="153">
        <f>IFERROR(VLOOKUP($B9,'[5]INSUMOS MARZO'!$A$2:$S$105,17,0),"")</f>
        <v>3298.0379999999996</v>
      </c>
      <c r="AV9" s="154">
        <f t="shared" si="14"/>
        <v>6596.0759999999991</v>
      </c>
      <c r="AW9" s="152">
        <f>IFERROR(VLOOKUP($B9,'PEDIDO JULIO'!$A$10:$AG$200,22,0),"0")</f>
        <v>0</v>
      </c>
      <c r="AX9" s="153">
        <f>IFERROR(VLOOKUP($B9,'[5]INSUMOS MARZO'!$A$2:$S$105,17,0),"")</f>
        <v>3298.0379999999996</v>
      </c>
      <c r="AY9" s="154">
        <f t="shared" si="15"/>
        <v>0</v>
      </c>
      <c r="AZ9" s="152">
        <f>IFERROR(VLOOKUP($B9,'PEDIDO JULIO'!$A$10:$AG$200,23,0),"0")</f>
        <v>0</v>
      </c>
      <c r="BA9" s="153">
        <f>IFERROR(VLOOKUP($B9,'[5]INSUMOS MARZO'!$A$2:$S$105,17,0),"")</f>
        <v>3298.0379999999996</v>
      </c>
      <c r="BB9" s="154">
        <f t="shared" si="16"/>
        <v>0</v>
      </c>
      <c r="BC9" s="152">
        <f>IFERROR(VLOOKUP($B9,'PEDIDO JULIO'!$A$10:$AG$200,24,0),"0")</f>
        <v>0</v>
      </c>
      <c r="BD9" s="153">
        <f>IFERROR(VLOOKUP($B9,'[5]INSUMOS MARZO'!$A$2:$S$105,17,0),"")</f>
        <v>3298.0379999999996</v>
      </c>
      <c r="BE9" s="155">
        <f t="shared" si="17"/>
        <v>0</v>
      </c>
      <c r="BF9" s="152">
        <f>IFERROR(VLOOKUP($B9,'PEDIDO JULIO'!$A$10:$AG$200,25,0),"0")</f>
        <v>2</v>
      </c>
      <c r="BG9" s="153">
        <f>IFERROR(VLOOKUP($B9,'[5]INSUMOS MARZO'!$A$2:$S$105,17,0),"")</f>
        <v>3298.0379999999996</v>
      </c>
      <c r="BH9" s="155">
        <f t="shared" si="18"/>
        <v>6596.0759999999991</v>
      </c>
      <c r="BI9" s="152">
        <f>IFERROR(VLOOKUP($B9,'PEDIDO JULIO'!$A$10:$AG$200,26,0),"0")</f>
        <v>0</v>
      </c>
      <c r="BJ9" s="153">
        <f>IFERROR(VLOOKUP($B9,'[5]INSUMOS MARZO'!$A$2:$S$105,17,0),"")</f>
        <v>3298.0379999999996</v>
      </c>
      <c r="BK9" s="154">
        <f t="shared" si="19"/>
        <v>0</v>
      </c>
      <c r="BL9" s="152">
        <f>IFERROR(VLOOKUP($B9,'PEDIDO JULIO'!$A$10:$AG$200,27,0),"0")</f>
        <v>0</v>
      </c>
      <c r="BM9" s="153">
        <f>IFERROR(VLOOKUP($B9,'[5]INSUMOS MARZO'!$A$2:$S$105,17,0),"")</f>
        <v>3298.0379999999996</v>
      </c>
      <c r="BN9" s="154">
        <f t="shared" si="20"/>
        <v>0</v>
      </c>
      <c r="BO9" s="152">
        <f>IFERROR(VLOOKUP($B9,'PEDIDO JULIO'!$A$10:$AG$200,28,0),"0")</f>
        <v>0</v>
      </c>
      <c r="BP9" s="153">
        <f>IFERROR(VLOOKUP($B9,'[5]INSUMOS MARZO'!$A$2:$S$105,17,0),"")</f>
        <v>3298.0379999999996</v>
      </c>
      <c r="BQ9" s="154">
        <f t="shared" si="21"/>
        <v>0</v>
      </c>
      <c r="BR9" s="152">
        <f>IFERROR(VLOOKUP($B9,'PEDIDO JULIO'!$A$10:$AG$200,29,0),"0")</f>
        <v>0</v>
      </c>
      <c r="BS9" s="153">
        <f>IFERROR(VLOOKUP($B9,'[5]INSUMOS MARZO'!$A$2:$S$105,17,0),"")</f>
        <v>3298.0379999999996</v>
      </c>
      <c r="BT9" s="155">
        <f t="shared" si="22"/>
        <v>0</v>
      </c>
      <c r="BU9" s="152">
        <f>IFERROR(VLOOKUP($B9,'PEDIDO JULIO'!$A$10:$AG$200,30,0),"0")</f>
        <v>0</v>
      </c>
      <c r="BV9" s="153">
        <f>IFERROR(VLOOKUP($B9,'[5]INSUMOS MARZO'!$A$2:$S$105,17,0),"")</f>
        <v>3298.0379999999996</v>
      </c>
      <c r="BW9" s="155">
        <f t="shared" si="23"/>
        <v>0</v>
      </c>
      <c r="BX9" s="152">
        <f>IFERROR(VLOOKUP($B9,'PEDIDO JULIO'!$A$10:$AG$200,31,0),"0")</f>
        <v>0</v>
      </c>
      <c r="BY9" s="153">
        <f>IFERROR(VLOOKUP($B9,'[5]INSUMOS MARZO'!$A$2:$S$105,17,0),"")</f>
        <v>3298.0379999999996</v>
      </c>
      <c r="BZ9" s="155">
        <f t="shared" si="24"/>
        <v>0</v>
      </c>
      <c r="CA9" s="152">
        <f>IFERROR(VLOOKUP($B9,'PEDIDO JULIO'!$A$10:$AG$200,32,0),"0")</f>
        <v>0</v>
      </c>
      <c r="CB9" s="153">
        <f>IFERROR(VLOOKUP($B9,'[5]INSUMOS MARZO'!$A$2:$S$105,17,0),"")</f>
        <v>3298.0379999999996</v>
      </c>
      <c r="CC9" s="155">
        <f t="shared" si="25"/>
        <v>0</v>
      </c>
      <c r="CD9" s="157">
        <f t="shared" si="26"/>
        <v>7</v>
      </c>
      <c r="CE9" s="158">
        <f t="shared" si="27"/>
        <v>0</v>
      </c>
      <c r="CF9" s="251">
        <f>IFERROR(VLOOKUP($B9,'MATRIZ INSUMOS '!$A$3:$P$106,16,0),"")</f>
        <v>7</v>
      </c>
      <c r="CG9" s="153">
        <f>IFERROR(VLOOKUP($B9,'[5]INSUMOS MARZO'!$A$2:$S$105,17,0),"")</f>
        <v>3298.0379999999996</v>
      </c>
      <c r="CH9" s="156">
        <f t="shared" si="28"/>
        <v>23086.265999999996</v>
      </c>
      <c r="CI9" s="251">
        <f>IFERROR(VLOOKUP($B9,'MATRIZ INSUMOS '!$A$3:$P$106,10,0),"")</f>
        <v>0</v>
      </c>
      <c r="CJ9" s="156">
        <f>IFERROR(VLOOKUP($B9,'[5]INSUMOS MARZO'!$A$2:$S$105,14,0),"")</f>
        <v>4050.3437999999996</v>
      </c>
      <c r="CK9" s="159">
        <f t="shared" si="29"/>
        <v>0</v>
      </c>
      <c r="CL9" s="160">
        <f t="shared" si="30"/>
        <v>23086.265999999996</v>
      </c>
      <c r="CM9" s="14">
        <f t="shared" si="31"/>
        <v>2308.6265999999996</v>
      </c>
      <c r="CN9" s="14">
        <f t="shared" si="32"/>
        <v>438.63905399999993</v>
      </c>
      <c r="CO9" s="14">
        <f t="shared" si="33"/>
        <v>25833.531653999995</v>
      </c>
      <c r="CQ9" s="19">
        <f t="shared" si="34"/>
        <v>23086.265999999996</v>
      </c>
      <c r="CR9" s="19" t="b">
        <f t="shared" si="35"/>
        <v>1</v>
      </c>
      <c r="CS9" s="19">
        <f t="shared" si="36"/>
        <v>0</v>
      </c>
    </row>
    <row r="10" spans="1:97" ht="12.6" customHeight="1">
      <c r="A10" s="3">
        <v>5</v>
      </c>
      <c r="B10" s="151">
        <v>11</v>
      </c>
      <c r="C10" s="5" t="s">
        <v>11</v>
      </c>
      <c r="D10" s="161">
        <f>IFERROR(VLOOKUP($B10,'[4]INSUMOS FEBRERO'!$A$2:$F$105,5,0),"")</f>
        <v>10</v>
      </c>
      <c r="E10" s="152" t="str">
        <f>IFERROR(VLOOKUP($B10,'PEDIDO JULIO'!$A$10:$AG$32,33,0),"0")</f>
        <v>0</v>
      </c>
      <c r="F10" s="161">
        <f t="shared" si="1"/>
        <v>-10</v>
      </c>
      <c r="G10" s="152" t="str">
        <f>IFERROR(VLOOKUP($B10,'PEDIDO JULIO'!$A$10:$AG$200,8,0),"0")</f>
        <v>0</v>
      </c>
      <c r="H10" s="153">
        <f>IFERROR(VLOOKUP($B10,'[5]INSUMOS MARZO'!$A$2:$S$105,17,0),"")</f>
        <v>7739.5639999999985</v>
      </c>
      <c r="I10" s="154">
        <f t="shared" si="0"/>
        <v>0</v>
      </c>
      <c r="J10" s="152" t="str">
        <f>IFERROR(VLOOKUP($B10,'PEDIDO JULIO'!$A$10:$AG$200,9,0),"0")</f>
        <v>0</v>
      </c>
      <c r="K10" s="153">
        <f>IFERROR(VLOOKUP($B10,'[5]INSUMOS MARZO'!$A$2:$S$105,17,0),"")</f>
        <v>7739.5639999999985</v>
      </c>
      <c r="L10" s="155">
        <f t="shared" si="2"/>
        <v>0</v>
      </c>
      <c r="M10" s="152" t="str">
        <f>IFERROR(VLOOKUP($B10,'PEDIDO JULIO'!$A$10:$AG$200,10,0),"0")</f>
        <v>0</v>
      </c>
      <c r="N10" s="153">
        <f>IFERROR(VLOOKUP($B10,'[5]INSUMOS MARZO'!$A$2:$S$105,17,0),"")</f>
        <v>7739.5639999999985</v>
      </c>
      <c r="O10" s="154">
        <f t="shared" si="3"/>
        <v>0</v>
      </c>
      <c r="P10" s="152" t="str">
        <f>IFERROR(VLOOKUP($B10,'PEDIDO JULIO'!$A$10:$AG$200,11,0),"0")</f>
        <v>0</v>
      </c>
      <c r="Q10" s="153">
        <f>IFERROR(VLOOKUP($B10,'[5]INSUMOS MARZO'!$A$2:$S$105,17,0),"")</f>
        <v>7739.5639999999985</v>
      </c>
      <c r="R10" s="154">
        <f t="shared" si="4"/>
        <v>0</v>
      </c>
      <c r="S10" s="152" t="str">
        <f>IFERROR(VLOOKUP($B10,'PEDIDO JULIO'!$A$10:$AG$200,12,0),"0")</f>
        <v>0</v>
      </c>
      <c r="T10" s="153">
        <f>IFERROR(VLOOKUP($B10,'[5]INSUMOS MARZO'!$A$2:$S$105,17,0),"")</f>
        <v>7739.5639999999985</v>
      </c>
      <c r="U10" s="154">
        <f t="shared" si="5"/>
        <v>0</v>
      </c>
      <c r="V10" s="152" t="str">
        <f>IFERROR(VLOOKUP($B10,'PEDIDO JULIO'!$A$10:$AG$200,13,0),"0")</f>
        <v>0</v>
      </c>
      <c r="W10" s="153">
        <f>IFERROR(VLOOKUP($B10,'[5]INSUMOS MARZO'!$A$2:$S$105,17,0),"")</f>
        <v>7739.5639999999985</v>
      </c>
      <c r="X10" s="154">
        <f t="shared" si="6"/>
        <v>0</v>
      </c>
      <c r="Y10" s="152" t="str">
        <f>IFERROR(VLOOKUP($B10,'PEDIDO JULIO'!$A$10:$AG$200,14,0),"0")</f>
        <v>0</v>
      </c>
      <c r="Z10" s="153">
        <f>IFERROR(VLOOKUP($B10,'[5]INSUMOS MARZO'!$A$2:$S$105,17,0),"")</f>
        <v>7739.5639999999985</v>
      </c>
      <c r="AA10" s="154">
        <f t="shared" si="7"/>
        <v>0</v>
      </c>
      <c r="AB10" s="152" t="str">
        <f>IFERROR(VLOOKUP($B10,'PEDIDO JULIO'!$A$10:$AG$200,15,0),"0")</f>
        <v>0</v>
      </c>
      <c r="AC10" s="153">
        <f>IFERROR(VLOOKUP($B10,'[5]INSUMOS MARZO'!$A$2:$S$105,17,0),"")</f>
        <v>7739.5639999999985</v>
      </c>
      <c r="AD10" s="154">
        <f t="shared" si="8"/>
        <v>0</v>
      </c>
      <c r="AE10" s="152" t="str">
        <f>IFERROR(VLOOKUP($B10,'PEDIDO JULIO'!$A$10:$AG$200,16,0),"0")</f>
        <v>0</v>
      </c>
      <c r="AF10" s="153">
        <f>IFERROR(VLOOKUP($B10,'[5]INSUMOS MARZO'!$A$2:$S$105,17,0),"")</f>
        <v>7739.5639999999985</v>
      </c>
      <c r="AG10" s="154">
        <f t="shared" si="9"/>
        <v>0</v>
      </c>
      <c r="AH10" s="152" t="str">
        <f>IFERROR(VLOOKUP($B10,'PEDIDO JULIO'!$A$10:$AG$200,17,0),"0")</f>
        <v>0</v>
      </c>
      <c r="AI10" s="153">
        <f>IFERROR(VLOOKUP($B10,'[5]INSUMOS MARZO'!$A$2:$S$105,17,0),"")</f>
        <v>7739.5639999999985</v>
      </c>
      <c r="AJ10" s="154">
        <f t="shared" si="10"/>
        <v>0</v>
      </c>
      <c r="AK10" s="152" t="str">
        <f>IFERROR(VLOOKUP($B10,'PEDIDO JULIO'!$A$10:$AG$200,18,0),"0")</f>
        <v>0</v>
      </c>
      <c r="AL10" s="153">
        <f>IFERROR(VLOOKUP($B10,'[5]INSUMOS MARZO'!$A$2:$S$105,17,0),"")</f>
        <v>7739.5639999999985</v>
      </c>
      <c r="AM10" s="154">
        <f t="shared" si="11"/>
        <v>0</v>
      </c>
      <c r="AN10" s="152" t="str">
        <f>IFERROR(VLOOKUP($B10,'PEDIDO JULIO'!$A$10:$AG$200,19,0),"0")</f>
        <v>0</v>
      </c>
      <c r="AO10" s="153">
        <f>IFERROR(VLOOKUP($B10,'[5]INSUMOS MARZO'!$A$2:$S$105,17,0),"")</f>
        <v>7739.5639999999985</v>
      </c>
      <c r="AP10" s="154">
        <f t="shared" si="12"/>
        <v>0</v>
      </c>
      <c r="AQ10" s="152" t="str">
        <f>IFERROR(VLOOKUP($B10,'PEDIDO JULIO'!$A$10:$AG$200,20,0),"0")</f>
        <v>0</v>
      </c>
      <c r="AR10" s="153">
        <f>IFERROR(VLOOKUP($B10,'[5]INSUMOS MARZO'!$A$2:$S$105,17,0),"")</f>
        <v>7739.5639999999985</v>
      </c>
      <c r="AS10" s="154">
        <f t="shared" si="13"/>
        <v>0</v>
      </c>
      <c r="AT10" s="152" t="str">
        <f>IFERROR(VLOOKUP($B10,'PEDIDO JULIO'!$A$10:$AG$200,21,0),"0")</f>
        <v>0</v>
      </c>
      <c r="AU10" s="156">
        <f>IFERROR(VLOOKUP($B10,'[5]INSUMOS MARZO'!$A$2:$S$105,14,0),"")</f>
        <v>96324.780599999998</v>
      </c>
      <c r="AV10" s="154">
        <f t="shared" si="14"/>
        <v>0</v>
      </c>
      <c r="AW10" s="152" t="str">
        <f>IFERROR(VLOOKUP($B10,'PEDIDO JULIO'!$A$10:$AG$200,22,0),"0")</f>
        <v>0</v>
      </c>
      <c r="AX10" s="153">
        <f>IFERROR(VLOOKUP($B10,'[5]INSUMOS MARZO'!$A$2:$S$105,17,0),"")</f>
        <v>7739.5639999999985</v>
      </c>
      <c r="AY10" s="154">
        <f t="shared" si="15"/>
        <v>0</v>
      </c>
      <c r="AZ10" s="152" t="str">
        <f>IFERROR(VLOOKUP($B10,'PEDIDO JULIO'!$A$10:$AG$200,23,0),"0")</f>
        <v>0</v>
      </c>
      <c r="BA10" s="153">
        <f>IFERROR(VLOOKUP($B10,'[5]INSUMOS MARZO'!$A$2:$S$105,17,0),"")</f>
        <v>7739.5639999999985</v>
      </c>
      <c r="BB10" s="154">
        <f t="shared" si="16"/>
        <v>0</v>
      </c>
      <c r="BC10" s="152" t="str">
        <f>IFERROR(VLOOKUP($B10,'PEDIDO JULIO'!$A$10:$AG$200,24,0),"0")</f>
        <v>0</v>
      </c>
      <c r="BD10" s="153">
        <f>IFERROR(VLOOKUP($B10,'[5]INSUMOS MARZO'!$A$2:$S$105,17,0),"")</f>
        <v>7739.5639999999985</v>
      </c>
      <c r="BE10" s="155">
        <f t="shared" si="17"/>
        <v>0</v>
      </c>
      <c r="BF10" s="152" t="str">
        <f>IFERROR(VLOOKUP($B10,'PEDIDO JULIO'!$A$10:$AG$200,25,0),"0")</f>
        <v>0</v>
      </c>
      <c r="BG10" s="153">
        <f>IFERROR(VLOOKUP($B10,'[5]INSUMOS MARZO'!$A$2:$S$105,17,0),"")</f>
        <v>7739.5639999999985</v>
      </c>
      <c r="BH10" s="155">
        <f t="shared" si="18"/>
        <v>0</v>
      </c>
      <c r="BI10" s="152" t="str">
        <f>IFERROR(VLOOKUP($B10,'PEDIDO JULIO'!$A$10:$AG$200,26,0),"0")</f>
        <v>0</v>
      </c>
      <c r="BJ10" s="153">
        <f>IFERROR(VLOOKUP($B10,'[5]INSUMOS MARZO'!$A$2:$S$105,17,0),"")</f>
        <v>7739.5639999999985</v>
      </c>
      <c r="BK10" s="154">
        <f t="shared" si="19"/>
        <v>0</v>
      </c>
      <c r="BL10" s="152" t="str">
        <f>IFERROR(VLOOKUP($B10,'PEDIDO JULIO'!$A$10:$AG$200,27,0),"0")</f>
        <v>0</v>
      </c>
      <c r="BM10" s="153">
        <f>IFERROR(VLOOKUP($B10,'[5]INSUMOS MARZO'!$A$2:$S$105,17,0),"")</f>
        <v>7739.5639999999985</v>
      </c>
      <c r="BN10" s="154">
        <f t="shared" si="20"/>
        <v>0</v>
      </c>
      <c r="BO10" s="152" t="str">
        <f>IFERROR(VLOOKUP($B10,'PEDIDO JULIO'!$A$10:$AG$200,28,0),"0")</f>
        <v>0</v>
      </c>
      <c r="BP10" s="153">
        <f>IFERROR(VLOOKUP($B10,'[5]INSUMOS MARZO'!$A$2:$S$105,17,0),"")</f>
        <v>7739.5639999999985</v>
      </c>
      <c r="BQ10" s="154">
        <f t="shared" si="21"/>
        <v>0</v>
      </c>
      <c r="BR10" s="152" t="str">
        <f>IFERROR(VLOOKUP($B10,'PEDIDO JULIO'!$A$10:$AG$200,29,0),"0")</f>
        <v>0</v>
      </c>
      <c r="BS10" s="153">
        <f>IFERROR(VLOOKUP($B10,'[5]INSUMOS MARZO'!$A$2:$S$105,17,0),"")</f>
        <v>7739.5639999999985</v>
      </c>
      <c r="BT10" s="155">
        <f t="shared" si="22"/>
        <v>0</v>
      </c>
      <c r="BU10" s="152" t="str">
        <f>IFERROR(VLOOKUP($B10,'PEDIDO JULIO'!$A$10:$AG$200,30,0),"0")</f>
        <v>0</v>
      </c>
      <c r="BV10" s="153">
        <f>IFERROR(VLOOKUP($B10,'[5]INSUMOS MARZO'!$A$2:$S$105,17,0),"")</f>
        <v>7739.5639999999985</v>
      </c>
      <c r="BW10" s="155">
        <f t="shared" si="23"/>
        <v>0</v>
      </c>
      <c r="BX10" s="152" t="str">
        <f>IFERROR(VLOOKUP($B10,'PEDIDO JULIO'!$A$10:$AG$200,31,0),"0")</f>
        <v>0</v>
      </c>
      <c r="BY10" s="153">
        <f>IFERROR(VLOOKUP($B10,'[5]INSUMOS MARZO'!$A$2:$S$105,17,0),"")</f>
        <v>7739.5639999999985</v>
      </c>
      <c r="BZ10" s="155">
        <f t="shared" si="24"/>
        <v>0</v>
      </c>
      <c r="CA10" s="152" t="str">
        <f>IFERROR(VLOOKUP($B10,'PEDIDO JULIO'!$A$10:$AG$200,32,0),"0")</f>
        <v>0</v>
      </c>
      <c r="CB10" s="153">
        <f>IFERROR(VLOOKUP($B10,'[5]INSUMOS MARZO'!$A$2:$S$105,17,0),"")</f>
        <v>7739.5639999999985</v>
      </c>
      <c r="CC10" s="155">
        <f t="shared" si="25"/>
        <v>0</v>
      </c>
      <c r="CD10" s="162">
        <f t="shared" si="26"/>
        <v>0</v>
      </c>
      <c r="CE10" s="163">
        <f t="shared" si="27"/>
        <v>0</v>
      </c>
      <c r="CF10" s="251">
        <f>IFERROR(VLOOKUP($B10,'MATRIZ INSUMOS '!$A$3:$P$106,16,0),"")</f>
        <v>0</v>
      </c>
      <c r="CG10" s="153">
        <f>IFERROR(VLOOKUP($B10,'[5]INSUMOS MARZO'!$A$2:$S$105,17,0),"")</f>
        <v>7739.5639999999985</v>
      </c>
      <c r="CH10" s="156">
        <f t="shared" si="28"/>
        <v>0</v>
      </c>
      <c r="CI10" s="251">
        <f>IFERROR(VLOOKUP($B10,'MATRIZ INSUMOS '!$A$3:$P$106,10,0),"")</f>
        <v>0</v>
      </c>
      <c r="CJ10" s="156">
        <f>IFERROR(VLOOKUP($B10,'[5]INSUMOS MARZO'!$A$2:$S$105,14,0),"")</f>
        <v>96324.780599999998</v>
      </c>
      <c r="CK10" s="159">
        <f t="shared" si="29"/>
        <v>0</v>
      </c>
      <c r="CL10" s="160">
        <f t="shared" si="30"/>
        <v>0</v>
      </c>
      <c r="CM10" s="14">
        <f t="shared" si="31"/>
        <v>0</v>
      </c>
      <c r="CN10" s="14">
        <f t="shared" si="32"/>
        <v>0</v>
      </c>
      <c r="CO10" s="14">
        <f t="shared" si="33"/>
        <v>0</v>
      </c>
      <c r="CQ10" s="19">
        <f t="shared" si="34"/>
        <v>0</v>
      </c>
      <c r="CR10" s="19" t="b">
        <f t="shared" si="35"/>
        <v>1</v>
      </c>
      <c r="CS10" s="19">
        <f t="shared" si="36"/>
        <v>0</v>
      </c>
    </row>
    <row r="11" spans="1:97" ht="12.6" customHeight="1">
      <c r="A11" s="3">
        <v>6</v>
      </c>
      <c r="B11" s="151">
        <v>13</v>
      </c>
      <c r="C11" s="4" t="s">
        <v>12</v>
      </c>
      <c r="D11" s="152">
        <f>IFERROR(VLOOKUP($B11,'[4]INSUMOS FEBRERO'!$A$2:$F$105,5,0),"")</f>
        <v>81</v>
      </c>
      <c r="E11" s="152">
        <f>IFERROR(VLOOKUP($B11,'PEDIDO JULIO'!$A$10:$AG$32,33,0),"0")</f>
        <v>32</v>
      </c>
      <c r="F11" s="152">
        <f t="shared" si="1"/>
        <v>-49</v>
      </c>
      <c r="G11" s="152">
        <f>IFERROR(VLOOKUP($B11,'PEDIDO JULIO'!$A$10:$AG$200,8,0),"0")</f>
        <v>20</v>
      </c>
      <c r="H11" s="153">
        <f>IFERROR(VLOOKUP($B11,'[5]INSUMOS MARZO'!$A$2:$S$105,17,0),"")</f>
        <v>6507.7919999999995</v>
      </c>
      <c r="I11" s="154">
        <f t="shared" si="0"/>
        <v>130155.84</v>
      </c>
      <c r="J11" s="152">
        <f>IFERROR(VLOOKUP($B11,'PEDIDO JULIO'!$A$10:$AG$200,9,0),"0")</f>
        <v>0</v>
      </c>
      <c r="K11" s="153">
        <f>IFERROR(VLOOKUP($B11,'[5]INSUMOS MARZO'!$A$2:$S$105,17,0),"")</f>
        <v>6507.7919999999995</v>
      </c>
      <c r="L11" s="155">
        <f t="shared" si="2"/>
        <v>0</v>
      </c>
      <c r="M11" s="152">
        <f>IFERROR(VLOOKUP($B11,'PEDIDO JULIO'!$A$10:$AG$200,10,0),"0")</f>
        <v>0</v>
      </c>
      <c r="N11" s="153">
        <f>IFERROR(VLOOKUP($B11,'[5]INSUMOS MARZO'!$A$2:$S$105,17,0),"")</f>
        <v>6507.7919999999995</v>
      </c>
      <c r="O11" s="154">
        <f t="shared" si="3"/>
        <v>0</v>
      </c>
      <c r="P11" s="152">
        <f>IFERROR(VLOOKUP($B11,'PEDIDO JULIO'!$A$10:$AG$200,11,0),"0")</f>
        <v>0</v>
      </c>
      <c r="Q11" s="153">
        <f>IFERROR(VLOOKUP($B11,'[5]INSUMOS MARZO'!$A$2:$S$105,17,0),"")</f>
        <v>6507.7919999999995</v>
      </c>
      <c r="R11" s="154">
        <f t="shared" si="4"/>
        <v>0</v>
      </c>
      <c r="S11" s="152">
        <f>IFERROR(VLOOKUP($B11,'PEDIDO JULIO'!$A$10:$AG$200,12,0),"0")</f>
        <v>7</v>
      </c>
      <c r="T11" s="153">
        <f>IFERROR(VLOOKUP($B11,'[5]INSUMOS MARZO'!$A$2:$S$105,17,0),"")</f>
        <v>6507.7919999999995</v>
      </c>
      <c r="U11" s="154">
        <f t="shared" si="5"/>
        <v>45554.543999999994</v>
      </c>
      <c r="V11" s="152">
        <f>IFERROR(VLOOKUP($B11,'PEDIDO JULIO'!$A$10:$AG$200,13,0),"0")</f>
        <v>2</v>
      </c>
      <c r="W11" s="153">
        <f>IFERROR(VLOOKUP($B11,'[5]INSUMOS MARZO'!$A$2:$S$105,17,0),"")</f>
        <v>6507.7919999999995</v>
      </c>
      <c r="X11" s="154">
        <f t="shared" si="6"/>
        <v>13015.583999999999</v>
      </c>
      <c r="Y11" s="152">
        <f>IFERROR(VLOOKUP($B11,'PEDIDO JULIO'!$A$10:$AG$200,14,0),"0")</f>
        <v>0</v>
      </c>
      <c r="Z11" s="153">
        <f>IFERROR(VLOOKUP($B11,'[5]INSUMOS MARZO'!$A$2:$S$105,17,0),"")</f>
        <v>6507.7919999999995</v>
      </c>
      <c r="AA11" s="154">
        <f t="shared" si="7"/>
        <v>0</v>
      </c>
      <c r="AB11" s="152">
        <f>IFERROR(VLOOKUP($B11,'PEDIDO JULIO'!$A$10:$AG$200,15,0),"0")</f>
        <v>0</v>
      </c>
      <c r="AC11" s="153">
        <f>IFERROR(VLOOKUP($B11,'[5]INSUMOS MARZO'!$A$2:$S$105,17,0),"")</f>
        <v>6507.7919999999995</v>
      </c>
      <c r="AD11" s="154">
        <f t="shared" si="8"/>
        <v>0</v>
      </c>
      <c r="AE11" s="152">
        <f>IFERROR(VLOOKUP($B11,'PEDIDO JULIO'!$A$10:$AG$200,16,0),"0")</f>
        <v>0</v>
      </c>
      <c r="AF11" s="153">
        <f>IFERROR(VLOOKUP($B11,'[5]INSUMOS MARZO'!$A$2:$S$105,17,0),"")</f>
        <v>6507.7919999999995</v>
      </c>
      <c r="AG11" s="154">
        <f t="shared" si="9"/>
        <v>0</v>
      </c>
      <c r="AH11" s="152">
        <f>IFERROR(VLOOKUP($B11,'PEDIDO JULIO'!$A$10:$AG$200,17,0),"0")</f>
        <v>0</v>
      </c>
      <c r="AI11" s="153">
        <f>IFERROR(VLOOKUP($B11,'[5]INSUMOS MARZO'!$A$2:$S$105,17,0),"")</f>
        <v>6507.7919999999995</v>
      </c>
      <c r="AJ11" s="154">
        <f t="shared" si="10"/>
        <v>0</v>
      </c>
      <c r="AK11" s="152">
        <f>IFERROR(VLOOKUP($B11,'PEDIDO JULIO'!$A$10:$AG$200,18,0),"0")</f>
        <v>0</v>
      </c>
      <c r="AL11" s="153">
        <f>IFERROR(VLOOKUP($B11,'[5]INSUMOS MARZO'!$A$2:$S$105,17,0),"")</f>
        <v>6507.7919999999995</v>
      </c>
      <c r="AM11" s="154">
        <f t="shared" si="11"/>
        <v>0</v>
      </c>
      <c r="AN11" s="152">
        <f>IFERROR(VLOOKUP($B11,'PEDIDO JULIO'!$A$10:$AG$200,19,0),"0")</f>
        <v>0</v>
      </c>
      <c r="AO11" s="153">
        <f>IFERROR(VLOOKUP($B11,'[5]INSUMOS MARZO'!$A$2:$S$105,17,0),"")</f>
        <v>6507.7919999999995</v>
      </c>
      <c r="AP11" s="154">
        <f t="shared" si="12"/>
        <v>0</v>
      </c>
      <c r="AQ11" s="152">
        <f>IFERROR(VLOOKUP($B11,'PEDIDO JULIO'!$A$10:$AG$200,20,0),"0")</f>
        <v>3</v>
      </c>
      <c r="AR11" s="153">
        <f>IFERROR(VLOOKUP($B11,'[5]INSUMOS MARZO'!$A$2:$S$105,17,0),"")</f>
        <v>6507.7919999999995</v>
      </c>
      <c r="AS11" s="154">
        <f t="shared" si="13"/>
        <v>19523.375999999997</v>
      </c>
      <c r="AT11" s="152">
        <f>IFERROR(VLOOKUP($B11,'PEDIDO JULIO'!$A$10:$AG$200,21,0),"0")</f>
        <v>0</v>
      </c>
      <c r="AU11" s="153">
        <f>IFERROR(VLOOKUP($B11,'[5]INSUMOS MARZO'!$A$2:$S$105,17,0),"")</f>
        <v>6507.7919999999995</v>
      </c>
      <c r="AV11" s="154">
        <f t="shared" si="14"/>
        <v>0</v>
      </c>
      <c r="AW11" s="152">
        <f>IFERROR(VLOOKUP($B11,'PEDIDO JULIO'!$A$10:$AG$200,22,0),"0")</f>
        <v>0</v>
      </c>
      <c r="AX11" s="153">
        <f>IFERROR(VLOOKUP($B11,'[5]INSUMOS MARZO'!$A$2:$S$105,17,0),"")</f>
        <v>6507.7919999999995</v>
      </c>
      <c r="AY11" s="154">
        <f t="shared" si="15"/>
        <v>0</v>
      </c>
      <c r="AZ11" s="152">
        <f>IFERROR(VLOOKUP($B11,'PEDIDO JULIO'!$A$10:$AG$200,23,0),"0")</f>
        <v>0</v>
      </c>
      <c r="BA11" s="153">
        <f>IFERROR(VLOOKUP($B11,'[5]INSUMOS MARZO'!$A$2:$S$105,17,0),"")</f>
        <v>6507.7919999999995</v>
      </c>
      <c r="BB11" s="154">
        <f t="shared" si="16"/>
        <v>0</v>
      </c>
      <c r="BC11" s="152">
        <f>IFERROR(VLOOKUP($B11,'PEDIDO JULIO'!$A$10:$AG$200,24,0),"0")</f>
        <v>0</v>
      </c>
      <c r="BD11" s="153">
        <f>IFERROR(VLOOKUP($B11,'[5]INSUMOS MARZO'!$A$2:$S$105,17,0),"")</f>
        <v>6507.7919999999995</v>
      </c>
      <c r="BE11" s="155">
        <f t="shared" si="17"/>
        <v>0</v>
      </c>
      <c r="BF11" s="152">
        <f>IFERROR(VLOOKUP($B11,'PEDIDO JULIO'!$A$10:$AG$200,25,0),"0")</f>
        <v>0</v>
      </c>
      <c r="BG11" s="153">
        <f>IFERROR(VLOOKUP($B11,'[5]INSUMOS MARZO'!$A$2:$S$105,17,0),"")</f>
        <v>6507.7919999999995</v>
      </c>
      <c r="BH11" s="155">
        <f t="shared" si="18"/>
        <v>0</v>
      </c>
      <c r="BI11" s="152">
        <f>IFERROR(VLOOKUP($B11,'PEDIDO JULIO'!$A$10:$AG$200,26,0),"0")</f>
        <v>0</v>
      </c>
      <c r="BJ11" s="153">
        <f>IFERROR(VLOOKUP($B11,'[5]INSUMOS MARZO'!$A$2:$S$105,17,0),"")</f>
        <v>6507.7919999999995</v>
      </c>
      <c r="BK11" s="154">
        <f t="shared" si="19"/>
        <v>0</v>
      </c>
      <c r="BL11" s="152">
        <f>IFERROR(VLOOKUP($B11,'PEDIDO JULIO'!$A$10:$AG$200,27,0),"0")</f>
        <v>0</v>
      </c>
      <c r="BM11" s="153">
        <f>IFERROR(VLOOKUP($B11,'[5]INSUMOS MARZO'!$A$2:$S$105,17,0),"")</f>
        <v>6507.7919999999995</v>
      </c>
      <c r="BN11" s="154">
        <f t="shared" si="20"/>
        <v>0</v>
      </c>
      <c r="BO11" s="152">
        <f>IFERROR(VLOOKUP($B11,'PEDIDO JULIO'!$A$10:$AG$200,28,0),"0")</f>
        <v>0</v>
      </c>
      <c r="BP11" s="153">
        <f>IFERROR(VLOOKUP($B11,'[5]INSUMOS MARZO'!$A$2:$S$105,17,0),"")</f>
        <v>6507.7919999999995</v>
      </c>
      <c r="BQ11" s="154">
        <f t="shared" si="21"/>
        <v>0</v>
      </c>
      <c r="BR11" s="152">
        <f>IFERROR(VLOOKUP($B11,'PEDIDO JULIO'!$A$10:$AG$200,29,0),"0")</f>
        <v>0</v>
      </c>
      <c r="BS11" s="153">
        <f>IFERROR(VLOOKUP($B11,'[5]INSUMOS MARZO'!$A$2:$S$105,17,0),"")</f>
        <v>6507.7919999999995</v>
      </c>
      <c r="BT11" s="155">
        <f t="shared" si="22"/>
        <v>0</v>
      </c>
      <c r="BU11" s="152">
        <f>IFERROR(VLOOKUP($B11,'PEDIDO JULIO'!$A$10:$AG$200,30,0),"0")</f>
        <v>0</v>
      </c>
      <c r="BV11" s="153">
        <f>IFERROR(VLOOKUP($B11,'[5]INSUMOS MARZO'!$A$2:$S$105,17,0),"")</f>
        <v>6507.7919999999995</v>
      </c>
      <c r="BW11" s="155">
        <f t="shared" si="23"/>
        <v>0</v>
      </c>
      <c r="BX11" s="152">
        <f>IFERROR(VLOOKUP($B11,'PEDIDO JULIO'!$A$10:$AG$200,31,0),"0")</f>
        <v>0</v>
      </c>
      <c r="BY11" s="153">
        <f>IFERROR(VLOOKUP($B11,'[5]INSUMOS MARZO'!$A$2:$S$105,17,0),"")</f>
        <v>6507.7919999999995</v>
      </c>
      <c r="BZ11" s="155">
        <f t="shared" si="24"/>
        <v>0</v>
      </c>
      <c r="CA11" s="152">
        <f>IFERROR(VLOOKUP($B11,'PEDIDO JULIO'!$A$10:$AG$200,32,0),"0")</f>
        <v>0</v>
      </c>
      <c r="CB11" s="153">
        <f>IFERROR(VLOOKUP($B11,'[5]INSUMOS MARZO'!$A$2:$S$105,17,0),"")</f>
        <v>6507.7919999999995</v>
      </c>
      <c r="CC11" s="155">
        <f t="shared" si="25"/>
        <v>0</v>
      </c>
      <c r="CD11" s="157">
        <f t="shared" si="26"/>
        <v>32</v>
      </c>
      <c r="CE11" s="158">
        <f t="shared" si="27"/>
        <v>0</v>
      </c>
      <c r="CF11" s="251">
        <f>IFERROR(VLOOKUP($B11,'MATRIZ INSUMOS '!$A$3:$P$106,16,0),"")</f>
        <v>32</v>
      </c>
      <c r="CG11" s="153">
        <f>IFERROR(VLOOKUP($B11,'[5]INSUMOS MARZO'!$A$2:$S$105,17,0),"")</f>
        <v>6507.7919999999995</v>
      </c>
      <c r="CH11" s="156">
        <f t="shared" si="28"/>
        <v>208249.34399999998</v>
      </c>
      <c r="CI11" s="251">
        <f>IFERROR(VLOOKUP($B11,'MATRIZ INSUMOS '!$A$3:$P$106,10,0),"")</f>
        <v>0</v>
      </c>
      <c r="CJ11" s="156">
        <f>IFERROR(VLOOKUP($B11,'[5]INSUMOS MARZO'!$A$2:$S$105,14,0),"")</f>
        <v>11542.8177</v>
      </c>
      <c r="CK11" s="159">
        <f t="shared" si="29"/>
        <v>0</v>
      </c>
      <c r="CL11" s="160">
        <f t="shared" si="30"/>
        <v>208249.34399999998</v>
      </c>
      <c r="CM11" s="14">
        <f t="shared" si="31"/>
        <v>20824.934399999998</v>
      </c>
      <c r="CN11" s="14">
        <f t="shared" si="32"/>
        <v>3956.7375359999996</v>
      </c>
      <c r="CO11" s="14">
        <f t="shared" si="33"/>
        <v>233031.01593599998</v>
      </c>
      <c r="CQ11" s="19">
        <f t="shared" si="34"/>
        <v>208249.34399999998</v>
      </c>
      <c r="CR11" s="19" t="b">
        <f t="shared" si="35"/>
        <v>1</v>
      </c>
      <c r="CS11" s="19">
        <f t="shared" si="36"/>
        <v>0</v>
      </c>
    </row>
    <row r="12" spans="1:97" ht="12.6" customHeight="1">
      <c r="A12" s="3">
        <v>7</v>
      </c>
      <c r="B12" s="151">
        <v>17</v>
      </c>
      <c r="C12" s="4" t="s">
        <v>14</v>
      </c>
      <c r="D12" s="152">
        <f>IFERROR(VLOOKUP($B12,'[4]INSUMOS FEBRERO'!$A$2:$F$105,5,0),"")</f>
        <v>116</v>
      </c>
      <c r="E12" s="152">
        <f>IFERROR(VLOOKUP($B12,'PEDIDO JULIO'!$A$10:$AG$32,33,0),"0")</f>
        <v>18</v>
      </c>
      <c r="F12" s="152">
        <f t="shared" si="1"/>
        <v>-98</v>
      </c>
      <c r="G12" s="152">
        <f>IFERROR(VLOOKUP($B12,'PEDIDO JULIO'!$A$10:$AG$200,8,0),"0")</f>
        <v>10</v>
      </c>
      <c r="H12" s="153">
        <f>IFERROR(VLOOKUP($B12,'[5]INSUMOS MARZO'!$A$2:$S$105,17,0),"")</f>
        <v>5647.0229999999992</v>
      </c>
      <c r="I12" s="154">
        <f t="shared" si="0"/>
        <v>56470.229999999996</v>
      </c>
      <c r="J12" s="152">
        <f>IFERROR(VLOOKUP($B12,'PEDIDO JULIO'!$A$10:$AG$200,9,0),"0")</f>
        <v>0</v>
      </c>
      <c r="K12" s="153">
        <f>IFERROR(VLOOKUP($B12,'[5]INSUMOS MARZO'!$A$2:$S$105,17,0),"")</f>
        <v>5647.0229999999992</v>
      </c>
      <c r="L12" s="155">
        <f t="shared" si="2"/>
        <v>0</v>
      </c>
      <c r="M12" s="152">
        <f>IFERROR(VLOOKUP($B12,'PEDIDO JULIO'!$A$10:$AG$200,10,0),"0")</f>
        <v>0</v>
      </c>
      <c r="N12" s="153">
        <f>IFERROR(VLOOKUP($B12,'[5]INSUMOS MARZO'!$A$2:$S$105,17,0),"")</f>
        <v>5647.0229999999992</v>
      </c>
      <c r="O12" s="154">
        <f t="shared" si="3"/>
        <v>0</v>
      </c>
      <c r="P12" s="152">
        <f>IFERROR(VLOOKUP($B12,'PEDIDO JULIO'!$A$10:$AG$200,11,0),"0")</f>
        <v>0</v>
      </c>
      <c r="Q12" s="153">
        <f>IFERROR(VLOOKUP($B12,'[5]INSUMOS MARZO'!$A$2:$S$105,17,0),"")</f>
        <v>5647.0229999999992</v>
      </c>
      <c r="R12" s="154">
        <f t="shared" si="4"/>
        <v>0</v>
      </c>
      <c r="S12" s="152">
        <f>IFERROR(VLOOKUP($B12,'PEDIDO JULIO'!$A$10:$AG$200,12,0),"0")</f>
        <v>0</v>
      </c>
      <c r="T12" s="153">
        <f>IFERROR(VLOOKUP($B12,'[5]INSUMOS MARZO'!$A$2:$S$105,17,0),"")</f>
        <v>5647.0229999999992</v>
      </c>
      <c r="U12" s="154">
        <f t="shared" si="5"/>
        <v>0</v>
      </c>
      <c r="V12" s="152">
        <f>IFERROR(VLOOKUP($B12,'PEDIDO JULIO'!$A$10:$AG$200,13,0),"0")</f>
        <v>2</v>
      </c>
      <c r="W12" s="153">
        <f>IFERROR(VLOOKUP($B12,'[5]INSUMOS MARZO'!$A$2:$S$105,17,0),"")</f>
        <v>5647.0229999999992</v>
      </c>
      <c r="X12" s="154">
        <f t="shared" si="6"/>
        <v>11294.045999999998</v>
      </c>
      <c r="Y12" s="152">
        <f>IFERROR(VLOOKUP($B12,'PEDIDO JULIO'!$A$10:$AG$200,14,0),"0")</f>
        <v>0</v>
      </c>
      <c r="Z12" s="153">
        <f>IFERROR(VLOOKUP($B12,'[5]INSUMOS MARZO'!$A$2:$S$105,17,0),"")</f>
        <v>5647.0229999999992</v>
      </c>
      <c r="AA12" s="154">
        <f t="shared" si="7"/>
        <v>0</v>
      </c>
      <c r="AB12" s="152">
        <f>IFERROR(VLOOKUP($B12,'PEDIDO JULIO'!$A$10:$AG$200,15,0),"0")</f>
        <v>3</v>
      </c>
      <c r="AC12" s="153">
        <f>IFERROR(VLOOKUP($B12,'[5]INSUMOS MARZO'!$A$2:$S$105,17,0),"")</f>
        <v>5647.0229999999992</v>
      </c>
      <c r="AD12" s="154">
        <f t="shared" si="8"/>
        <v>16941.068999999996</v>
      </c>
      <c r="AE12" s="152">
        <f>IFERROR(VLOOKUP($B12,'PEDIDO JULIO'!$A$10:$AG$200,16,0),"0")</f>
        <v>3</v>
      </c>
      <c r="AF12" s="153">
        <f>IFERROR(VLOOKUP($B12,'[5]INSUMOS MARZO'!$A$2:$S$105,17,0),"")</f>
        <v>5647.0229999999992</v>
      </c>
      <c r="AG12" s="154">
        <f t="shared" si="9"/>
        <v>16941.068999999996</v>
      </c>
      <c r="AH12" s="152">
        <f>IFERROR(VLOOKUP($B12,'PEDIDO JULIO'!$A$10:$AG$200,17,0),"0")</f>
        <v>0</v>
      </c>
      <c r="AI12" s="153">
        <f>IFERROR(VLOOKUP($B12,'[5]INSUMOS MARZO'!$A$2:$S$105,17,0),"")</f>
        <v>5647.0229999999992</v>
      </c>
      <c r="AJ12" s="154">
        <f t="shared" si="10"/>
        <v>0</v>
      </c>
      <c r="AK12" s="152">
        <f>IFERROR(VLOOKUP($B12,'PEDIDO JULIO'!$A$10:$AG$200,18,0),"0")</f>
        <v>0</v>
      </c>
      <c r="AL12" s="153">
        <f>IFERROR(VLOOKUP($B12,'[5]INSUMOS MARZO'!$A$2:$S$105,17,0),"")</f>
        <v>5647.0229999999992</v>
      </c>
      <c r="AM12" s="154">
        <f t="shared" si="11"/>
        <v>0</v>
      </c>
      <c r="AN12" s="152">
        <f>IFERROR(VLOOKUP($B12,'PEDIDO JULIO'!$A$10:$AG$200,19,0),"0")</f>
        <v>0</v>
      </c>
      <c r="AO12" s="153">
        <f>IFERROR(VLOOKUP($B12,'[5]INSUMOS MARZO'!$A$2:$S$105,17,0),"")</f>
        <v>5647.0229999999992</v>
      </c>
      <c r="AP12" s="154">
        <f t="shared" si="12"/>
        <v>0</v>
      </c>
      <c r="AQ12" s="152">
        <f>IFERROR(VLOOKUP($B12,'PEDIDO JULIO'!$A$10:$AG$200,20,0),"0")</f>
        <v>0</v>
      </c>
      <c r="AR12" s="153">
        <f>IFERROR(VLOOKUP($B12,'[5]INSUMOS MARZO'!$A$2:$S$105,17,0),"")</f>
        <v>5647.0229999999992</v>
      </c>
      <c r="AS12" s="154">
        <f t="shared" si="13"/>
        <v>0</v>
      </c>
      <c r="AT12" s="152">
        <f>IFERROR(VLOOKUP($B12,'PEDIDO JULIO'!$A$10:$AG$200,21,0),"0")</f>
        <v>0</v>
      </c>
      <c r="AU12" s="153">
        <f>IFERROR(VLOOKUP($B12,'[5]INSUMOS MARZO'!$A$2:$S$105,17,0),"")</f>
        <v>5647.0229999999992</v>
      </c>
      <c r="AV12" s="154">
        <f t="shared" si="14"/>
        <v>0</v>
      </c>
      <c r="AW12" s="152">
        <f>IFERROR(VLOOKUP($B12,'PEDIDO JULIO'!$A$10:$AG$200,22,0),"0")</f>
        <v>0</v>
      </c>
      <c r="AX12" s="153">
        <f>IFERROR(VLOOKUP($B12,'[5]INSUMOS MARZO'!$A$2:$S$105,17,0),"")</f>
        <v>5647.0229999999992</v>
      </c>
      <c r="AY12" s="154">
        <f t="shared" si="15"/>
        <v>0</v>
      </c>
      <c r="AZ12" s="152">
        <f>IFERROR(VLOOKUP($B12,'PEDIDO JULIO'!$A$10:$AG$200,23,0),"0")</f>
        <v>0</v>
      </c>
      <c r="BA12" s="153">
        <f>IFERROR(VLOOKUP($B12,'[5]INSUMOS MARZO'!$A$2:$S$105,17,0),"")</f>
        <v>5647.0229999999992</v>
      </c>
      <c r="BB12" s="154">
        <f t="shared" si="16"/>
        <v>0</v>
      </c>
      <c r="BC12" s="152">
        <f>IFERROR(VLOOKUP($B12,'PEDIDO JULIO'!$A$10:$AG$200,24,0),"0")</f>
        <v>0</v>
      </c>
      <c r="BD12" s="153">
        <f>IFERROR(VLOOKUP($B12,'[5]INSUMOS MARZO'!$A$2:$S$105,17,0),"")</f>
        <v>5647.0229999999992</v>
      </c>
      <c r="BE12" s="155">
        <f t="shared" si="17"/>
        <v>0</v>
      </c>
      <c r="BF12" s="152">
        <f>IFERROR(VLOOKUP($B12,'PEDIDO JULIO'!$A$10:$AG$200,25,0),"0")</f>
        <v>0</v>
      </c>
      <c r="BG12" s="153">
        <f>IFERROR(VLOOKUP($B12,'[5]INSUMOS MARZO'!$A$2:$S$105,17,0),"")</f>
        <v>5647.0229999999992</v>
      </c>
      <c r="BH12" s="155">
        <f t="shared" si="18"/>
        <v>0</v>
      </c>
      <c r="BI12" s="152">
        <f>IFERROR(VLOOKUP($B12,'PEDIDO JULIO'!$A$10:$AG$200,26,0),"0")</f>
        <v>0</v>
      </c>
      <c r="BJ12" s="153">
        <f>IFERROR(VLOOKUP($B12,'[5]INSUMOS MARZO'!$A$2:$S$105,17,0),"")</f>
        <v>5647.0229999999992</v>
      </c>
      <c r="BK12" s="154">
        <f t="shared" si="19"/>
        <v>0</v>
      </c>
      <c r="BL12" s="152">
        <f>IFERROR(VLOOKUP($B12,'PEDIDO JULIO'!$A$10:$AG$200,27,0),"0")</f>
        <v>0</v>
      </c>
      <c r="BM12" s="153">
        <f>IFERROR(VLOOKUP($B12,'[5]INSUMOS MARZO'!$A$2:$S$105,17,0),"")</f>
        <v>5647.0229999999992</v>
      </c>
      <c r="BN12" s="154">
        <f t="shared" si="20"/>
        <v>0</v>
      </c>
      <c r="BO12" s="152">
        <f>IFERROR(VLOOKUP($B12,'PEDIDO JULIO'!$A$10:$AG$200,28,0),"0")</f>
        <v>0</v>
      </c>
      <c r="BP12" s="153">
        <f>IFERROR(VLOOKUP($B12,'[5]INSUMOS MARZO'!$A$2:$S$105,17,0),"")</f>
        <v>5647.0229999999992</v>
      </c>
      <c r="BQ12" s="154">
        <f t="shared" si="21"/>
        <v>0</v>
      </c>
      <c r="BR12" s="152">
        <f>IFERROR(VLOOKUP($B12,'PEDIDO JULIO'!$A$10:$AG$200,29,0),"0")</f>
        <v>0</v>
      </c>
      <c r="BS12" s="153">
        <f>IFERROR(VLOOKUP($B12,'[5]INSUMOS MARZO'!$A$2:$S$105,17,0),"")</f>
        <v>5647.0229999999992</v>
      </c>
      <c r="BT12" s="155">
        <f t="shared" si="22"/>
        <v>0</v>
      </c>
      <c r="BU12" s="152">
        <f>IFERROR(VLOOKUP($B12,'PEDIDO JULIO'!$A$10:$AG$200,30,0),"0")</f>
        <v>0</v>
      </c>
      <c r="BV12" s="153">
        <f>IFERROR(VLOOKUP($B12,'[5]INSUMOS MARZO'!$A$2:$S$105,17,0),"")</f>
        <v>5647.0229999999992</v>
      </c>
      <c r="BW12" s="155">
        <f t="shared" si="23"/>
        <v>0</v>
      </c>
      <c r="BX12" s="152">
        <f>IFERROR(VLOOKUP($B12,'PEDIDO JULIO'!$A$10:$AG$200,31,0),"0")</f>
        <v>0</v>
      </c>
      <c r="BY12" s="153">
        <f>IFERROR(VLOOKUP($B12,'[5]INSUMOS MARZO'!$A$2:$S$105,17,0),"")</f>
        <v>5647.0229999999992</v>
      </c>
      <c r="BZ12" s="155">
        <f t="shared" si="24"/>
        <v>0</v>
      </c>
      <c r="CA12" s="152">
        <f>IFERROR(VLOOKUP($B12,'PEDIDO JULIO'!$A$10:$AG$200,32,0),"0")</f>
        <v>0</v>
      </c>
      <c r="CB12" s="153">
        <f>IFERROR(VLOOKUP($B12,'[5]INSUMOS MARZO'!$A$2:$S$105,17,0),"")</f>
        <v>5647.0229999999992</v>
      </c>
      <c r="CC12" s="155">
        <f t="shared" si="25"/>
        <v>0</v>
      </c>
      <c r="CD12" s="157">
        <f t="shared" si="26"/>
        <v>18</v>
      </c>
      <c r="CE12" s="158">
        <f t="shared" si="27"/>
        <v>0</v>
      </c>
      <c r="CF12" s="251">
        <f>IFERROR(VLOOKUP($B12,'MATRIZ INSUMOS '!$A$3:$P$106,16,0),"")</f>
        <v>18</v>
      </c>
      <c r="CG12" s="153">
        <f>IFERROR(VLOOKUP($B12,'[5]INSUMOS MARZO'!$A$2:$S$105,17,0),"")</f>
        <v>5647.0229999999992</v>
      </c>
      <c r="CH12" s="156">
        <f t="shared" si="28"/>
        <v>101646.41399999999</v>
      </c>
      <c r="CI12" s="251">
        <f>IFERROR(VLOOKUP($B12,'MATRIZ INSUMOS '!$A$3:$P$106,10,0),"")</f>
        <v>0</v>
      </c>
      <c r="CJ12" s="156">
        <f>IFERROR(VLOOKUP($B12,'[5]INSUMOS MARZO'!$A$2:$S$105,14,0),"")</f>
        <v>9552.6440999999995</v>
      </c>
      <c r="CK12" s="159">
        <f t="shared" si="29"/>
        <v>0</v>
      </c>
      <c r="CL12" s="160">
        <f t="shared" si="30"/>
        <v>101646.41399999999</v>
      </c>
      <c r="CM12" s="14">
        <f t="shared" si="31"/>
        <v>10164.6414</v>
      </c>
      <c r="CN12" s="14">
        <f t="shared" si="32"/>
        <v>1931.281866</v>
      </c>
      <c r="CO12" s="14">
        <f t="shared" si="33"/>
        <v>113742.33726599999</v>
      </c>
      <c r="CQ12" s="19">
        <f t="shared" si="34"/>
        <v>101646.41399999999</v>
      </c>
      <c r="CR12" s="19" t="b">
        <f t="shared" si="35"/>
        <v>1</v>
      </c>
      <c r="CS12" s="19">
        <f t="shared" si="36"/>
        <v>0</v>
      </c>
    </row>
    <row r="13" spans="1:97" ht="12.6" customHeight="1">
      <c r="A13" s="3">
        <v>8</v>
      </c>
      <c r="B13" s="151">
        <v>20</v>
      </c>
      <c r="C13" s="4" t="s">
        <v>15</v>
      </c>
      <c r="D13" s="152">
        <f>IFERROR(VLOOKUP($B13,'[4]INSUMOS FEBRERO'!$A$2:$F$105,5,0),"")</f>
        <v>96</v>
      </c>
      <c r="E13" s="152">
        <f>IFERROR(VLOOKUP($B13,'PEDIDO JULIO'!$A$10:$AG$32,33,0),"0")</f>
        <v>10</v>
      </c>
      <c r="F13" s="152">
        <f t="shared" si="1"/>
        <v>-86</v>
      </c>
      <c r="G13" s="152">
        <f>IFERROR(VLOOKUP($B13,'PEDIDO JULIO'!$A$10:$AG$200,8,0),"0")</f>
        <v>0</v>
      </c>
      <c r="H13" s="153">
        <f>IFERROR(VLOOKUP($B13,'[5]INSUMOS MARZO'!$A$2:$S$105,17,0),"")</f>
        <v>0</v>
      </c>
      <c r="I13" s="154">
        <f t="shared" si="0"/>
        <v>0</v>
      </c>
      <c r="J13" s="152">
        <f>IFERROR(VLOOKUP($B13,'PEDIDO JULIO'!$A$10:$AG$200,9,0),"0")</f>
        <v>0</v>
      </c>
      <c r="K13" s="153">
        <f>IFERROR(VLOOKUP($B13,'[5]INSUMOS MARZO'!$A$2:$S$105,17,0),"")</f>
        <v>0</v>
      </c>
      <c r="L13" s="155">
        <f t="shared" si="2"/>
        <v>0</v>
      </c>
      <c r="M13" s="152">
        <f>IFERROR(VLOOKUP($B13,'PEDIDO JULIO'!$A$10:$AG$200,10,0),"0")</f>
        <v>0</v>
      </c>
      <c r="N13" s="153">
        <f>IFERROR(VLOOKUP($B13,'[5]INSUMOS MARZO'!$A$2:$S$105,17,0),"")</f>
        <v>0</v>
      </c>
      <c r="O13" s="154">
        <f t="shared" si="3"/>
        <v>0</v>
      </c>
      <c r="P13" s="152">
        <f>IFERROR(VLOOKUP($B13,'PEDIDO JULIO'!$A$10:$AG$200,11,0),"0")</f>
        <v>0</v>
      </c>
      <c r="Q13" s="153">
        <f>IFERROR(VLOOKUP($B13,'[5]INSUMOS MARZO'!$A$2:$S$105,17,0),"")</f>
        <v>0</v>
      </c>
      <c r="R13" s="154">
        <f t="shared" si="4"/>
        <v>0</v>
      </c>
      <c r="S13" s="152">
        <f>IFERROR(VLOOKUP($B13,'PEDIDO JULIO'!$A$10:$AG$200,12,0),"0")</f>
        <v>2</v>
      </c>
      <c r="T13" s="156">
        <f>IFERROR(VLOOKUP($B13,'[5]INSUMOS MARZO'!$A$2:$S$105,14,0),"")</f>
        <v>9851.5485000000008</v>
      </c>
      <c r="U13" s="154">
        <f t="shared" si="5"/>
        <v>19703.097000000002</v>
      </c>
      <c r="V13" s="152">
        <f>IFERROR(VLOOKUP($B13,'PEDIDO JULIO'!$A$10:$AG$200,13,0),"0")</f>
        <v>0</v>
      </c>
      <c r="W13" s="156">
        <f>IFERROR(VLOOKUP($B13,'[5]INSUMOS MARZO'!$A$2:$S$105,14,0),"")</f>
        <v>9851.5485000000008</v>
      </c>
      <c r="X13" s="154">
        <f t="shared" si="6"/>
        <v>0</v>
      </c>
      <c r="Y13" s="152">
        <f>IFERROR(VLOOKUP($B13,'PEDIDO JULIO'!$A$10:$AG$200,14,0),"0")</f>
        <v>0</v>
      </c>
      <c r="Z13" s="153">
        <f>IFERROR(VLOOKUP($B13,'[5]INSUMOS MARZO'!$A$2:$S$105,17,0),"")</f>
        <v>0</v>
      </c>
      <c r="AA13" s="154">
        <f t="shared" si="7"/>
        <v>0</v>
      </c>
      <c r="AB13" s="152">
        <f>IFERROR(VLOOKUP($B13,'PEDIDO JULIO'!$A$10:$AG$200,15,0),"0")</f>
        <v>0</v>
      </c>
      <c r="AC13" s="156">
        <f>IFERROR(VLOOKUP($B13,'[5]INSUMOS MARZO'!$A$2:$S$105,14,0),"")</f>
        <v>9851.5485000000008</v>
      </c>
      <c r="AD13" s="154">
        <f t="shared" si="8"/>
        <v>0</v>
      </c>
      <c r="AE13" s="152">
        <f>IFERROR(VLOOKUP($B13,'PEDIDO JULIO'!$A$10:$AG$200,16,0),"0")</f>
        <v>0</v>
      </c>
      <c r="AF13" s="153">
        <f>IFERROR(VLOOKUP($B13,'[5]INSUMOS MARZO'!$A$2:$S$105,17,0),"")</f>
        <v>0</v>
      </c>
      <c r="AG13" s="154">
        <f t="shared" si="9"/>
        <v>0</v>
      </c>
      <c r="AH13" s="152">
        <f>IFERROR(VLOOKUP($B13,'PEDIDO JULIO'!$A$10:$AG$200,17,0),"0")</f>
        <v>8</v>
      </c>
      <c r="AI13" s="156">
        <f>IFERROR(VLOOKUP($B13,'[5]INSUMOS MARZO'!$A$2:$S$105,14,0),"")</f>
        <v>9851.5485000000008</v>
      </c>
      <c r="AJ13" s="154">
        <f t="shared" si="10"/>
        <v>78812.388000000006</v>
      </c>
      <c r="AK13" s="152">
        <f>IFERROR(VLOOKUP($B13,'PEDIDO JULIO'!$A$10:$AG$200,18,0),"0")</f>
        <v>0</v>
      </c>
      <c r="AL13" s="156">
        <f>IFERROR(VLOOKUP($B13,'[5]INSUMOS MARZO'!$A$2:$S$105,14,0),"")</f>
        <v>9851.5485000000008</v>
      </c>
      <c r="AM13" s="154">
        <f t="shared" si="11"/>
        <v>0</v>
      </c>
      <c r="AN13" s="152">
        <f>IFERROR(VLOOKUP($B13,'PEDIDO JULIO'!$A$10:$AG$200,19,0),"0")</f>
        <v>0</v>
      </c>
      <c r="AO13" s="153">
        <f>IFERROR(VLOOKUP($B13,'[5]INSUMOS MARZO'!$A$2:$S$105,17,0),"")</f>
        <v>0</v>
      </c>
      <c r="AP13" s="154">
        <f t="shared" si="12"/>
        <v>0</v>
      </c>
      <c r="AQ13" s="152">
        <f>IFERROR(VLOOKUP($B13,'PEDIDO JULIO'!$A$10:$AG$200,20,0),"0")</f>
        <v>0</v>
      </c>
      <c r="AR13" s="153">
        <f>IFERROR(VLOOKUP($B13,'[5]INSUMOS MARZO'!$A$2:$S$105,17,0),"")</f>
        <v>0</v>
      </c>
      <c r="AS13" s="154">
        <f t="shared" si="13"/>
        <v>0</v>
      </c>
      <c r="AT13" s="152">
        <f>IFERROR(VLOOKUP($B13,'PEDIDO JULIO'!$A$10:$AG$200,21,0),"0")</f>
        <v>0</v>
      </c>
      <c r="AU13" s="156">
        <f>IFERROR(VLOOKUP($B13,'[5]INSUMOS MARZO'!$A$2:$S$105,14,0),"")</f>
        <v>9851.5485000000008</v>
      </c>
      <c r="AV13" s="154">
        <f t="shared" si="14"/>
        <v>0</v>
      </c>
      <c r="AW13" s="152">
        <f>IFERROR(VLOOKUP($B13,'PEDIDO JULIO'!$A$10:$AG$200,22,0),"0")</f>
        <v>0</v>
      </c>
      <c r="AX13" s="156">
        <f>IFERROR(VLOOKUP($B13,'[5]INSUMOS MARZO'!$A$2:$S$105,14,0),"")</f>
        <v>9851.5485000000008</v>
      </c>
      <c r="AY13" s="154">
        <f t="shared" si="15"/>
        <v>0</v>
      </c>
      <c r="AZ13" s="152">
        <f>IFERROR(VLOOKUP($B13,'PEDIDO JULIO'!$A$10:$AG$200,23,0),"0")</f>
        <v>0</v>
      </c>
      <c r="BA13" s="156">
        <f>IFERROR(VLOOKUP($B13,'[5]INSUMOS MARZO'!$A$2:$S$105,14,0),"")</f>
        <v>9851.5485000000008</v>
      </c>
      <c r="BB13" s="154">
        <f t="shared" si="16"/>
        <v>0</v>
      </c>
      <c r="BC13" s="152">
        <f>IFERROR(VLOOKUP($B13,'PEDIDO JULIO'!$A$10:$AG$200,24,0),"0")</f>
        <v>0</v>
      </c>
      <c r="BD13" s="156">
        <f>IFERROR(VLOOKUP($B13,'[5]INSUMOS MARZO'!$A$2:$S$105,14,0),"")</f>
        <v>9851.5485000000008</v>
      </c>
      <c r="BE13" s="155">
        <f t="shared" si="17"/>
        <v>0</v>
      </c>
      <c r="BF13" s="152">
        <f>IFERROR(VLOOKUP($B13,'PEDIDO JULIO'!$A$10:$AG$200,25,0),"0")</f>
        <v>0</v>
      </c>
      <c r="BG13" s="156">
        <f>IFERROR(VLOOKUP($B13,'[5]INSUMOS MARZO'!$A$2:$S$105,14,0),"")</f>
        <v>9851.5485000000008</v>
      </c>
      <c r="BH13" s="155">
        <f t="shared" si="18"/>
        <v>0</v>
      </c>
      <c r="BI13" s="152">
        <f>IFERROR(VLOOKUP($B13,'PEDIDO JULIO'!$A$10:$AG$200,26,0),"0")</f>
        <v>0</v>
      </c>
      <c r="BJ13" s="156">
        <f>IFERROR(VLOOKUP($B13,'[5]INSUMOS MARZO'!$A$2:$S$105,14,0),"")</f>
        <v>9851.5485000000008</v>
      </c>
      <c r="BK13" s="154">
        <f t="shared" si="19"/>
        <v>0</v>
      </c>
      <c r="BL13" s="152">
        <f>IFERROR(VLOOKUP($B13,'PEDIDO JULIO'!$A$10:$AG$200,27,0),"0")</f>
        <v>0</v>
      </c>
      <c r="BM13" s="153">
        <f>IFERROR(VLOOKUP($B13,'[5]INSUMOS MARZO'!$A$2:$S$105,17,0),"")</f>
        <v>0</v>
      </c>
      <c r="BN13" s="154">
        <f t="shared" si="20"/>
        <v>0</v>
      </c>
      <c r="BO13" s="152">
        <f>IFERROR(VLOOKUP($B13,'PEDIDO JULIO'!$A$10:$AG$200,28,0),"0")</f>
        <v>0</v>
      </c>
      <c r="BP13" s="153">
        <f>IFERROR(VLOOKUP($B13,'[5]INSUMOS MARZO'!$A$2:$S$105,17,0),"")</f>
        <v>0</v>
      </c>
      <c r="BQ13" s="154">
        <f t="shared" si="21"/>
        <v>0</v>
      </c>
      <c r="BR13" s="152">
        <f>IFERROR(VLOOKUP($B13,'PEDIDO JULIO'!$A$10:$AG$200,29,0),"0")</f>
        <v>0</v>
      </c>
      <c r="BS13" s="156">
        <f>IFERROR(VLOOKUP($B13,'[5]INSUMOS MARZO'!$A$2:$S$105,14,0),"")</f>
        <v>9851.5485000000008</v>
      </c>
      <c r="BT13" s="155">
        <f t="shared" si="22"/>
        <v>0</v>
      </c>
      <c r="BU13" s="152">
        <f>IFERROR(VLOOKUP($B13,'PEDIDO JULIO'!$A$10:$AG$200,30,0),"0")</f>
        <v>0</v>
      </c>
      <c r="BV13" s="153">
        <f>IFERROR(VLOOKUP($B13,'[5]INSUMOS MARZO'!$A$2:$S$105,17,0),"")</f>
        <v>0</v>
      </c>
      <c r="BW13" s="155">
        <f t="shared" si="23"/>
        <v>0</v>
      </c>
      <c r="BX13" s="152">
        <f>IFERROR(VLOOKUP($B13,'PEDIDO JULIO'!$A$10:$AG$200,31,0),"0")</f>
        <v>0</v>
      </c>
      <c r="BY13" s="153">
        <f>IFERROR(VLOOKUP($B13,'[5]INSUMOS MARZO'!$A$2:$S$105,17,0),"")</f>
        <v>0</v>
      </c>
      <c r="BZ13" s="155">
        <f t="shared" si="24"/>
        <v>0</v>
      </c>
      <c r="CA13" s="152">
        <f>IFERROR(VLOOKUP($B13,'PEDIDO JULIO'!$A$10:$AG$200,32,0),"0")</f>
        <v>0</v>
      </c>
      <c r="CB13" s="153">
        <f>IFERROR(VLOOKUP($B13,'[5]INSUMOS MARZO'!$A$2:$S$105,17,0),"")</f>
        <v>0</v>
      </c>
      <c r="CC13" s="155">
        <f t="shared" si="25"/>
        <v>0</v>
      </c>
      <c r="CD13" s="157">
        <f t="shared" si="26"/>
        <v>10</v>
      </c>
      <c r="CE13" s="158">
        <f t="shared" si="27"/>
        <v>0</v>
      </c>
      <c r="CF13" s="251">
        <f>IFERROR(VLOOKUP($B13,'MATRIZ INSUMOS '!$A$3:$P$106,16,0),"")</f>
        <v>10</v>
      </c>
      <c r="CG13" s="156">
        <f>IFERROR(VLOOKUP($B13,'[5]INSUMOS MARZO'!$A$2:$S$105,14,0),"")</f>
        <v>9851.5485000000008</v>
      </c>
      <c r="CH13" s="156">
        <f>CF13*CG13</f>
        <v>98515.485000000015</v>
      </c>
      <c r="CI13" s="251">
        <f>IFERROR(VLOOKUP($B13,'MATRIZ INSUMOS '!$A$3:$P$106,10,0),"")</f>
        <v>0</v>
      </c>
      <c r="CJ13" s="156">
        <f>IFERROR(VLOOKUP($B13,'[5]INSUMOS MARZO'!$A$2:$S$105,14,0),"")</f>
        <v>9851.5485000000008</v>
      </c>
      <c r="CK13" s="159">
        <f t="shared" si="29"/>
        <v>0</v>
      </c>
      <c r="CL13" s="208">
        <f t="shared" si="30"/>
        <v>98515.485000000015</v>
      </c>
      <c r="CM13" s="14">
        <f t="shared" si="31"/>
        <v>9851.5485000000026</v>
      </c>
      <c r="CN13" s="14">
        <f t="shared" si="32"/>
        <v>1871.7942150000006</v>
      </c>
      <c r="CO13" s="14">
        <f t="shared" si="33"/>
        <v>110238.82771500002</v>
      </c>
      <c r="CQ13" s="19">
        <f t="shared" si="34"/>
        <v>98515.485000000015</v>
      </c>
      <c r="CR13" s="19" t="b">
        <f t="shared" si="35"/>
        <v>1</v>
      </c>
      <c r="CS13" s="19">
        <f t="shared" si="36"/>
        <v>0</v>
      </c>
    </row>
    <row r="14" spans="1:97" ht="12.6" customHeight="1">
      <c r="A14" s="3">
        <v>9</v>
      </c>
      <c r="B14" s="151">
        <v>21</v>
      </c>
      <c r="C14" s="4" t="s">
        <v>17</v>
      </c>
      <c r="D14" s="152">
        <f>IFERROR(VLOOKUP($B14,'[4]INSUMOS FEBRERO'!$A$2:$F$105,5,0),"")</f>
        <v>96</v>
      </c>
      <c r="E14" s="152">
        <f>IFERROR(VLOOKUP($B14,'PEDIDO JULIO'!$A$10:$AG$32,33,0),"0")</f>
        <v>10</v>
      </c>
      <c r="F14" s="152">
        <f t="shared" si="1"/>
        <v>-86</v>
      </c>
      <c r="G14" s="152">
        <f>IFERROR(VLOOKUP($B14,'PEDIDO JULIO'!$A$10:$AG$200,8,0),"0")</f>
        <v>0</v>
      </c>
      <c r="H14" s="153">
        <f>IFERROR(VLOOKUP($B14,'[5]INSUMOS MARZO'!$A$2:$S$105,17,0),"")</f>
        <v>5932.8950000000013</v>
      </c>
      <c r="I14" s="154">
        <f t="shared" si="0"/>
        <v>0</v>
      </c>
      <c r="J14" s="152">
        <f>IFERROR(VLOOKUP($B14,'PEDIDO JULIO'!$A$10:$AG$200,9,0),"0")</f>
        <v>0</v>
      </c>
      <c r="K14" s="153">
        <f>IFERROR(VLOOKUP($B14,'[5]INSUMOS MARZO'!$A$2:$S$105,17,0),"")</f>
        <v>5932.8950000000013</v>
      </c>
      <c r="L14" s="155">
        <f t="shared" si="2"/>
        <v>0</v>
      </c>
      <c r="M14" s="152">
        <f>IFERROR(VLOOKUP($B14,'PEDIDO JULIO'!$A$10:$AG$200,10,0),"0")</f>
        <v>0</v>
      </c>
      <c r="N14" s="153">
        <f>IFERROR(VLOOKUP($B14,'[5]INSUMOS MARZO'!$A$2:$S$105,17,0),"")</f>
        <v>5932.8950000000013</v>
      </c>
      <c r="O14" s="154">
        <f t="shared" si="3"/>
        <v>0</v>
      </c>
      <c r="P14" s="152">
        <f>IFERROR(VLOOKUP($B14,'PEDIDO JULIO'!$A$10:$AG$200,11,0),"0")</f>
        <v>0</v>
      </c>
      <c r="Q14" s="153">
        <f>IFERROR(VLOOKUP($B14,'[5]INSUMOS MARZO'!$A$2:$S$105,17,0),"")</f>
        <v>5932.8950000000013</v>
      </c>
      <c r="R14" s="154">
        <f t="shared" si="4"/>
        <v>0</v>
      </c>
      <c r="S14" s="152">
        <f>IFERROR(VLOOKUP($B14,'PEDIDO JULIO'!$A$10:$AG$200,12,0),"0")</f>
        <v>0</v>
      </c>
      <c r="T14" s="153">
        <f>IFERROR(VLOOKUP($B14,'[5]INSUMOS MARZO'!$A$2:$S$105,17,0),"")</f>
        <v>5932.8950000000013</v>
      </c>
      <c r="U14" s="154">
        <f t="shared" si="5"/>
        <v>0</v>
      </c>
      <c r="V14" s="152">
        <f>IFERROR(VLOOKUP($B14,'PEDIDO JULIO'!$A$10:$AG$200,13,0),"0")</f>
        <v>0</v>
      </c>
      <c r="W14" s="153">
        <f>IFERROR(VLOOKUP($B14,'[5]INSUMOS MARZO'!$A$2:$S$105,17,0),"")</f>
        <v>5932.8950000000013</v>
      </c>
      <c r="X14" s="154">
        <f t="shared" si="6"/>
        <v>0</v>
      </c>
      <c r="Y14" s="152">
        <f>IFERROR(VLOOKUP($B14,'PEDIDO JULIO'!$A$10:$AG$200,14,0),"0")</f>
        <v>0</v>
      </c>
      <c r="Z14" s="153">
        <f>IFERROR(VLOOKUP($B14,'[5]INSUMOS MARZO'!$A$2:$S$105,17,0),"")</f>
        <v>5932.8950000000013</v>
      </c>
      <c r="AA14" s="154">
        <f t="shared" si="7"/>
        <v>0</v>
      </c>
      <c r="AB14" s="152">
        <f>IFERROR(VLOOKUP($B14,'PEDIDO JULIO'!$A$10:$AG$200,15,0),"0")</f>
        <v>0</v>
      </c>
      <c r="AC14" s="153">
        <f>IFERROR(VLOOKUP($B14,'[5]INSUMOS MARZO'!$A$2:$S$105,17,0),"")</f>
        <v>5932.8950000000013</v>
      </c>
      <c r="AD14" s="154">
        <f t="shared" si="8"/>
        <v>0</v>
      </c>
      <c r="AE14" s="152">
        <f>IFERROR(VLOOKUP($B14,'PEDIDO JULIO'!$A$10:$AG$200,16,0),"0")</f>
        <v>0</v>
      </c>
      <c r="AF14" s="153">
        <f>IFERROR(VLOOKUP($B14,'[5]INSUMOS MARZO'!$A$2:$S$105,17,0),"")</f>
        <v>5932.8950000000013</v>
      </c>
      <c r="AG14" s="154">
        <f t="shared" si="9"/>
        <v>0</v>
      </c>
      <c r="AH14" s="152">
        <f>IFERROR(VLOOKUP($B14,'PEDIDO JULIO'!$A$10:$AG$200,17,0),"0")</f>
        <v>10</v>
      </c>
      <c r="AI14" s="153">
        <f>IFERROR(VLOOKUP($B14,'[5]INSUMOS MARZO'!$A$2:$S$105,17,0),"")</f>
        <v>5932.8950000000013</v>
      </c>
      <c r="AJ14" s="154">
        <f t="shared" si="10"/>
        <v>59328.950000000012</v>
      </c>
      <c r="AK14" s="152">
        <f>IFERROR(VLOOKUP($B14,'PEDIDO JULIO'!$A$10:$AG$200,18,0),"0")</f>
        <v>0</v>
      </c>
      <c r="AL14" s="153">
        <f>IFERROR(VLOOKUP($B14,'[5]INSUMOS MARZO'!$A$2:$S$105,17,0),"")</f>
        <v>5932.8950000000013</v>
      </c>
      <c r="AM14" s="154">
        <f t="shared" si="11"/>
        <v>0</v>
      </c>
      <c r="AN14" s="152">
        <f>IFERROR(VLOOKUP($B14,'PEDIDO JULIO'!$A$10:$AG$200,19,0),"0")</f>
        <v>0</v>
      </c>
      <c r="AO14" s="153">
        <f>IFERROR(VLOOKUP($B14,'[5]INSUMOS MARZO'!$A$2:$S$105,17,0),"")</f>
        <v>5932.8950000000013</v>
      </c>
      <c r="AP14" s="154">
        <f t="shared" si="12"/>
        <v>0</v>
      </c>
      <c r="AQ14" s="152">
        <f>IFERROR(VLOOKUP($B14,'PEDIDO JULIO'!$A$10:$AG$200,20,0),"0")</f>
        <v>0</v>
      </c>
      <c r="AR14" s="153">
        <f>IFERROR(VLOOKUP($B14,'[5]INSUMOS MARZO'!$A$2:$S$105,17,0),"")</f>
        <v>5932.8950000000013</v>
      </c>
      <c r="AS14" s="154">
        <f t="shared" si="13"/>
        <v>0</v>
      </c>
      <c r="AT14" s="152">
        <f>IFERROR(VLOOKUP($B14,'PEDIDO JULIO'!$A$10:$AG$200,21,0),"0")</f>
        <v>0</v>
      </c>
      <c r="AU14" s="156">
        <f>IFERROR(VLOOKUP($B14,'[5]INSUMOS MARZO'!$A$2:$S$105,14,0),"")</f>
        <v>10945.9548</v>
      </c>
      <c r="AV14" s="154">
        <f t="shared" si="14"/>
        <v>0</v>
      </c>
      <c r="AW14" s="152">
        <f>IFERROR(VLOOKUP($B14,'PEDIDO JULIO'!$A$10:$AG$200,22,0),"0")</f>
        <v>0</v>
      </c>
      <c r="AX14" s="153">
        <f>IFERROR(VLOOKUP($B14,'[5]INSUMOS MARZO'!$A$2:$S$105,17,0),"")</f>
        <v>5932.8950000000013</v>
      </c>
      <c r="AY14" s="154">
        <f t="shared" si="15"/>
        <v>0</v>
      </c>
      <c r="AZ14" s="152">
        <f>IFERROR(VLOOKUP($B14,'PEDIDO JULIO'!$A$10:$AG$200,23,0),"0")</f>
        <v>0</v>
      </c>
      <c r="BA14" s="153">
        <f>IFERROR(VLOOKUP($B14,'[5]INSUMOS MARZO'!$A$2:$S$105,17,0),"")</f>
        <v>5932.8950000000013</v>
      </c>
      <c r="BB14" s="154">
        <f t="shared" si="16"/>
        <v>0</v>
      </c>
      <c r="BC14" s="152">
        <f>IFERROR(VLOOKUP($B14,'PEDIDO JULIO'!$A$10:$AG$200,24,0),"0")</f>
        <v>0</v>
      </c>
      <c r="BD14" s="153">
        <f>IFERROR(VLOOKUP($B14,'[5]INSUMOS MARZO'!$A$2:$S$105,17,0),"")</f>
        <v>5932.8950000000013</v>
      </c>
      <c r="BE14" s="155">
        <f t="shared" si="17"/>
        <v>0</v>
      </c>
      <c r="BF14" s="152">
        <f>IFERROR(VLOOKUP($B14,'PEDIDO JULIO'!$A$10:$AG$200,25,0),"0")</f>
        <v>0</v>
      </c>
      <c r="BG14" s="153">
        <f>IFERROR(VLOOKUP($B14,'[5]INSUMOS MARZO'!$A$2:$S$105,17,0),"")</f>
        <v>5932.8950000000013</v>
      </c>
      <c r="BH14" s="155">
        <f t="shared" si="18"/>
        <v>0</v>
      </c>
      <c r="BI14" s="152">
        <f>IFERROR(VLOOKUP($B14,'PEDIDO JULIO'!$A$10:$AG$200,26,0),"0")</f>
        <v>0</v>
      </c>
      <c r="BJ14" s="153">
        <f>IFERROR(VLOOKUP($B14,'[5]INSUMOS MARZO'!$A$2:$S$105,17,0),"")</f>
        <v>5932.8950000000013</v>
      </c>
      <c r="BK14" s="154">
        <f t="shared" si="19"/>
        <v>0</v>
      </c>
      <c r="BL14" s="152">
        <f>IFERROR(VLOOKUP($B14,'PEDIDO JULIO'!$A$10:$AG$200,27,0),"0")</f>
        <v>0</v>
      </c>
      <c r="BM14" s="153">
        <f>IFERROR(VLOOKUP($B14,'[5]INSUMOS MARZO'!$A$2:$S$105,17,0),"")</f>
        <v>5932.8950000000013</v>
      </c>
      <c r="BN14" s="154">
        <f t="shared" si="20"/>
        <v>0</v>
      </c>
      <c r="BO14" s="152">
        <f>IFERROR(VLOOKUP($B14,'PEDIDO JULIO'!$A$10:$AG$200,28,0),"0")</f>
        <v>0</v>
      </c>
      <c r="BP14" s="153">
        <f>IFERROR(VLOOKUP($B14,'[5]INSUMOS MARZO'!$A$2:$S$105,17,0),"")</f>
        <v>5932.8950000000013</v>
      </c>
      <c r="BQ14" s="154">
        <f t="shared" si="21"/>
        <v>0</v>
      </c>
      <c r="BR14" s="152">
        <f>IFERROR(VLOOKUP($B14,'PEDIDO JULIO'!$A$10:$AG$200,29,0),"0")</f>
        <v>0</v>
      </c>
      <c r="BS14" s="153">
        <f>IFERROR(VLOOKUP($B14,'[5]INSUMOS MARZO'!$A$2:$S$105,17,0),"")</f>
        <v>5932.8950000000013</v>
      </c>
      <c r="BT14" s="155">
        <f t="shared" si="22"/>
        <v>0</v>
      </c>
      <c r="BU14" s="152">
        <f>IFERROR(VLOOKUP($B14,'PEDIDO JULIO'!$A$10:$AG$200,30,0),"0")</f>
        <v>0</v>
      </c>
      <c r="BV14" s="153">
        <f>IFERROR(VLOOKUP($B14,'[5]INSUMOS MARZO'!$A$2:$S$105,17,0),"")</f>
        <v>5932.8950000000013</v>
      </c>
      <c r="BW14" s="155">
        <f t="shared" si="23"/>
        <v>0</v>
      </c>
      <c r="BX14" s="152">
        <f>IFERROR(VLOOKUP($B14,'PEDIDO JULIO'!$A$10:$AG$200,31,0),"0")</f>
        <v>0</v>
      </c>
      <c r="BY14" s="153">
        <f>IFERROR(VLOOKUP($B14,'[5]INSUMOS MARZO'!$A$2:$S$105,17,0),"")</f>
        <v>5932.8950000000013</v>
      </c>
      <c r="BZ14" s="155">
        <f t="shared" si="24"/>
        <v>0</v>
      </c>
      <c r="CA14" s="152">
        <f>IFERROR(VLOOKUP($B14,'PEDIDO JULIO'!$A$10:$AG$200,32,0),"0")</f>
        <v>0</v>
      </c>
      <c r="CB14" s="153">
        <f>IFERROR(VLOOKUP($B14,'[5]INSUMOS MARZO'!$A$2:$S$105,17,0),"")</f>
        <v>5932.8950000000013</v>
      </c>
      <c r="CC14" s="155">
        <f t="shared" si="25"/>
        <v>0</v>
      </c>
      <c r="CD14" s="157">
        <f t="shared" si="26"/>
        <v>10</v>
      </c>
      <c r="CE14" s="158">
        <f t="shared" si="27"/>
        <v>0</v>
      </c>
      <c r="CF14" s="251">
        <f>IFERROR(VLOOKUP($B14,'MATRIZ INSUMOS '!$A$3:$P$106,16,0),"")</f>
        <v>10</v>
      </c>
      <c r="CG14" s="153">
        <f>IFERROR(VLOOKUP($B14,'[5]INSUMOS MARZO'!$A$2:$S$105,17,0),"")</f>
        <v>5932.8950000000013</v>
      </c>
      <c r="CH14" s="156">
        <f t="shared" si="28"/>
        <v>59328.950000000012</v>
      </c>
      <c r="CI14" s="251">
        <f>IFERROR(VLOOKUP($B14,'MATRIZ INSUMOS '!$A$3:$P$106,10,0),"")</f>
        <v>0</v>
      </c>
      <c r="CJ14" s="156">
        <f>IFERROR(VLOOKUP($B14,'[5]INSUMOS MARZO'!$A$2:$S$105,14,0),"")</f>
        <v>10945.9548</v>
      </c>
      <c r="CK14" s="159">
        <f t="shared" si="29"/>
        <v>0</v>
      </c>
      <c r="CL14" s="160">
        <f t="shared" si="30"/>
        <v>59328.950000000012</v>
      </c>
      <c r="CM14" s="14">
        <f t="shared" si="31"/>
        <v>5932.8950000000013</v>
      </c>
      <c r="CN14" s="14">
        <f t="shared" si="32"/>
        <v>1127.2500500000003</v>
      </c>
      <c r="CO14" s="14">
        <f t="shared" si="33"/>
        <v>66389.095050000018</v>
      </c>
      <c r="CQ14" s="19">
        <f t="shared" si="34"/>
        <v>59328.950000000012</v>
      </c>
      <c r="CR14" s="19" t="b">
        <f t="shared" si="35"/>
        <v>1</v>
      </c>
      <c r="CS14" s="19">
        <f t="shared" si="36"/>
        <v>0</v>
      </c>
    </row>
    <row r="15" spans="1:97" ht="12.6" customHeight="1">
      <c r="A15" s="3">
        <v>10</v>
      </c>
      <c r="B15" s="151">
        <v>28</v>
      </c>
      <c r="C15" s="4" t="s">
        <v>19</v>
      </c>
      <c r="D15" s="152">
        <f>IFERROR(VLOOKUP($B15,'[4]INSUMOS FEBRERO'!$A$2:$F$105,5,0),"")</f>
        <v>155</v>
      </c>
      <c r="E15" s="152">
        <f>IFERROR(VLOOKUP($B15,'PEDIDO JULIO'!$A$10:$AG$32,33,0),"0")</f>
        <v>50</v>
      </c>
      <c r="F15" s="152">
        <f t="shared" si="1"/>
        <v>-105</v>
      </c>
      <c r="G15" s="152">
        <f>IFERROR(VLOOKUP($B15,'PEDIDO JULIO'!$A$10:$AG$200,8,0),"0")</f>
        <v>0</v>
      </c>
      <c r="H15" s="153">
        <f>IFERROR(VLOOKUP($B15,'[5]INSUMOS MARZO'!$A$2:$S$105,17,0),"")</f>
        <v>2764.13</v>
      </c>
      <c r="I15" s="154">
        <f t="shared" si="0"/>
        <v>0</v>
      </c>
      <c r="J15" s="152">
        <f>IFERROR(VLOOKUP($B15,'PEDIDO JULIO'!$A$10:$AG$200,9,0),"0")</f>
        <v>0</v>
      </c>
      <c r="K15" s="153">
        <f>IFERROR(VLOOKUP($B15,'[5]INSUMOS MARZO'!$A$2:$S$105,17,0),"")</f>
        <v>2764.13</v>
      </c>
      <c r="L15" s="155">
        <f t="shared" si="2"/>
        <v>0</v>
      </c>
      <c r="M15" s="152">
        <f>IFERROR(VLOOKUP($B15,'PEDIDO JULIO'!$A$10:$AG$200,10,0),"0")</f>
        <v>0</v>
      </c>
      <c r="N15" s="153">
        <f>IFERROR(VLOOKUP($B15,'[5]INSUMOS MARZO'!$A$2:$S$105,17,0),"")</f>
        <v>2764.13</v>
      </c>
      <c r="O15" s="154">
        <f t="shared" si="3"/>
        <v>0</v>
      </c>
      <c r="P15" s="152">
        <f>IFERROR(VLOOKUP($B15,'PEDIDO JULIO'!$A$10:$AG$200,11,0),"0")</f>
        <v>0</v>
      </c>
      <c r="Q15" s="153">
        <f>IFERROR(VLOOKUP($B15,'[5]INSUMOS MARZO'!$A$2:$S$105,17,0),"")</f>
        <v>2764.13</v>
      </c>
      <c r="R15" s="154">
        <f t="shared" si="4"/>
        <v>0</v>
      </c>
      <c r="S15" s="152">
        <f>IFERROR(VLOOKUP($B15,'PEDIDO JULIO'!$A$10:$AG$200,12,0),"0")</f>
        <v>0</v>
      </c>
      <c r="T15" s="153">
        <f>IFERROR(VLOOKUP($B15,'[5]INSUMOS MARZO'!$A$2:$S$105,17,0),"")</f>
        <v>2764.13</v>
      </c>
      <c r="U15" s="154">
        <f t="shared" si="5"/>
        <v>0</v>
      </c>
      <c r="V15" s="152">
        <f>IFERROR(VLOOKUP($B15,'PEDIDO JULIO'!$A$10:$AG$200,13,0),"0")</f>
        <v>0</v>
      </c>
      <c r="W15" s="153">
        <f>IFERROR(VLOOKUP($B15,'[5]INSUMOS MARZO'!$A$2:$S$105,17,0),"")</f>
        <v>2764.13</v>
      </c>
      <c r="X15" s="154">
        <f t="shared" si="6"/>
        <v>0</v>
      </c>
      <c r="Y15" s="152">
        <f>IFERROR(VLOOKUP($B15,'PEDIDO JULIO'!$A$10:$AG$200,14,0),"0")</f>
        <v>0</v>
      </c>
      <c r="Z15" s="153">
        <f>IFERROR(VLOOKUP($B15,'[5]INSUMOS MARZO'!$A$2:$S$105,17,0),"")</f>
        <v>2764.13</v>
      </c>
      <c r="AA15" s="154">
        <f t="shared" si="7"/>
        <v>0</v>
      </c>
      <c r="AB15" s="152">
        <f>IFERROR(VLOOKUP($B15,'PEDIDO JULIO'!$A$10:$AG$200,15,0),"0")</f>
        <v>0</v>
      </c>
      <c r="AC15" s="153">
        <f>IFERROR(VLOOKUP($B15,'[5]INSUMOS MARZO'!$A$2:$S$105,17,0),"")</f>
        <v>2764.13</v>
      </c>
      <c r="AD15" s="154">
        <f t="shared" si="8"/>
        <v>0</v>
      </c>
      <c r="AE15" s="152">
        <f>IFERROR(VLOOKUP($B15,'PEDIDO JULIO'!$A$10:$AG$200,16,0),"0")</f>
        <v>0</v>
      </c>
      <c r="AF15" s="153">
        <f>IFERROR(VLOOKUP($B15,'[5]INSUMOS MARZO'!$A$2:$S$105,17,0),"")</f>
        <v>2764.13</v>
      </c>
      <c r="AG15" s="154">
        <f t="shared" si="9"/>
        <v>0</v>
      </c>
      <c r="AH15" s="152">
        <f>IFERROR(VLOOKUP($B15,'PEDIDO JULIO'!$A$10:$AG$200,17,0),"0")</f>
        <v>0</v>
      </c>
      <c r="AI15" s="153">
        <f>IFERROR(VLOOKUP($B15,'[5]INSUMOS MARZO'!$A$2:$S$105,17,0),"")</f>
        <v>2764.13</v>
      </c>
      <c r="AJ15" s="154">
        <f t="shared" si="10"/>
        <v>0</v>
      </c>
      <c r="AK15" s="152">
        <f>IFERROR(VLOOKUP($B15,'PEDIDO JULIO'!$A$10:$AG$200,18,0),"0")</f>
        <v>0</v>
      </c>
      <c r="AL15" s="153">
        <f>IFERROR(VLOOKUP($B15,'[5]INSUMOS MARZO'!$A$2:$S$105,17,0),"")</f>
        <v>2764.13</v>
      </c>
      <c r="AM15" s="154">
        <f t="shared" si="11"/>
        <v>0</v>
      </c>
      <c r="AN15" s="152">
        <f>IFERROR(VLOOKUP($B15,'PEDIDO JULIO'!$A$10:$AG$200,19,0),"0")</f>
        <v>0</v>
      </c>
      <c r="AO15" s="153">
        <f>IFERROR(VLOOKUP($B15,'[5]INSUMOS MARZO'!$A$2:$S$105,17,0),"")</f>
        <v>2764.13</v>
      </c>
      <c r="AP15" s="154">
        <f t="shared" si="12"/>
        <v>0</v>
      </c>
      <c r="AQ15" s="152">
        <f>IFERROR(VLOOKUP($B15,'PEDIDO JULIO'!$A$10:$AG$200,20,0),"0")</f>
        <v>15</v>
      </c>
      <c r="AR15" s="153">
        <f>IFERROR(VLOOKUP($B15,'[5]INSUMOS MARZO'!$A$2:$S$105,17,0),"")</f>
        <v>2764.13</v>
      </c>
      <c r="AS15" s="154">
        <f t="shared" si="13"/>
        <v>41461.950000000004</v>
      </c>
      <c r="AT15" s="152">
        <f>IFERROR(VLOOKUP($B15,'PEDIDO JULIO'!$A$10:$AG$200,21,0),"0")</f>
        <v>0</v>
      </c>
      <c r="AU15" s="153">
        <f>IFERROR(VLOOKUP($B15,'[5]INSUMOS MARZO'!$A$2:$S$105,17,0),"")</f>
        <v>2764.13</v>
      </c>
      <c r="AV15" s="154">
        <f t="shared" si="14"/>
        <v>0</v>
      </c>
      <c r="AW15" s="152">
        <f>IFERROR(VLOOKUP($B15,'PEDIDO JULIO'!$A$10:$AG$200,22,0),"0")</f>
        <v>0</v>
      </c>
      <c r="AX15" s="153">
        <f>IFERROR(VLOOKUP($B15,'[5]INSUMOS MARZO'!$A$2:$S$105,17,0),"")</f>
        <v>2764.13</v>
      </c>
      <c r="AY15" s="154">
        <f t="shared" si="15"/>
        <v>0</v>
      </c>
      <c r="AZ15" s="152">
        <f>IFERROR(VLOOKUP($B15,'PEDIDO JULIO'!$A$10:$AG$200,23,0),"0")</f>
        <v>0</v>
      </c>
      <c r="BA15" s="153">
        <f>IFERROR(VLOOKUP($B15,'[5]INSUMOS MARZO'!$A$2:$S$105,17,0),"")</f>
        <v>2764.13</v>
      </c>
      <c r="BB15" s="154">
        <f t="shared" si="16"/>
        <v>0</v>
      </c>
      <c r="BC15" s="152">
        <f>IFERROR(VLOOKUP($B15,'PEDIDO JULIO'!$A$10:$AG$200,24,0),"0")</f>
        <v>0</v>
      </c>
      <c r="BD15" s="156">
        <f>IFERROR(VLOOKUP($B15,'[5]INSUMOS MARZO'!$A$2:$S$105,14,0),"")</f>
        <v>4229.1188999999995</v>
      </c>
      <c r="BE15" s="155">
        <f t="shared" si="17"/>
        <v>0</v>
      </c>
      <c r="BF15" s="152">
        <f>IFERROR(VLOOKUP($B15,'PEDIDO JULIO'!$A$10:$AG$200,25,0),"0")</f>
        <v>0</v>
      </c>
      <c r="BG15" s="156">
        <f>IFERROR(VLOOKUP($B15,'[5]INSUMOS MARZO'!$A$2:$S$105,14,0),"")</f>
        <v>4229.1188999999995</v>
      </c>
      <c r="BH15" s="155">
        <f t="shared" si="18"/>
        <v>0</v>
      </c>
      <c r="BI15" s="152">
        <f>IFERROR(VLOOKUP($B15,'PEDIDO JULIO'!$A$10:$AG$200,26,0),"0")</f>
        <v>10</v>
      </c>
      <c r="BJ15" s="153">
        <f>IFERROR(VLOOKUP($B15,'[5]INSUMOS MARZO'!$A$2:$S$105,17,0),"")</f>
        <v>2764.13</v>
      </c>
      <c r="BK15" s="154">
        <f t="shared" si="19"/>
        <v>27641.300000000003</v>
      </c>
      <c r="BL15" s="152">
        <f>IFERROR(VLOOKUP($B15,'PEDIDO JULIO'!$A$10:$AG$200,27,0),"0")</f>
        <v>0</v>
      </c>
      <c r="BM15" s="153">
        <f>IFERROR(VLOOKUP($B15,'[5]INSUMOS MARZO'!$A$2:$S$105,17,0),"")</f>
        <v>2764.13</v>
      </c>
      <c r="BN15" s="154">
        <f t="shared" si="20"/>
        <v>0</v>
      </c>
      <c r="BO15" s="152">
        <f>IFERROR(VLOOKUP($B15,'PEDIDO JULIO'!$A$10:$AG$200,28,0),"0")</f>
        <v>0</v>
      </c>
      <c r="BP15" s="153">
        <f>IFERROR(VLOOKUP($B15,'[5]INSUMOS MARZO'!$A$2:$S$105,17,0),"")</f>
        <v>2764.13</v>
      </c>
      <c r="BQ15" s="154">
        <f t="shared" si="21"/>
        <v>0</v>
      </c>
      <c r="BR15" s="152">
        <f>IFERROR(VLOOKUP($B15,'PEDIDO JULIO'!$A$10:$AG$200,29,0),"0")</f>
        <v>25</v>
      </c>
      <c r="BS15" s="153">
        <f>IFERROR(VLOOKUP($B15,'[5]INSUMOS MARZO'!$A$2:$S$105,17,0),"")</f>
        <v>2764.13</v>
      </c>
      <c r="BT15" s="155">
        <f t="shared" si="22"/>
        <v>69103.25</v>
      </c>
      <c r="BU15" s="152">
        <f>IFERROR(VLOOKUP($B15,'PEDIDO JULIO'!$A$10:$AG$200,30,0),"0")</f>
        <v>0</v>
      </c>
      <c r="BV15" s="156">
        <f>IFERROR(VLOOKUP($B15,'[5]INSUMOS MARZO'!$A$2:$S$105,14,0),"")</f>
        <v>4229.1188999999995</v>
      </c>
      <c r="BW15" s="155">
        <f t="shared" si="23"/>
        <v>0</v>
      </c>
      <c r="BX15" s="152">
        <f>IFERROR(VLOOKUP($B15,'PEDIDO JULIO'!$A$10:$AG$200,31,0),"0")</f>
        <v>0</v>
      </c>
      <c r="BY15" s="153">
        <f>IFERROR(VLOOKUP($B15,'[5]INSUMOS MARZO'!$A$2:$S$105,17,0),"")</f>
        <v>2764.13</v>
      </c>
      <c r="BZ15" s="155">
        <f t="shared" si="24"/>
        <v>0</v>
      </c>
      <c r="CA15" s="152">
        <f>IFERROR(VLOOKUP($B15,'PEDIDO JULIO'!$A$10:$AG$200,32,0),"0")</f>
        <v>0</v>
      </c>
      <c r="CB15" s="153">
        <f>IFERROR(VLOOKUP($B15,'[5]INSUMOS MARZO'!$A$2:$S$105,17,0),"")</f>
        <v>2764.13</v>
      </c>
      <c r="CC15" s="155">
        <f t="shared" si="25"/>
        <v>0</v>
      </c>
      <c r="CD15" s="157">
        <f t="shared" si="26"/>
        <v>50</v>
      </c>
      <c r="CE15" s="158">
        <f t="shared" si="27"/>
        <v>0</v>
      </c>
      <c r="CF15" s="251">
        <f>IFERROR(VLOOKUP($B15,'MATRIZ INSUMOS '!$A$3:$P$106,16,0),"")</f>
        <v>50</v>
      </c>
      <c r="CG15" s="153">
        <f>IFERROR(VLOOKUP($B15,'[5]INSUMOS MARZO'!$A$2:$S$105,17,0),"")</f>
        <v>2764.13</v>
      </c>
      <c r="CH15" s="156">
        <f t="shared" si="28"/>
        <v>138206.5</v>
      </c>
      <c r="CI15" s="251">
        <f>IFERROR(VLOOKUP($B15,'MATRIZ INSUMOS '!$A$3:$P$106,10,0),"")</f>
        <v>0</v>
      </c>
      <c r="CJ15" s="156">
        <f>IFERROR(VLOOKUP($B15,'[5]INSUMOS MARZO'!$A$2:$S$105,14,0),"")</f>
        <v>4229.1188999999995</v>
      </c>
      <c r="CK15" s="159">
        <f>+CI15*CJ15</f>
        <v>0</v>
      </c>
      <c r="CL15" s="160">
        <f>+L15+BE15+BH15+BT15+BW15+BZ15+CC15+I15+O15+R15+U15+X15+AA15+AD15+AG15+AJ15+AM15+AP15+AS15+AV15+AY15+BB15+BK15+BN15+BQ15</f>
        <v>138206.5</v>
      </c>
      <c r="CM15" s="14">
        <f t="shared" si="31"/>
        <v>13820.650000000001</v>
      </c>
      <c r="CN15" s="14">
        <f t="shared" si="32"/>
        <v>2625.9235000000003</v>
      </c>
      <c r="CO15" s="14">
        <f t="shared" si="33"/>
        <v>154653.0735</v>
      </c>
      <c r="CQ15" s="19">
        <f t="shared" si="34"/>
        <v>138206.5</v>
      </c>
      <c r="CR15" s="19" t="b">
        <f t="shared" si="35"/>
        <v>1</v>
      </c>
      <c r="CS15" s="19">
        <f t="shared" si="36"/>
        <v>0</v>
      </c>
    </row>
    <row r="16" spans="1:97" ht="12.6" customHeight="1">
      <c r="A16" s="3">
        <v>11</v>
      </c>
      <c r="B16" s="151">
        <v>29</v>
      </c>
      <c r="C16" s="4" t="s">
        <v>21</v>
      </c>
      <c r="D16" s="152">
        <f>IFERROR(VLOOKUP($B16,'[4]INSUMOS FEBRERO'!$A$2:$F$105,5,0),"")</f>
        <v>96</v>
      </c>
      <c r="E16" s="152" t="str">
        <f>IFERROR(VLOOKUP($B16,'PEDIDO JULIO'!$A$10:$AG$32,33,0),"0")</f>
        <v>0</v>
      </c>
      <c r="F16" s="152">
        <f t="shared" si="1"/>
        <v>-96</v>
      </c>
      <c r="G16" s="152" t="str">
        <f>IFERROR(VLOOKUP($B16,'PEDIDO JULIO'!$A$10:$AG$200,8,0),"0")</f>
        <v>0</v>
      </c>
      <c r="H16" s="153">
        <f>IFERROR(VLOOKUP($B16,'[5]INSUMOS MARZO'!$A$2:$S$105,17,0),"")</f>
        <v>4829.3450000000012</v>
      </c>
      <c r="I16" s="154">
        <f t="shared" si="0"/>
        <v>0</v>
      </c>
      <c r="J16" s="152" t="str">
        <f>IFERROR(VLOOKUP($B16,'PEDIDO JULIO'!$A$10:$AG$200,9,0),"0")</f>
        <v>0</v>
      </c>
      <c r="K16" s="153">
        <f>IFERROR(VLOOKUP($B16,'[5]INSUMOS MARZO'!$A$2:$S$105,17,0),"")</f>
        <v>4829.3450000000012</v>
      </c>
      <c r="L16" s="155">
        <f t="shared" si="2"/>
        <v>0</v>
      </c>
      <c r="M16" s="152" t="str">
        <f>IFERROR(VLOOKUP($B16,'PEDIDO JULIO'!$A$10:$AG$200,10,0),"0")</f>
        <v>0</v>
      </c>
      <c r="N16" s="153">
        <f>IFERROR(VLOOKUP($B16,'[5]INSUMOS MARZO'!$A$2:$S$105,17,0),"")</f>
        <v>4829.3450000000012</v>
      </c>
      <c r="O16" s="154">
        <f t="shared" si="3"/>
        <v>0</v>
      </c>
      <c r="P16" s="152" t="str">
        <f>IFERROR(VLOOKUP($B16,'PEDIDO JULIO'!$A$10:$AG$200,11,0),"0")</f>
        <v>0</v>
      </c>
      <c r="Q16" s="153">
        <f>IFERROR(VLOOKUP($B16,'[5]INSUMOS MARZO'!$A$2:$S$105,17,0),"")</f>
        <v>4829.3450000000012</v>
      </c>
      <c r="R16" s="154">
        <f t="shared" si="4"/>
        <v>0</v>
      </c>
      <c r="S16" s="152" t="str">
        <f>IFERROR(VLOOKUP($B16,'PEDIDO JULIO'!$A$10:$AG$200,12,0),"0")</f>
        <v>0</v>
      </c>
      <c r="T16" s="153">
        <f>IFERROR(VLOOKUP($B16,'[5]INSUMOS MARZO'!$A$2:$S$105,17,0),"")</f>
        <v>4829.3450000000012</v>
      </c>
      <c r="U16" s="154">
        <f t="shared" si="5"/>
        <v>0</v>
      </c>
      <c r="V16" s="152" t="str">
        <f>IFERROR(VLOOKUP($B16,'PEDIDO JULIO'!$A$10:$AG$200,13,0),"0")</f>
        <v>0</v>
      </c>
      <c r="W16" s="153">
        <f>IFERROR(VLOOKUP($B16,'[5]INSUMOS MARZO'!$A$2:$S$105,17,0),"")</f>
        <v>4829.3450000000012</v>
      </c>
      <c r="X16" s="154">
        <f t="shared" si="6"/>
        <v>0</v>
      </c>
      <c r="Y16" s="152" t="str">
        <f>IFERROR(VLOOKUP($B16,'PEDIDO JULIO'!$A$10:$AG$200,14,0),"0")</f>
        <v>0</v>
      </c>
      <c r="Z16" s="153">
        <f>IFERROR(VLOOKUP($B16,'[5]INSUMOS MARZO'!$A$2:$S$105,17,0),"")</f>
        <v>4829.3450000000012</v>
      </c>
      <c r="AA16" s="154">
        <f t="shared" si="7"/>
        <v>0</v>
      </c>
      <c r="AB16" s="152" t="str">
        <f>IFERROR(VLOOKUP($B16,'PEDIDO JULIO'!$A$10:$AG$200,15,0),"0")</f>
        <v>0</v>
      </c>
      <c r="AC16" s="153">
        <f>IFERROR(VLOOKUP($B16,'[5]INSUMOS MARZO'!$A$2:$S$105,17,0),"")</f>
        <v>4829.3450000000012</v>
      </c>
      <c r="AD16" s="154">
        <f t="shared" si="8"/>
        <v>0</v>
      </c>
      <c r="AE16" s="152" t="str">
        <f>IFERROR(VLOOKUP($B16,'PEDIDO JULIO'!$A$10:$AG$200,16,0),"0")</f>
        <v>0</v>
      </c>
      <c r="AF16" s="153">
        <f>IFERROR(VLOOKUP($B16,'[5]INSUMOS MARZO'!$A$2:$S$105,17,0),"")</f>
        <v>4829.3450000000012</v>
      </c>
      <c r="AG16" s="154">
        <f t="shared" si="9"/>
        <v>0</v>
      </c>
      <c r="AH16" s="152" t="str">
        <f>IFERROR(VLOOKUP($B16,'PEDIDO JULIO'!$A$10:$AG$200,17,0),"0")</f>
        <v>0</v>
      </c>
      <c r="AI16" s="153">
        <f>IFERROR(VLOOKUP($B16,'[5]INSUMOS MARZO'!$A$2:$S$105,17,0),"")</f>
        <v>4829.3450000000012</v>
      </c>
      <c r="AJ16" s="154">
        <f t="shared" si="10"/>
        <v>0</v>
      </c>
      <c r="AK16" s="152" t="str">
        <f>IFERROR(VLOOKUP($B16,'PEDIDO JULIO'!$A$10:$AG$200,18,0),"0")</f>
        <v>0</v>
      </c>
      <c r="AL16" s="153">
        <f>IFERROR(VLOOKUP($B16,'[5]INSUMOS MARZO'!$A$2:$S$105,17,0),"")</f>
        <v>4829.3450000000012</v>
      </c>
      <c r="AM16" s="154">
        <f t="shared" si="11"/>
        <v>0</v>
      </c>
      <c r="AN16" s="152" t="str">
        <f>IFERROR(VLOOKUP($B16,'PEDIDO JULIO'!$A$10:$AG$200,19,0),"0")</f>
        <v>0</v>
      </c>
      <c r="AO16" s="153">
        <f>IFERROR(VLOOKUP($B16,'[5]INSUMOS MARZO'!$A$2:$S$105,17,0),"")</f>
        <v>4829.3450000000012</v>
      </c>
      <c r="AP16" s="154">
        <f t="shared" si="12"/>
        <v>0</v>
      </c>
      <c r="AQ16" s="152" t="str">
        <f>IFERROR(VLOOKUP($B16,'PEDIDO JULIO'!$A$10:$AG$200,20,0),"0")</f>
        <v>0</v>
      </c>
      <c r="AR16" s="153">
        <f>IFERROR(VLOOKUP($B16,'[5]INSUMOS MARZO'!$A$2:$S$105,17,0),"")</f>
        <v>4829.3450000000012</v>
      </c>
      <c r="AS16" s="154">
        <f t="shared" si="13"/>
        <v>0</v>
      </c>
      <c r="AT16" s="152" t="str">
        <f>IFERROR(VLOOKUP($B16,'PEDIDO JULIO'!$A$10:$AG$200,21,0),"0")</f>
        <v>0</v>
      </c>
      <c r="AU16" s="156">
        <f>IFERROR(VLOOKUP($B16,'[5]INSUMOS MARZO'!$A$2:$S$105,14,0),"")</f>
        <v>7562.4705000000004</v>
      </c>
      <c r="AV16" s="154">
        <f t="shared" si="14"/>
        <v>0</v>
      </c>
      <c r="AW16" s="152" t="str">
        <f>IFERROR(VLOOKUP($B16,'PEDIDO JULIO'!$A$10:$AG$200,22,0),"0")</f>
        <v>0</v>
      </c>
      <c r="AX16" s="153">
        <f>IFERROR(VLOOKUP($B16,'[5]INSUMOS MARZO'!$A$2:$S$105,17,0),"")</f>
        <v>4829.3450000000012</v>
      </c>
      <c r="AY16" s="154">
        <f t="shared" si="15"/>
        <v>0</v>
      </c>
      <c r="AZ16" s="152" t="str">
        <f>IFERROR(VLOOKUP($B16,'PEDIDO JULIO'!$A$10:$AG$200,23,0),"0")</f>
        <v>0</v>
      </c>
      <c r="BA16" s="153">
        <f>IFERROR(VLOOKUP($B16,'[5]INSUMOS MARZO'!$A$2:$S$105,17,0),"")</f>
        <v>4829.3450000000012</v>
      </c>
      <c r="BB16" s="154">
        <f t="shared" si="16"/>
        <v>0</v>
      </c>
      <c r="BC16" s="152" t="str">
        <f>IFERROR(VLOOKUP($B16,'PEDIDO JULIO'!$A$10:$AG$200,24,0),"0")</f>
        <v>0</v>
      </c>
      <c r="BD16" s="156">
        <f>IFERROR(VLOOKUP($B16,'[5]INSUMOS MARZO'!$A$2:$S$105,14,0),"")</f>
        <v>7562.4705000000004</v>
      </c>
      <c r="BE16" s="155">
        <f t="shared" si="17"/>
        <v>0</v>
      </c>
      <c r="BF16" s="152" t="str">
        <f>IFERROR(VLOOKUP($B16,'PEDIDO JULIO'!$A$10:$AG$200,25,0),"0")</f>
        <v>0</v>
      </c>
      <c r="BG16" s="153">
        <f>IFERROR(VLOOKUP($B16,'[5]INSUMOS MARZO'!$A$2:$S$105,17,0),"")</f>
        <v>4829.3450000000012</v>
      </c>
      <c r="BH16" s="155">
        <f t="shared" si="18"/>
        <v>0</v>
      </c>
      <c r="BI16" s="152" t="str">
        <f>IFERROR(VLOOKUP($B16,'PEDIDO JULIO'!$A$10:$AG$200,26,0),"0")</f>
        <v>0</v>
      </c>
      <c r="BJ16" s="153">
        <f>IFERROR(VLOOKUP($B16,'[5]INSUMOS MARZO'!$A$2:$S$105,17,0),"")</f>
        <v>4829.3450000000012</v>
      </c>
      <c r="BK16" s="154">
        <f t="shared" si="19"/>
        <v>0</v>
      </c>
      <c r="BL16" s="152" t="str">
        <f>IFERROR(VLOOKUP($B16,'PEDIDO JULIO'!$A$10:$AG$200,27,0),"0")</f>
        <v>0</v>
      </c>
      <c r="BM16" s="153">
        <f>IFERROR(VLOOKUP($B16,'[5]INSUMOS MARZO'!$A$2:$S$105,17,0),"")</f>
        <v>4829.3450000000012</v>
      </c>
      <c r="BN16" s="154">
        <f t="shared" si="20"/>
        <v>0</v>
      </c>
      <c r="BO16" s="152" t="str">
        <f>IFERROR(VLOOKUP($B16,'PEDIDO JULIO'!$A$10:$AG$200,28,0),"0")</f>
        <v>0</v>
      </c>
      <c r="BP16" s="153">
        <f>IFERROR(VLOOKUP($B16,'[5]INSUMOS MARZO'!$A$2:$S$105,17,0),"")</f>
        <v>4829.3450000000012</v>
      </c>
      <c r="BQ16" s="154">
        <f t="shared" si="21"/>
        <v>0</v>
      </c>
      <c r="BR16" s="152" t="str">
        <f>IFERROR(VLOOKUP($B16,'PEDIDO JULIO'!$A$10:$AG$200,29,0),"0")</f>
        <v>0</v>
      </c>
      <c r="BS16" s="153">
        <f>IFERROR(VLOOKUP($B16,'[5]INSUMOS MARZO'!$A$2:$S$105,17,0),"")</f>
        <v>4829.3450000000012</v>
      </c>
      <c r="BT16" s="155">
        <f t="shared" si="22"/>
        <v>0</v>
      </c>
      <c r="BU16" s="152" t="str">
        <f>IFERROR(VLOOKUP($B16,'PEDIDO JULIO'!$A$10:$AG$200,30,0),"0")</f>
        <v>0</v>
      </c>
      <c r="BV16" s="153">
        <f>IFERROR(VLOOKUP($B16,'[5]INSUMOS MARZO'!$A$2:$S$105,17,0),"")</f>
        <v>4829.3450000000012</v>
      </c>
      <c r="BW16" s="155">
        <f t="shared" si="23"/>
        <v>0</v>
      </c>
      <c r="BX16" s="152" t="str">
        <f>IFERROR(VLOOKUP($B16,'PEDIDO JULIO'!$A$10:$AG$200,31,0),"0")</f>
        <v>0</v>
      </c>
      <c r="BY16" s="153">
        <f>IFERROR(VLOOKUP($B16,'[5]INSUMOS MARZO'!$A$2:$S$105,17,0),"")</f>
        <v>4829.3450000000012</v>
      </c>
      <c r="BZ16" s="155">
        <f t="shared" si="24"/>
        <v>0</v>
      </c>
      <c r="CA16" s="152" t="str">
        <f>IFERROR(VLOOKUP($B16,'PEDIDO JULIO'!$A$10:$AG$200,32,0),"0")</f>
        <v>0</v>
      </c>
      <c r="CB16" s="153">
        <f>IFERROR(VLOOKUP($B16,'[5]INSUMOS MARZO'!$A$2:$S$105,17,0),"")</f>
        <v>4829.3450000000012</v>
      </c>
      <c r="CC16" s="155">
        <f t="shared" si="25"/>
        <v>0</v>
      </c>
      <c r="CD16" s="157">
        <f t="shared" si="26"/>
        <v>0</v>
      </c>
      <c r="CE16" s="158">
        <f t="shared" si="27"/>
        <v>0</v>
      </c>
      <c r="CF16" s="251">
        <f>IFERROR(VLOOKUP($B16,'MATRIZ INSUMOS '!$A$3:$P$106,16,0),"")</f>
        <v>0</v>
      </c>
      <c r="CG16" s="153">
        <f>IFERROR(VLOOKUP($B16,'[5]INSUMOS MARZO'!$A$2:$S$105,17,0),"")</f>
        <v>4829.3450000000012</v>
      </c>
      <c r="CH16" s="156">
        <f t="shared" si="28"/>
        <v>0</v>
      </c>
      <c r="CI16" s="251">
        <f>IFERROR(VLOOKUP($B16,'MATRIZ INSUMOS '!$A$3:$P$106,10,0),"")</f>
        <v>0</v>
      </c>
      <c r="CJ16" s="156">
        <f>IFERROR(VLOOKUP($B16,'[5]INSUMOS MARZO'!$A$2:$S$105,14,0),"")</f>
        <v>7562.4705000000004</v>
      </c>
      <c r="CK16" s="159">
        <f t="shared" si="29"/>
        <v>0</v>
      </c>
      <c r="CL16" s="160">
        <f t="shared" si="30"/>
        <v>0</v>
      </c>
      <c r="CM16" s="14">
        <f t="shared" si="31"/>
        <v>0</v>
      </c>
      <c r="CN16" s="14">
        <f t="shared" si="32"/>
        <v>0</v>
      </c>
      <c r="CO16" s="14">
        <f t="shared" si="33"/>
        <v>0</v>
      </c>
      <c r="CQ16" s="19">
        <f t="shared" si="34"/>
        <v>0</v>
      </c>
      <c r="CR16" s="19" t="b">
        <f t="shared" si="35"/>
        <v>1</v>
      </c>
      <c r="CS16" s="19">
        <f t="shared" si="36"/>
        <v>0</v>
      </c>
    </row>
    <row r="17" spans="1:97" ht="12.6" customHeight="1">
      <c r="A17" s="3">
        <v>12</v>
      </c>
      <c r="B17" s="151">
        <v>32</v>
      </c>
      <c r="C17" s="4" t="s">
        <v>23</v>
      </c>
      <c r="D17" s="152">
        <f>IFERROR(VLOOKUP($B17,'[4]INSUMOS FEBRERO'!$A$2:$F$105,5,0),"")</f>
        <v>96</v>
      </c>
      <c r="E17" s="152">
        <f>IFERROR(VLOOKUP($B17,'PEDIDO JULIO'!$A$10:$AG$32,33,0),"0")</f>
        <v>65</v>
      </c>
      <c r="F17" s="152">
        <f t="shared" si="1"/>
        <v>-31</v>
      </c>
      <c r="G17" s="152">
        <f>IFERROR(VLOOKUP($B17,'PEDIDO JULIO'!$A$10:$AG$200,8,0),"0")</f>
        <v>60</v>
      </c>
      <c r="H17" s="153">
        <f>IFERROR(VLOOKUP($B17,'[5]INSUMOS MARZO'!$A$2:$S$105,17,0),"")</f>
        <v>4115.7160000000003</v>
      </c>
      <c r="I17" s="154">
        <f t="shared" si="0"/>
        <v>246942.96000000002</v>
      </c>
      <c r="J17" s="152">
        <f>IFERROR(VLOOKUP($B17,'PEDIDO JULIO'!$A$10:$AG$200,9,0),"0")</f>
        <v>0</v>
      </c>
      <c r="K17" s="153">
        <f>IFERROR(VLOOKUP($B17,'[5]INSUMOS MARZO'!$A$2:$S$105,17,0),"")</f>
        <v>4115.7160000000003</v>
      </c>
      <c r="L17" s="155">
        <f t="shared" si="2"/>
        <v>0</v>
      </c>
      <c r="M17" s="152">
        <f>IFERROR(VLOOKUP($B17,'PEDIDO JULIO'!$A$10:$AG$200,10,0),"0")</f>
        <v>0</v>
      </c>
      <c r="N17" s="156">
        <f>IFERROR(VLOOKUP($B17,'[5]INSUMOS MARZO'!$A$2:$S$105,14,0),"")</f>
        <v>6716.8359</v>
      </c>
      <c r="O17" s="154">
        <f t="shared" si="3"/>
        <v>0</v>
      </c>
      <c r="P17" s="152">
        <f>IFERROR(VLOOKUP($B17,'PEDIDO JULIO'!$A$10:$AG$200,11,0),"0")</f>
        <v>0</v>
      </c>
      <c r="Q17" s="153">
        <f>IFERROR(VLOOKUP($B17,'[5]INSUMOS MARZO'!$A$2:$S$105,17,0),"")</f>
        <v>4115.7160000000003</v>
      </c>
      <c r="R17" s="154">
        <f t="shared" si="4"/>
        <v>0</v>
      </c>
      <c r="S17" s="152">
        <f>IFERROR(VLOOKUP($B17,'PEDIDO JULIO'!$A$10:$AG$200,12,0),"0")</f>
        <v>0</v>
      </c>
      <c r="T17" s="153">
        <f>IFERROR(VLOOKUP($B17,'[5]INSUMOS MARZO'!$A$2:$S$105,17,0),"")</f>
        <v>4115.7160000000003</v>
      </c>
      <c r="U17" s="154">
        <f t="shared" si="5"/>
        <v>0</v>
      </c>
      <c r="V17" s="152">
        <f>IFERROR(VLOOKUP($B17,'PEDIDO JULIO'!$A$10:$AG$200,13,0),"0")</f>
        <v>0</v>
      </c>
      <c r="W17" s="153">
        <f>IFERROR(VLOOKUP($B17,'[5]INSUMOS MARZO'!$A$2:$S$105,17,0),"")</f>
        <v>4115.7160000000003</v>
      </c>
      <c r="X17" s="154">
        <f t="shared" si="6"/>
        <v>0</v>
      </c>
      <c r="Y17" s="152">
        <f>IFERROR(VLOOKUP($B17,'PEDIDO JULIO'!$A$10:$AG$200,14,0),"0")</f>
        <v>0</v>
      </c>
      <c r="Z17" s="153">
        <f>IFERROR(VLOOKUP($B17,'[5]INSUMOS MARZO'!$A$2:$S$105,17,0),"")</f>
        <v>4115.7160000000003</v>
      </c>
      <c r="AA17" s="154">
        <f t="shared" si="7"/>
        <v>0</v>
      </c>
      <c r="AB17" s="152">
        <f>IFERROR(VLOOKUP($B17,'PEDIDO JULIO'!$A$10:$AG$200,15,0),"0")</f>
        <v>2</v>
      </c>
      <c r="AC17" s="153">
        <f>IFERROR(VLOOKUP($B17,'[5]INSUMOS MARZO'!$A$2:$S$105,17,0),"")</f>
        <v>4115.7160000000003</v>
      </c>
      <c r="AD17" s="154">
        <f t="shared" si="8"/>
        <v>8231.4320000000007</v>
      </c>
      <c r="AE17" s="152">
        <f>IFERROR(VLOOKUP($B17,'PEDIDO JULIO'!$A$10:$AG$200,16,0),"0")</f>
        <v>3</v>
      </c>
      <c r="AF17" s="153">
        <f>IFERROR(VLOOKUP($B17,'[5]INSUMOS MARZO'!$A$2:$S$105,17,0),"")</f>
        <v>4115.7160000000003</v>
      </c>
      <c r="AG17" s="154">
        <f t="shared" si="9"/>
        <v>12347.148000000001</v>
      </c>
      <c r="AH17" s="152">
        <f>IFERROR(VLOOKUP($B17,'PEDIDO JULIO'!$A$10:$AG$200,17,0),"0")</f>
        <v>0</v>
      </c>
      <c r="AI17" s="153">
        <f>IFERROR(VLOOKUP($B17,'[5]INSUMOS MARZO'!$A$2:$S$105,17,0),"")</f>
        <v>4115.7160000000003</v>
      </c>
      <c r="AJ17" s="154">
        <f t="shared" si="10"/>
        <v>0</v>
      </c>
      <c r="AK17" s="152">
        <f>IFERROR(VLOOKUP($B17,'PEDIDO JULIO'!$A$10:$AG$200,18,0),"0")</f>
        <v>0</v>
      </c>
      <c r="AL17" s="153">
        <f>IFERROR(VLOOKUP($B17,'[5]INSUMOS MARZO'!$A$2:$S$105,17,0),"")</f>
        <v>4115.7160000000003</v>
      </c>
      <c r="AM17" s="154">
        <f t="shared" si="11"/>
        <v>0</v>
      </c>
      <c r="AN17" s="152">
        <f>IFERROR(VLOOKUP($B17,'PEDIDO JULIO'!$A$10:$AG$200,19,0),"0")</f>
        <v>0</v>
      </c>
      <c r="AO17" s="153">
        <f>IFERROR(VLOOKUP($B17,'[5]INSUMOS MARZO'!$A$2:$S$105,17,0),"")</f>
        <v>4115.7160000000003</v>
      </c>
      <c r="AP17" s="154">
        <f t="shared" si="12"/>
        <v>0</v>
      </c>
      <c r="AQ17" s="152">
        <f>IFERROR(VLOOKUP($B17,'PEDIDO JULIO'!$A$10:$AG$200,20,0),"0")</f>
        <v>0</v>
      </c>
      <c r="AR17" s="153">
        <f>IFERROR(VLOOKUP($B17,'[5]INSUMOS MARZO'!$A$2:$S$105,17,0),"")</f>
        <v>4115.7160000000003</v>
      </c>
      <c r="AS17" s="154">
        <f t="shared" si="13"/>
        <v>0</v>
      </c>
      <c r="AT17" s="152">
        <f>IFERROR(VLOOKUP($B17,'PEDIDO JULIO'!$A$10:$AG$200,21,0),"0")</f>
        <v>0</v>
      </c>
      <c r="AU17" s="153">
        <f>IFERROR(VLOOKUP($B17,'[5]INSUMOS MARZO'!$A$2:$S$105,17,0),"")</f>
        <v>4115.7160000000003</v>
      </c>
      <c r="AV17" s="154">
        <f t="shared" si="14"/>
        <v>0</v>
      </c>
      <c r="AW17" s="152">
        <f>IFERROR(VLOOKUP($B17,'PEDIDO JULIO'!$A$10:$AG$200,22,0),"0")</f>
        <v>0</v>
      </c>
      <c r="AX17" s="153">
        <f>IFERROR(VLOOKUP($B17,'[5]INSUMOS MARZO'!$A$2:$S$105,17,0),"")</f>
        <v>4115.7160000000003</v>
      </c>
      <c r="AY17" s="154">
        <f t="shared" si="15"/>
        <v>0</v>
      </c>
      <c r="AZ17" s="152">
        <f>IFERROR(VLOOKUP($B17,'PEDIDO JULIO'!$A$10:$AG$200,23,0),"0")</f>
        <v>0</v>
      </c>
      <c r="BA17" s="153">
        <f>IFERROR(VLOOKUP($B17,'[5]INSUMOS MARZO'!$A$2:$S$105,17,0),"")</f>
        <v>4115.7160000000003</v>
      </c>
      <c r="BB17" s="154">
        <f t="shared" si="16"/>
        <v>0</v>
      </c>
      <c r="BC17" s="152">
        <f>IFERROR(VLOOKUP($B17,'PEDIDO JULIO'!$A$10:$AG$200,24,0),"0")</f>
        <v>0</v>
      </c>
      <c r="BD17" s="153">
        <f>IFERROR(VLOOKUP($B17,'[5]INSUMOS MARZO'!$A$2:$S$105,17,0),"")</f>
        <v>4115.7160000000003</v>
      </c>
      <c r="BE17" s="155">
        <f t="shared" si="17"/>
        <v>0</v>
      </c>
      <c r="BF17" s="152">
        <f>IFERROR(VLOOKUP($B17,'PEDIDO JULIO'!$A$10:$AG$200,25,0),"0")</f>
        <v>0</v>
      </c>
      <c r="BG17" s="156">
        <f>IFERROR(VLOOKUP($B17,'[5]INSUMOS MARZO'!$A$2:$S$105,14,0),"")</f>
        <v>6716.8359</v>
      </c>
      <c r="BH17" s="155">
        <f t="shared" si="18"/>
        <v>0</v>
      </c>
      <c r="BI17" s="152">
        <f>IFERROR(VLOOKUP($B17,'PEDIDO JULIO'!$A$10:$AG$200,26,0),"0")</f>
        <v>0</v>
      </c>
      <c r="BJ17" s="153">
        <f>IFERROR(VLOOKUP($B17,'[5]INSUMOS MARZO'!$A$2:$S$105,17,0),"")</f>
        <v>4115.7160000000003</v>
      </c>
      <c r="BK17" s="154">
        <f t="shared" si="19"/>
        <v>0</v>
      </c>
      <c r="BL17" s="152">
        <f>IFERROR(VLOOKUP($B17,'PEDIDO JULIO'!$A$10:$AG$200,27,0),"0")</f>
        <v>0</v>
      </c>
      <c r="BM17" s="153">
        <f>IFERROR(VLOOKUP($B17,'[5]INSUMOS MARZO'!$A$2:$S$105,17,0),"")</f>
        <v>4115.7160000000003</v>
      </c>
      <c r="BN17" s="154">
        <f t="shared" si="20"/>
        <v>0</v>
      </c>
      <c r="BO17" s="152">
        <f>IFERROR(VLOOKUP($B17,'PEDIDO JULIO'!$A$10:$AG$200,28,0),"0")</f>
        <v>0</v>
      </c>
      <c r="BP17" s="153">
        <f>IFERROR(VLOOKUP($B17,'[5]INSUMOS MARZO'!$A$2:$S$105,17,0),"")</f>
        <v>4115.7160000000003</v>
      </c>
      <c r="BQ17" s="154">
        <f t="shared" si="21"/>
        <v>0</v>
      </c>
      <c r="BR17" s="152">
        <f>IFERROR(VLOOKUP($B17,'PEDIDO JULIO'!$A$10:$AG$200,29,0),"0")</f>
        <v>0</v>
      </c>
      <c r="BS17" s="153">
        <f>IFERROR(VLOOKUP($B17,'[5]INSUMOS MARZO'!$A$2:$S$105,17,0),"")</f>
        <v>4115.7160000000003</v>
      </c>
      <c r="BT17" s="155">
        <f t="shared" si="22"/>
        <v>0</v>
      </c>
      <c r="BU17" s="152">
        <f>IFERROR(VLOOKUP($B17,'PEDIDO JULIO'!$A$10:$AG$200,30,0),"0")</f>
        <v>0</v>
      </c>
      <c r="BV17" s="153">
        <f>IFERROR(VLOOKUP($B17,'[5]INSUMOS MARZO'!$A$2:$S$105,17,0),"")</f>
        <v>4115.7160000000003</v>
      </c>
      <c r="BW17" s="155">
        <f t="shared" si="23"/>
        <v>0</v>
      </c>
      <c r="BX17" s="152">
        <f>IFERROR(VLOOKUP($B17,'PEDIDO JULIO'!$A$10:$AG$200,31,0),"0")</f>
        <v>0</v>
      </c>
      <c r="BY17" s="156">
        <f>IFERROR(VLOOKUP($B17,'[5]INSUMOS MARZO'!$A$2:$S$105,14,0),"")</f>
        <v>6716.8359</v>
      </c>
      <c r="BZ17" s="155">
        <f t="shared" si="24"/>
        <v>0</v>
      </c>
      <c r="CA17" s="152">
        <f>IFERROR(VLOOKUP($B17,'PEDIDO JULIO'!$A$10:$AG$200,32,0),"0")</f>
        <v>0</v>
      </c>
      <c r="CB17" s="153">
        <f>IFERROR(VLOOKUP($B17,'[5]INSUMOS MARZO'!$A$2:$S$105,17,0),"")</f>
        <v>4115.7160000000003</v>
      </c>
      <c r="CC17" s="155">
        <f t="shared" si="25"/>
        <v>0</v>
      </c>
      <c r="CD17" s="157">
        <f t="shared" si="26"/>
        <v>65</v>
      </c>
      <c r="CE17" s="158">
        <f t="shared" si="27"/>
        <v>0</v>
      </c>
      <c r="CF17" s="251">
        <f>IFERROR(VLOOKUP($B17,'MATRIZ INSUMOS '!$A$3:$P$106,16,0),"")</f>
        <v>65</v>
      </c>
      <c r="CG17" s="153">
        <f>IFERROR(VLOOKUP($B17,'[5]INSUMOS MARZO'!$A$2:$S$105,17,0),"")</f>
        <v>4115.7160000000003</v>
      </c>
      <c r="CH17" s="156">
        <f t="shared" si="28"/>
        <v>267521.54000000004</v>
      </c>
      <c r="CI17" s="251">
        <f>IFERROR(VLOOKUP($B17,'MATRIZ INSUMOS '!$A$3:$P$106,10,0),"")</f>
        <v>0</v>
      </c>
      <c r="CJ17" s="156">
        <f>IFERROR(VLOOKUP($B17,'[5]INSUMOS MARZO'!$A$2:$S$105,14,0),"")</f>
        <v>6716.8359</v>
      </c>
      <c r="CK17" s="159">
        <f t="shared" si="29"/>
        <v>0</v>
      </c>
      <c r="CL17" s="160">
        <f t="shared" si="30"/>
        <v>267521.54000000004</v>
      </c>
      <c r="CM17" s="14">
        <f t="shared" si="31"/>
        <v>26752.154000000006</v>
      </c>
      <c r="CN17" s="14">
        <f t="shared" si="32"/>
        <v>5082.9092600000013</v>
      </c>
      <c r="CO17" s="14">
        <f t="shared" si="33"/>
        <v>299356.60326</v>
      </c>
      <c r="CP17" s="1">
        <f>+CF17+CI17-CD17</f>
        <v>0</v>
      </c>
      <c r="CQ17" s="19">
        <f t="shared" si="34"/>
        <v>267521.54000000004</v>
      </c>
      <c r="CR17" s="19" t="b">
        <f t="shared" si="35"/>
        <v>1</v>
      </c>
      <c r="CS17" s="19">
        <f t="shared" si="36"/>
        <v>0</v>
      </c>
    </row>
    <row r="18" spans="1:97" ht="14.45" customHeight="1">
      <c r="A18" s="3">
        <v>13</v>
      </c>
      <c r="B18" s="151">
        <v>38</v>
      </c>
      <c r="C18" s="4" t="s">
        <v>24</v>
      </c>
      <c r="D18" s="152">
        <f>IFERROR(VLOOKUP($B18,'[4]INSUMOS FEBRERO'!$A$2:$F$105,5,0),"")</f>
        <v>25</v>
      </c>
      <c r="E18" s="152" t="str">
        <f>IFERROR(VLOOKUP($B18,'PEDIDO JULIO'!$A$10:$AG$32,33,0),"0")</f>
        <v>0</v>
      </c>
      <c r="F18" s="152">
        <f t="shared" si="1"/>
        <v>-25</v>
      </c>
      <c r="G18" s="152" t="str">
        <f>IFERROR(VLOOKUP($B18,'PEDIDO JULIO'!$A$10:$AG$200,8,0),"0")</f>
        <v>0</v>
      </c>
      <c r="H18" s="153">
        <f>IFERROR(VLOOKUP($B18,'[5]INSUMOS MARZO'!$A$2:$S$105,17,0),"")</f>
        <v>11100.662</v>
      </c>
      <c r="I18" s="154">
        <f t="shared" si="0"/>
        <v>0</v>
      </c>
      <c r="J18" s="152" t="str">
        <f>IFERROR(VLOOKUP($B18,'PEDIDO JULIO'!$A$10:$AG$200,9,0),"0")</f>
        <v>0</v>
      </c>
      <c r="K18" s="153">
        <f>IFERROR(VLOOKUP($B18,'[5]INSUMOS MARZO'!$A$2:$S$105,17,0),"")</f>
        <v>11100.662</v>
      </c>
      <c r="L18" s="155">
        <f t="shared" si="2"/>
        <v>0</v>
      </c>
      <c r="M18" s="152" t="str">
        <f>IFERROR(VLOOKUP($B18,'PEDIDO JULIO'!$A$10:$AG$200,10,0),"0")</f>
        <v>0</v>
      </c>
      <c r="N18" s="153">
        <f>IFERROR(VLOOKUP($B18,'[5]INSUMOS MARZO'!$A$2:$S$105,17,0),"")</f>
        <v>11100.662</v>
      </c>
      <c r="O18" s="154">
        <f t="shared" si="3"/>
        <v>0</v>
      </c>
      <c r="P18" s="152" t="str">
        <f>IFERROR(VLOOKUP($B18,'PEDIDO JULIO'!$A$10:$AG$200,11,0),"0")</f>
        <v>0</v>
      </c>
      <c r="Q18" s="153">
        <f>IFERROR(VLOOKUP($B18,'[5]INSUMOS MARZO'!$A$2:$S$105,17,0),"")</f>
        <v>11100.662</v>
      </c>
      <c r="R18" s="154">
        <f t="shared" si="4"/>
        <v>0</v>
      </c>
      <c r="S18" s="152" t="str">
        <f>IFERROR(VLOOKUP($B18,'PEDIDO JULIO'!$A$10:$AG$200,12,0),"0")</f>
        <v>0</v>
      </c>
      <c r="T18" s="153">
        <f>IFERROR(VLOOKUP($B18,'[5]INSUMOS MARZO'!$A$2:$S$105,17,0),"")</f>
        <v>11100.662</v>
      </c>
      <c r="U18" s="154">
        <f t="shared" si="5"/>
        <v>0</v>
      </c>
      <c r="V18" s="152" t="str">
        <f>IFERROR(VLOOKUP($B18,'PEDIDO JULIO'!$A$10:$AG$200,13,0),"0")</f>
        <v>0</v>
      </c>
      <c r="W18" s="156">
        <f>IFERROR(VLOOKUP($B18,'[5]INSUMOS MARZO'!$A$2:$S$105,14,0),"")</f>
        <v>15622.484399999999</v>
      </c>
      <c r="X18" s="154">
        <f t="shared" si="6"/>
        <v>0</v>
      </c>
      <c r="Y18" s="152" t="str">
        <f>IFERROR(VLOOKUP($B18,'PEDIDO JULIO'!$A$10:$AG$200,14,0),"0")</f>
        <v>0</v>
      </c>
      <c r="Z18" s="153">
        <f>IFERROR(VLOOKUP($B18,'[5]INSUMOS MARZO'!$A$2:$S$105,17,0),"")</f>
        <v>11100.662</v>
      </c>
      <c r="AA18" s="154">
        <f t="shared" si="7"/>
        <v>0</v>
      </c>
      <c r="AB18" s="152" t="str">
        <f>IFERROR(VLOOKUP($B18,'PEDIDO JULIO'!$A$10:$AG$200,15,0),"0")</f>
        <v>0</v>
      </c>
      <c r="AC18" s="153">
        <f>IFERROR(VLOOKUP($B18,'[5]INSUMOS MARZO'!$A$2:$S$105,17,0),"")</f>
        <v>11100.662</v>
      </c>
      <c r="AD18" s="154">
        <f t="shared" si="8"/>
        <v>0</v>
      </c>
      <c r="AE18" s="152" t="str">
        <f>IFERROR(VLOOKUP($B18,'PEDIDO JULIO'!$A$10:$AG$200,16,0),"0")</f>
        <v>0</v>
      </c>
      <c r="AF18" s="153">
        <f>IFERROR(VLOOKUP($B18,'[5]INSUMOS MARZO'!$A$2:$S$105,17,0),"")</f>
        <v>11100.662</v>
      </c>
      <c r="AG18" s="154">
        <f t="shared" si="9"/>
        <v>0</v>
      </c>
      <c r="AH18" s="152" t="str">
        <f>IFERROR(VLOOKUP($B18,'PEDIDO JULIO'!$A$10:$AG$200,17,0),"0")</f>
        <v>0</v>
      </c>
      <c r="AI18" s="153">
        <f>IFERROR(VLOOKUP($B18,'[5]INSUMOS MARZO'!$A$2:$S$105,17,0),"")</f>
        <v>11100.662</v>
      </c>
      <c r="AJ18" s="154">
        <f t="shared" si="10"/>
        <v>0</v>
      </c>
      <c r="AK18" s="152" t="str">
        <f>IFERROR(VLOOKUP($B18,'PEDIDO JULIO'!$A$10:$AG$200,18,0),"0")</f>
        <v>0</v>
      </c>
      <c r="AL18" s="153">
        <f>IFERROR(VLOOKUP($B18,'[5]INSUMOS MARZO'!$A$2:$S$105,17,0),"")</f>
        <v>11100.662</v>
      </c>
      <c r="AM18" s="154">
        <f t="shared" si="11"/>
        <v>0</v>
      </c>
      <c r="AN18" s="152" t="str">
        <f>IFERROR(VLOOKUP($B18,'PEDIDO JULIO'!$A$10:$AG$200,19,0),"0")</f>
        <v>0</v>
      </c>
      <c r="AO18" s="153">
        <f>IFERROR(VLOOKUP($B18,'[5]INSUMOS MARZO'!$A$2:$S$105,17,0),"")</f>
        <v>11100.662</v>
      </c>
      <c r="AP18" s="154">
        <f t="shared" si="12"/>
        <v>0</v>
      </c>
      <c r="AQ18" s="152" t="str">
        <f>IFERROR(VLOOKUP($B18,'PEDIDO JULIO'!$A$10:$AG$200,20,0),"0")</f>
        <v>0</v>
      </c>
      <c r="AR18" s="153">
        <f>IFERROR(VLOOKUP($B18,'[5]INSUMOS MARZO'!$A$2:$S$105,17,0),"")</f>
        <v>11100.662</v>
      </c>
      <c r="AS18" s="154">
        <f t="shared" si="13"/>
        <v>0</v>
      </c>
      <c r="AT18" s="152" t="str">
        <f>IFERROR(VLOOKUP($B18,'PEDIDO JULIO'!$A$10:$AG$200,21,0),"0")</f>
        <v>0</v>
      </c>
      <c r="AU18" s="156">
        <f>IFERROR(VLOOKUP($B18,'[5]INSUMOS MARZO'!$A$2:$S$105,14,0),"")</f>
        <v>15622.484399999999</v>
      </c>
      <c r="AV18" s="154">
        <f t="shared" si="14"/>
        <v>0</v>
      </c>
      <c r="AW18" s="152" t="str">
        <f>IFERROR(VLOOKUP($B18,'PEDIDO JULIO'!$A$10:$AG$200,22,0),"0")</f>
        <v>0</v>
      </c>
      <c r="AX18" s="156">
        <f>IFERROR(VLOOKUP($B18,'[5]INSUMOS MARZO'!$A$2:$S$105,14,0),"")</f>
        <v>15622.484399999999</v>
      </c>
      <c r="AY18" s="154">
        <f t="shared" si="15"/>
        <v>0</v>
      </c>
      <c r="AZ18" s="152" t="str">
        <f>IFERROR(VLOOKUP($B18,'PEDIDO JULIO'!$A$10:$AG$200,23,0),"0")</f>
        <v>0</v>
      </c>
      <c r="BA18" s="153">
        <f>IFERROR(VLOOKUP($B18,'[5]INSUMOS MARZO'!$A$2:$S$105,17,0),"")</f>
        <v>11100.662</v>
      </c>
      <c r="BB18" s="154">
        <f t="shared" si="16"/>
        <v>0</v>
      </c>
      <c r="BC18" s="152" t="str">
        <f>IFERROR(VLOOKUP($B18,'PEDIDO JULIO'!$A$10:$AG$200,24,0),"0")</f>
        <v>0</v>
      </c>
      <c r="BD18" s="156">
        <f>IFERROR(VLOOKUP($B18,'[5]INSUMOS MARZO'!$A$2:$S$105,14,0),"")</f>
        <v>15622.484399999999</v>
      </c>
      <c r="BE18" s="155">
        <f t="shared" si="17"/>
        <v>0</v>
      </c>
      <c r="BF18" s="152" t="str">
        <f>IFERROR(VLOOKUP($B18,'PEDIDO JULIO'!$A$10:$AG$200,25,0),"0")</f>
        <v>0</v>
      </c>
      <c r="BG18" s="153">
        <f>IFERROR(VLOOKUP($B18,'[5]INSUMOS MARZO'!$A$2:$S$105,17,0),"")</f>
        <v>11100.662</v>
      </c>
      <c r="BH18" s="155">
        <f t="shared" si="18"/>
        <v>0</v>
      </c>
      <c r="BI18" s="152" t="str">
        <f>IFERROR(VLOOKUP($B18,'PEDIDO JULIO'!$A$10:$AG$200,26,0),"0")</f>
        <v>0</v>
      </c>
      <c r="BJ18" s="153">
        <f>IFERROR(VLOOKUP($B18,'[5]INSUMOS MARZO'!$A$2:$S$105,17,0),"")</f>
        <v>11100.662</v>
      </c>
      <c r="BK18" s="154">
        <f t="shared" si="19"/>
        <v>0</v>
      </c>
      <c r="BL18" s="152" t="str">
        <f>IFERROR(VLOOKUP($B18,'PEDIDO JULIO'!$A$10:$AG$200,27,0),"0")</f>
        <v>0</v>
      </c>
      <c r="BM18" s="156">
        <f>IFERROR(VLOOKUP($B18,'[5]INSUMOS MARZO'!$A$2:$S$105,14,0),"")</f>
        <v>15622.484399999999</v>
      </c>
      <c r="BN18" s="154">
        <f t="shared" si="20"/>
        <v>0</v>
      </c>
      <c r="BO18" s="152" t="str">
        <f>IFERROR(VLOOKUP($B18,'PEDIDO JULIO'!$A$10:$AG$200,28,0),"0")</f>
        <v>0</v>
      </c>
      <c r="BP18" s="153">
        <f>IFERROR(VLOOKUP($B18,'[5]INSUMOS MARZO'!$A$2:$S$105,17,0),"")</f>
        <v>11100.662</v>
      </c>
      <c r="BQ18" s="154">
        <f t="shared" si="21"/>
        <v>0</v>
      </c>
      <c r="BR18" s="152" t="str">
        <f>IFERROR(VLOOKUP($B18,'PEDIDO JULIO'!$A$10:$AG$200,29,0),"0")</f>
        <v>0</v>
      </c>
      <c r="BS18" s="153">
        <f>IFERROR(VLOOKUP($B18,'[5]INSUMOS MARZO'!$A$2:$S$105,17,0),"")</f>
        <v>11100.662</v>
      </c>
      <c r="BT18" s="155">
        <f t="shared" si="22"/>
        <v>0</v>
      </c>
      <c r="BU18" s="152" t="str">
        <f>IFERROR(VLOOKUP($B18,'PEDIDO JULIO'!$A$10:$AG$200,30,0),"0")</f>
        <v>0</v>
      </c>
      <c r="BV18" s="153">
        <f>IFERROR(VLOOKUP($B18,'[5]INSUMOS MARZO'!$A$2:$S$105,17,0),"")</f>
        <v>11100.662</v>
      </c>
      <c r="BW18" s="155">
        <f t="shared" si="23"/>
        <v>0</v>
      </c>
      <c r="BX18" s="152" t="str">
        <f>IFERROR(VLOOKUP($B18,'PEDIDO JULIO'!$A$10:$AG$200,31,0),"0")</f>
        <v>0</v>
      </c>
      <c r="BY18" s="153">
        <f>IFERROR(VLOOKUP($B18,'[5]INSUMOS MARZO'!$A$2:$S$105,17,0),"")</f>
        <v>11100.662</v>
      </c>
      <c r="BZ18" s="155">
        <f t="shared" si="24"/>
        <v>0</v>
      </c>
      <c r="CA18" s="152" t="str">
        <f>IFERROR(VLOOKUP($B18,'PEDIDO JULIO'!$A$10:$AG$200,32,0),"0")</f>
        <v>0</v>
      </c>
      <c r="CB18" s="153">
        <f>IFERROR(VLOOKUP($B18,'[5]INSUMOS MARZO'!$A$2:$S$105,17,0),"")</f>
        <v>11100.662</v>
      </c>
      <c r="CC18" s="155">
        <f t="shared" si="25"/>
        <v>0</v>
      </c>
      <c r="CD18" s="157">
        <f t="shared" si="26"/>
        <v>0</v>
      </c>
      <c r="CE18" s="158">
        <f t="shared" si="27"/>
        <v>0</v>
      </c>
      <c r="CF18" s="251">
        <f>IFERROR(VLOOKUP($B18,'MATRIZ INSUMOS '!$A$3:$P$106,16,0),"")</f>
        <v>0</v>
      </c>
      <c r="CG18" s="153">
        <f>IFERROR(VLOOKUP($B18,'[5]INSUMOS MARZO'!$A$2:$S$105,17,0),"")</f>
        <v>11100.662</v>
      </c>
      <c r="CH18" s="156">
        <f t="shared" si="28"/>
        <v>0</v>
      </c>
      <c r="CI18" s="251">
        <f>IFERROR(VLOOKUP($B18,'MATRIZ INSUMOS '!$A$3:$P$106,10,0),"")</f>
        <v>0</v>
      </c>
      <c r="CJ18" s="156">
        <f>IFERROR(VLOOKUP($B18,'[5]INSUMOS MARZO'!$A$2:$S$105,14,0),"")</f>
        <v>15622.484399999999</v>
      </c>
      <c r="CK18" s="159">
        <f t="shared" si="29"/>
        <v>0</v>
      </c>
      <c r="CL18" s="160">
        <f t="shared" si="30"/>
        <v>0</v>
      </c>
      <c r="CM18" s="14">
        <f t="shared" si="31"/>
        <v>0</v>
      </c>
      <c r="CN18" s="14">
        <f t="shared" si="32"/>
        <v>0</v>
      </c>
      <c r="CO18" s="14">
        <f t="shared" si="33"/>
        <v>0</v>
      </c>
      <c r="CP18" s="1">
        <f>+CF18+CI18-CD18</f>
        <v>0</v>
      </c>
      <c r="CQ18" s="19">
        <f t="shared" si="34"/>
        <v>0</v>
      </c>
      <c r="CR18" s="19" t="b">
        <f t="shared" si="35"/>
        <v>1</v>
      </c>
      <c r="CS18" s="19">
        <f t="shared" si="36"/>
        <v>0</v>
      </c>
    </row>
    <row r="19" spans="1:97" ht="14.45" customHeight="1">
      <c r="A19" s="3">
        <v>14</v>
      </c>
      <c r="B19" s="151">
        <v>41</v>
      </c>
      <c r="C19" s="4" t="s">
        <v>25</v>
      </c>
      <c r="D19" s="152">
        <f>IFERROR(VLOOKUP($B19,'[4]INSUMOS FEBRERO'!$A$2:$F$105,5,0),"")</f>
        <v>25</v>
      </c>
      <c r="E19" s="152" t="str">
        <f>IFERROR(VLOOKUP($B19,'PEDIDO JULIO'!$A$10:$AG$32,33,0),"0")</f>
        <v>0</v>
      </c>
      <c r="F19" s="152">
        <f t="shared" si="1"/>
        <v>-25</v>
      </c>
      <c r="G19" s="152" t="str">
        <f>IFERROR(VLOOKUP($B19,'PEDIDO JULIO'!$A$10:$AG$200,8,0),"0")</f>
        <v>0</v>
      </c>
      <c r="H19" s="153">
        <f>IFERROR(VLOOKUP($B19,'[5]INSUMOS MARZO'!$A$2:$S$105,17,0),"")</f>
        <v>7034.3429999999989</v>
      </c>
      <c r="I19" s="154">
        <f t="shared" si="0"/>
        <v>0</v>
      </c>
      <c r="J19" s="152" t="str">
        <f>IFERROR(VLOOKUP($B19,'PEDIDO JULIO'!$A$10:$AG$200,9,0),"0")</f>
        <v>0</v>
      </c>
      <c r="K19" s="153">
        <f>IFERROR(VLOOKUP($B19,'[5]INSUMOS MARZO'!$A$2:$S$105,17,0),"")</f>
        <v>7034.3429999999989</v>
      </c>
      <c r="L19" s="155">
        <f t="shared" si="2"/>
        <v>0</v>
      </c>
      <c r="M19" s="152" t="str">
        <f>IFERROR(VLOOKUP($B19,'PEDIDO JULIO'!$A$10:$AG$200,10,0),"0")</f>
        <v>0</v>
      </c>
      <c r="N19" s="153">
        <f>IFERROR(VLOOKUP($B19,'[5]INSUMOS MARZO'!$A$2:$S$105,17,0),"")</f>
        <v>7034.3429999999989</v>
      </c>
      <c r="O19" s="154">
        <f t="shared" si="3"/>
        <v>0</v>
      </c>
      <c r="P19" s="152" t="str">
        <f>IFERROR(VLOOKUP($B19,'PEDIDO JULIO'!$A$10:$AG$200,11,0),"0")</f>
        <v>0</v>
      </c>
      <c r="Q19" s="153">
        <f>IFERROR(VLOOKUP($B19,'[5]INSUMOS MARZO'!$A$2:$S$105,17,0),"")</f>
        <v>7034.3429999999989</v>
      </c>
      <c r="R19" s="154">
        <f t="shared" si="4"/>
        <v>0</v>
      </c>
      <c r="S19" s="152" t="str">
        <f>IFERROR(VLOOKUP($B19,'PEDIDO JULIO'!$A$10:$AG$200,12,0),"0")</f>
        <v>0</v>
      </c>
      <c r="T19" s="153">
        <f>IFERROR(VLOOKUP($B19,'[5]INSUMOS MARZO'!$A$2:$S$105,17,0),"")</f>
        <v>7034.3429999999989</v>
      </c>
      <c r="U19" s="154">
        <f t="shared" si="5"/>
        <v>0</v>
      </c>
      <c r="V19" s="152" t="str">
        <f>IFERROR(VLOOKUP($B19,'PEDIDO JULIO'!$A$10:$AG$200,13,0),"0")</f>
        <v>0</v>
      </c>
      <c r="W19" s="153">
        <f>IFERROR(VLOOKUP($B19,'[5]INSUMOS MARZO'!$A$2:$S$105,17,0),"")</f>
        <v>7034.3429999999989</v>
      </c>
      <c r="X19" s="154">
        <f t="shared" si="6"/>
        <v>0</v>
      </c>
      <c r="Y19" s="152" t="str">
        <f>IFERROR(VLOOKUP($B19,'PEDIDO JULIO'!$A$10:$AG$200,14,0),"0")</f>
        <v>0</v>
      </c>
      <c r="Z19" s="153">
        <f>IFERROR(VLOOKUP($B19,'[5]INSUMOS MARZO'!$A$2:$S$105,17,0),"")</f>
        <v>7034.3429999999989</v>
      </c>
      <c r="AA19" s="154">
        <f t="shared" si="7"/>
        <v>0</v>
      </c>
      <c r="AB19" s="152" t="str">
        <f>IFERROR(VLOOKUP($B19,'PEDIDO JULIO'!$A$10:$AG$200,15,0),"0")</f>
        <v>0</v>
      </c>
      <c r="AC19" s="153">
        <f>IFERROR(VLOOKUP($B19,'[5]INSUMOS MARZO'!$A$2:$S$105,17,0),"")</f>
        <v>7034.3429999999989</v>
      </c>
      <c r="AD19" s="154">
        <f t="shared" si="8"/>
        <v>0</v>
      </c>
      <c r="AE19" s="152" t="str">
        <f>IFERROR(VLOOKUP($B19,'PEDIDO JULIO'!$A$10:$AG$200,16,0),"0")</f>
        <v>0</v>
      </c>
      <c r="AF19" s="153">
        <f>IFERROR(VLOOKUP($B19,'[5]INSUMOS MARZO'!$A$2:$S$105,17,0),"")</f>
        <v>7034.3429999999989</v>
      </c>
      <c r="AG19" s="154">
        <f t="shared" si="9"/>
        <v>0</v>
      </c>
      <c r="AH19" s="152" t="str">
        <f>IFERROR(VLOOKUP($B19,'PEDIDO JULIO'!$A$10:$AG$200,17,0),"0")</f>
        <v>0</v>
      </c>
      <c r="AI19" s="153">
        <f>IFERROR(VLOOKUP($B19,'[5]INSUMOS MARZO'!$A$2:$S$105,17,0),"")</f>
        <v>7034.3429999999989</v>
      </c>
      <c r="AJ19" s="154">
        <f t="shared" si="10"/>
        <v>0</v>
      </c>
      <c r="AK19" s="152" t="str">
        <f>IFERROR(VLOOKUP($B19,'PEDIDO JULIO'!$A$10:$AG$200,18,0),"0")</f>
        <v>0</v>
      </c>
      <c r="AL19" s="153">
        <f>IFERROR(VLOOKUP($B19,'[5]INSUMOS MARZO'!$A$2:$S$105,17,0),"")</f>
        <v>7034.3429999999989</v>
      </c>
      <c r="AM19" s="154">
        <f t="shared" si="11"/>
        <v>0</v>
      </c>
      <c r="AN19" s="152" t="str">
        <f>IFERROR(VLOOKUP($B19,'PEDIDO JULIO'!$A$10:$AG$200,19,0),"0")</f>
        <v>0</v>
      </c>
      <c r="AO19" s="153">
        <f>IFERROR(VLOOKUP($B19,'[5]INSUMOS MARZO'!$A$2:$S$105,17,0),"")</f>
        <v>7034.3429999999989</v>
      </c>
      <c r="AP19" s="154">
        <f t="shared" si="12"/>
        <v>0</v>
      </c>
      <c r="AQ19" s="152" t="str">
        <f>IFERROR(VLOOKUP($B19,'PEDIDO JULIO'!$A$10:$AG$200,20,0),"0")</f>
        <v>0</v>
      </c>
      <c r="AR19" s="153">
        <f>IFERROR(VLOOKUP($B19,'[5]INSUMOS MARZO'!$A$2:$S$105,17,0),"")</f>
        <v>7034.3429999999989</v>
      </c>
      <c r="AS19" s="154">
        <f t="shared" si="13"/>
        <v>0</v>
      </c>
      <c r="AT19" s="152" t="str">
        <f>IFERROR(VLOOKUP($B19,'PEDIDO JULIO'!$A$10:$AG$200,21,0),"0")</f>
        <v>0</v>
      </c>
      <c r="AU19" s="156">
        <f>IFERROR(VLOOKUP($B19,'[5]INSUMOS MARZO'!$A$2:$S$105,14,0),"")</f>
        <v>12537.904499999999</v>
      </c>
      <c r="AV19" s="154">
        <f t="shared" si="14"/>
        <v>0</v>
      </c>
      <c r="AW19" s="152" t="str">
        <f>IFERROR(VLOOKUP($B19,'PEDIDO JULIO'!$A$10:$AG$200,22,0),"0")</f>
        <v>0</v>
      </c>
      <c r="AX19" s="153">
        <f>IFERROR(VLOOKUP($B19,'[5]INSUMOS MARZO'!$A$2:$S$105,17,0),"")</f>
        <v>7034.3429999999989</v>
      </c>
      <c r="AY19" s="154">
        <f t="shared" si="15"/>
        <v>0</v>
      </c>
      <c r="AZ19" s="152" t="str">
        <f>IFERROR(VLOOKUP($B19,'PEDIDO JULIO'!$A$10:$AG$200,23,0),"0")</f>
        <v>0</v>
      </c>
      <c r="BA19" s="153">
        <f>IFERROR(VLOOKUP($B19,'[5]INSUMOS MARZO'!$A$2:$S$105,17,0),"")</f>
        <v>7034.3429999999989</v>
      </c>
      <c r="BB19" s="154">
        <f t="shared" si="16"/>
        <v>0</v>
      </c>
      <c r="BC19" s="152" t="str">
        <f>IFERROR(VLOOKUP($B19,'PEDIDO JULIO'!$A$10:$AG$200,24,0),"0")</f>
        <v>0</v>
      </c>
      <c r="BD19" s="153">
        <f>IFERROR(VLOOKUP($B19,'[5]INSUMOS MARZO'!$A$2:$S$105,17,0),"")</f>
        <v>7034.3429999999989</v>
      </c>
      <c r="BE19" s="155">
        <f t="shared" si="17"/>
        <v>0</v>
      </c>
      <c r="BF19" s="152" t="str">
        <f>IFERROR(VLOOKUP($B19,'PEDIDO JULIO'!$A$10:$AG$200,25,0),"0")</f>
        <v>0</v>
      </c>
      <c r="BG19" s="153">
        <f>IFERROR(VLOOKUP($B19,'[5]INSUMOS MARZO'!$A$2:$S$105,17,0),"")</f>
        <v>7034.3429999999989</v>
      </c>
      <c r="BH19" s="155">
        <f t="shared" si="18"/>
        <v>0</v>
      </c>
      <c r="BI19" s="152" t="str">
        <f>IFERROR(VLOOKUP($B19,'PEDIDO JULIO'!$A$10:$AG$200,26,0),"0")</f>
        <v>0</v>
      </c>
      <c r="BJ19" s="153">
        <f>IFERROR(VLOOKUP($B19,'[5]INSUMOS MARZO'!$A$2:$S$105,17,0),"")</f>
        <v>7034.3429999999989</v>
      </c>
      <c r="BK19" s="154">
        <f t="shared" si="19"/>
        <v>0</v>
      </c>
      <c r="BL19" s="152" t="str">
        <f>IFERROR(VLOOKUP($B19,'PEDIDO JULIO'!$A$10:$AG$200,27,0),"0")</f>
        <v>0</v>
      </c>
      <c r="BM19" s="153">
        <f>IFERROR(VLOOKUP($B19,'[5]INSUMOS MARZO'!$A$2:$S$105,17,0),"")</f>
        <v>7034.3429999999989</v>
      </c>
      <c r="BN19" s="154">
        <f t="shared" si="20"/>
        <v>0</v>
      </c>
      <c r="BO19" s="152" t="str">
        <f>IFERROR(VLOOKUP($B19,'PEDIDO JULIO'!$A$10:$AG$200,28,0),"0")</f>
        <v>0</v>
      </c>
      <c r="BP19" s="153">
        <f>IFERROR(VLOOKUP($B19,'[5]INSUMOS MARZO'!$A$2:$S$105,17,0),"")</f>
        <v>7034.3429999999989</v>
      </c>
      <c r="BQ19" s="154">
        <f t="shared" si="21"/>
        <v>0</v>
      </c>
      <c r="BR19" s="152" t="str">
        <f>IFERROR(VLOOKUP($B19,'PEDIDO JULIO'!$A$10:$AG$200,29,0),"0")</f>
        <v>0</v>
      </c>
      <c r="BS19" s="153">
        <f>IFERROR(VLOOKUP($B19,'[5]INSUMOS MARZO'!$A$2:$S$105,17,0),"")</f>
        <v>7034.3429999999989</v>
      </c>
      <c r="BT19" s="155">
        <f t="shared" si="22"/>
        <v>0</v>
      </c>
      <c r="BU19" s="152" t="str">
        <f>IFERROR(VLOOKUP($B19,'PEDIDO JULIO'!$A$10:$AG$200,30,0),"0")</f>
        <v>0</v>
      </c>
      <c r="BV19" s="153">
        <f>IFERROR(VLOOKUP($B19,'[5]INSUMOS MARZO'!$A$2:$S$105,17,0),"")</f>
        <v>7034.3429999999989</v>
      </c>
      <c r="BW19" s="155">
        <f t="shared" si="23"/>
        <v>0</v>
      </c>
      <c r="BX19" s="152" t="str">
        <f>IFERROR(VLOOKUP($B19,'PEDIDO JULIO'!$A$10:$AG$200,31,0),"0")</f>
        <v>0</v>
      </c>
      <c r="BY19" s="153">
        <f>IFERROR(VLOOKUP($B19,'[5]INSUMOS MARZO'!$A$2:$S$105,17,0),"")</f>
        <v>7034.3429999999989</v>
      </c>
      <c r="BZ19" s="155">
        <f t="shared" si="24"/>
        <v>0</v>
      </c>
      <c r="CA19" s="152" t="str">
        <f>IFERROR(VLOOKUP($B19,'PEDIDO JULIO'!$A$10:$AG$200,32,0),"0")</f>
        <v>0</v>
      </c>
      <c r="CB19" s="153">
        <f>IFERROR(VLOOKUP($B19,'[5]INSUMOS MARZO'!$A$2:$S$105,17,0),"")</f>
        <v>7034.3429999999989</v>
      </c>
      <c r="CC19" s="155">
        <f t="shared" si="25"/>
        <v>0</v>
      </c>
      <c r="CD19" s="157">
        <f t="shared" si="26"/>
        <v>0</v>
      </c>
      <c r="CE19" s="158">
        <f t="shared" si="27"/>
        <v>0</v>
      </c>
      <c r="CF19" s="251">
        <f>IFERROR(VLOOKUP($B19,'MATRIZ INSUMOS '!$A$3:$P$106,16,0),"")</f>
        <v>0</v>
      </c>
      <c r="CG19" s="153">
        <f>IFERROR(VLOOKUP($B19,'[5]INSUMOS MARZO'!$A$2:$S$105,17,0),"")</f>
        <v>7034.3429999999989</v>
      </c>
      <c r="CH19" s="156">
        <f t="shared" si="28"/>
        <v>0</v>
      </c>
      <c r="CI19" s="251">
        <f>IFERROR(VLOOKUP($B19,'MATRIZ INSUMOS '!$A$3:$P$106,10,0),"")</f>
        <v>0</v>
      </c>
      <c r="CJ19" s="156">
        <f>IFERROR(VLOOKUP($B19,'[5]INSUMOS MARZO'!$A$2:$S$105,14,0),"")</f>
        <v>12537.904499999999</v>
      </c>
      <c r="CK19" s="159">
        <f t="shared" si="29"/>
        <v>0</v>
      </c>
      <c r="CL19" s="160">
        <f t="shared" si="30"/>
        <v>0</v>
      </c>
      <c r="CM19" s="14">
        <f t="shared" si="31"/>
        <v>0</v>
      </c>
      <c r="CN19" s="14">
        <f t="shared" si="32"/>
        <v>0</v>
      </c>
      <c r="CO19" s="14">
        <f t="shared" si="33"/>
        <v>0</v>
      </c>
      <c r="CQ19" s="19">
        <f t="shared" si="34"/>
        <v>0</v>
      </c>
      <c r="CR19" s="19" t="b">
        <f t="shared" si="35"/>
        <v>1</v>
      </c>
      <c r="CS19" s="19">
        <f t="shared" si="36"/>
        <v>0</v>
      </c>
    </row>
    <row r="20" spans="1:97" ht="12.6" customHeight="1">
      <c r="A20" s="3">
        <v>15</v>
      </c>
      <c r="B20" s="151">
        <v>44</v>
      </c>
      <c r="C20" s="4" t="s">
        <v>26</v>
      </c>
      <c r="D20" s="152">
        <f>IFERROR(VLOOKUP($B20,'[4]INSUMOS FEBRERO'!$A$2:$F$105,5,0),"")</f>
        <v>6</v>
      </c>
      <c r="E20" s="152">
        <f>IFERROR(VLOOKUP($B20,'PEDIDO JULIO'!$A$10:$AG$32,33,0),"0")</f>
        <v>8</v>
      </c>
      <c r="F20" s="152">
        <f t="shared" si="1"/>
        <v>2</v>
      </c>
      <c r="G20" s="152">
        <f>IFERROR(VLOOKUP($B20,'PEDIDO JULIO'!$A$10:$AG$200,8,0),"0")</f>
        <v>0</v>
      </c>
      <c r="H20" s="153">
        <f>IFERROR(VLOOKUP($B20,'[5]INSUMOS MARZO'!$A$2:$S$105,17,0),"")</f>
        <v>2787.2520000000004</v>
      </c>
      <c r="I20" s="154">
        <f t="shared" si="0"/>
        <v>0</v>
      </c>
      <c r="J20" s="152">
        <f>IFERROR(VLOOKUP($B20,'PEDIDO JULIO'!$A$10:$AG$200,9,0),"0")</f>
        <v>0</v>
      </c>
      <c r="K20" s="153">
        <f>IFERROR(VLOOKUP($B20,'[5]INSUMOS MARZO'!$A$2:$S$105,17,0),"")</f>
        <v>2787.2520000000004</v>
      </c>
      <c r="L20" s="155">
        <f t="shared" si="2"/>
        <v>0</v>
      </c>
      <c r="M20" s="152">
        <f>IFERROR(VLOOKUP($B20,'PEDIDO JULIO'!$A$10:$AG$200,10,0),"0")</f>
        <v>0</v>
      </c>
      <c r="N20" s="153">
        <f>IFERROR(VLOOKUP($B20,'[5]INSUMOS MARZO'!$A$2:$S$105,17,0),"")</f>
        <v>2787.2520000000004</v>
      </c>
      <c r="O20" s="154">
        <f t="shared" si="3"/>
        <v>0</v>
      </c>
      <c r="P20" s="152">
        <f>IFERROR(VLOOKUP($B20,'PEDIDO JULIO'!$A$10:$AG$200,11,0),"0")</f>
        <v>0</v>
      </c>
      <c r="Q20" s="153">
        <f>IFERROR(VLOOKUP($B20,'[5]INSUMOS MARZO'!$A$2:$S$105,17,0),"")</f>
        <v>2787.2520000000004</v>
      </c>
      <c r="R20" s="154">
        <f t="shared" si="4"/>
        <v>0</v>
      </c>
      <c r="S20" s="152">
        <f>IFERROR(VLOOKUP($B20,'PEDIDO JULIO'!$A$10:$AG$200,12,0),"0")</f>
        <v>0</v>
      </c>
      <c r="T20" s="153">
        <f>IFERROR(VLOOKUP($B20,'[5]INSUMOS MARZO'!$A$2:$S$105,17,0),"")</f>
        <v>2787.2520000000004</v>
      </c>
      <c r="U20" s="154">
        <f t="shared" si="5"/>
        <v>0</v>
      </c>
      <c r="V20" s="152">
        <f>IFERROR(VLOOKUP($B20,'PEDIDO JULIO'!$A$10:$AG$200,13,0),"0")</f>
        <v>0</v>
      </c>
      <c r="W20" s="153">
        <f>IFERROR(VLOOKUP($B20,'[5]INSUMOS MARZO'!$A$2:$S$105,17,0),"")</f>
        <v>2787.2520000000004</v>
      </c>
      <c r="X20" s="154">
        <f t="shared" si="6"/>
        <v>0</v>
      </c>
      <c r="Y20" s="152">
        <f>IFERROR(VLOOKUP($B20,'PEDIDO JULIO'!$A$10:$AG$200,14,0),"0")</f>
        <v>0</v>
      </c>
      <c r="Z20" s="153">
        <f>IFERROR(VLOOKUP($B20,'[5]INSUMOS MARZO'!$A$2:$S$105,17,0),"")</f>
        <v>2787.2520000000004</v>
      </c>
      <c r="AA20" s="154">
        <f t="shared" si="7"/>
        <v>0</v>
      </c>
      <c r="AB20" s="152">
        <f>IFERROR(VLOOKUP($B20,'PEDIDO JULIO'!$A$10:$AG$200,15,0),"0")</f>
        <v>0</v>
      </c>
      <c r="AC20" s="153">
        <f>IFERROR(VLOOKUP($B20,'[5]INSUMOS MARZO'!$A$2:$S$105,17,0),"")</f>
        <v>2787.2520000000004</v>
      </c>
      <c r="AD20" s="154">
        <f t="shared" si="8"/>
        <v>0</v>
      </c>
      <c r="AE20" s="152">
        <f>IFERROR(VLOOKUP($B20,'PEDIDO JULIO'!$A$10:$AG$200,16,0),"0")</f>
        <v>0</v>
      </c>
      <c r="AF20" s="153">
        <f>IFERROR(VLOOKUP($B20,'[5]INSUMOS MARZO'!$A$2:$S$105,17,0),"")</f>
        <v>2787.2520000000004</v>
      </c>
      <c r="AG20" s="154">
        <f t="shared" si="9"/>
        <v>0</v>
      </c>
      <c r="AH20" s="152">
        <f>IFERROR(VLOOKUP($B20,'PEDIDO JULIO'!$A$10:$AG$200,17,0),"0")</f>
        <v>8</v>
      </c>
      <c r="AI20" s="156">
        <f>IFERROR(VLOOKUP($B20,'[5]INSUMOS MARZO'!$A$2:$S$105,14,0),"")</f>
        <v>5373.6579000000002</v>
      </c>
      <c r="AJ20" s="154">
        <f t="shared" si="10"/>
        <v>42989.263200000001</v>
      </c>
      <c r="AK20" s="152">
        <f>IFERROR(VLOOKUP($B20,'PEDIDO JULIO'!$A$10:$AG$200,18,0),"0")</f>
        <v>0</v>
      </c>
      <c r="AL20" s="153">
        <f>IFERROR(VLOOKUP($B20,'[5]INSUMOS MARZO'!$A$2:$S$105,17,0),"")</f>
        <v>2787.2520000000004</v>
      </c>
      <c r="AM20" s="154">
        <f t="shared" si="11"/>
        <v>0</v>
      </c>
      <c r="AN20" s="152">
        <f>IFERROR(VLOOKUP($B20,'PEDIDO JULIO'!$A$10:$AG$200,19,0),"0")</f>
        <v>0</v>
      </c>
      <c r="AO20" s="153">
        <f>IFERROR(VLOOKUP($B20,'[5]INSUMOS MARZO'!$A$2:$S$105,17,0),"")</f>
        <v>2787.2520000000004</v>
      </c>
      <c r="AP20" s="154">
        <f t="shared" si="12"/>
        <v>0</v>
      </c>
      <c r="AQ20" s="152">
        <f>IFERROR(VLOOKUP($B20,'PEDIDO JULIO'!$A$10:$AG$200,20,0),"0")</f>
        <v>0</v>
      </c>
      <c r="AR20" s="153">
        <f>IFERROR(VLOOKUP($B20,'[5]INSUMOS MARZO'!$A$2:$S$105,17,0),"")</f>
        <v>2787.2520000000004</v>
      </c>
      <c r="AS20" s="154">
        <f t="shared" si="13"/>
        <v>0</v>
      </c>
      <c r="AT20" s="152">
        <f>IFERROR(VLOOKUP($B20,'PEDIDO JULIO'!$A$10:$AG$200,21,0),"0")</f>
        <v>0</v>
      </c>
      <c r="AU20" s="156">
        <f>IFERROR(VLOOKUP($B20,'[5]INSUMOS MARZO'!$A$2:$S$105,14,0),"")</f>
        <v>5373.6579000000002</v>
      </c>
      <c r="AV20" s="154">
        <f t="shared" si="14"/>
        <v>0</v>
      </c>
      <c r="AW20" s="152">
        <f>IFERROR(VLOOKUP($B20,'PEDIDO JULIO'!$A$10:$AG$200,22,0),"0")</f>
        <v>0</v>
      </c>
      <c r="AX20" s="153">
        <f>IFERROR(VLOOKUP($B20,'[5]INSUMOS MARZO'!$A$2:$S$105,17,0),"")</f>
        <v>2787.2520000000004</v>
      </c>
      <c r="AY20" s="154">
        <f t="shared" si="15"/>
        <v>0</v>
      </c>
      <c r="AZ20" s="152">
        <f>IFERROR(VLOOKUP($B20,'PEDIDO JULIO'!$A$10:$AG$200,23,0),"0")</f>
        <v>0</v>
      </c>
      <c r="BA20" s="153">
        <f>IFERROR(VLOOKUP($B20,'[5]INSUMOS MARZO'!$A$2:$S$105,17,0),"")</f>
        <v>2787.2520000000004</v>
      </c>
      <c r="BB20" s="154">
        <f t="shared" si="16"/>
        <v>0</v>
      </c>
      <c r="BC20" s="152">
        <f>IFERROR(VLOOKUP($B20,'PEDIDO JULIO'!$A$10:$AG$200,24,0),"0")</f>
        <v>0</v>
      </c>
      <c r="BD20" s="153">
        <f>IFERROR(VLOOKUP($B20,'[5]INSUMOS MARZO'!$A$2:$S$105,17,0),"")</f>
        <v>2787.2520000000004</v>
      </c>
      <c r="BE20" s="155">
        <f t="shared" si="17"/>
        <v>0</v>
      </c>
      <c r="BF20" s="152">
        <f>IFERROR(VLOOKUP($B20,'PEDIDO JULIO'!$A$10:$AG$200,25,0),"0")</f>
        <v>0</v>
      </c>
      <c r="BG20" s="153">
        <f>IFERROR(VLOOKUP($B20,'[5]INSUMOS MARZO'!$A$2:$S$105,17,0),"")</f>
        <v>2787.2520000000004</v>
      </c>
      <c r="BH20" s="155">
        <f t="shared" si="18"/>
        <v>0</v>
      </c>
      <c r="BI20" s="152">
        <f>IFERROR(VLOOKUP($B20,'PEDIDO JULIO'!$A$10:$AG$200,26,0),"0")</f>
        <v>0</v>
      </c>
      <c r="BJ20" s="153">
        <f>IFERROR(VLOOKUP($B20,'[5]INSUMOS MARZO'!$A$2:$S$105,17,0),"")</f>
        <v>2787.2520000000004</v>
      </c>
      <c r="BK20" s="154">
        <f t="shared" si="19"/>
        <v>0</v>
      </c>
      <c r="BL20" s="152">
        <f>IFERROR(VLOOKUP($B20,'PEDIDO JULIO'!$A$10:$AG$200,27,0),"0")</f>
        <v>0</v>
      </c>
      <c r="BM20" s="153">
        <f>IFERROR(VLOOKUP($B20,'[5]INSUMOS MARZO'!$A$2:$S$105,17,0),"")</f>
        <v>2787.2520000000004</v>
      </c>
      <c r="BN20" s="154">
        <f t="shared" si="20"/>
        <v>0</v>
      </c>
      <c r="BO20" s="152">
        <f>IFERROR(VLOOKUP($B20,'PEDIDO JULIO'!$A$10:$AG$200,28,0),"0")</f>
        <v>0</v>
      </c>
      <c r="BP20" s="153">
        <f>IFERROR(VLOOKUP($B20,'[5]INSUMOS MARZO'!$A$2:$S$105,17,0),"")</f>
        <v>2787.2520000000004</v>
      </c>
      <c r="BQ20" s="154">
        <f t="shared" si="21"/>
        <v>0</v>
      </c>
      <c r="BR20" s="152">
        <f>IFERROR(VLOOKUP($B20,'PEDIDO JULIO'!$A$10:$AG$200,29,0),"0")</f>
        <v>0</v>
      </c>
      <c r="BS20" s="153">
        <f>IFERROR(VLOOKUP($B20,'[5]INSUMOS MARZO'!$A$2:$S$105,17,0),"")</f>
        <v>2787.2520000000004</v>
      </c>
      <c r="BT20" s="155">
        <f t="shared" si="22"/>
        <v>0</v>
      </c>
      <c r="BU20" s="152">
        <f>IFERROR(VLOOKUP($B20,'PEDIDO JULIO'!$A$10:$AG$200,30,0),"0")</f>
        <v>0</v>
      </c>
      <c r="BV20" s="153">
        <f>IFERROR(VLOOKUP($B20,'[5]INSUMOS MARZO'!$A$2:$S$105,17,0),"")</f>
        <v>2787.2520000000004</v>
      </c>
      <c r="BW20" s="155">
        <f t="shared" si="23"/>
        <v>0</v>
      </c>
      <c r="BX20" s="152">
        <f>IFERROR(VLOOKUP($B20,'PEDIDO JULIO'!$A$10:$AG$200,31,0),"0")</f>
        <v>0</v>
      </c>
      <c r="BY20" s="153">
        <f>IFERROR(VLOOKUP($B20,'[5]INSUMOS MARZO'!$A$2:$S$105,17,0),"")</f>
        <v>2787.2520000000004</v>
      </c>
      <c r="BZ20" s="155">
        <f t="shared" si="24"/>
        <v>0</v>
      </c>
      <c r="CA20" s="152">
        <f>IFERROR(VLOOKUP($B20,'PEDIDO JULIO'!$A$10:$AG$200,32,0),"0")</f>
        <v>0</v>
      </c>
      <c r="CB20" s="153">
        <f>IFERROR(VLOOKUP($B20,'[5]INSUMOS MARZO'!$A$2:$S$105,17,0),"")</f>
        <v>2787.2520000000004</v>
      </c>
      <c r="CC20" s="155">
        <f t="shared" si="25"/>
        <v>0</v>
      </c>
      <c r="CD20" s="157">
        <f t="shared" si="26"/>
        <v>8</v>
      </c>
      <c r="CE20" s="158">
        <f t="shared" si="27"/>
        <v>0</v>
      </c>
      <c r="CF20" s="251">
        <v>0</v>
      </c>
      <c r="CG20" s="153">
        <f>IFERROR(VLOOKUP($B20,'[5]INSUMOS MARZO'!$A$2:$S$105,17,0),"")</f>
        <v>2787.2520000000004</v>
      </c>
      <c r="CH20" s="156">
        <f t="shared" si="28"/>
        <v>0</v>
      </c>
      <c r="CI20" s="251">
        <v>8</v>
      </c>
      <c r="CJ20" s="156">
        <f>IFERROR(VLOOKUP($B20,'[5]INSUMOS MARZO'!$A$2:$S$105,14,0),"")</f>
        <v>5373.6579000000002</v>
      </c>
      <c r="CK20" s="159">
        <f t="shared" si="29"/>
        <v>42989.263200000001</v>
      </c>
      <c r="CL20" s="160">
        <f t="shared" si="30"/>
        <v>42989.263200000001</v>
      </c>
      <c r="CM20" s="14">
        <f t="shared" si="31"/>
        <v>4298.9263200000005</v>
      </c>
      <c r="CN20" s="14">
        <f t="shared" si="32"/>
        <v>816.79600080000012</v>
      </c>
      <c r="CO20" s="14">
        <f t="shared" si="33"/>
        <v>48104.985520800001</v>
      </c>
      <c r="CQ20" s="19">
        <f t="shared" si="34"/>
        <v>42989.263200000001</v>
      </c>
      <c r="CR20" s="19" t="b">
        <f t="shared" si="35"/>
        <v>1</v>
      </c>
      <c r="CS20" s="19">
        <f t="shared" si="36"/>
        <v>0</v>
      </c>
    </row>
    <row r="21" spans="1:97" ht="14.45" customHeight="1">
      <c r="A21" s="3">
        <v>16</v>
      </c>
      <c r="B21" s="151">
        <v>46</v>
      </c>
      <c r="C21" s="4" t="s">
        <v>28</v>
      </c>
      <c r="D21" s="152">
        <f>IFERROR(VLOOKUP($B21,'[4]INSUMOS FEBRERO'!$A$2:$F$105,5,0),"")</f>
        <v>25</v>
      </c>
      <c r="E21" s="152" t="str">
        <f>IFERROR(VLOOKUP($B21,'PEDIDO JULIO'!$A$10:$AG$32,33,0),"0")</f>
        <v>0</v>
      </c>
      <c r="F21" s="152">
        <f t="shared" si="1"/>
        <v>-25</v>
      </c>
      <c r="G21" s="152" t="str">
        <f>IFERROR(VLOOKUP($B21,'PEDIDO JULIO'!$A$10:$AG$200,8,0),"0")</f>
        <v>0</v>
      </c>
      <c r="H21" s="153">
        <f>IFERROR(VLOOKUP($B21,'[5]INSUMOS MARZO'!$A$2:$S$105,17,0),"")</f>
        <v>7739.5640000000021</v>
      </c>
      <c r="I21" s="154">
        <f t="shared" si="0"/>
        <v>0</v>
      </c>
      <c r="J21" s="152" t="str">
        <f>IFERROR(VLOOKUP($B21,'PEDIDO JULIO'!$A$10:$AG$200,9,0),"0")</f>
        <v>0</v>
      </c>
      <c r="K21" s="153">
        <f>IFERROR(VLOOKUP($B21,'[5]INSUMOS MARZO'!$A$2:$S$105,17,0),"")</f>
        <v>7739.5640000000021</v>
      </c>
      <c r="L21" s="155">
        <f t="shared" si="2"/>
        <v>0</v>
      </c>
      <c r="M21" s="152" t="str">
        <f>IFERROR(VLOOKUP($B21,'PEDIDO JULIO'!$A$10:$AG$200,10,0),"0")</f>
        <v>0</v>
      </c>
      <c r="N21" s="153">
        <f>IFERROR(VLOOKUP($B21,'[5]INSUMOS MARZO'!$A$2:$S$105,17,0),"")</f>
        <v>7739.5640000000021</v>
      </c>
      <c r="O21" s="154">
        <f t="shared" si="3"/>
        <v>0</v>
      </c>
      <c r="P21" s="152" t="str">
        <f>IFERROR(VLOOKUP($B21,'PEDIDO JULIO'!$A$10:$AG$200,11,0),"0")</f>
        <v>0</v>
      </c>
      <c r="Q21" s="153">
        <f>IFERROR(VLOOKUP($B21,'[5]INSUMOS MARZO'!$A$2:$S$105,17,0),"")</f>
        <v>7739.5640000000021</v>
      </c>
      <c r="R21" s="154">
        <f t="shared" si="4"/>
        <v>0</v>
      </c>
      <c r="S21" s="152" t="str">
        <f>IFERROR(VLOOKUP($B21,'PEDIDO JULIO'!$A$10:$AG$200,12,0),"0")</f>
        <v>0</v>
      </c>
      <c r="T21" s="153">
        <f>IFERROR(VLOOKUP($B21,'[5]INSUMOS MARZO'!$A$2:$S$105,17,0),"")</f>
        <v>7739.5640000000021</v>
      </c>
      <c r="U21" s="154">
        <f t="shared" si="5"/>
        <v>0</v>
      </c>
      <c r="V21" s="152" t="str">
        <f>IFERROR(VLOOKUP($B21,'PEDIDO JULIO'!$A$10:$AG$200,13,0),"0")</f>
        <v>0</v>
      </c>
      <c r="W21" s="153">
        <f>IFERROR(VLOOKUP($B21,'[5]INSUMOS MARZO'!$A$2:$S$105,17,0),"")</f>
        <v>7739.5640000000021</v>
      </c>
      <c r="X21" s="154">
        <f t="shared" si="6"/>
        <v>0</v>
      </c>
      <c r="Y21" s="152" t="str">
        <f>IFERROR(VLOOKUP($B21,'PEDIDO JULIO'!$A$10:$AG$200,14,0),"0")</f>
        <v>0</v>
      </c>
      <c r="Z21" s="153">
        <f>IFERROR(VLOOKUP($B21,'[5]INSUMOS MARZO'!$A$2:$S$105,17,0),"")</f>
        <v>7739.5640000000021</v>
      </c>
      <c r="AA21" s="154">
        <f t="shared" si="7"/>
        <v>0</v>
      </c>
      <c r="AB21" s="152" t="str">
        <f>IFERROR(VLOOKUP($B21,'PEDIDO JULIO'!$A$10:$AG$200,15,0),"0")</f>
        <v>0</v>
      </c>
      <c r="AC21" s="153">
        <f>IFERROR(VLOOKUP($B21,'[5]INSUMOS MARZO'!$A$2:$S$105,17,0),"")</f>
        <v>7739.5640000000021</v>
      </c>
      <c r="AD21" s="154">
        <f t="shared" si="8"/>
        <v>0</v>
      </c>
      <c r="AE21" s="152" t="str">
        <f>IFERROR(VLOOKUP($B21,'PEDIDO JULIO'!$A$10:$AG$200,16,0),"0")</f>
        <v>0</v>
      </c>
      <c r="AF21" s="153">
        <f>IFERROR(VLOOKUP($B21,'[5]INSUMOS MARZO'!$A$2:$S$105,17,0),"")</f>
        <v>7739.5640000000021</v>
      </c>
      <c r="AG21" s="154">
        <f t="shared" si="9"/>
        <v>0</v>
      </c>
      <c r="AH21" s="152" t="str">
        <f>IFERROR(VLOOKUP($B21,'PEDIDO JULIO'!$A$10:$AG$200,17,0),"0")</f>
        <v>0</v>
      </c>
      <c r="AI21" s="153">
        <f>IFERROR(VLOOKUP($B21,'[5]INSUMOS MARZO'!$A$2:$S$105,17,0),"")</f>
        <v>7739.5640000000021</v>
      </c>
      <c r="AJ21" s="154">
        <f t="shared" si="10"/>
        <v>0</v>
      </c>
      <c r="AK21" s="152" t="str">
        <f>IFERROR(VLOOKUP($B21,'PEDIDO JULIO'!$A$10:$AG$200,18,0),"0")</f>
        <v>0</v>
      </c>
      <c r="AL21" s="153">
        <f>IFERROR(VLOOKUP($B21,'[5]INSUMOS MARZO'!$A$2:$S$105,17,0),"")</f>
        <v>7739.5640000000021</v>
      </c>
      <c r="AM21" s="154">
        <f t="shared" si="11"/>
        <v>0</v>
      </c>
      <c r="AN21" s="152" t="str">
        <f>IFERROR(VLOOKUP($B21,'PEDIDO JULIO'!$A$10:$AG$200,19,0),"0")</f>
        <v>0</v>
      </c>
      <c r="AO21" s="153">
        <f>IFERROR(VLOOKUP($B21,'[5]INSUMOS MARZO'!$A$2:$S$105,17,0),"")</f>
        <v>7739.5640000000021</v>
      </c>
      <c r="AP21" s="154">
        <f t="shared" si="12"/>
        <v>0</v>
      </c>
      <c r="AQ21" s="152" t="str">
        <f>IFERROR(VLOOKUP($B21,'PEDIDO JULIO'!$A$10:$AG$200,20,0),"0")</f>
        <v>0</v>
      </c>
      <c r="AR21" s="153">
        <f>IFERROR(VLOOKUP($B21,'[5]INSUMOS MARZO'!$A$2:$S$105,17,0),"")</f>
        <v>7739.5640000000021</v>
      </c>
      <c r="AS21" s="154">
        <f t="shared" si="13"/>
        <v>0</v>
      </c>
      <c r="AT21" s="152" t="str">
        <f>IFERROR(VLOOKUP($B21,'PEDIDO JULIO'!$A$10:$AG$200,21,0),"0")</f>
        <v>0</v>
      </c>
      <c r="AU21" s="156">
        <f>IFERROR(VLOOKUP($B21,'[5]INSUMOS MARZO'!$A$2:$S$105,14,0),"")</f>
        <v>26568.439200000001</v>
      </c>
      <c r="AV21" s="154">
        <f t="shared" si="14"/>
        <v>0</v>
      </c>
      <c r="AW21" s="152" t="str">
        <f>IFERROR(VLOOKUP($B21,'PEDIDO JULIO'!$A$10:$AG$200,22,0),"0")</f>
        <v>0</v>
      </c>
      <c r="AX21" s="153">
        <f>IFERROR(VLOOKUP($B21,'[5]INSUMOS MARZO'!$A$2:$S$105,17,0),"")</f>
        <v>7739.5640000000021</v>
      </c>
      <c r="AY21" s="154">
        <f t="shared" si="15"/>
        <v>0</v>
      </c>
      <c r="AZ21" s="152" t="str">
        <f>IFERROR(VLOOKUP($B21,'PEDIDO JULIO'!$A$10:$AG$200,23,0),"0")</f>
        <v>0</v>
      </c>
      <c r="BA21" s="153">
        <f>IFERROR(VLOOKUP($B21,'[5]INSUMOS MARZO'!$A$2:$S$105,17,0),"")</f>
        <v>7739.5640000000021</v>
      </c>
      <c r="BB21" s="154">
        <f t="shared" si="16"/>
        <v>0</v>
      </c>
      <c r="BC21" s="152" t="str">
        <f>IFERROR(VLOOKUP($B21,'PEDIDO JULIO'!$A$10:$AG$200,24,0),"0")</f>
        <v>0</v>
      </c>
      <c r="BD21" s="153">
        <f>IFERROR(VLOOKUP($B21,'[5]INSUMOS MARZO'!$A$2:$S$105,17,0),"")</f>
        <v>7739.5640000000021</v>
      </c>
      <c r="BE21" s="155">
        <f t="shared" si="17"/>
        <v>0</v>
      </c>
      <c r="BF21" s="152" t="str">
        <f>IFERROR(VLOOKUP($B21,'PEDIDO JULIO'!$A$10:$AG$200,25,0),"0")</f>
        <v>0</v>
      </c>
      <c r="BG21" s="153">
        <f>IFERROR(VLOOKUP($B21,'[5]INSUMOS MARZO'!$A$2:$S$105,17,0),"")</f>
        <v>7739.5640000000021</v>
      </c>
      <c r="BH21" s="155">
        <f t="shared" si="18"/>
        <v>0</v>
      </c>
      <c r="BI21" s="152" t="str">
        <f>IFERROR(VLOOKUP($B21,'PEDIDO JULIO'!$A$10:$AG$200,26,0),"0")</f>
        <v>0</v>
      </c>
      <c r="BJ21" s="153">
        <f>IFERROR(VLOOKUP($B21,'[5]INSUMOS MARZO'!$A$2:$S$105,17,0),"")</f>
        <v>7739.5640000000021</v>
      </c>
      <c r="BK21" s="154">
        <f t="shared" si="19"/>
        <v>0</v>
      </c>
      <c r="BL21" s="152" t="str">
        <f>IFERROR(VLOOKUP($B21,'PEDIDO JULIO'!$A$10:$AG$200,27,0),"0")</f>
        <v>0</v>
      </c>
      <c r="BM21" s="153">
        <f>IFERROR(VLOOKUP($B21,'[5]INSUMOS MARZO'!$A$2:$S$105,17,0),"")</f>
        <v>7739.5640000000021</v>
      </c>
      <c r="BN21" s="154">
        <f t="shared" si="20"/>
        <v>0</v>
      </c>
      <c r="BO21" s="152" t="str">
        <f>IFERROR(VLOOKUP($B21,'PEDIDO JULIO'!$A$10:$AG$200,28,0),"0")</f>
        <v>0</v>
      </c>
      <c r="BP21" s="153">
        <f>IFERROR(VLOOKUP($B21,'[5]INSUMOS MARZO'!$A$2:$S$105,17,0),"")</f>
        <v>7739.5640000000021</v>
      </c>
      <c r="BQ21" s="154">
        <f t="shared" si="21"/>
        <v>0</v>
      </c>
      <c r="BR21" s="152" t="str">
        <f>IFERROR(VLOOKUP($B21,'PEDIDO JULIO'!$A$10:$AG$200,29,0),"0")</f>
        <v>0</v>
      </c>
      <c r="BS21" s="153">
        <f>IFERROR(VLOOKUP($B21,'[5]INSUMOS MARZO'!$A$2:$S$105,17,0),"")</f>
        <v>7739.5640000000021</v>
      </c>
      <c r="BT21" s="155">
        <f t="shared" si="22"/>
        <v>0</v>
      </c>
      <c r="BU21" s="152" t="str">
        <f>IFERROR(VLOOKUP($B21,'PEDIDO JULIO'!$A$10:$AG$200,30,0),"0")</f>
        <v>0</v>
      </c>
      <c r="BV21" s="153">
        <f>IFERROR(VLOOKUP($B21,'[5]INSUMOS MARZO'!$A$2:$S$105,17,0),"")</f>
        <v>7739.5640000000021</v>
      </c>
      <c r="BW21" s="155">
        <f t="shared" si="23"/>
        <v>0</v>
      </c>
      <c r="BX21" s="152" t="str">
        <f>IFERROR(VLOOKUP($B21,'PEDIDO JULIO'!$A$10:$AG$200,31,0),"0")</f>
        <v>0</v>
      </c>
      <c r="BY21" s="153">
        <f>IFERROR(VLOOKUP($B21,'[5]INSUMOS MARZO'!$A$2:$S$105,17,0),"")</f>
        <v>7739.5640000000021</v>
      </c>
      <c r="BZ21" s="155">
        <f t="shared" si="24"/>
        <v>0</v>
      </c>
      <c r="CA21" s="152" t="str">
        <f>IFERROR(VLOOKUP($B21,'PEDIDO JULIO'!$A$10:$AG$200,32,0),"0")</f>
        <v>0</v>
      </c>
      <c r="CB21" s="153">
        <f>IFERROR(VLOOKUP($B21,'[5]INSUMOS MARZO'!$A$2:$S$105,17,0),"")</f>
        <v>7739.5640000000021</v>
      </c>
      <c r="CC21" s="155">
        <f t="shared" si="25"/>
        <v>0</v>
      </c>
      <c r="CD21" s="157">
        <f t="shared" si="26"/>
        <v>0</v>
      </c>
      <c r="CE21" s="158">
        <f t="shared" si="27"/>
        <v>0</v>
      </c>
      <c r="CF21" s="251">
        <f>IFERROR(VLOOKUP($B21,'MATRIZ INSUMOS '!$A$3:$P$106,16,0),"")</f>
        <v>0</v>
      </c>
      <c r="CG21" s="153">
        <f>IFERROR(VLOOKUP($B21,'[5]INSUMOS MARZO'!$A$2:$S$105,17,0),"")</f>
        <v>7739.5640000000021</v>
      </c>
      <c r="CH21" s="156">
        <f t="shared" si="28"/>
        <v>0</v>
      </c>
      <c r="CI21" s="251">
        <f>IFERROR(VLOOKUP($B21,'MATRIZ INSUMOS '!$A$3:$P$106,10,0),"")</f>
        <v>0</v>
      </c>
      <c r="CJ21" s="156">
        <f>IFERROR(VLOOKUP($B21,'[5]INSUMOS MARZO'!$A$2:$S$105,14,0),"")</f>
        <v>26568.439200000001</v>
      </c>
      <c r="CK21" s="159">
        <f t="shared" si="29"/>
        <v>0</v>
      </c>
      <c r="CL21" s="160">
        <f t="shared" si="30"/>
        <v>0</v>
      </c>
      <c r="CM21" s="14">
        <f t="shared" si="31"/>
        <v>0</v>
      </c>
      <c r="CN21" s="14">
        <f t="shared" si="32"/>
        <v>0</v>
      </c>
      <c r="CO21" s="14">
        <f t="shared" si="33"/>
        <v>0</v>
      </c>
      <c r="CQ21" s="19">
        <f t="shared" si="34"/>
        <v>0</v>
      </c>
      <c r="CR21" s="19" t="b">
        <f t="shared" si="35"/>
        <v>1</v>
      </c>
      <c r="CS21" s="19">
        <f t="shared" si="36"/>
        <v>0</v>
      </c>
    </row>
    <row r="22" spans="1:97" ht="12.6" customHeight="1">
      <c r="A22" s="3">
        <v>17</v>
      </c>
      <c r="B22" s="151">
        <v>50</v>
      </c>
      <c r="C22" s="4" t="s">
        <v>29</v>
      </c>
      <c r="D22" s="152">
        <f>IFERROR(VLOOKUP($B22,'[4]INSUMOS FEBRERO'!$A$2:$F$105,5,0),"")</f>
        <v>25</v>
      </c>
      <c r="E22" s="152">
        <f>IFERROR(VLOOKUP($B22,'PEDIDO JULIO'!$A$10:$AG$32,33,0),"0")</f>
        <v>8</v>
      </c>
      <c r="F22" s="152">
        <f t="shared" si="1"/>
        <v>-17</v>
      </c>
      <c r="G22" s="152">
        <f>IFERROR(VLOOKUP($B22,'PEDIDO JULIO'!$A$10:$AG$200,8,0),"0")</f>
        <v>0</v>
      </c>
      <c r="H22" s="153">
        <f>IFERROR(VLOOKUP($B22,'[5]INSUMOS MARZO'!$A$2:$S$105,17,0),"")</f>
        <v>38567.495999999999</v>
      </c>
      <c r="I22" s="154">
        <f t="shared" si="0"/>
        <v>0</v>
      </c>
      <c r="J22" s="152">
        <f>IFERROR(VLOOKUP($B22,'PEDIDO JULIO'!$A$10:$AG$200,9,0),"0")</f>
        <v>0</v>
      </c>
      <c r="K22" s="153">
        <f>IFERROR(VLOOKUP($B22,'[5]INSUMOS MARZO'!$A$2:$S$105,17,0),"")</f>
        <v>38567.495999999999</v>
      </c>
      <c r="L22" s="155">
        <f t="shared" si="2"/>
        <v>0</v>
      </c>
      <c r="M22" s="152">
        <f>IFERROR(VLOOKUP($B22,'PEDIDO JULIO'!$A$10:$AG$200,10,0),"0")</f>
        <v>0</v>
      </c>
      <c r="N22" s="153">
        <f>IFERROR(VLOOKUP($B22,'[5]INSUMOS MARZO'!$A$2:$S$105,17,0),"")</f>
        <v>38567.495999999999</v>
      </c>
      <c r="O22" s="154">
        <f t="shared" si="3"/>
        <v>0</v>
      </c>
      <c r="P22" s="152">
        <f>IFERROR(VLOOKUP($B22,'PEDIDO JULIO'!$A$10:$AG$200,11,0),"0")</f>
        <v>0</v>
      </c>
      <c r="Q22" s="153">
        <f>IFERROR(VLOOKUP($B22,'[5]INSUMOS MARZO'!$A$2:$S$105,17,0),"")</f>
        <v>38567.495999999999</v>
      </c>
      <c r="R22" s="154">
        <f t="shared" si="4"/>
        <v>0</v>
      </c>
      <c r="S22" s="152">
        <f>IFERROR(VLOOKUP($B22,'PEDIDO JULIO'!$A$10:$AG$200,12,0),"0")</f>
        <v>0</v>
      </c>
      <c r="T22" s="156">
        <f>IFERROR(VLOOKUP($B22,'[5]INSUMOS MARZO'!$A$2:$S$105,14,0),"")</f>
        <v>48162.390299999999</v>
      </c>
      <c r="U22" s="154">
        <f t="shared" si="5"/>
        <v>0</v>
      </c>
      <c r="V22" s="152">
        <f>IFERROR(VLOOKUP($B22,'PEDIDO JULIO'!$A$10:$AG$200,13,0),"0")</f>
        <v>0</v>
      </c>
      <c r="W22" s="156">
        <f>IFERROR(VLOOKUP($B22,'[5]INSUMOS MARZO'!$A$2:$S$105,14,0),"")</f>
        <v>48162.390299999999</v>
      </c>
      <c r="X22" s="154">
        <f t="shared" si="6"/>
        <v>0</v>
      </c>
      <c r="Y22" s="152">
        <f>IFERROR(VLOOKUP($B22,'PEDIDO JULIO'!$A$10:$AG$200,14,0),"0")</f>
        <v>3</v>
      </c>
      <c r="Z22" s="153">
        <f>IFERROR(VLOOKUP($B22,'[5]INSUMOS MARZO'!$A$2:$S$105,17,0),"")</f>
        <v>38567.495999999999</v>
      </c>
      <c r="AA22" s="154">
        <f t="shared" si="7"/>
        <v>115702.488</v>
      </c>
      <c r="AB22" s="152">
        <f>IFERROR(VLOOKUP($B22,'PEDIDO JULIO'!$A$10:$AG$200,15,0),"0")</f>
        <v>0</v>
      </c>
      <c r="AC22" s="156">
        <f>IFERROR(VLOOKUP($B22,'[5]INSUMOS MARZO'!$A$2:$S$105,14,0),"")</f>
        <v>48162.390299999999</v>
      </c>
      <c r="AD22" s="154">
        <f t="shared" si="8"/>
        <v>0</v>
      </c>
      <c r="AE22" s="152">
        <f>IFERROR(VLOOKUP($B22,'PEDIDO JULIO'!$A$10:$AG$200,16,0),"0")</f>
        <v>5</v>
      </c>
      <c r="AF22" s="153">
        <f>IFERROR(VLOOKUP($B22,'[5]INSUMOS MARZO'!$A$2:$S$105,17,0),"")</f>
        <v>38567.495999999999</v>
      </c>
      <c r="AG22" s="154">
        <f t="shared" si="9"/>
        <v>192837.47999999998</v>
      </c>
      <c r="AH22" s="152">
        <f>IFERROR(VLOOKUP($B22,'PEDIDO JULIO'!$A$10:$AG$200,17,0),"0")</f>
        <v>0</v>
      </c>
      <c r="AI22" s="153">
        <f>IFERROR(VLOOKUP($B22,'[5]INSUMOS MARZO'!$A$2:$S$105,17,0),"")</f>
        <v>38567.495999999999</v>
      </c>
      <c r="AJ22" s="154">
        <f t="shared" si="10"/>
        <v>0</v>
      </c>
      <c r="AK22" s="152">
        <f>IFERROR(VLOOKUP($B22,'PEDIDO JULIO'!$A$10:$AG$200,18,0),"0")</f>
        <v>0</v>
      </c>
      <c r="AL22" s="156">
        <f>IFERROR(VLOOKUP($B22,'[5]INSUMOS MARZO'!$A$2:$S$105,14,0),"")</f>
        <v>48162.390299999999</v>
      </c>
      <c r="AM22" s="154">
        <f t="shared" si="11"/>
        <v>0</v>
      </c>
      <c r="AN22" s="152">
        <f>IFERROR(VLOOKUP($B22,'PEDIDO JULIO'!$A$10:$AG$200,19,0),"0")</f>
        <v>0</v>
      </c>
      <c r="AO22" s="153">
        <f>IFERROR(VLOOKUP($B22,'[5]INSUMOS MARZO'!$A$2:$S$105,17,0),"")</f>
        <v>38567.495999999999</v>
      </c>
      <c r="AP22" s="154">
        <f t="shared" si="12"/>
        <v>0</v>
      </c>
      <c r="AQ22" s="152">
        <f>IFERROR(VLOOKUP($B22,'PEDIDO JULIO'!$A$10:$AG$200,20,0),"0")</f>
        <v>0</v>
      </c>
      <c r="AR22" s="153">
        <f>IFERROR(VLOOKUP($B22,'[5]INSUMOS MARZO'!$A$2:$S$105,17,0),"")</f>
        <v>38567.495999999999</v>
      </c>
      <c r="AS22" s="154">
        <f t="shared" si="13"/>
        <v>0</v>
      </c>
      <c r="AT22" s="152">
        <f>IFERROR(VLOOKUP($B22,'PEDIDO JULIO'!$A$10:$AG$200,21,0),"0")</f>
        <v>0</v>
      </c>
      <c r="AU22" s="156">
        <f>IFERROR(VLOOKUP($B22,'[5]INSUMOS MARZO'!$A$2:$S$105,14,0),"")</f>
        <v>48162.390299999999</v>
      </c>
      <c r="AV22" s="154">
        <f t="shared" si="14"/>
        <v>0</v>
      </c>
      <c r="AW22" s="152">
        <f>IFERROR(VLOOKUP($B22,'PEDIDO JULIO'!$A$10:$AG$200,22,0),"0")</f>
        <v>0</v>
      </c>
      <c r="AX22" s="156">
        <f>IFERROR(VLOOKUP($B22,'[5]INSUMOS MARZO'!$A$2:$S$105,14,0),"")</f>
        <v>48162.390299999999</v>
      </c>
      <c r="AY22" s="154">
        <f t="shared" si="15"/>
        <v>0</v>
      </c>
      <c r="AZ22" s="152">
        <f>IFERROR(VLOOKUP($B22,'PEDIDO JULIO'!$A$10:$AG$200,23,0),"0")</f>
        <v>0</v>
      </c>
      <c r="BA22" s="153">
        <f>IFERROR(VLOOKUP($B22,'[5]INSUMOS MARZO'!$A$2:$S$105,17,0),"")</f>
        <v>38567.495999999999</v>
      </c>
      <c r="BB22" s="154">
        <f t="shared" si="16"/>
        <v>0</v>
      </c>
      <c r="BC22" s="152">
        <f>IFERROR(VLOOKUP($B22,'PEDIDO JULIO'!$A$10:$AG$200,24,0),"0")</f>
        <v>0</v>
      </c>
      <c r="BD22" s="153">
        <f>IFERROR(VLOOKUP($B22,'[5]INSUMOS MARZO'!$A$2:$S$105,17,0),"")</f>
        <v>38567.495999999999</v>
      </c>
      <c r="BE22" s="155">
        <f t="shared" si="17"/>
        <v>0</v>
      </c>
      <c r="BF22" s="152">
        <f>IFERROR(VLOOKUP($B22,'PEDIDO JULIO'!$A$10:$AG$200,25,0),"0")</f>
        <v>0</v>
      </c>
      <c r="BG22" s="153">
        <f>IFERROR(VLOOKUP($B22,'[5]INSUMOS MARZO'!$A$2:$S$105,17,0),"")</f>
        <v>38567.495999999999</v>
      </c>
      <c r="BH22" s="155">
        <f t="shared" si="18"/>
        <v>0</v>
      </c>
      <c r="BI22" s="152">
        <f>IFERROR(VLOOKUP($B22,'PEDIDO JULIO'!$A$10:$AG$200,26,0),"0")</f>
        <v>0</v>
      </c>
      <c r="BJ22" s="153">
        <f>IFERROR(VLOOKUP($B22,'[5]INSUMOS MARZO'!$A$2:$S$105,17,0),"")</f>
        <v>38567.495999999999</v>
      </c>
      <c r="BK22" s="154">
        <f t="shared" si="19"/>
        <v>0</v>
      </c>
      <c r="BL22" s="152">
        <f>IFERROR(VLOOKUP($B22,'PEDIDO JULIO'!$A$10:$AG$200,27,0),"0")</f>
        <v>0</v>
      </c>
      <c r="BM22" s="153">
        <f>IFERROR(VLOOKUP($B22,'[5]INSUMOS MARZO'!$A$2:$S$105,17,0),"")</f>
        <v>38567.495999999999</v>
      </c>
      <c r="BN22" s="154">
        <f t="shared" si="20"/>
        <v>0</v>
      </c>
      <c r="BO22" s="152">
        <f>IFERROR(VLOOKUP($B22,'PEDIDO JULIO'!$A$10:$AG$200,28,0),"0")</f>
        <v>0</v>
      </c>
      <c r="BP22" s="153">
        <f>IFERROR(VLOOKUP($B22,'[5]INSUMOS MARZO'!$A$2:$S$105,17,0),"")</f>
        <v>38567.495999999999</v>
      </c>
      <c r="BQ22" s="154">
        <f t="shared" si="21"/>
        <v>0</v>
      </c>
      <c r="BR22" s="152">
        <f>IFERROR(VLOOKUP($B22,'PEDIDO JULIO'!$A$10:$AG$200,29,0),"0")</f>
        <v>0</v>
      </c>
      <c r="BS22" s="156">
        <f>IFERROR(VLOOKUP($B22,'[5]INSUMOS MARZO'!$A$2:$S$105,14,0),"")</f>
        <v>48162.390299999999</v>
      </c>
      <c r="BT22" s="155">
        <f t="shared" si="22"/>
        <v>0</v>
      </c>
      <c r="BU22" s="152">
        <f>IFERROR(VLOOKUP($B22,'PEDIDO JULIO'!$A$10:$AG$200,30,0),"0")</f>
        <v>0</v>
      </c>
      <c r="BV22" s="153">
        <f>IFERROR(VLOOKUP($B22,'[5]INSUMOS MARZO'!$A$2:$S$105,17,0),"")</f>
        <v>38567.495999999999</v>
      </c>
      <c r="BW22" s="155">
        <f t="shared" si="23"/>
        <v>0</v>
      </c>
      <c r="BX22" s="152">
        <f>IFERROR(VLOOKUP($B22,'PEDIDO JULIO'!$A$10:$AG$200,31,0),"0")</f>
        <v>0</v>
      </c>
      <c r="BY22" s="153">
        <f>IFERROR(VLOOKUP($B22,'[5]INSUMOS MARZO'!$A$2:$S$105,17,0),"")</f>
        <v>38567.495999999999</v>
      </c>
      <c r="BZ22" s="155">
        <f t="shared" si="24"/>
        <v>0</v>
      </c>
      <c r="CA22" s="152">
        <f>IFERROR(VLOOKUP($B22,'PEDIDO JULIO'!$A$10:$AG$200,32,0),"0")</f>
        <v>0</v>
      </c>
      <c r="CB22" s="153">
        <f>IFERROR(VLOOKUP($B22,'[5]INSUMOS MARZO'!$A$2:$S$105,17,0),"")</f>
        <v>38567.495999999999</v>
      </c>
      <c r="CC22" s="155">
        <f t="shared" si="25"/>
        <v>0</v>
      </c>
      <c r="CD22" s="157">
        <f t="shared" si="26"/>
        <v>8</v>
      </c>
      <c r="CE22" s="158">
        <f t="shared" si="27"/>
        <v>0</v>
      </c>
      <c r="CF22" s="251">
        <f>IFERROR(VLOOKUP($B22,'MATRIZ INSUMOS '!$A$3:$P$106,16,0),"")</f>
        <v>8</v>
      </c>
      <c r="CG22" s="153">
        <f>IFERROR(VLOOKUP($B22,'[5]INSUMOS MARZO'!$A$2:$S$105,17,0),"")</f>
        <v>38567.495999999999</v>
      </c>
      <c r="CH22" s="156">
        <f t="shared" si="28"/>
        <v>308539.96799999999</v>
      </c>
      <c r="CI22" s="251">
        <f>IFERROR(VLOOKUP($B22,'MATRIZ INSUMOS '!$A$3:$P$106,10,0),"")</f>
        <v>0</v>
      </c>
      <c r="CJ22" s="156">
        <f>IFERROR(VLOOKUP($B22,'[5]INSUMOS MARZO'!$A$2:$S$105,14,0),"")</f>
        <v>48162.390299999999</v>
      </c>
      <c r="CK22" s="159">
        <f t="shared" si="29"/>
        <v>0</v>
      </c>
      <c r="CL22" s="160">
        <f>+L22+BE22+BH22+BT22+BW22+BZ22+CC22+I22+O22+R22+U22+X22+AA22+AD22+AG22+AJ22+AM22+AP22+AS22+AV22+AY22+BB22+BK22+BN22+BQ22</f>
        <v>308539.96799999999</v>
      </c>
      <c r="CM22" s="14">
        <f t="shared" si="31"/>
        <v>30853.996800000001</v>
      </c>
      <c r="CN22" s="14">
        <f t="shared" si="32"/>
        <v>5862.2593919999999</v>
      </c>
      <c r="CO22" s="14">
        <f t="shared" si="33"/>
        <v>345256.22419199999</v>
      </c>
      <c r="CQ22" s="19">
        <f t="shared" si="34"/>
        <v>308539.96799999999</v>
      </c>
      <c r="CR22" s="19" t="b">
        <f t="shared" si="35"/>
        <v>1</v>
      </c>
      <c r="CS22" s="19">
        <f t="shared" si="36"/>
        <v>0</v>
      </c>
    </row>
    <row r="23" spans="1:97" ht="12.6" customHeight="1">
      <c r="A23" s="3">
        <v>18</v>
      </c>
      <c r="B23" s="151">
        <v>51</v>
      </c>
      <c r="C23" s="4" t="s">
        <v>30</v>
      </c>
      <c r="D23" s="152">
        <f>IFERROR(VLOOKUP($B23,'[4]INSUMOS FEBRERO'!$A$2:$F$105,5,0),"")</f>
        <v>25</v>
      </c>
      <c r="E23" s="152" t="str">
        <f>IFERROR(VLOOKUP($B23,'PEDIDO JULIO'!$A$10:$AG$32,33,0),"0")</f>
        <v>0</v>
      </c>
      <c r="F23" s="152">
        <f t="shared" si="1"/>
        <v>-25</v>
      </c>
      <c r="G23" s="152" t="str">
        <f>IFERROR(VLOOKUP($B23,'PEDIDO JULIO'!$A$10:$AG$200,8,0),"0")</f>
        <v>0</v>
      </c>
      <c r="H23" s="153">
        <f>IFERROR(VLOOKUP($B23,'[5]INSUMOS MARZO'!$A$2:$S$105,17,0),"")</f>
        <v>7739.5640000000021</v>
      </c>
      <c r="I23" s="154">
        <f t="shared" si="0"/>
        <v>0</v>
      </c>
      <c r="J23" s="152" t="str">
        <f>IFERROR(VLOOKUP($B23,'PEDIDO JULIO'!$A$10:$AG$200,9,0),"0")</f>
        <v>0</v>
      </c>
      <c r="K23" s="153">
        <f>IFERROR(VLOOKUP($B23,'[5]INSUMOS MARZO'!$A$2:$S$105,17,0),"")</f>
        <v>7739.5640000000021</v>
      </c>
      <c r="L23" s="155">
        <f t="shared" si="2"/>
        <v>0</v>
      </c>
      <c r="M23" s="152" t="str">
        <f>IFERROR(VLOOKUP($B23,'PEDIDO JULIO'!$A$10:$AG$200,10,0),"0")</f>
        <v>0</v>
      </c>
      <c r="N23" s="153">
        <f>IFERROR(VLOOKUP($B23,'[5]INSUMOS MARZO'!$A$2:$S$105,17,0),"")</f>
        <v>7739.5640000000021</v>
      </c>
      <c r="O23" s="154">
        <f t="shared" si="3"/>
        <v>0</v>
      </c>
      <c r="P23" s="152" t="str">
        <f>IFERROR(VLOOKUP($B23,'PEDIDO JULIO'!$A$10:$AG$200,11,0),"0")</f>
        <v>0</v>
      </c>
      <c r="Q23" s="153">
        <f>IFERROR(VLOOKUP($B23,'[5]INSUMOS MARZO'!$A$2:$S$105,17,0),"")</f>
        <v>7739.5640000000021</v>
      </c>
      <c r="R23" s="154">
        <f t="shared" si="4"/>
        <v>0</v>
      </c>
      <c r="S23" s="152" t="str">
        <f>IFERROR(VLOOKUP($B23,'PEDIDO JULIO'!$A$10:$AG$200,12,0),"0")</f>
        <v>0</v>
      </c>
      <c r="T23" s="153">
        <f>IFERROR(VLOOKUP($B23,'[5]INSUMOS MARZO'!$A$2:$S$105,17,0),"")</f>
        <v>7739.5640000000021</v>
      </c>
      <c r="U23" s="154">
        <f t="shared" si="5"/>
        <v>0</v>
      </c>
      <c r="V23" s="152" t="str">
        <f>IFERROR(VLOOKUP($B23,'PEDIDO JULIO'!$A$10:$AG$200,13,0),"0")</f>
        <v>0</v>
      </c>
      <c r="W23" s="153">
        <f>IFERROR(VLOOKUP($B23,'[5]INSUMOS MARZO'!$A$2:$S$105,17,0),"")</f>
        <v>7739.5640000000021</v>
      </c>
      <c r="X23" s="154">
        <f t="shared" si="6"/>
        <v>0</v>
      </c>
      <c r="Y23" s="152" t="str">
        <f>IFERROR(VLOOKUP($B23,'PEDIDO JULIO'!$A$10:$AG$200,14,0),"0")</f>
        <v>0</v>
      </c>
      <c r="Z23" s="153">
        <f>IFERROR(VLOOKUP($B23,'[5]INSUMOS MARZO'!$A$2:$S$105,17,0),"")</f>
        <v>7739.5640000000021</v>
      </c>
      <c r="AA23" s="154">
        <f t="shared" si="7"/>
        <v>0</v>
      </c>
      <c r="AB23" s="152" t="str">
        <f>IFERROR(VLOOKUP($B23,'PEDIDO JULIO'!$A$10:$AG$200,15,0),"0")</f>
        <v>0</v>
      </c>
      <c r="AC23" s="153">
        <f>IFERROR(VLOOKUP($B23,'[5]INSUMOS MARZO'!$A$2:$S$105,17,0),"")</f>
        <v>7739.5640000000021</v>
      </c>
      <c r="AD23" s="154">
        <f t="shared" si="8"/>
        <v>0</v>
      </c>
      <c r="AE23" s="152" t="str">
        <f>IFERROR(VLOOKUP($B23,'PEDIDO JULIO'!$A$10:$AG$200,16,0),"0")</f>
        <v>0</v>
      </c>
      <c r="AF23" s="153">
        <f>IFERROR(VLOOKUP($B23,'[5]INSUMOS MARZO'!$A$2:$S$105,17,0),"")</f>
        <v>7739.5640000000021</v>
      </c>
      <c r="AG23" s="154">
        <f t="shared" si="9"/>
        <v>0</v>
      </c>
      <c r="AH23" s="152" t="str">
        <f>IFERROR(VLOOKUP($B23,'PEDIDO JULIO'!$A$10:$AG$200,17,0),"0")</f>
        <v>0</v>
      </c>
      <c r="AI23" s="153">
        <f>IFERROR(VLOOKUP($B23,'[5]INSUMOS MARZO'!$A$2:$S$105,17,0),"")</f>
        <v>7739.5640000000021</v>
      </c>
      <c r="AJ23" s="154">
        <f t="shared" si="10"/>
        <v>0</v>
      </c>
      <c r="AK23" s="152" t="str">
        <f>IFERROR(VLOOKUP($B23,'PEDIDO JULIO'!$A$10:$AG$200,18,0),"0")</f>
        <v>0</v>
      </c>
      <c r="AL23" s="153">
        <f>IFERROR(VLOOKUP($B23,'[5]INSUMOS MARZO'!$A$2:$S$105,17,0),"")</f>
        <v>7739.5640000000021</v>
      </c>
      <c r="AM23" s="154">
        <f t="shared" si="11"/>
        <v>0</v>
      </c>
      <c r="AN23" s="152" t="str">
        <f>IFERROR(VLOOKUP($B23,'PEDIDO JULIO'!$A$10:$AG$200,19,0),"0")</f>
        <v>0</v>
      </c>
      <c r="AO23" s="153">
        <f>IFERROR(VLOOKUP($B23,'[5]INSUMOS MARZO'!$A$2:$S$105,17,0),"")</f>
        <v>7739.5640000000021</v>
      </c>
      <c r="AP23" s="154">
        <f t="shared" si="12"/>
        <v>0</v>
      </c>
      <c r="AQ23" s="152" t="str">
        <f>IFERROR(VLOOKUP($B23,'PEDIDO JULIO'!$A$10:$AG$200,20,0),"0")</f>
        <v>0</v>
      </c>
      <c r="AR23" s="153">
        <f>IFERROR(VLOOKUP($B23,'[5]INSUMOS MARZO'!$A$2:$S$105,17,0),"")</f>
        <v>7739.5640000000021</v>
      </c>
      <c r="AS23" s="154">
        <f t="shared" si="13"/>
        <v>0</v>
      </c>
      <c r="AT23" s="152" t="str">
        <f>IFERROR(VLOOKUP($B23,'PEDIDO JULIO'!$A$10:$AG$200,21,0),"0")</f>
        <v>0</v>
      </c>
      <c r="AU23" s="156">
        <f>IFERROR(VLOOKUP($B23,'[5]INSUMOS MARZO'!$A$2:$S$105,14,0),"")</f>
        <v>22488.772499999999</v>
      </c>
      <c r="AV23" s="154">
        <f t="shared" si="14"/>
        <v>0</v>
      </c>
      <c r="AW23" s="152" t="str">
        <f>IFERROR(VLOOKUP($B23,'PEDIDO JULIO'!$A$10:$AG$200,22,0),"0")</f>
        <v>0</v>
      </c>
      <c r="AX23" s="153">
        <f>IFERROR(VLOOKUP($B23,'[5]INSUMOS MARZO'!$A$2:$S$105,17,0),"")</f>
        <v>7739.5640000000021</v>
      </c>
      <c r="AY23" s="154">
        <f t="shared" si="15"/>
        <v>0</v>
      </c>
      <c r="AZ23" s="152" t="str">
        <f>IFERROR(VLOOKUP($B23,'PEDIDO JULIO'!$A$10:$AG$200,23,0),"0")</f>
        <v>0</v>
      </c>
      <c r="BA23" s="153">
        <f>IFERROR(VLOOKUP($B23,'[5]INSUMOS MARZO'!$A$2:$S$105,17,0),"")</f>
        <v>7739.5640000000021</v>
      </c>
      <c r="BB23" s="154">
        <f t="shared" si="16"/>
        <v>0</v>
      </c>
      <c r="BC23" s="152" t="str">
        <f>IFERROR(VLOOKUP($B23,'PEDIDO JULIO'!$A$10:$AG$200,24,0),"0")</f>
        <v>0</v>
      </c>
      <c r="BD23" s="153">
        <f>IFERROR(VLOOKUP($B23,'[5]INSUMOS MARZO'!$A$2:$S$105,17,0),"")</f>
        <v>7739.5640000000021</v>
      </c>
      <c r="BE23" s="155">
        <f t="shared" si="17"/>
        <v>0</v>
      </c>
      <c r="BF23" s="152" t="str">
        <f>IFERROR(VLOOKUP($B23,'PEDIDO JULIO'!$A$10:$AG$200,25,0),"0")</f>
        <v>0</v>
      </c>
      <c r="BG23" s="153">
        <f>IFERROR(VLOOKUP($B23,'[5]INSUMOS MARZO'!$A$2:$S$105,17,0),"")</f>
        <v>7739.5640000000021</v>
      </c>
      <c r="BH23" s="155">
        <f t="shared" si="18"/>
        <v>0</v>
      </c>
      <c r="BI23" s="152" t="str">
        <f>IFERROR(VLOOKUP($B23,'PEDIDO JULIO'!$A$10:$AG$200,26,0),"0")</f>
        <v>0</v>
      </c>
      <c r="BJ23" s="153">
        <f>IFERROR(VLOOKUP($B23,'[5]INSUMOS MARZO'!$A$2:$S$105,17,0),"")</f>
        <v>7739.5640000000021</v>
      </c>
      <c r="BK23" s="154">
        <f t="shared" si="19"/>
        <v>0</v>
      </c>
      <c r="BL23" s="152" t="str">
        <f>IFERROR(VLOOKUP($B23,'PEDIDO JULIO'!$A$10:$AG$200,27,0),"0")</f>
        <v>0</v>
      </c>
      <c r="BM23" s="153">
        <f>IFERROR(VLOOKUP($B23,'[5]INSUMOS MARZO'!$A$2:$S$105,17,0),"")</f>
        <v>7739.5640000000021</v>
      </c>
      <c r="BN23" s="154">
        <f t="shared" si="20"/>
        <v>0</v>
      </c>
      <c r="BO23" s="152" t="str">
        <f>IFERROR(VLOOKUP($B23,'PEDIDO JULIO'!$A$10:$AG$200,28,0),"0")</f>
        <v>0</v>
      </c>
      <c r="BP23" s="153">
        <f>IFERROR(VLOOKUP($B23,'[5]INSUMOS MARZO'!$A$2:$S$105,17,0),"")</f>
        <v>7739.5640000000021</v>
      </c>
      <c r="BQ23" s="154">
        <f t="shared" si="21"/>
        <v>0</v>
      </c>
      <c r="BR23" s="152" t="str">
        <f>IFERROR(VLOOKUP($B23,'PEDIDO JULIO'!$A$10:$AG$200,29,0),"0")</f>
        <v>0</v>
      </c>
      <c r="BS23" s="153">
        <f>IFERROR(VLOOKUP($B23,'[5]INSUMOS MARZO'!$A$2:$S$105,17,0),"")</f>
        <v>7739.5640000000021</v>
      </c>
      <c r="BT23" s="155">
        <f t="shared" si="22"/>
        <v>0</v>
      </c>
      <c r="BU23" s="152" t="str">
        <f>IFERROR(VLOOKUP($B23,'PEDIDO JULIO'!$A$10:$AG$200,30,0),"0")</f>
        <v>0</v>
      </c>
      <c r="BV23" s="153">
        <f>IFERROR(VLOOKUP($B23,'[5]INSUMOS MARZO'!$A$2:$S$105,17,0),"")</f>
        <v>7739.5640000000021</v>
      </c>
      <c r="BW23" s="155">
        <f t="shared" si="23"/>
        <v>0</v>
      </c>
      <c r="BX23" s="152" t="str">
        <f>IFERROR(VLOOKUP($B23,'PEDIDO JULIO'!$A$10:$AG$200,31,0),"0")</f>
        <v>0</v>
      </c>
      <c r="BY23" s="153">
        <f>IFERROR(VLOOKUP($B23,'[5]INSUMOS MARZO'!$A$2:$S$105,17,0),"")</f>
        <v>7739.5640000000021</v>
      </c>
      <c r="BZ23" s="155">
        <f t="shared" si="24"/>
        <v>0</v>
      </c>
      <c r="CA23" s="152" t="str">
        <f>IFERROR(VLOOKUP($B23,'PEDIDO JULIO'!$A$10:$AG$200,32,0),"0")</f>
        <v>0</v>
      </c>
      <c r="CB23" s="153">
        <f>IFERROR(VLOOKUP($B23,'[5]INSUMOS MARZO'!$A$2:$S$105,17,0),"")</f>
        <v>7739.5640000000021</v>
      </c>
      <c r="CC23" s="155">
        <f t="shared" si="25"/>
        <v>0</v>
      </c>
      <c r="CD23" s="157">
        <f t="shared" si="26"/>
        <v>0</v>
      </c>
      <c r="CE23" s="158">
        <f t="shared" si="27"/>
        <v>0</v>
      </c>
      <c r="CF23" s="251">
        <f>IFERROR(VLOOKUP($B23,'MATRIZ INSUMOS '!$A$3:$P$106,16,0),"")</f>
        <v>0</v>
      </c>
      <c r="CG23" s="153">
        <f>IFERROR(VLOOKUP($B23,'[5]INSUMOS MARZO'!$A$2:$S$105,17,0),"")</f>
        <v>7739.5640000000021</v>
      </c>
      <c r="CH23" s="156">
        <f t="shared" si="28"/>
        <v>0</v>
      </c>
      <c r="CI23" s="251">
        <f>IFERROR(VLOOKUP($B23,'MATRIZ INSUMOS '!$A$3:$P$106,10,0),"")</f>
        <v>0</v>
      </c>
      <c r="CJ23" s="156">
        <f>IFERROR(VLOOKUP($B23,'[5]INSUMOS MARZO'!$A$2:$S$105,14,0),"")</f>
        <v>22488.772499999999</v>
      </c>
      <c r="CK23" s="159">
        <f t="shared" si="29"/>
        <v>0</v>
      </c>
      <c r="CL23" s="160">
        <f t="shared" si="30"/>
        <v>0</v>
      </c>
      <c r="CM23" s="14">
        <f t="shared" si="31"/>
        <v>0</v>
      </c>
      <c r="CN23" s="14">
        <f t="shared" si="32"/>
        <v>0</v>
      </c>
      <c r="CO23" s="14">
        <f t="shared" si="33"/>
        <v>0</v>
      </c>
      <c r="CQ23" s="19">
        <f t="shared" si="34"/>
        <v>0</v>
      </c>
      <c r="CR23" s="19" t="b">
        <f t="shared" si="35"/>
        <v>1</v>
      </c>
      <c r="CS23" s="19">
        <f t="shared" si="36"/>
        <v>0</v>
      </c>
    </row>
    <row r="24" spans="1:97" ht="12.6" customHeight="1">
      <c r="A24" s="3">
        <v>19</v>
      </c>
      <c r="B24" s="151">
        <v>52</v>
      </c>
      <c r="C24" s="4" t="s">
        <v>31</v>
      </c>
      <c r="D24" s="152">
        <f>IFERROR(VLOOKUP($B24,'[4]INSUMOS FEBRERO'!$A$2:$F$105,5,0),"")</f>
        <v>96</v>
      </c>
      <c r="E24" s="152">
        <f>IFERROR(VLOOKUP($B24,'PEDIDO JULIO'!$A$10:$AG$32,33,0),"0")</f>
        <v>26</v>
      </c>
      <c r="F24" s="152">
        <f t="shared" si="1"/>
        <v>-70</v>
      </c>
      <c r="G24" s="152">
        <f>IFERROR(VLOOKUP($B24,'PEDIDO JULIO'!$A$10:$AG$200,8,0),"0")</f>
        <v>20</v>
      </c>
      <c r="H24" s="153">
        <f>IFERROR(VLOOKUP($B24,'[5]INSUMOS MARZO'!$A$2:$S$105,17,0),"")</f>
        <v>6412.1509999999998</v>
      </c>
      <c r="I24" s="154">
        <f t="shared" si="0"/>
        <v>128243.01999999999</v>
      </c>
      <c r="J24" s="152">
        <f>IFERROR(VLOOKUP($B24,'PEDIDO JULIO'!$A$10:$AG$200,9,0),"0")</f>
        <v>0</v>
      </c>
      <c r="K24" s="153">
        <f>IFERROR(VLOOKUP($B24,'[5]INSUMOS MARZO'!$A$2:$S$105,17,0),"")</f>
        <v>6412.1509999999998</v>
      </c>
      <c r="L24" s="155">
        <f t="shared" si="2"/>
        <v>0</v>
      </c>
      <c r="M24" s="152">
        <f>IFERROR(VLOOKUP($B24,'PEDIDO JULIO'!$A$10:$AG$200,10,0),"0")</f>
        <v>0</v>
      </c>
      <c r="N24" s="153">
        <f>IFERROR(VLOOKUP($B24,'[5]INSUMOS MARZO'!$A$2:$S$105,17,0),"")</f>
        <v>6412.1509999999998</v>
      </c>
      <c r="O24" s="154">
        <f t="shared" si="3"/>
        <v>0</v>
      </c>
      <c r="P24" s="152">
        <f>IFERROR(VLOOKUP($B24,'PEDIDO JULIO'!$A$10:$AG$200,11,0),"0")</f>
        <v>0</v>
      </c>
      <c r="Q24" s="153">
        <f>IFERROR(VLOOKUP($B24,'[5]INSUMOS MARZO'!$A$2:$S$105,17,0),"")</f>
        <v>6412.1509999999998</v>
      </c>
      <c r="R24" s="154">
        <f t="shared" si="4"/>
        <v>0</v>
      </c>
      <c r="S24" s="152">
        <f>IFERROR(VLOOKUP($B24,'PEDIDO JULIO'!$A$10:$AG$200,12,0),"0")</f>
        <v>0</v>
      </c>
      <c r="T24" s="153">
        <f>IFERROR(VLOOKUP($B24,'[5]INSUMOS MARZO'!$A$2:$S$105,17,0),"")</f>
        <v>6412.1509999999998</v>
      </c>
      <c r="U24" s="154">
        <f t="shared" si="5"/>
        <v>0</v>
      </c>
      <c r="V24" s="152">
        <f>IFERROR(VLOOKUP($B24,'PEDIDO JULIO'!$A$10:$AG$200,13,0),"0")</f>
        <v>0</v>
      </c>
      <c r="W24" s="153">
        <f>IFERROR(VLOOKUP($B24,'[5]INSUMOS MARZO'!$A$2:$S$105,17,0),"")</f>
        <v>6412.1509999999998</v>
      </c>
      <c r="X24" s="154">
        <f t="shared" si="6"/>
        <v>0</v>
      </c>
      <c r="Y24" s="152">
        <f>IFERROR(VLOOKUP($B24,'PEDIDO JULIO'!$A$10:$AG$200,14,0),"0")</f>
        <v>3</v>
      </c>
      <c r="Z24" s="153">
        <f>IFERROR(VLOOKUP($B24,'[5]INSUMOS MARZO'!$A$2:$S$105,17,0),"")</f>
        <v>6412.1509999999998</v>
      </c>
      <c r="AA24" s="154">
        <f t="shared" si="7"/>
        <v>19236.453000000001</v>
      </c>
      <c r="AB24" s="152">
        <f>IFERROR(VLOOKUP($B24,'PEDIDO JULIO'!$A$10:$AG$200,15,0),"0")</f>
        <v>0</v>
      </c>
      <c r="AC24" s="153">
        <f>IFERROR(VLOOKUP($B24,'[5]INSUMOS MARZO'!$A$2:$S$105,17,0),"")</f>
        <v>6412.1509999999998</v>
      </c>
      <c r="AD24" s="154">
        <f t="shared" si="8"/>
        <v>0</v>
      </c>
      <c r="AE24" s="152">
        <f>IFERROR(VLOOKUP($B24,'PEDIDO JULIO'!$A$10:$AG$200,16,0),"0")</f>
        <v>0</v>
      </c>
      <c r="AF24" s="153">
        <f>IFERROR(VLOOKUP($B24,'[5]INSUMOS MARZO'!$A$2:$S$105,17,0),"")</f>
        <v>6412.1509999999998</v>
      </c>
      <c r="AG24" s="154">
        <f t="shared" si="9"/>
        <v>0</v>
      </c>
      <c r="AH24" s="152">
        <f>IFERROR(VLOOKUP($B24,'PEDIDO JULIO'!$A$10:$AG$200,17,0),"0")</f>
        <v>3</v>
      </c>
      <c r="AI24" s="153">
        <f>IFERROR(VLOOKUP($B24,'[5]INSUMOS MARZO'!$A$2:$S$105,17,0),"")</f>
        <v>6412.1509999999998</v>
      </c>
      <c r="AJ24" s="154">
        <f t="shared" si="10"/>
        <v>19236.453000000001</v>
      </c>
      <c r="AK24" s="152">
        <f>IFERROR(VLOOKUP($B24,'PEDIDO JULIO'!$A$10:$AG$200,18,0),"0")</f>
        <v>0</v>
      </c>
      <c r="AL24" s="153">
        <f>IFERROR(VLOOKUP($B24,'[5]INSUMOS MARZO'!$A$2:$S$105,17,0),"")</f>
        <v>6412.1509999999998</v>
      </c>
      <c r="AM24" s="154">
        <f t="shared" si="11"/>
        <v>0</v>
      </c>
      <c r="AN24" s="152">
        <f>IFERROR(VLOOKUP($B24,'PEDIDO JULIO'!$A$10:$AG$200,19,0),"0")</f>
        <v>0</v>
      </c>
      <c r="AO24" s="153">
        <f>IFERROR(VLOOKUP($B24,'[5]INSUMOS MARZO'!$A$2:$S$105,17,0),"")</f>
        <v>6412.1509999999998</v>
      </c>
      <c r="AP24" s="154">
        <f t="shared" si="12"/>
        <v>0</v>
      </c>
      <c r="AQ24" s="152">
        <f>IFERROR(VLOOKUP($B24,'PEDIDO JULIO'!$A$10:$AG$200,20,0),"0")</f>
        <v>0</v>
      </c>
      <c r="AR24" s="153">
        <f>IFERROR(VLOOKUP($B24,'[5]INSUMOS MARZO'!$A$2:$S$105,17,0),"")</f>
        <v>6412.1509999999998</v>
      </c>
      <c r="AS24" s="154">
        <f t="shared" si="13"/>
        <v>0</v>
      </c>
      <c r="AT24" s="152">
        <f>IFERROR(VLOOKUP($B24,'PEDIDO JULIO'!$A$10:$AG$200,21,0),"0")</f>
        <v>0</v>
      </c>
      <c r="AU24" s="153">
        <f>IFERROR(VLOOKUP($B24,'[5]INSUMOS MARZO'!$A$2:$S$105,17,0),"")</f>
        <v>6412.1509999999998</v>
      </c>
      <c r="AV24" s="154">
        <f t="shared" si="14"/>
        <v>0</v>
      </c>
      <c r="AW24" s="152">
        <f>IFERROR(VLOOKUP($B24,'PEDIDO JULIO'!$A$10:$AG$200,22,0),"0")</f>
        <v>0</v>
      </c>
      <c r="AX24" s="153">
        <f>IFERROR(VLOOKUP($B24,'[5]INSUMOS MARZO'!$A$2:$S$105,17,0),"")</f>
        <v>6412.1509999999998</v>
      </c>
      <c r="AY24" s="154">
        <f t="shared" si="15"/>
        <v>0</v>
      </c>
      <c r="AZ24" s="152">
        <f>IFERROR(VLOOKUP($B24,'PEDIDO JULIO'!$A$10:$AG$200,23,0),"0")</f>
        <v>0</v>
      </c>
      <c r="BA24" s="153">
        <f>IFERROR(VLOOKUP($B24,'[5]INSUMOS MARZO'!$A$2:$S$105,17,0),"")</f>
        <v>6412.1509999999998</v>
      </c>
      <c r="BB24" s="154">
        <f t="shared" si="16"/>
        <v>0</v>
      </c>
      <c r="BC24" s="152">
        <f>IFERROR(VLOOKUP($B24,'PEDIDO JULIO'!$A$10:$AG$200,24,0),"0")</f>
        <v>0</v>
      </c>
      <c r="BD24" s="156">
        <f>IFERROR(VLOOKUP($B24,'[5]INSUMOS MARZO'!$A$2:$S$105,14,0),"")</f>
        <v>11194.726499999999</v>
      </c>
      <c r="BE24" s="155">
        <f t="shared" si="17"/>
        <v>0</v>
      </c>
      <c r="BF24" s="152">
        <f>IFERROR(VLOOKUP($B24,'PEDIDO JULIO'!$A$10:$AG$200,25,0),"0")</f>
        <v>0</v>
      </c>
      <c r="BG24" s="153">
        <f>IFERROR(VLOOKUP($B24,'[5]INSUMOS MARZO'!$A$2:$S$105,17,0),"")</f>
        <v>6412.1509999999998</v>
      </c>
      <c r="BH24" s="155">
        <f t="shared" si="18"/>
        <v>0</v>
      </c>
      <c r="BI24" s="152">
        <f>IFERROR(VLOOKUP($B24,'PEDIDO JULIO'!$A$10:$AG$200,26,0),"0")</f>
        <v>0</v>
      </c>
      <c r="BJ24" s="153">
        <f>IFERROR(VLOOKUP($B24,'[5]INSUMOS MARZO'!$A$2:$S$105,17,0),"")</f>
        <v>6412.1509999999998</v>
      </c>
      <c r="BK24" s="154">
        <f t="shared" si="19"/>
        <v>0</v>
      </c>
      <c r="BL24" s="152">
        <f>IFERROR(VLOOKUP($B24,'PEDIDO JULIO'!$A$10:$AG$200,27,0),"0")</f>
        <v>0</v>
      </c>
      <c r="BM24" s="153">
        <f>IFERROR(VLOOKUP($B24,'[5]INSUMOS MARZO'!$A$2:$S$105,17,0),"")</f>
        <v>6412.1509999999998</v>
      </c>
      <c r="BN24" s="154">
        <f t="shared" si="20"/>
        <v>0</v>
      </c>
      <c r="BO24" s="152">
        <f>IFERROR(VLOOKUP($B24,'PEDIDO JULIO'!$A$10:$AG$200,28,0),"0")</f>
        <v>0</v>
      </c>
      <c r="BP24" s="153">
        <f>IFERROR(VLOOKUP($B24,'[5]INSUMOS MARZO'!$A$2:$S$105,17,0),"")</f>
        <v>6412.1509999999998</v>
      </c>
      <c r="BQ24" s="154">
        <f t="shared" si="21"/>
        <v>0</v>
      </c>
      <c r="BR24" s="152">
        <f>IFERROR(VLOOKUP($B24,'PEDIDO JULIO'!$A$10:$AG$200,29,0),"0")</f>
        <v>0</v>
      </c>
      <c r="BS24" s="153">
        <f>IFERROR(VLOOKUP($B24,'[5]INSUMOS MARZO'!$A$2:$S$105,17,0),"")</f>
        <v>6412.1509999999998</v>
      </c>
      <c r="BT24" s="155">
        <f t="shared" si="22"/>
        <v>0</v>
      </c>
      <c r="BU24" s="152">
        <f>IFERROR(VLOOKUP($B24,'PEDIDO JULIO'!$A$10:$AG$200,30,0),"0")</f>
        <v>0</v>
      </c>
      <c r="BV24" s="153">
        <f>IFERROR(VLOOKUP($B24,'[5]INSUMOS MARZO'!$A$2:$S$105,17,0),"")</f>
        <v>6412.1509999999998</v>
      </c>
      <c r="BW24" s="155">
        <f t="shared" si="23"/>
        <v>0</v>
      </c>
      <c r="BX24" s="152">
        <f>IFERROR(VLOOKUP($B24,'PEDIDO JULIO'!$A$10:$AG$200,31,0),"0")</f>
        <v>0</v>
      </c>
      <c r="BY24" s="153">
        <f>IFERROR(VLOOKUP($B24,'[5]INSUMOS MARZO'!$A$2:$S$105,17,0),"")</f>
        <v>6412.1509999999998</v>
      </c>
      <c r="BZ24" s="155">
        <f t="shared" si="24"/>
        <v>0</v>
      </c>
      <c r="CA24" s="152">
        <f>IFERROR(VLOOKUP($B24,'PEDIDO JULIO'!$A$10:$AG$200,32,0),"0")</f>
        <v>0</v>
      </c>
      <c r="CB24" s="153">
        <f>IFERROR(VLOOKUP($B24,'[5]INSUMOS MARZO'!$A$2:$S$105,17,0),"")</f>
        <v>6412.1509999999998</v>
      </c>
      <c r="CC24" s="155">
        <f t="shared" si="25"/>
        <v>0</v>
      </c>
      <c r="CD24" s="157">
        <f t="shared" si="26"/>
        <v>26</v>
      </c>
      <c r="CE24" s="158">
        <f t="shared" si="27"/>
        <v>0</v>
      </c>
      <c r="CF24" s="251">
        <f>IFERROR(VLOOKUP($B24,'MATRIZ INSUMOS '!$A$3:$P$106,16,0),"")</f>
        <v>26</v>
      </c>
      <c r="CG24" s="153">
        <f>IFERROR(VLOOKUP($B24,'[5]INSUMOS MARZO'!$A$2:$S$105,17,0),"")</f>
        <v>6412.1509999999998</v>
      </c>
      <c r="CH24" s="156">
        <f t="shared" si="28"/>
        <v>166715.92600000001</v>
      </c>
      <c r="CI24" s="251">
        <f>IFERROR(VLOOKUP($B24,'MATRIZ INSUMOS '!$A$3:$P$106,10,0),"")</f>
        <v>0</v>
      </c>
      <c r="CJ24" s="156">
        <f>IFERROR(VLOOKUP($B24,'[5]INSUMOS MARZO'!$A$2:$S$105,14,0),"")</f>
        <v>11194.726499999999</v>
      </c>
      <c r="CK24" s="159">
        <f t="shared" si="29"/>
        <v>0</v>
      </c>
      <c r="CL24" s="160">
        <f t="shared" si="30"/>
        <v>166715.92600000001</v>
      </c>
      <c r="CM24" s="14">
        <f t="shared" si="31"/>
        <v>16671.5926</v>
      </c>
      <c r="CN24" s="14">
        <f t="shared" si="32"/>
        <v>3167.602594</v>
      </c>
      <c r="CO24" s="14">
        <f t="shared" si="33"/>
        <v>186555.12119400001</v>
      </c>
      <c r="CQ24" s="19">
        <f t="shared" si="34"/>
        <v>166715.92600000001</v>
      </c>
      <c r="CR24" s="19" t="b">
        <f t="shared" si="35"/>
        <v>1</v>
      </c>
      <c r="CS24" s="19">
        <f t="shared" si="36"/>
        <v>0</v>
      </c>
    </row>
    <row r="25" spans="1:97" ht="12.6" customHeight="1">
      <c r="A25" s="3">
        <v>20</v>
      </c>
      <c r="B25" s="151">
        <v>54</v>
      </c>
      <c r="C25" s="4" t="s">
        <v>32</v>
      </c>
      <c r="D25" s="152">
        <f>IFERROR(VLOOKUP($B25,'[4]INSUMOS FEBRERO'!$A$2:$F$105,5,0),"")</f>
        <v>96</v>
      </c>
      <c r="E25" s="152">
        <f>IFERROR(VLOOKUP($B25,'PEDIDO JULIO'!$A$10:$AG$32,33,0),"0")</f>
        <v>10</v>
      </c>
      <c r="F25" s="152">
        <f t="shared" si="1"/>
        <v>-86</v>
      </c>
      <c r="G25" s="152">
        <f>IFERROR(VLOOKUP($B25,'PEDIDO JULIO'!$A$10:$AG$200,8,0),"0")</f>
        <v>0</v>
      </c>
      <c r="H25" s="153">
        <f>IFERROR(VLOOKUP($B25,'[5]INSUMOS MARZO'!$A$2:$S$105,17,0),"")</f>
        <v>5359.049</v>
      </c>
      <c r="I25" s="154">
        <f t="shared" si="0"/>
        <v>0</v>
      </c>
      <c r="J25" s="152">
        <f>IFERROR(VLOOKUP($B25,'PEDIDO JULIO'!$A$10:$AG$200,9,0),"0")</f>
        <v>0</v>
      </c>
      <c r="K25" s="153">
        <f>IFERROR(VLOOKUP($B25,'[5]INSUMOS MARZO'!$A$2:$S$105,17,0),"")</f>
        <v>5359.049</v>
      </c>
      <c r="L25" s="155">
        <f t="shared" si="2"/>
        <v>0</v>
      </c>
      <c r="M25" s="152">
        <f>IFERROR(VLOOKUP($B25,'PEDIDO JULIO'!$A$10:$AG$200,10,0),"0")</f>
        <v>0</v>
      </c>
      <c r="N25" s="153">
        <f>IFERROR(VLOOKUP($B25,'[5]INSUMOS MARZO'!$A$2:$S$105,17,0),"")</f>
        <v>5359.049</v>
      </c>
      <c r="O25" s="154">
        <f t="shared" si="3"/>
        <v>0</v>
      </c>
      <c r="P25" s="152">
        <f>IFERROR(VLOOKUP($B25,'PEDIDO JULIO'!$A$10:$AG$200,11,0),"0")</f>
        <v>0</v>
      </c>
      <c r="Q25" s="153">
        <f>IFERROR(VLOOKUP($B25,'[5]INSUMOS MARZO'!$A$2:$S$105,17,0),"")</f>
        <v>5359.049</v>
      </c>
      <c r="R25" s="154">
        <f t="shared" si="4"/>
        <v>0</v>
      </c>
      <c r="S25" s="152">
        <f>IFERROR(VLOOKUP($B25,'PEDIDO JULIO'!$A$10:$AG$200,12,0),"0")</f>
        <v>0</v>
      </c>
      <c r="T25" s="153">
        <f>IFERROR(VLOOKUP($B25,'[5]INSUMOS MARZO'!$A$2:$S$105,17,0),"")</f>
        <v>5359.049</v>
      </c>
      <c r="U25" s="154">
        <f t="shared" si="5"/>
        <v>0</v>
      </c>
      <c r="V25" s="152">
        <f>IFERROR(VLOOKUP($B25,'PEDIDO JULIO'!$A$10:$AG$200,13,0),"0")</f>
        <v>0</v>
      </c>
      <c r="W25" s="153">
        <f>IFERROR(VLOOKUP($B25,'[5]INSUMOS MARZO'!$A$2:$S$105,17,0),"")</f>
        <v>5359.049</v>
      </c>
      <c r="X25" s="154">
        <f t="shared" si="6"/>
        <v>0</v>
      </c>
      <c r="Y25" s="152">
        <f>IFERROR(VLOOKUP($B25,'PEDIDO JULIO'!$A$10:$AG$200,14,0),"0")</f>
        <v>0</v>
      </c>
      <c r="Z25" s="153">
        <f>IFERROR(VLOOKUP($B25,'[5]INSUMOS MARZO'!$A$2:$S$105,17,0),"")</f>
        <v>5359.049</v>
      </c>
      <c r="AA25" s="154">
        <f t="shared" si="7"/>
        <v>0</v>
      </c>
      <c r="AB25" s="152">
        <f>IFERROR(VLOOKUP($B25,'PEDIDO JULIO'!$A$10:$AG$200,15,0),"0")</f>
        <v>0</v>
      </c>
      <c r="AC25" s="153">
        <f>IFERROR(VLOOKUP($B25,'[5]INSUMOS MARZO'!$A$2:$S$105,17,0),"")</f>
        <v>5359.049</v>
      </c>
      <c r="AD25" s="154">
        <f t="shared" si="8"/>
        <v>0</v>
      </c>
      <c r="AE25" s="152">
        <f>IFERROR(VLOOKUP($B25,'PEDIDO JULIO'!$A$10:$AG$200,16,0),"0")</f>
        <v>0</v>
      </c>
      <c r="AF25" s="153">
        <f>IFERROR(VLOOKUP($B25,'[5]INSUMOS MARZO'!$A$2:$S$105,17,0),"")</f>
        <v>5359.049</v>
      </c>
      <c r="AG25" s="154">
        <f t="shared" si="9"/>
        <v>0</v>
      </c>
      <c r="AH25" s="152">
        <f>IFERROR(VLOOKUP($B25,'PEDIDO JULIO'!$A$10:$AG$200,17,0),"0")</f>
        <v>5</v>
      </c>
      <c r="AI25" s="153">
        <f>IFERROR(VLOOKUP($B25,'[5]INSUMOS MARZO'!$A$2:$S$105,17,0),"")</f>
        <v>5359.049</v>
      </c>
      <c r="AJ25" s="154">
        <f t="shared" si="10"/>
        <v>26795.244999999999</v>
      </c>
      <c r="AK25" s="152">
        <f>IFERROR(VLOOKUP($B25,'PEDIDO JULIO'!$A$10:$AG$200,18,0),"0")</f>
        <v>0</v>
      </c>
      <c r="AL25" s="153">
        <f>IFERROR(VLOOKUP($B25,'[5]INSUMOS MARZO'!$A$2:$S$105,17,0),"")</f>
        <v>5359.049</v>
      </c>
      <c r="AM25" s="154">
        <f t="shared" si="11"/>
        <v>0</v>
      </c>
      <c r="AN25" s="152">
        <f>IFERROR(VLOOKUP($B25,'PEDIDO JULIO'!$A$10:$AG$200,19,0),"0")</f>
        <v>0</v>
      </c>
      <c r="AO25" s="153">
        <f>IFERROR(VLOOKUP($B25,'[5]INSUMOS MARZO'!$A$2:$S$105,17,0),"")</f>
        <v>5359.049</v>
      </c>
      <c r="AP25" s="154">
        <f t="shared" si="12"/>
        <v>0</v>
      </c>
      <c r="AQ25" s="152">
        <f>IFERROR(VLOOKUP($B25,'PEDIDO JULIO'!$A$10:$AG$200,20,0),"0")</f>
        <v>0</v>
      </c>
      <c r="AR25" s="153">
        <f>IFERROR(VLOOKUP($B25,'[5]INSUMOS MARZO'!$A$2:$S$105,17,0),"")</f>
        <v>5359.049</v>
      </c>
      <c r="AS25" s="154">
        <f t="shared" si="13"/>
        <v>0</v>
      </c>
      <c r="AT25" s="152">
        <f>IFERROR(VLOOKUP($B25,'PEDIDO JULIO'!$A$10:$AG$200,21,0),"0")</f>
        <v>0</v>
      </c>
      <c r="AU25" s="156">
        <f>IFERROR(VLOOKUP($B25,'[5]INSUMOS MARZO'!$A$2:$S$105,14,0),"")</f>
        <v>10149.507</v>
      </c>
      <c r="AV25" s="154">
        <f t="shared" si="14"/>
        <v>0</v>
      </c>
      <c r="AW25" s="152">
        <f>IFERROR(VLOOKUP($B25,'PEDIDO JULIO'!$A$10:$AG$200,22,0),"0")</f>
        <v>0</v>
      </c>
      <c r="AX25" s="153">
        <f>IFERROR(VLOOKUP($B25,'[5]INSUMOS MARZO'!$A$2:$S$105,17,0),"")</f>
        <v>5359.049</v>
      </c>
      <c r="AY25" s="154">
        <f t="shared" si="15"/>
        <v>0</v>
      </c>
      <c r="AZ25" s="152">
        <f>IFERROR(VLOOKUP($B25,'PEDIDO JULIO'!$A$10:$AG$200,23,0),"0")</f>
        <v>0</v>
      </c>
      <c r="BA25" s="153">
        <f>IFERROR(VLOOKUP($B25,'[5]INSUMOS MARZO'!$A$2:$S$105,17,0),"")</f>
        <v>5359.049</v>
      </c>
      <c r="BB25" s="154">
        <f t="shared" si="16"/>
        <v>0</v>
      </c>
      <c r="BC25" s="152">
        <f>IFERROR(VLOOKUP($B25,'PEDIDO JULIO'!$A$10:$AG$200,24,0),"0")</f>
        <v>0</v>
      </c>
      <c r="BD25" s="153">
        <f>IFERROR(VLOOKUP($B25,'[5]INSUMOS MARZO'!$A$2:$S$105,17,0),"")</f>
        <v>5359.049</v>
      </c>
      <c r="BE25" s="155">
        <f t="shared" si="17"/>
        <v>0</v>
      </c>
      <c r="BF25" s="152">
        <f>IFERROR(VLOOKUP($B25,'PEDIDO JULIO'!$A$10:$AG$200,25,0),"0")</f>
        <v>0</v>
      </c>
      <c r="BG25" s="153">
        <f>IFERROR(VLOOKUP($B25,'[5]INSUMOS MARZO'!$A$2:$S$105,17,0),"")</f>
        <v>5359.049</v>
      </c>
      <c r="BH25" s="155">
        <f t="shared" si="18"/>
        <v>0</v>
      </c>
      <c r="BI25" s="152">
        <f>IFERROR(VLOOKUP($B25,'PEDIDO JULIO'!$A$10:$AG$200,26,0),"0")</f>
        <v>5</v>
      </c>
      <c r="BJ25" s="153">
        <f>IFERROR(VLOOKUP($B25,'[5]INSUMOS MARZO'!$A$2:$S$105,17,0),"")</f>
        <v>5359.049</v>
      </c>
      <c r="BK25" s="154">
        <f t="shared" si="19"/>
        <v>26795.244999999999</v>
      </c>
      <c r="BL25" s="152">
        <f>IFERROR(VLOOKUP($B25,'PEDIDO JULIO'!$A$10:$AG$200,27,0),"0")</f>
        <v>0</v>
      </c>
      <c r="BM25" s="153">
        <f>IFERROR(VLOOKUP($B25,'[5]INSUMOS MARZO'!$A$2:$S$105,17,0),"")</f>
        <v>5359.049</v>
      </c>
      <c r="BN25" s="154">
        <f t="shared" si="20"/>
        <v>0</v>
      </c>
      <c r="BO25" s="152">
        <f>IFERROR(VLOOKUP($B25,'PEDIDO JULIO'!$A$10:$AG$200,28,0),"0")</f>
        <v>0</v>
      </c>
      <c r="BP25" s="153">
        <f>IFERROR(VLOOKUP($B25,'[5]INSUMOS MARZO'!$A$2:$S$105,17,0),"")</f>
        <v>5359.049</v>
      </c>
      <c r="BQ25" s="154">
        <f t="shared" si="21"/>
        <v>0</v>
      </c>
      <c r="BR25" s="152">
        <f>IFERROR(VLOOKUP($B25,'PEDIDO JULIO'!$A$10:$AG$200,29,0),"0")</f>
        <v>0</v>
      </c>
      <c r="BS25" s="153">
        <f>IFERROR(VLOOKUP($B25,'[5]INSUMOS MARZO'!$A$2:$S$105,17,0),"")</f>
        <v>5359.049</v>
      </c>
      <c r="BT25" s="155">
        <f t="shared" si="22"/>
        <v>0</v>
      </c>
      <c r="BU25" s="152">
        <f>IFERROR(VLOOKUP($B25,'PEDIDO JULIO'!$A$10:$AG$200,30,0),"0")</f>
        <v>0</v>
      </c>
      <c r="BV25" s="153">
        <f>IFERROR(VLOOKUP($B25,'[5]INSUMOS MARZO'!$A$2:$S$105,17,0),"")</f>
        <v>5359.049</v>
      </c>
      <c r="BW25" s="155">
        <f t="shared" si="23"/>
        <v>0</v>
      </c>
      <c r="BX25" s="152">
        <f>IFERROR(VLOOKUP($B25,'PEDIDO JULIO'!$A$10:$AG$200,31,0),"0")</f>
        <v>0</v>
      </c>
      <c r="BY25" s="153">
        <f>IFERROR(VLOOKUP($B25,'[5]INSUMOS MARZO'!$A$2:$S$105,17,0),"")</f>
        <v>5359.049</v>
      </c>
      <c r="BZ25" s="155">
        <f t="shared" si="24"/>
        <v>0</v>
      </c>
      <c r="CA25" s="152">
        <f>IFERROR(VLOOKUP($B25,'PEDIDO JULIO'!$A$10:$AG$200,32,0),"0")</f>
        <v>0</v>
      </c>
      <c r="CB25" s="153">
        <f>IFERROR(VLOOKUP($B25,'[5]INSUMOS MARZO'!$A$2:$S$105,17,0),"")</f>
        <v>5359.049</v>
      </c>
      <c r="CC25" s="155">
        <f t="shared" si="25"/>
        <v>0</v>
      </c>
      <c r="CD25" s="157">
        <f t="shared" si="26"/>
        <v>10</v>
      </c>
      <c r="CE25" s="158">
        <f t="shared" si="27"/>
        <v>0</v>
      </c>
      <c r="CF25" s="251">
        <f>IFERROR(VLOOKUP($B25,'MATRIZ INSUMOS '!$A$3:$P$106,16,0),"")</f>
        <v>10</v>
      </c>
      <c r="CG25" s="153">
        <f>IFERROR(VLOOKUP($B25,'[5]INSUMOS MARZO'!$A$2:$S$105,17,0),"")</f>
        <v>5359.049</v>
      </c>
      <c r="CH25" s="156">
        <f t="shared" si="28"/>
        <v>53590.49</v>
      </c>
      <c r="CI25" s="251">
        <f>IFERROR(VLOOKUP($B25,'MATRIZ INSUMOS '!$A$3:$P$106,10,0),"")</f>
        <v>0</v>
      </c>
      <c r="CJ25" s="156">
        <f>IFERROR(VLOOKUP($B25,'[5]INSUMOS MARZO'!$A$2:$S$105,14,0),"")</f>
        <v>10149.507</v>
      </c>
      <c r="CK25" s="159">
        <f t="shared" si="29"/>
        <v>0</v>
      </c>
      <c r="CL25" s="160">
        <f t="shared" si="30"/>
        <v>53590.49</v>
      </c>
      <c r="CM25" s="14">
        <f t="shared" si="31"/>
        <v>5359.049</v>
      </c>
      <c r="CN25" s="14">
        <f t="shared" si="32"/>
        <v>1018.2193100000001</v>
      </c>
      <c r="CO25" s="14">
        <f t="shared" si="33"/>
        <v>59967.758309999997</v>
      </c>
      <c r="CQ25" s="19">
        <f t="shared" si="34"/>
        <v>53590.49</v>
      </c>
      <c r="CR25" s="19" t="b">
        <f t="shared" si="35"/>
        <v>1</v>
      </c>
      <c r="CS25" s="19">
        <f t="shared" si="36"/>
        <v>0</v>
      </c>
    </row>
    <row r="26" spans="1:97" ht="12.6" customHeight="1">
      <c r="A26" s="3">
        <v>21</v>
      </c>
      <c r="B26" s="151">
        <v>57</v>
      </c>
      <c r="C26" s="4" t="s">
        <v>34</v>
      </c>
      <c r="D26" s="152">
        <f>IFERROR(VLOOKUP($B26,'[4]INSUMOS FEBRERO'!$A$2:$F$105,5,0),"")</f>
        <v>25</v>
      </c>
      <c r="E26" s="152">
        <f>IFERROR(VLOOKUP($B26,'PEDIDO JULIO'!$A$10:$AG$32,33,0),"0")</f>
        <v>2</v>
      </c>
      <c r="F26" s="152">
        <f t="shared" si="1"/>
        <v>-23</v>
      </c>
      <c r="G26" s="152">
        <f>IFERROR(VLOOKUP($B26,'PEDIDO JULIO'!$A$10:$AG$200,8,0),"0")</f>
        <v>0</v>
      </c>
      <c r="H26" s="153">
        <f>IFERROR(VLOOKUP($B26,'[5]INSUMOS MARZO'!$A$2:$S$105,17,0),"")</f>
        <v>12823.251000000004</v>
      </c>
      <c r="I26" s="154">
        <f t="shared" si="0"/>
        <v>0</v>
      </c>
      <c r="J26" s="152">
        <f>IFERROR(VLOOKUP($B26,'PEDIDO JULIO'!$A$10:$AG$200,9,0),"0")</f>
        <v>0</v>
      </c>
      <c r="K26" s="153">
        <f>IFERROR(VLOOKUP($B26,'[5]INSUMOS MARZO'!$A$2:$S$105,17,0),"")</f>
        <v>12823.251000000004</v>
      </c>
      <c r="L26" s="155">
        <f t="shared" si="2"/>
        <v>0</v>
      </c>
      <c r="M26" s="152">
        <f>IFERROR(VLOOKUP($B26,'PEDIDO JULIO'!$A$10:$AG$200,10,0),"0")</f>
        <v>0</v>
      </c>
      <c r="N26" s="153">
        <f>IFERROR(VLOOKUP($B26,'[5]INSUMOS MARZO'!$A$2:$S$105,17,0),"")</f>
        <v>12823.251000000004</v>
      </c>
      <c r="O26" s="154">
        <f t="shared" si="3"/>
        <v>0</v>
      </c>
      <c r="P26" s="152">
        <f>IFERROR(VLOOKUP($B26,'PEDIDO JULIO'!$A$10:$AG$200,11,0),"0")</f>
        <v>0</v>
      </c>
      <c r="Q26" s="153">
        <f>IFERROR(VLOOKUP($B26,'[5]INSUMOS MARZO'!$A$2:$S$105,17,0),"")</f>
        <v>12823.251000000004</v>
      </c>
      <c r="R26" s="154">
        <f t="shared" si="4"/>
        <v>0</v>
      </c>
      <c r="S26" s="152">
        <f>IFERROR(VLOOKUP($B26,'PEDIDO JULIO'!$A$10:$AG$200,12,0),"0")</f>
        <v>0</v>
      </c>
      <c r="T26" s="153">
        <f>IFERROR(VLOOKUP($B26,'[5]INSUMOS MARZO'!$A$2:$S$105,17,0),"")</f>
        <v>12823.251000000004</v>
      </c>
      <c r="U26" s="154">
        <f t="shared" si="5"/>
        <v>0</v>
      </c>
      <c r="V26" s="152">
        <f>IFERROR(VLOOKUP($B26,'PEDIDO JULIO'!$A$10:$AG$200,13,0),"0")</f>
        <v>0</v>
      </c>
      <c r="W26" s="153">
        <f>IFERROR(VLOOKUP($B26,'[5]INSUMOS MARZO'!$A$2:$S$105,17,0),"")</f>
        <v>12823.251000000004</v>
      </c>
      <c r="X26" s="154">
        <f t="shared" si="6"/>
        <v>0</v>
      </c>
      <c r="Y26" s="152">
        <f>IFERROR(VLOOKUP($B26,'PEDIDO JULIO'!$A$10:$AG$200,14,0),"0")</f>
        <v>2</v>
      </c>
      <c r="Z26" s="153">
        <f>IFERROR(VLOOKUP($B26,'[5]INSUMOS MARZO'!$A$2:$S$105,17,0),"")</f>
        <v>12823.251000000004</v>
      </c>
      <c r="AA26" s="154">
        <f t="shared" si="7"/>
        <v>25646.502000000008</v>
      </c>
      <c r="AB26" s="152">
        <f>IFERROR(VLOOKUP($B26,'PEDIDO JULIO'!$A$10:$AG$200,15,0),"0")</f>
        <v>0</v>
      </c>
      <c r="AC26" s="153">
        <f>IFERROR(VLOOKUP($B26,'[5]INSUMOS MARZO'!$A$2:$S$105,17,0),"")</f>
        <v>12823.251000000004</v>
      </c>
      <c r="AD26" s="154">
        <f t="shared" si="8"/>
        <v>0</v>
      </c>
      <c r="AE26" s="152">
        <f>IFERROR(VLOOKUP($B26,'PEDIDO JULIO'!$A$10:$AG$200,16,0),"0")</f>
        <v>0</v>
      </c>
      <c r="AF26" s="153">
        <f>IFERROR(VLOOKUP($B26,'[5]INSUMOS MARZO'!$A$2:$S$105,17,0),"")</f>
        <v>12823.251000000004</v>
      </c>
      <c r="AG26" s="154">
        <f t="shared" si="9"/>
        <v>0</v>
      </c>
      <c r="AH26" s="152">
        <f>IFERROR(VLOOKUP($B26,'PEDIDO JULIO'!$A$10:$AG$200,17,0),"0")</f>
        <v>0</v>
      </c>
      <c r="AI26" s="153">
        <f>IFERROR(VLOOKUP($B26,'[5]INSUMOS MARZO'!$A$2:$S$105,17,0),"")</f>
        <v>12823.251000000004</v>
      </c>
      <c r="AJ26" s="154">
        <f t="shared" si="10"/>
        <v>0</v>
      </c>
      <c r="AK26" s="152">
        <f>IFERROR(VLOOKUP($B26,'PEDIDO JULIO'!$A$10:$AG$200,18,0),"0")</f>
        <v>0</v>
      </c>
      <c r="AL26" s="153">
        <f>IFERROR(VLOOKUP($B26,'[5]INSUMOS MARZO'!$A$2:$S$105,17,0),"")</f>
        <v>12823.251000000004</v>
      </c>
      <c r="AM26" s="154">
        <f t="shared" si="11"/>
        <v>0</v>
      </c>
      <c r="AN26" s="152">
        <f>IFERROR(VLOOKUP($B26,'PEDIDO JULIO'!$A$10:$AG$200,19,0),"0")</f>
        <v>0</v>
      </c>
      <c r="AO26" s="153">
        <f>IFERROR(VLOOKUP($B26,'[5]INSUMOS MARZO'!$A$2:$S$105,17,0),"")</f>
        <v>12823.251000000004</v>
      </c>
      <c r="AP26" s="154">
        <f t="shared" si="12"/>
        <v>0</v>
      </c>
      <c r="AQ26" s="152">
        <f>IFERROR(VLOOKUP($B26,'PEDIDO JULIO'!$A$10:$AG$200,20,0),"0")</f>
        <v>0</v>
      </c>
      <c r="AR26" s="153">
        <f>IFERROR(VLOOKUP($B26,'[5]INSUMOS MARZO'!$A$2:$S$105,17,0),"")</f>
        <v>12823.251000000004</v>
      </c>
      <c r="AS26" s="154">
        <f t="shared" si="13"/>
        <v>0</v>
      </c>
      <c r="AT26" s="152">
        <f>IFERROR(VLOOKUP($B26,'PEDIDO JULIO'!$A$10:$AG$200,21,0),"0")</f>
        <v>0</v>
      </c>
      <c r="AU26" s="156">
        <f>IFERROR(VLOOKUP($B26,'[5]INSUMOS MARZO'!$A$2:$S$105,14,0),"")</f>
        <v>27464.2065</v>
      </c>
      <c r="AV26" s="154">
        <f t="shared" si="14"/>
        <v>0</v>
      </c>
      <c r="AW26" s="152">
        <f>IFERROR(VLOOKUP($B26,'PEDIDO JULIO'!$A$10:$AG$200,22,0),"0")</f>
        <v>0</v>
      </c>
      <c r="AX26" s="153">
        <f>IFERROR(VLOOKUP($B26,'[5]INSUMOS MARZO'!$A$2:$S$105,17,0),"")</f>
        <v>12823.251000000004</v>
      </c>
      <c r="AY26" s="154">
        <f t="shared" si="15"/>
        <v>0</v>
      </c>
      <c r="AZ26" s="152">
        <f>IFERROR(VLOOKUP($B26,'PEDIDO JULIO'!$A$10:$AG$200,23,0),"0")</f>
        <v>0</v>
      </c>
      <c r="BA26" s="153">
        <f>IFERROR(VLOOKUP($B26,'[5]INSUMOS MARZO'!$A$2:$S$105,17,0),"")</f>
        <v>12823.251000000004</v>
      </c>
      <c r="BB26" s="154">
        <f t="shared" si="16"/>
        <v>0</v>
      </c>
      <c r="BC26" s="152">
        <f>IFERROR(VLOOKUP($B26,'PEDIDO JULIO'!$A$10:$AG$200,24,0),"0")</f>
        <v>0</v>
      </c>
      <c r="BD26" s="153">
        <f>IFERROR(VLOOKUP($B26,'[5]INSUMOS MARZO'!$A$2:$S$105,17,0),"")</f>
        <v>12823.251000000004</v>
      </c>
      <c r="BE26" s="155">
        <f t="shared" si="17"/>
        <v>0</v>
      </c>
      <c r="BF26" s="152">
        <f>IFERROR(VLOOKUP($B26,'PEDIDO JULIO'!$A$10:$AG$200,25,0),"0")</f>
        <v>0</v>
      </c>
      <c r="BG26" s="153">
        <f>IFERROR(VLOOKUP($B26,'[5]INSUMOS MARZO'!$A$2:$S$105,17,0),"")</f>
        <v>12823.251000000004</v>
      </c>
      <c r="BH26" s="155">
        <f t="shared" si="18"/>
        <v>0</v>
      </c>
      <c r="BI26" s="152">
        <f>IFERROR(VLOOKUP($B26,'PEDIDO JULIO'!$A$10:$AG$200,26,0),"0")</f>
        <v>0</v>
      </c>
      <c r="BJ26" s="153">
        <f>IFERROR(VLOOKUP($B26,'[5]INSUMOS MARZO'!$A$2:$S$105,17,0),"")</f>
        <v>12823.251000000004</v>
      </c>
      <c r="BK26" s="154">
        <f t="shared" si="19"/>
        <v>0</v>
      </c>
      <c r="BL26" s="152">
        <f>IFERROR(VLOOKUP($B26,'PEDIDO JULIO'!$A$10:$AG$200,27,0),"0")</f>
        <v>0</v>
      </c>
      <c r="BM26" s="153">
        <f>IFERROR(VLOOKUP($B26,'[5]INSUMOS MARZO'!$A$2:$S$105,17,0),"")</f>
        <v>12823.251000000004</v>
      </c>
      <c r="BN26" s="154">
        <f t="shared" si="20"/>
        <v>0</v>
      </c>
      <c r="BO26" s="152">
        <f>IFERROR(VLOOKUP($B26,'PEDIDO JULIO'!$A$10:$AG$200,28,0),"0")</f>
        <v>0</v>
      </c>
      <c r="BP26" s="153">
        <f>IFERROR(VLOOKUP($B26,'[5]INSUMOS MARZO'!$A$2:$S$105,17,0),"")</f>
        <v>12823.251000000004</v>
      </c>
      <c r="BQ26" s="154">
        <f t="shared" si="21"/>
        <v>0</v>
      </c>
      <c r="BR26" s="152">
        <f>IFERROR(VLOOKUP($B26,'PEDIDO JULIO'!$A$10:$AG$200,29,0),"0")</f>
        <v>0</v>
      </c>
      <c r="BS26" s="153">
        <f>IFERROR(VLOOKUP($B26,'[5]INSUMOS MARZO'!$A$2:$S$105,17,0),"")</f>
        <v>12823.251000000004</v>
      </c>
      <c r="BT26" s="155">
        <f t="shared" si="22"/>
        <v>0</v>
      </c>
      <c r="BU26" s="152">
        <f>IFERROR(VLOOKUP($B26,'PEDIDO JULIO'!$A$10:$AG$200,30,0),"0")</f>
        <v>0</v>
      </c>
      <c r="BV26" s="153">
        <f>IFERROR(VLOOKUP($B26,'[5]INSUMOS MARZO'!$A$2:$S$105,17,0),"")</f>
        <v>12823.251000000004</v>
      </c>
      <c r="BW26" s="155">
        <f t="shared" si="23"/>
        <v>0</v>
      </c>
      <c r="BX26" s="152">
        <f>IFERROR(VLOOKUP($B26,'PEDIDO JULIO'!$A$10:$AG$200,31,0),"0")</f>
        <v>0</v>
      </c>
      <c r="BY26" s="153">
        <f>IFERROR(VLOOKUP($B26,'[5]INSUMOS MARZO'!$A$2:$S$105,17,0),"")</f>
        <v>12823.251000000004</v>
      </c>
      <c r="BZ26" s="155">
        <f t="shared" si="24"/>
        <v>0</v>
      </c>
      <c r="CA26" s="152">
        <f>IFERROR(VLOOKUP($B26,'PEDIDO JULIO'!$A$10:$AG$200,32,0),"0")</f>
        <v>0</v>
      </c>
      <c r="CB26" s="153">
        <f>IFERROR(VLOOKUP($B26,'[5]INSUMOS MARZO'!$A$2:$S$105,17,0),"")</f>
        <v>12823.251000000004</v>
      </c>
      <c r="CC26" s="155">
        <f t="shared" si="25"/>
        <v>0</v>
      </c>
      <c r="CD26" s="157">
        <f t="shared" si="26"/>
        <v>2</v>
      </c>
      <c r="CE26" s="158">
        <f t="shared" si="27"/>
        <v>0</v>
      </c>
      <c r="CF26" s="251">
        <f>IFERROR(VLOOKUP($B26,'MATRIZ INSUMOS '!$A$3:$P$106,16,0),"")</f>
        <v>2</v>
      </c>
      <c r="CG26" s="153">
        <f>IFERROR(VLOOKUP($B26,'[5]INSUMOS MARZO'!$A$2:$S$105,17,0),"")</f>
        <v>12823.251000000004</v>
      </c>
      <c r="CH26" s="156">
        <f t="shared" si="28"/>
        <v>25646.502000000008</v>
      </c>
      <c r="CI26" s="251">
        <f>IFERROR(VLOOKUP($B26,'MATRIZ INSUMOS '!$A$3:$P$106,10,0),"")</f>
        <v>0</v>
      </c>
      <c r="CJ26" s="156">
        <f>IFERROR(VLOOKUP($B26,'[5]INSUMOS MARZO'!$A$2:$S$105,14,0),"")</f>
        <v>27464.2065</v>
      </c>
      <c r="CK26" s="159">
        <f t="shared" si="29"/>
        <v>0</v>
      </c>
      <c r="CL26" s="160">
        <f t="shared" si="30"/>
        <v>25646.502000000008</v>
      </c>
      <c r="CM26" s="14">
        <f t="shared" si="31"/>
        <v>2564.650200000001</v>
      </c>
      <c r="CN26" s="14">
        <f t="shared" si="32"/>
        <v>487.28353800000019</v>
      </c>
      <c r="CO26" s="14">
        <f t="shared" si="33"/>
        <v>28698.435738000007</v>
      </c>
      <c r="CQ26" s="19">
        <f t="shared" si="34"/>
        <v>25646.502000000008</v>
      </c>
      <c r="CR26" s="19" t="b">
        <f t="shared" si="35"/>
        <v>1</v>
      </c>
      <c r="CS26" s="19">
        <f t="shared" si="36"/>
        <v>0</v>
      </c>
    </row>
    <row r="27" spans="1:97" ht="12.6" customHeight="1">
      <c r="A27" s="3">
        <v>22</v>
      </c>
      <c r="B27" s="151">
        <v>59</v>
      </c>
      <c r="C27" s="4" t="s">
        <v>35</v>
      </c>
      <c r="D27" s="152">
        <f>IFERROR(VLOOKUP($B27,'[4]INSUMOS FEBRERO'!$A$2:$F$105,5,0),"")</f>
        <v>4</v>
      </c>
      <c r="E27" s="152" t="str">
        <f>IFERROR(VLOOKUP($B27,'PEDIDO JULIO'!$A$10:$AG$32,33,0),"0")</f>
        <v>0</v>
      </c>
      <c r="F27" s="152">
        <f t="shared" si="1"/>
        <v>-4</v>
      </c>
      <c r="G27" s="152" t="str">
        <f>IFERROR(VLOOKUP($B27,'PEDIDO JULIO'!$A$10:$AG$200,8,0),"0")</f>
        <v>0</v>
      </c>
      <c r="H27" s="156">
        <f>IFERROR(VLOOKUP($B27,'[5]INSUMOS MARZO'!$A$2:$S$105,14,0),"")</f>
        <v>13931.215200000001</v>
      </c>
      <c r="I27" s="154">
        <f t="shared" si="0"/>
        <v>0</v>
      </c>
      <c r="J27" s="152" t="str">
        <f>IFERROR(VLOOKUP($B27,'PEDIDO JULIO'!$A$10:$AG$200,9,0),"0")</f>
        <v>0</v>
      </c>
      <c r="K27" s="156">
        <f>IFERROR(VLOOKUP($B27,'[5]INSUMOS MARZO'!$A$2:$S$105,14,0),"")</f>
        <v>13931.215200000001</v>
      </c>
      <c r="L27" s="155">
        <f t="shared" si="2"/>
        <v>0</v>
      </c>
      <c r="M27" s="152" t="str">
        <f>IFERROR(VLOOKUP($B27,'PEDIDO JULIO'!$A$10:$AG$200,10,0),"0")</f>
        <v>0</v>
      </c>
      <c r="N27" s="153">
        <f>IFERROR(VLOOKUP($B27,'[5]INSUMOS MARZO'!$A$2:$S$105,17,0),"")</f>
        <v>5528.260000000002</v>
      </c>
      <c r="O27" s="154">
        <f t="shared" si="3"/>
        <v>0</v>
      </c>
      <c r="P27" s="152" t="str">
        <f>IFERROR(VLOOKUP($B27,'PEDIDO JULIO'!$A$10:$AG$200,11,0),"0")</f>
        <v>0</v>
      </c>
      <c r="Q27" s="153">
        <f>IFERROR(VLOOKUP($B27,'[5]INSUMOS MARZO'!$A$2:$S$105,17,0),"")</f>
        <v>5528.260000000002</v>
      </c>
      <c r="R27" s="154">
        <f t="shared" si="4"/>
        <v>0</v>
      </c>
      <c r="S27" s="152" t="str">
        <f>IFERROR(VLOOKUP($B27,'PEDIDO JULIO'!$A$10:$AG$200,12,0),"0")</f>
        <v>0</v>
      </c>
      <c r="T27" s="153">
        <f>IFERROR(VLOOKUP($B27,'[5]INSUMOS MARZO'!$A$2:$S$105,17,0),"")</f>
        <v>5528.260000000002</v>
      </c>
      <c r="U27" s="154">
        <f t="shared" si="5"/>
        <v>0</v>
      </c>
      <c r="V27" s="152" t="str">
        <f>IFERROR(VLOOKUP($B27,'PEDIDO JULIO'!$A$10:$AG$200,13,0),"0")</f>
        <v>0</v>
      </c>
      <c r="W27" s="153">
        <f>IFERROR(VLOOKUP($B27,'[5]INSUMOS MARZO'!$A$2:$S$105,17,0),"")</f>
        <v>5528.260000000002</v>
      </c>
      <c r="X27" s="154">
        <f t="shared" si="6"/>
        <v>0</v>
      </c>
      <c r="Y27" s="152" t="str">
        <f>IFERROR(VLOOKUP($B27,'PEDIDO JULIO'!$A$10:$AG$200,14,0),"0")</f>
        <v>0</v>
      </c>
      <c r="Z27" s="153">
        <f>IFERROR(VLOOKUP($B27,'[5]INSUMOS MARZO'!$A$2:$S$105,17,0),"")</f>
        <v>5528.260000000002</v>
      </c>
      <c r="AA27" s="154">
        <f t="shared" si="7"/>
        <v>0</v>
      </c>
      <c r="AB27" s="152" t="str">
        <f>IFERROR(VLOOKUP($B27,'PEDIDO JULIO'!$A$10:$AG$200,15,0),"0")</f>
        <v>0</v>
      </c>
      <c r="AC27" s="153">
        <f>IFERROR(VLOOKUP($B27,'[5]INSUMOS MARZO'!$A$2:$S$105,17,0),"")</f>
        <v>5528.260000000002</v>
      </c>
      <c r="AD27" s="154">
        <f t="shared" si="8"/>
        <v>0</v>
      </c>
      <c r="AE27" s="152" t="str">
        <f>IFERROR(VLOOKUP($B27,'PEDIDO JULIO'!$A$10:$AG$200,16,0),"0")</f>
        <v>0</v>
      </c>
      <c r="AF27" s="153">
        <f>IFERROR(VLOOKUP($B27,'[5]INSUMOS MARZO'!$A$2:$S$105,17,0),"")</f>
        <v>5528.260000000002</v>
      </c>
      <c r="AG27" s="154">
        <f t="shared" si="9"/>
        <v>0</v>
      </c>
      <c r="AH27" s="152" t="str">
        <f>IFERROR(VLOOKUP($B27,'PEDIDO JULIO'!$A$10:$AG$200,17,0),"0")</f>
        <v>0</v>
      </c>
      <c r="AI27" s="153">
        <f>IFERROR(VLOOKUP($B27,'[5]INSUMOS MARZO'!$A$2:$S$105,17,0),"")</f>
        <v>5528.260000000002</v>
      </c>
      <c r="AJ27" s="154">
        <f t="shared" si="10"/>
        <v>0</v>
      </c>
      <c r="AK27" s="152" t="str">
        <f>IFERROR(VLOOKUP($B27,'PEDIDO JULIO'!$A$10:$AG$200,18,0),"0")</f>
        <v>0</v>
      </c>
      <c r="AL27" s="153">
        <f>IFERROR(VLOOKUP($B27,'[5]INSUMOS MARZO'!$A$2:$S$105,17,0),"")</f>
        <v>5528.260000000002</v>
      </c>
      <c r="AM27" s="154">
        <f t="shared" si="11"/>
        <v>0</v>
      </c>
      <c r="AN27" s="152" t="str">
        <f>IFERROR(VLOOKUP($B27,'PEDIDO JULIO'!$A$10:$AG$200,19,0),"0")</f>
        <v>0</v>
      </c>
      <c r="AO27" s="153">
        <f>IFERROR(VLOOKUP($B27,'[5]INSUMOS MARZO'!$A$2:$S$105,17,0),"")</f>
        <v>5528.260000000002</v>
      </c>
      <c r="AP27" s="154">
        <f t="shared" si="12"/>
        <v>0</v>
      </c>
      <c r="AQ27" s="152" t="str">
        <f>IFERROR(VLOOKUP($B27,'PEDIDO JULIO'!$A$10:$AG$200,20,0),"0")</f>
        <v>0</v>
      </c>
      <c r="AR27" s="153">
        <f>IFERROR(VLOOKUP($B27,'[5]INSUMOS MARZO'!$A$2:$S$105,17,0),"")</f>
        <v>5528.260000000002</v>
      </c>
      <c r="AS27" s="154">
        <f t="shared" si="13"/>
        <v>0</v>
      </c>
      <c r="AT27" s="152" t="str">
        <f>IFERROR(VLOOKUP($B27,'PEDIDO JULIO'!$A$10:$AG$200,21,0),"0")</f>
        <v>0</v>
      </c>
      <c r="AU27" s="156">
        <f>IFERROR(VLOOKUP($B27,'[5]INSUMOS MARZO'!$A$2:$S$105,14,0),"")</f>
        <v>13931.215200000001</v>
      </c>
      <c r="AV27" s="154">
        <f t="shared" si="14"/>
        <v>0</v>
      </c>
      <c r="AW27" s="152" t="str">
        <f>IFERROR(VLOOKUP($B27,'PEDIDO JULIO'!$A$10:$AG$200,22,0),"0")</f>
        <v>0</v>
      </c>
      <c r="AX27" s="153">
        <f>IFERROR(VLOOKUP($B27,'[5]INSUMOS MARZO'!$A$2:$S$105,17,0),"")</f>
        <v>5528.260000000002</v>
      </c>
      <c r="AY27" s="154">
        <f t="shared" si="15"/>
        <v>0</v>
      </c>
      <c r="AZ27" s="152" t="str">
        <f>IFERROR(VLOOKUP($B27,'PEDIDO JULIO'!$A$10:$AG$200,23,0),"0")</f>
        <v>0</v>
      </c>
      <c r="BA27" s="153">
        <f>IFERROR(VLOOKUP($B27,'[5]INSUMOS MARZO'!$A$2:$S$105,17,0),"")</f>
        <v>5528.260000000002</v>
      </c>
      <c r="BB27" s="154">
        <f t="shared" si="16"/>
        <v>0</v>
      </c>
      <c r="BC27" s="152" t="str">
        <f>IFERROR(VLOOKUP($B27,'PEDIDO JULIO'!$A$10:$AG$200,24,0),"0")</f>
        <v>0</v>
      </c>
      <c r="BD27" s="153">
        <f>IFERROR(VLOOKUP($B27,'[5]INSUMOS MARZO'!$A$2:$S$105,17,0),"")</f>
        <v>5528.260000000002</v>
      </c>
      <c r="BE27" s="155">
        <f t="shared" si="17"/>
        <v>0</v>
      </c>
      <c r="BF27" s="152" t="str">
        <f>IFERROR(VLOOKUP($B27,'PEDIDO JULIO'!$A$10:$AG$200,25,0),"0")</f>
        <v>0</v>
      </c>
      <c r="BG27" s="153">
        <f>IFERROR(VLOOKUP($B27,'[5]INSUMOS MARZO'!$A$2:$S$105,17,0),"")</f>
        <v>5528.260000000002</v>
      </c>
      <c r="BH27" s="155">
        <f t="shared" si="18"/>
        <v>0</v>
      </c>
      <c r="BI27" s="152" t="str">
        <f>IFERROR(VLOOKUP($B27,'PEDIDO JULIO'!$A$10:$AG$200,26,0),"0")</f>
        <v>0</v>
      </c>
      <c r="BJ27" s="153">
        <f>IFERROR(VLOOKUP($B27,'[5]INSUMOS MARZO'!$A$2:$S$105,17,0),"")</f>
        <v>5528.260000000002</v>
      </c>
      <c r="BK27" s="154">
        <f t="shared" si="19"/>
        <v>0</v>
      </c>
      <c r="BL27" s="152" t="str">
        <f>IFERROR(VLOOKUP($B27,'PEDIDO JULIO'!$A$10:$AG$200,27,0),"0")</f>
        <v>0</v>
      </c>
      <c r="BM27" s="153">
        <f>IFERROR(VLOOKUP($B27,'[5]INSUMOS MARZO'!$A$2:$S$105,17,0),"")</f>
        <v>5528.260000000002</v>
      </c>
      <c r="BN27" s="154">
        <f t="shared" si="20"/>
        <v>0</v>
      </c>
      <c r="BO27" s="152" t="str">
        <f>IFERROR(VLOOKUP($B27,'PEDIDO JULIO'!$A$10:$AG$200,28,0),"0")</f>
        <v>0</v>
      </c>
      <c r="BP27" s="153">
        <f>IFERROR(VLOOKUP($B27,'[5]INSUMOS MARZO'!$A$2:$S$105,17,0),"")</f>
        <v>5528.260000000002</v>
      </c>
      <c r="BQ27" s="154">
        <f t="shared" si="21"/>
        <v>0</v>
      </c>
      <c r="BR27" s="152" t="str">
        <f>IFERROR(VLOOKUP($B27,'PEDIDO JULIO'!$A$10:$AG$200,29,0),"0")</f>
        <v>0</v>
      </c>
      <c r="BS27" s="153">
        <f>IFERROR(VLOOKUP($B27,'[5]INSUMOS MARZO'!$A$2:$S$105,17,0),"")</f>
        <v>5528.260000000002</v>
      </c>
      <c r="BT27" s="155">
        <f t="shared" si="22"/>
        <v>0</v>
      </c>
      <c r="BU27" s="152" t="str">
        <f>IFERROR(VLOOKUP($B27,'PEDIDO JULIO'!$A$10:$AG$200,30,0),"0")</f>
        <v>0</v>
      </c>
      <c r="BV27" s="153">
        <f>IFERROR(VLOOKUP($B27,'[5]INSUMOS MARZO'!$A$2:$S$105,17,0),"")</f>
        <v>5528.260000000002</v>
      </c>
      <c r="BW27" s="155">
        <f t="shared" si="23"/>
        <v>0</v>
      </c>
      <c r="BX27" s="152" t="str">
        <f>IFERROR(VLOOKUP($B27,'PEDIDO JULIO'!$A$10:$AG$200,31,0),"0")</f>
        <v>0</v>
      </c>
      <c r="BY27" s="153">
        <f>IFERROR(VLOOKUP($B27,'[5]INSUMOS MARZO'!$A$2:$S$105,17,0),"")</f>
        <v>5528.260000000002</v>
      </c>
      <c r="BZ27" s="155">
        <f t="shared" si="24"/>
        <v>0</v>
      </c>
      <c r="CA27" s="152" t="str">
        <f>IFERROR(VLOOKUP($B27,'PEDIDO JULIO'!$A$10:$AG$200,32,0),"0")</f>
        <v>0</v>
      </c>
      <c r="CB27" s="153">
        <f>IFERROR(VLOOKUP($B27,'[5]INSUMOS MARZO'!$A$2:$S$105,17,0),"")</f>
        <v>5528.260000000002</v>
      </c>
      <c r="CC27" s="155">
        <f t="shared" si="25"/>
        <v>0</v>
      </c>
      <c r="CD27" s="157">
        <f t="shared" si="26"/>
        <v>0</v>
      </c>
      <c r="CE27" s="158">
        <f t="shared" si="27"/>
        <v>0</v>
      </c>
      <c r="CF27" s="251">
        <f>IFERROR(VLOOKUP($B27,'MATRIZ INSUMOS '!$A$3:$P$106,16,0),"")</f>
        <v>0</v>
      </c>
      <c r="CG27" s="153">
        <f>IFERROR(VLOOKUP($B27,'[5]INSUMOS MARZO'!$A$2:$S$105,17,0),"")</f>
        <v>5528.260000000002</v>
      </c>
      <c r="CH27" s="156">
        <f t="shared" si="28"/>
        <v>0</v>
      </c>
      <c r="CI27" s="251">
        <f>IFERROR(VLOOKUP($B27,'MATRIZ INSUMOS '!$A$3:$P$106,10,0),"")</f>
        <v>0</v>
      </c>
      <c r="CJ27" s="156">
        <f>IFERROR(VLOOKUP($B27,'[5]INSUMOS MARZO'!$A$2:$S$105,14,0),"")</f>
        <v>13931.215200000001</v>
      </c>
      <c r="CK27" s="159">
        <f t="shared" si="29"/>
        <v>0</v>
      </c>
      <c r="CL27" s="160">
        <f t="shared" si="30"/>
        <v>0</v>
      </c>
      <c r="CM27" s="14">
        <f t="shared" si="31"/>
        <v>0</v>
      </c>
      <c r="CN27" s="14">
        <f t="shared" si="32"/>
        <v>0</v>
      </c>
      <c r="CO27" s="14">
        <f t="shared" si="33"/>
        <v>0</v>
      </c>
      <c r="CQ27" s="19">
        <f t="shared" si="34"/>
        <v>0</v>
      </c>
      <c r="CR27" s="19" t="b">
        <f t="shared" si="35"/>
        <v>1</v>
      </c>
      <c r="CS27" s="19">
        <f t="shared" si="36"/>
        <v>0</v>
      </c>
    </row>
    <row r="28" spans="1:97" ht="12.6" customHeight="1">
      <c r="A28" s="3">
        <v>23</v>
      </c>
      <c r="B28" s="151">
        <v>62</v>
      </c>
      <c r="C28" s="4" t="s">
        <v>37</v>
      </c>
      <c r="D28" s="152">
        <f>IFERROR(VLOOKUP($B28,'[4]INSUMOS FEBRERO'!$A$2:$F$105,5,0),"")</f>
        <v>25</v>
      </c>
      <c r="E28" s="152">
        <f>IFERROR(VLOOKUP($B28,'PEDIDO JULIO'!$A$10:$AG$32,33,0),"0")</f>
        <v>62</v>
      </c>
      <c r="F28" s="152">
        <f t="shared" si="1"/>
        <v>37</v>
      </c>
      <c r="G28" s="152">
        <f>IFERROR(VLOOKUP($B28,'PEDIDO JULIO'!$A$10:$AG$200,8,0),"0")</f>
        <v>20</v>
      </c>
      <c r="H28" s="156">
        <f>IFERROR(VLOOKUP($B28,'[5]INSUMOS MARZO'!$A$2:$S$105,14,0),"")</f>
        <v>10100.3202</v>
      </c>
      <c r="I28" s="154">
        <f t="shared" si="0"/>
        <v>202006.40400000001</v>
      </c>
      <c r="J28" s="152">
        <f>IFERROR(VLOOKUP($B28,'PEDIDO JULIO'!$A$10:$AG$200,9,0),"0")</f>
        <v>0</v>
      </c>
      <c r="K28" s="156">
        <f>IFERROR(VLOOKUP($B28,'[5]INSUMOS MARZO'!$A$2:$S$105,14,0),"")</f>
        <v>10100.3202</v>
      </c>
      <c r="L28" s="155">
        <f t="shared" si="2"/>
        <v>0</v>
      </c>
      <c r="M28" s="152">
        <f>IFERROR(VLOOKUP($B28,'PEDIDO JULIO'!$A$10:$AG$200,10,0),"0")</f>
        <v>0</v>
      </c>
      <c r="N28" s="156">
        <f>IFERROR(VLOOKUP($B28,'[5]INSUMOS MARZO'!$A$2:$S$105,14,0),"")</f>
        <v>10100.3202</v>
      </c>
      <c r="O28" s="154">
        <f t="shared" si="3"/>
        <v>0</v>
      </c>
      <c r="P28" s="152">
        <f>IFERROR(VLOOKUP($B28,'PEDIDO JULIO'!$A$10:$AG$200,11,0),"0")</f>
        <v>0</v>
      </c>
      <c r="Q28" s="153">
        <f>IFERROR(VLOOKUP($B28,'[5]INSUMOS MARZO'!$A$2:$S$105,17,0),"")</f>
        <v>5167.7669999999998</v>
      </c>
      <c r="R28" s="154">
        <f t="shared" si="4"/>
        <v>0</v>
      </c>
      <c r="S28" s="152">
        <f>IFERROR(VLOOKUP($B28,'PEDIDO JULIO'!$A$10:$AG$200,12,0),"0")</f>
        <v>3</v>
      </c>
      <c r="T28" s="156">
        <v>10100.3202</v>
      </c>
      <c r="U28" s="154">
        <f t="shared" si="5"/>
        <v>30300.960599999999</v>
      </c>
      <c r="V28" s="152">
        <f>IFERROR(VLOOKUP($B28,'PEDIDO JULIO'!$A$10:$AG$200,13,0),"0")</f>
        <v>5</v>
      </c>
      <c r="W28" s="156">
        <f>IFERROR(VLOOKUP($B28,'[5]INSUMOS MARZO'!$A$2:$S$105,14,0),"")</f>
        <v>10100.3202</v>
      </c>
      <c r="X28" s="154">
        <f t="shared" si="6"/>
        <v>50501.601000000002</v>
      </c>
      <c r="Y28" s="152">
        <f>IFERROR(VLOOKUP($B28,'PEDIDO JULIO'!$A$10:$AG$200,14,0),"0")</f>
        <v>2</v>
      </c>
      <c r="Z28" s="156">
        <f>IFERROR(VLOOKUP($B28,'[5]INSUMOS MARZO'!$A$2:$S$105,14,0),"")</f>
        <v>10100.3202</v>
      </c>
      <c r="AA28" s="154">
        <f t="shared" si="7"/>
        <v>20200.6404</v>
      </c>
      <c r="AB28" s="152">
        <f>IFERROR(VLOOKUP($B28,'PEDIDO JULIO'!$A$10:$AG$200,15,0),"0")</f>
        <v>6</v>
      </c>
      <c r="AC28" s="156">
        <v>10100.3202</v>
      </c>
      <c r="AD28" s="154">
        <f t="shared" si="8"/>
        <v>60601.921199999997</v>
      </c>
      <c r="AE28" s="152">
        <f>IFERROR(VLOOKUP($B28,'PEDIDO JULIO'!$A$10:$AG$200,16,0),"0")</f>
        <v>4</v>
      </c>
      <c r="AF28" s="156">
        <v>10100.3202</v>
      </c>
      <c r="AG28" s="154">
        <f t="shared" si="9"/>
        <v>40401.2808</v>
      </c>
      <c r="AH28" s="152">
        <f>IFERROR(VLOOKUP($B28,'PEDIDO JULIO'!$A$10:$AG$200,17,0),"0")</f>
        <v>5</v>
      </c>
      <c r="AI28" s="156">
        <v>10100.3202</v>
      </c>
      <c r="AJ28" s="154">
        <f t="shared" si="10"/>
        <v>50501.601000000002</v>
      </c>
      <c r="AK28" s="152">
        <f>IFERROR(VLOOKUP($B28,'PEDIDO JULIO'!$A$10:$AG$200,18,0),"0")</f>
        <v>0</v>
      </c>
      <c r="AL28" s="156">
        <v>10100.3202</v>
      </c>
      <c r="AM28" s="154">
        <f t="shared" si="11"/>
        <v>0</v>
      </c>
      <c r="AN28" s="152">
        <f>IFERROR(VLOOKUP($B28,'PEDIDO JULIO'!$A$10:$AG$200,19,0),"0")</f>
        <v>0</v>
      </c>
      <c r="AO28" s="156">
        <f>IFERROR(VLOOKUP($B28,'[5]INSUMOS MARZO'!$A$2:$S$105,14,0),"")</f>
        <v>10100.3202</v>
      </c>
      <c r="AP28" s="154">
        <f t="shared" si="12"/>
        <v>0</v>
      </c>
      <c r="AQ28" s="152">
        <f>IFERROR(VLOOKUP($B28,'PEDIDO JULIO'!$A$10:$AG$200,20,0),"0")</f>
        <v>0</v>
      </c>
      <c r="AR28" s="156">
        <f>IFERROR(VLOOKUP($B28,'[5]INSUMOS MARZO'!$A$2:$S$105,14,0),"")</f>
        <v>10100.3202</v>
      </c>
      <c r="AS28" s="154">
        <f t="shared" si="13"/>
        <v>0</v>
      </c>
      <c r="AT28" s="152">
        <f>IFERROR(VLOOKUP($B28,'PEDIDO JULIO'!$A$10:$AG$200,21,0),"0")</f>
        <v>2</v>
      </c>
      <c r="AU28" s="156">
        <f>IFERROR(VLOOKUP($B28,'[5]INSUMOS MARZO'!$A$2:$S$105,14,0),"")</f>
        <v>10100.3202</v>
      </c>
      <c r="AV28" s="153">
        <f t="shared" si="14"/>
        <v>20200.6404</v>
      </c>
      <c r="AW28" s="152">
        <f>IFERROR(VLOOKUP($B28,'PEDIDO JULIO'!$A$10:$AG$200,22,0),"0")</f>
        <v>0</v>
      </c>
      <c r="AX28" s="153">
        <f>IFERROR(VLOOKUP($B28,'[5]INSUMOS MARZO'!$A$2:$S$105,17,0),"")</f>
        <v>5167.7669999999998</v>
      </c>
      <c r="AY28" s="154">
        <f t="shared" si="15"/>
        <v>0</v>
      </c>
      <c r="AZ28" s="152">
        <f>IFERROR(VLOOKUP($B28,'PEDIDO JULIO'!$A$10:$AG$200,23,0),"0")</f>
        <v>0</v>
      </c>
      <c r="BA28" s="153">
        <f>IFERROR(VLOOKUP($B28,'[5]INSUMOS MARZO'!$A$2:$S$105,17,0),"")</f>
        <v>5167.7669999999998</v>
      </c>
      <c r="BB28" s="154">
        <f t="shared" si="16"/>
        <v>0</v>
      </c>
      <c r="BC28" s="152">
        <f>IFERROR(VLOOKUP($B28,'PEDIDO JULIO'!$A$10:$AG$200,24,0),"0")</f>
        <v>2</v>
      </c>
      <c r="BD28" s="156">
        <f>IFERROR(VLOOKUP($B28,'[5]INSUMOS MARZO'!$A$2:$S$105,14,0),"")</f>
        <v>10100.3202</v>
      </c>
      <c r="BE28" s="155">
        <f t="shared" si="17"/>
        <v>20200.6404</v>
      </c>
      <c r="BF28" s="251">
        <f>IFERROR(VLOOKUP($B28,'PEDIDO JULIO'!$A$10:$AG$200,25,0),"0")</f>
        <v>3</v>
      </c>
      <c r="BG28" s="153">
        <f>IFERROR(VLOOKUP($B28,'[5]INSUMOS MARZO'!$A$2:$S$105,17,0),"")</f>
        <v>5167.7669999999998</v>
      </c>
      <c r="BH28" s="155">
        <f t="shared" si="18"/>
        <v>15503.300999999999</v>
      </c>
      <c r="BI28" s="152">
        <f>IFERROR(VLOOKUP($B28,'PEDIDO JULIO'!$A$10:$AG$200,26,0),"0")</f>
        <v>0</v>
      </c>
      <c r="BJ28" s="153">
        <f>IFERROR(VLOOKUP($B28,'[5]INSUMOS MARZO'!$A$2:$S$105,17,0),"")</f>
        <v>5167.7669999999998</v>
      </c>
      <c r="BK28" s="154">
        <f t="shared" si="19"/>
        <v>0</v>
      </c>
      <c r="BL28" s="152">
        <f>IFERROR(VLOOKUP($B28,'PEDIDO JULIO'!$A$10:$AG$200,27,0),"0")</f>
        <v>0</v>
      </c>
      <c r="BM28" s="156">
        <f>IFERROR(VLOOKUP($B28,'[5]INSUMOS MARZO'!$A$2:$S$105,14,0),"")</f>
        <v>10100.3202</v>
      </c>
      <c r="BN28" s="154">
        <f t="shared" si="20"/>
        <v>0</v>
      </c>
      <c r="BO28" s="152">
        <f>IFERROR(VLOOKUP($B28,'PEDIDO JULIO'!$A$10:$AG$200,28,0),"0")</f>
        <v>0</v>
      </c>
      <c r="BP28" s="156">
        <v>10100.3202</v>
      </c>
      <c r="BQ28" s="154">
        <f t="shared" si="21"/>
        <v>0</v>
      </c>
      <c r="BR28" s="251">
        <f>IFERROR(VLOOKUP($B28,'PEDIDO JULIO'!$A$10:$AG$200,29,0),"0")</f>
        <v>4</v>
      </c>
      <c r="BS28" s="153">
        <f>IFERROR(VLOOKUP($B28,'[5]INSUMOS MARZO'!$A$2:$S$105,17,0),"")</f>
        <v>5167.7669999999998</v>
      </c>
      <c r="BT28" s="155">
        <f t="shared" si="22"/>
        <v>20671.067999999999</v>
      </c>
      <c r="BU28" s="152">
        <f>IFERROR(VLOOKUP($B28,'PEDIDO JULIO'!$A$10:$AG$200,30,0),"0")</f>
        <v>4</v>
      </c>
      <c r="BV28" s="156">
        <v>10100.3202</v>
      </c>
      <c r="BW28" s="155">
        <f t="shared" si="23"/>
        <v>40401.2808</v>
      </c>
      <c r="BX28" s="152">
        <f>IFERROR(VLOOKUP($B28,'PEDIDO JULIO'!$A$10:$AG$200,31,0),"0")</f>
        <v>0</v>
      </c>
      <c r="BY28" s="156">
        <v>10100.3202</v>
      </c>
      <c r="BZ28" s="155">
        <f t="shared" si="24"/>
        <v>0</v>
      </c>
      <c r="CA28" s="251">
        <f>IFERROR(VLOOKUP($B28,'PEDIDO JULIO'!$A$10:$AG$200,32,0),"0")</f>
        <v>2</v>
      </c>
      <c r="CB28" s="153">
        <f>IFERROR(VLOOKUP($B28,'[5]INSUMOS MARZO'!$A$2:$S$105,17,0),"")</f>
        <v>5167.7669999999998</v>
      </c>
      <c r="CC28" s="155">
        <f t="shared" si="25"/>
        <v>10335.534</v>
      </c>
      <c r="CD28" s="164">
        <f t="shared" si="26"/>
        <v>62</v>
      </c>
      <c r="CE28" s="158">
        <f t="shared" si="27"/>
        <v>0</v>
      </c>
      <c r="CF28" s="251">
        <v>9</v>
      </c>
      <c r="CG28" s="153">
        <f>IFERROR(VLOOKUP($B28,'[5]INSUMOS MARZO'!$A$2:$S$105,17,0),"")</f>
        <v>5167.7669999999998</v>
      </c>
      <c r="CH28" s="156">
        <f>CF28*CG28</f>
        <v>46509.902999999998</v>
      </c>
      <c r="CI28" s="251">
        <v>53</v>
      </c>
      <c r="CJ28" s="156">
        <f>IFERROR(VLOOKUP($B28,'[5]INSUMOS MARZO'!$A$2:$S$105,14,0),"")</f>
        <v>10100.3202</v>
      </c>
      <c r="CK28" s="159">
        <f t="shared" si="29"/>
        <v>535316.9706</v>
      </c>
      <c r="CL28" s="160">
        <f t="shared" si="30"/>
        <v>581826.87360000005</v>
      </c>
      <c r="CM28" s="14">
        <f t="shared" si="31"/>
        <v>58182.687360000011</v>
      </c>
      <c r="CN28" s="14">
        <f t="shared" si="32"/>
        <v>11054.710598400003</v>
      </c>
      <c r="CO28" s="14">
        <f t="shared" si="33"/>
        <v>651064.27155840001</v>
      </c>
      <c r="CP28" s="1">
        <f>+CF28+CI28-CD28</f>
        <v>0</v>
      </c>
      <c r="CQ28" s="19">
        <f t="shared" si="34"/>
        <v>581826.87360000005</v>
      </c>
      <c r="CR28" s="19" t="b">
        <f t="shared" si="35"/>
        <v>1</v>
      </c>
      <c r="CS28" s="19">
        <f>+CQ28-CL28</f>
        <v>0</v>
      </c>
    </row>
    <row r="29" spans="1:97" ht="14.45" customHeight="1">
      <c r="A29" s="3">
        <v>24</v>
      </c>
      <c r="B29" s="151">
        <v>63</v>
      </c>
      <c r="C29" s="4" t="s">
        <v>38</v>
      </c>
      <c r="D29" s="152">
        <f>IFERROR(VLOOKUP($B29,'[4]INSUMOS FEBRERO'!$A$2:$F$105,5,0),"")</f>
        <v>25</v>
      </c>
      <c r="E29" s="152">
        <f>IFERROR(VLOOKUP($B29,'PEDIDO JULIO'!$A$10:$AG$32,33,0),"0")</f>
        <v>119</v>
      </c>
      <c r="F29" s="152">
        <f t="shared" si="1"/>
        <v>94</v>
      </c>
      <c r="G29" s="152">
        <f>IFERROR(VLOOKUP($B29,'PEDIDO JULIO'!$A$10:$AG$200,8,0),"0")</f>
        <v>40</v>
      </c>
      <c r="H29" s="156">
        <f>IFERROR(VLOOKUP($B29,'[5]INSUMOS MARZO'!$A$2:$S$105,14,0),"")</f>
        <v>11443.4982</v>
      </c>
      <c r="I29" s="154">
        <f t="shared" si="0"/>
        <v>457739.92800000001</v>
      </c>
      <c r="J29" s="152">
        <f>IFERROR(VLOOKUP($B29,'PEDIDO JULIO'!$A$10:$AG$200,9,0),"0")</f>
        <v>0</v>
      </c>
      <c r="K29" s="156">
        <f>IFERROR(VLOOKUP($B29,'[5]INSUMOS MARZO'!$A$2:$S$105,14,0),"")</f>
        <v>11443.4982</v>
      </c>
      <c r="L29" s="155">
        <f t="shared" si="2"/>
        <v>0</v>
      </c>
      <c r="M29" s="152">
        <f>IFERROR(VLOOKUP($B29,'PEDIDO JULIO'!$A$10:$AG$200,10,0),"0")</f>
        <v>0</v>
      </c>
      <c r="N29" s="153">
        <f>IFERROR(VLOOKUP($B29,'[5]INSUMOS MARZO'!$A$2:$S$105,17,0),"")</f>
        <v>8292.39</v>
      </c>
      <c r="O29" s="154">
        <f t="shared" si="3"/>
        <v>0</v>
      </c>
      <c r="P29" s="152">
        <f>IFERROR(VLOOKUP($B29,'PEDIDO JULIO'!$A$10:$AG$200,11,0),"0")</f>
        <v>0</v>
      </c>
      <c r="Q29" s="153">
        <f>IFERROR(VLOOKUP($B29,'[5]INSUMOS MARZO'!$A$2:$S$105,17,0),"")</f>
        <v>8292.39</v>
      </c>
      <c r="R29" s="154">
        <f t="shared" si="4"/>
        <v>0</v>
      </c>
      <c r="S29" s="152">
        <f>IFERROR(VLOOKUP($B29,'PEDIDO JULIO'!$A$10:$AG$200,12,0),"0")</f>
        <v>5</v>
      </c>
      <c r="T29" s="156">
        <f>IFERROR(VLOOKUP($B29,'[5]INSUMOS MARZO'!$A$2:$S$105,14,0),"")</f>
        <v>11443.4982</v>
      </c>
      <c r="U29" s="154">
        <f t="shared" si="5"/>
        <v>57217.491000000002</v>
      </c>
      <c r="V29" s="152">
        <f>IFERROR(VLOOKUP($B29,'PEDIDO JULIO'!$A$10:$AG$200,13,0),"0")</f>
        <v>5</v>
      </c>
      <c r="W29" s="156">
        <f>IFERROR(VLOOKUP($B29,'[5]INSUMOS MARZO'!$A$2:$S$105,14,0),"")</f>
        <v>11443.4982</v>
      </c>
      <c r="X29" s="154">
        <f t="shared" si="6"/>
        <v>57217.491000000002</v>
      </c>
      <c r="Y29" s="152">
        <f>IFERROR(VLOOKUP($B29,'PEDIDO JULIO'!$A$10:$AG$200,14,0),"0")</f>
        <v>6</v>
      </c>
      <c r="Z29" s="156">
        <f>IFERROR(VLOOKUP($B29,'[5]INSUMOS MARZO'!$A$2:$S$105,14,0),"")</f>
        <v>11443.4982</v>
      </c>
      <c r="AA29" s="154">
        <f t="shared" si="7"/>
        <v>68660.989199999996</v>
      </c>
      <c r="AB29" s="152">
        <f>IFERROR(VLOOKUP($B29,'PEDIDO JULIO'!$A$10:$AG$200,15,0),"0")</f>
        <v>0</v>
      </c>
      <c r="AC29" s="156">
        <f>IFERROR(VLOOKUP($B29,'[5]INSUMOS MARZO'!$A$2:$S$105,14,0),"")</f>
        <v>11443.4982</v>
      </c>
      <c r="AD29" s="154">
        <f t="shared" si="8"/>
        <v>0</v>
      </c>
      <c r="AE29" s="152">
        <f>IFERROR(VLOOKUP($B29,'PEDIDO JULIO'!$A$10:$AG$200,16,0),"0")</f>
        <v>3</v>
      </c>
      <c r="AF29" s="156">
        <f>IFERROR(VLOOKUP($B29,'[5]INSUMOS MARZO'!$A$2:$S$105,14,0),"")</f>
        <v>11443.4982</v>
      </c>
      <c r="AG29" s="154">
        <f t="shared" si="9"/>
        <v>34330.494599999998</v>
      </c>
      <c r="AH29" s="152">
        <f>IFERROR(VLOOKUP($B29,'PEDIDO JULIO'!$A$10:$AG$200,17,0),"0")</f>
        <v>5</v>
      </c>
      <c r="AI29" s="156">
        <f>IFERROR(VLOOKUP($B29,'[5]INSUMOS MARZO'!$A$2:$S$105,14,0),"")</f>
        <v>11443.4982</v>
      </c>
      <c r="AJ29" s="154">
        <f t="shared" si="10"/>
        <v>57217.491000000002</v>
      </c>
      <c r="AK29" s="152">
        <f>IFERROR(VLOOKUP($B29,'PEDIDO JULIO'!$A$10:$AG$200,18,0),"0")</f>
        <v>0</v>
      </c>
      <c r="AL29" s="156">
        <f>IFERROR(VLOOKUP($B29,'[5]INSUMOS MARZO'!$A$2:$S$105,14,0),"")</f>
        <v>11443.4982</v>
      </c>
      <c r="AM29" s="154">
        <f t="shared" si="11"/>
        <v>0</v>
      </c>
      <c r="AN29" s="152">
        <f>IFERROR(VLOOKUP($B29,'PEDIDO JULIO'!$A$10:$AG$200,19,0),"0")</f>
        <v>0</v>
      </c>
      <c r="AO29" s="156">
        <f>IFERROR(VLOOKUP($B29,'[5]INSUMOS MARZO'!$A$2:$S$105,14,0),"")</f>
        <v>11443.4982</v>
      </c>
      <c r="AP29" s="154">
        <f t="shared" si="12"/>
        <v>0</v>
      </c>
      <c r="AQ29" s="152">
        <f>IFERROR(VLOOKUP($B29,'PEDIDO JULIO'!$A$10:$AG$200,20,0),"0")</f>
        <v>10</v>
      </c>
      <c r="AR29" s="156">
        <f>IFERROR(VLOOKUP($B29,'[5]INSUMOS MARZO'!$A$2:$S$105,14,0),"")</f>
        <v>11443.4982</v>
      </c>
      <c r="AS29" s="154">
        <f t="shared" si="13"/>
        <v>114434.982</v>
      </c>
      <c r="AT29" s="251">
        <f>IFERROR(VLOOKUP($B29,'PEDIDO JULIO'!$A$10:$AG$200,21,0),"0")</f>
        <v>3</v>
      </c>
      <c r="AU29" s="153">
        <f>IFERROR(VLOOKUP($B29,'[5]INSUMOS MARZO'!$A$2:$S$105,17,0),"")</f>
        <v>8292.39</v>
      </c>
      <c r="AV29" s="154">
        <f t="shared" si="14"/>
        <v>24877.17</v>
      </c>
      <c r="AW29" s="152">
        <f>IFERROR(VLOOKUP($B29,'PEDIDO JULIO'!$A$10:$AG$200,22,0),"0")</f>
        <v>0</v>
      </c>
      <c r="AX29" s="156">
        <f>IFERROR(VLOOKUP($B29,'[5]INSUMOS MARZO'!$A$2:$S$105,14,0),"")</f>
        <v>11443.4982</v>
      </c>
      <c r="AY29" s="154">
        <f t="shared" si="15"/>
        <v>0</v>
      </c>
      <c r="AZ29" s="152">
        <f>IFERROR(VLOOKUP($B29,'PEDIDO JULIO'!$A$10:$AG$200,23,0),"0")</f>
        <v>0</v>
      </c>
      <c r="BA29" s="156">
        <f>IFERROR(VLOOKUP($B29,'[5]INSUMOS MARZO'!$A$2:$S$105,14,0),"")</f>
        <v>11443.4982</v>
      </c>
      <c r="BB29" s="154">
        <f t="shared" si="16"/>
        <v>0</v>
      </c>
      <c r="BC29" s="152">
        <f>IFERROR(VLOOKUP($B29,'PEDIDO JULIO'!$A$10:$AG$200,24,0),"0")</f>
        <v>0</v>
      </c>
      <c r="BD29" s="153">
        <f>IFERROR(VLOOKUP($B29,'[5]INSUMOS MARZO'!$A$2:$S$105,17,0),"")</f>
        <v>8292.39</v>
      </c>
      <c r="BE29" s="155">
        <f t="shared" si="17"/>
        <v>0</v>
      </c>
      <c r="BF29" s="251">
        <f>IFERROR(VLOOKUP($B29,'PEDIDO JULIO'!$A$10:$AG$200,25,0),"0")</f>
        <v>2</v>
      </c>
      <c r="BG29" s="153">
        <f>IFERROR(VLOOKUP($B29,'[5]INSUMOS MARZO'!$A$2:$S$105,17,0),"")</f>
        <v>8292.39</v>
      </c>
      <c r="BH29" s="155">
        <f t="shared" si="18"/>
        <v>16584.78</v>
      </c>
      <c r="BI29" s="152">
        <f>IFERROR(VLOOKUP($B29,'PEDIDO JULIO'!$A$10:$AG$200,26,0),"0")</f>
        <v>10</v>
      </c>
      <c r="BJ29" s="156">
        <f>IFERROR(VLOOKUP($B29,'[5]INSUMOS MARZO'!$A$2:$S$105,14,0),"")</f>
        <v>11443.4982</v>
      </c>
      <c r="BK29" s="154">
        <f t="shared" si="19"/>
        <v>114434.982</v>
      </c>
      <c r="BL29" s="152">
        <f>IFERROR(VLOOKUP($B29,'PEDIDO JULIO'!$A$10:$AG$200,27,0),"0")</f>
        <v>0</v>
      </c>
      <c r="BM29" s="153">
        <f>IFERROR(VLOOKUP($B29,'[5]INSUMOS MARZO'!$A$2:$S$105,17,0),"")</f>
        <v>8292.39</v>
      </c>
      <c r="BN29" s="154">
        <f t="shared" si="20"/>
        <v>0</v>
      </c>
      <c r="BO29" s="152">
        <f>IFERROR(VLOOKUP($B29,'PEDIDO JULIO'!$A$10:$AG$200,28,0),"0")</f>
        <v>10</v>
      </c>
      <c r="BP29" s="156">
        <f>IFERROR(VLOOKUP($B29,'[5]INSUMOS MARZO'!$A$2:$S$105,14,0),"")</f>
        <v>11443.4982</v>
      </c>
      <c r="BQ29" s="154">
        <f t="shared" si="21"/>
        <v>114434.982</v>
      </c>
      <c r="BR29" s="251">
        <f>IFERROR(VLOOKUP($B29,'PEDIDO JULIO'!$A$10:$AG$200,29,0),"0")</f>
        <v>10</v>
      </c>
      <c r="BS29" s="153">
        <f>IFERROR(VLOOKUP($B29,'[5]INSUMOS MARZO'!$A$2:$S$105,17,0),"")</f>
        <v>8292.39</v>
      </c>
      <c r="BT29" s="155">
        <f t="shared" si="22"/>
        <v>82923.899999999994</v>
      </c>
      <c r="BU29" s="251">
        <f>IFERROR(VLOOKUP($B29,'PEDIDO JULIO'!$A$10:$AG$200,30,0),"0")</f>
        <v>5</v>
      </c>
      <c r="BV29" s="153">
        <f>IFERROR(VLOOKUP($B29,'[5]INSUMOS MARZO'!$A$2:$S$105,17,0),"")</f>
        <v>8292.39</v>
      </c>
      <c r="BW29" s="155">
        <f t="shared" si="23"/>
        <v>41461.949999999997</v>
      </c>
      <c r="BX29" s="152">
        <f>IFERROR(VLOOKUP($B29,'PEDIDO JULIO'!$A$10:$AG$200,31,0),"0")</f>
        <v>0</v>
      </c>
      <c r="BY29" s="153">
        <f>IFERROR(VLOOKUP($B29,'[5]INSUMOS MARZO'!$A$2:$S$105,17,0),"")</f>
        <v>8292.39</v>
      </c>
      <c r="BZ29" s="155">
        <f t="shared" si="24"/>
        <v>0</v>
      </c>
      <c r="CA29" s="251">
        <f>IFERROR(VLOOKUP($B29,'PEDIDO JULIO'!$A$10:$AG$200,32,0),"0")</f>
        <v>5</v>
      </c>
      <c r="CB29" s="153">
        <f>IFERROR(VLOOKUP($B29,'[5]INSUMOS MARZO'!$A$2:$S$105,17,0),"")</f>
        <v>8292.39</v>
      </c>
      <c r="CC29" s="155">
        <f t="shared" si="25"/>
        <v>41461.949999999997</v>
      </c>
      <c r="CD29" s="164">
        <f t="shared" si="26"/>
        <v>119</v>
      </c>
      <c r="CE29" s="158">
        <f t="shared" si="27"/>
        <v>0</v>
      </c>
      <c r="CF29" s="251">
        <v>25</v>
      </c>
      <c r="CG29" s="153">
        <f>IFERROR(VLOOKUP($B29,'[5]INSUMOS MARZO'!$A$2:$S$105,17,0),"")</f>
        <v>8292.39</v>
      </c>
      <c r="CH29" s="156">
        <f t="shared" si="28"/>
        <v>207309.75</v>
      </c>
      <c r="CI29" s="251">
        <v>94</v>
      </c>
      <c r="CJ29" s="156">
        <f>IFERROR(VLOOKUP($B29,'[5]INSUMOS MARZO'!$A$2:$S$105,14,0),"")</f>
        <v>11443.4982</v>
      </c>
      <c r="CK29" s="159">
        <f t="shared" si="29"/>
        <v>1075688.8308000001</v>
      </c>
      <c r="CL29" s="160">
        <f t="shared" si="30"/>
        <v>1282998.5808000001</v>
      </c>
      <c r="CM29" s="14">
        <f t="shared" si="31"/>
        <v>128299.85808000002</v>
      </c>
      <c r="CN29" s="14">
        <f t="shared" si="32"/>
        <v>24376.973035200004</v>
      </c>
      <c r="CO29" s="14">
        <f t="shared" si="33"/>
        <v>1435675.4119152001</v>
      </c>
      <c r="CP29" s="1">
        <f>+CF29+CI29-CD29</f>
        <v>0</v>
      </c>
      <c r="CQ29" s="19">
        <f t="shared" si="34"/>
        <v>1282998.5808000001</v>
      </c>
      <c r="CR29" s="19" t="b">
        <f t="shared" si="35"/>
        <v>1</v>
      </c>
      <c r="CS29" s="19">
        <f t="shared" si="36"/>
        <v>0</v>
      </c>
    </row>
    <row r="30" spans="1:97" ht="16.5">
      <c r="A30" s="3">
        <v>25</v>
      </c>
      <c r="B30" s="151">
        <v>64</v>
      </c>
      <c r="C30" s="4" t="s">
        <v>40</v>
      </c>
      <c r="D30" s="152">
        <f>IFERROR(VLOOKUP($B30,'[4]INSUMOS FEBRERO'!$A$2:$F$105,5,0),"")</f>
        <v>25</v>
      </c>
      <c r="E30" s="152">
        <f>IFERROR(VLOOKUP($B30,'PEDIDO JULIO'!$A$10:$AG$32,33,0),"0")</f>
        <v>21</v>
      </c>
      <c r="F30" s="152">
        <f t="shared" si="1"/>
        <v>-4</v>
      </c>
      <c r="G30" s="152">
        <f>IFERROR(VLOOKUP($B30,'PEDIDO JULIO'!$A$10:$AG$200,8,0),"0")</f>
        <v>0</v>
      </c>
      <c r="H30" s="153">
        <f>IFERROR(VLOOKUP($B30,'[5]INSUMOS MARZO'!$A$2:$S$105,17,0),"")</f>
        <v>13820.650000000001</v>
      </c>
      <c r="I30" s="154">
        <f t="shared" si="0"/>
        <v>0</v>
      </c>
      <c r="J30" s="152">
        <f>IFERROR(VLOOKUP($B30,'PEDIDO JULIO'!$A$10:$AG$200,9,0),"0")</f>
        <v>0</v>
      </c>
      <c r="K30" s="153">
        <f>IFERROR(VLOOKUP($B30,'[5]INSUMOS MARZO'!$A$2:$S$105,17,0),"")</f>
        <v>13820.650000000001</v>
      </c>
      <c r="L30" s="155">
        <f t="shared" si="2"/>
        <v>0</v>
      </c>
      <c r="M30" s="152">
        <f>IFERROR(VLOOKUP($B30,'PEDIDO JULIO'!$A$10:$AG$200,10,0),"0")</f>
        <v>0</v>
      </c>
      <c r="N30" s="153">
        <f>IFERROR(VLOOKUP($B30,'[5]INSUMOS MARZO'!$A$2:$S$105,17,0),"")</f>
        <v>13820.650000000001</v>
      </c>
      <c r="O30" s="154">
        <f t="shared" si="3"/>
        <v>0</v>
      </c>
      <c r="P30" s="152">
        <f>IFERROR(VLOOKUP($B30,'PEDIDO JULIO'!$A$10:$AG$200,11,0),"0")</f>
        <v>0</v>
      </c>
      <c r="Q30" s="153">
        <f>IFERROR(VLOOKUP($B30,'[5]INSUMOS MARZO'!$A$2:$S$105,17,0),"")</f>
        <v>13820.650000000001</v>
      </c>
      <c r="R30" s="154">
        <f t="shared" si="4"/>
        <v>0</v>
      </c>
      <c r="S30" s="152">
        <f>IFERROR(VLOOKUP($B30,'PEDIDO JULIO'!$A$10:$AG$200,12,0),"0")</f>
        <v>4</v>
      </c>
      <c r="T30" s="153">
        <f>IFERROR(VLOOKUP($B30,'[5]INSUMOS MARZO'!$A$2:$S$105,17,0),"")</f>
        <v>13820.650000000001</v>
      </c>
      <c r="U30" s="154">
        <f t="shared" si="5"/>
        <v>55282.600000000006</v>
      </c>
      <c r="V30" s="152">
        <f>IFERROR(VLOOKUP($B30,'PEDIDO JULIO'!$A$10:$AG$200,13,0),"0")</f>
        <v>0</v>
      </c>
      <c r="W30" s="153">
        <f>IFERROR(VLOOKUP($B30,'[5]INSUMOS MARZO'!$A$2:$S$105,17,0),"")</f>
        <v>13820.650000000001</v>
      </c>
      <c r="X30" s="154">
        <f t="shared" si="6"/>
        <v>0</v>
      </c>
      <c r="Y30" s="152">
        <f>IFERROR(VLOOKUP($B30,'PEDIDO JULIO'!$A$10:$AG$200,14,0),"0")</f>
        <v>0</v>
      </c>
      <c r="Z30" s="153">
        <f>IFERROR(VLOOKUP($B30,'[5]INSUMOS MARZO'!$A$2:$S$105,17,0),"")</f>
        <v>13820.650000000001</v>
      </c>
      <c r="AA30" s="154">
        <f t="shared" si="7"/>
        <v>0</v>
      </c>
      <c r="AB30" s="152">
        <f>IFERROR(VLOOKUP($B30,'PEDIDO JULIO'!$A$10:$AG$200,15,0),"0")</f>
        <v>0</v>
      </c>
      <c r="AC30" s="153">
        <f>IFERROR(VLOOKUP($B30,'[5]INSUMOS MARZO'!$A$2:$S$105,17,0),"")</f>
        <v>13820.650000000001</v>
      </c>
      <c r="AD30" s="154">
        <f t="shared" si="8"/>
        <v>0</v>
      </c>
      <c r="AE30" s="152">
        <f>IFERROR(VLOOKUP($B30,'PEDIDO JULIO'!$A$10:$AG$200,16,0),"0")</f>
        <v>0</v>
      </c>
      <c r="AF30" s="153">
        <f>IFERROR(VLOOKUP($B30,'[5]INSUMOS MARZO'!$A$2:$S$105,17,0),"")</f>
        <v>13820.650000000001</v>
      </c>
      <c r="AG30" s="154">
        <f t="shared" si="9"/>
        <v>0</v>
      </c>
      <c r="AH30" s="152">
        <f>IFERROR(VLOOKUP($B30,'PEDIDO JULIO'!$A$10:$AG$200,17,0),"0")</f>
        <v>5</v>
      </c>
      <c r="AI30" s="153">
        <f>IFERROR(VLOOKUP($B30,'[5]INSUMOS MARZO'!$A$2:$S$105,17,0),"")</f>
        <v>13820.650000000001</v>
      </c>
      <c r="AJ30" s="154">
        <f t="shared" si="10"/>
        <v>69103.25</v>
      </c>
      <c r="AK30" s="152">
        <f>IFERROR(VLOOKUP($B30,'PEDIDO JULIO'!$A$10:$AG$200,18,0),"0")</f>
        <v>0</v>
      </c>
      <c r="AL30" s="153">
        <f>IFERROR(VLOOKUP($B30,'[5]INSUMOS MARZO'!$A$2:$S$105,17,0),"")</f>
        <v>13820.650000000001</v>
      </c>
      <c r="AM30" s="154">
        <f t="shared" si="11"/>
        <v>0</v>
      </c>
      <c r="AN30" s="152">
        <f>IFERROR(VLOOKUP($B30,'PEDIDO JULIO'!$A$10:$AG$200,19,0),"0")</f>
        <v>0</v>
      </c>
      <c r="AO30" s="153">
        <f>IFERROR(VLOOKUP($B30,'[5]INSUMOS MARZO'!$A$2:$S$105,17,0),"")</f>
        <v>13820.650000000001</v>
      </c>
      <c r="AP30" s="154">
        <f t="shared" si="12"/>
        <v>0</v>
      </c>
      <c r="AQ30" s="152">
        <f>IFERROR(VLOOKUP($B30,'PEDIDO JULIO'!$A$10:$AG$200,20,0),"0")</f>
        <v>0</v>
      </c>
      <c r="AR30" s="153">
        <f>IFERROR(VLOOKUP($B30,'[5]INSUMOS MARZO'!$A$2:$S$105,17,0),"")</f>
        <v>13820.650000000001</v>
      </c>
      <c r="AS30" s="154">
        <f t="shared" si="13"/>
        <v>0</v>
      </c>
      <c r="AT30" s="152">
        <f>IFERROR(VLOOKUP($B30,'PEDIDO JULIO'!$A$10:$AG$200,21,0),"0")</f>
        <v>2</v>
      </c>
      <c r="AU30" s="153">
        <f>IFERROR(VLOOKUP($B30,'[5]INSUMOS MARZO'!$A$2:$S$105,17,0),"")</f>
        <v>13820.650000000001</v>
      </c>
      <c r="AV30" s="154">
        <f t="shared" si="14"/>
        <v>27641.300000000003</v>
      </c>
      <c r="AW30" s="152">
        <f>IFERROR(VLOOKUP($B30,'PEDIDO JULIO'!$A$10:$AG$200,22,0),"0")</f>
        <v>0</v>
      </c>
      <c r="AX30" s="153">
        <f>IFERROR(VLOOKUP($B30,'[5]INSUMOS MARZO'!$A$2:$S$105,17,0),"")</f>
        <v>13820.650000000001</v>
      </c>
      <c r="AY30" s="154">
        <f t="shared" si="15"/>
        <v>0</v>
      </c>
      <c r="AZ30" s="152">
        <f>IFERROR(VLOOKUP($B30,'PEDIDO JULIO'!$A$10:$AG$200,23,0),"0")</f>
        <v>0</v>
      </c>
      <c r="BA30" s="153">
        <f>IFERROR(VLOOKUP($B30,'[5]INSUMOS MARZO'!$A$2:$S$105,17,0),"")</f>
        <v>13820.650000000001</v>
      </c>
      <c r="BB30" s="154">
        <f t="shared" si="16"/>
        <v>0</v>
      </c>
      <c r="BC30" s="152">
        <f>IFERROR(VLOOKUP($B30,'PEDIDO JULIO'!$A$10:$AG$200,24,0),"0")</f>
        <v>0</v>
      </c>
      <c r="BD30" s="153">
        <f>IFERROR(VLOOKUP($B30,'[5]INSUMOS MARZO'!$A$2:$S$105,17,0),"")</f>
        <v>13820.650000000001</v>
      </c>
      <c r="BE30" s="155">
        <f t="shared" si="17"/>
        <v>0</v>
      </c>
      <c r="BF30" s="152">
        <f>IFERROR(VLOOKUP($B30,'PEDIDO JULIO'!$A$10:$AG$200,25,0),"0")</f>
        <v>0</v>
      </c>
      <c r="BG30" s="153">
        <f>IFERROR(VLOOKUP($B30,'[5]INSUMOS MARZO'!$A$2:$S$105,17,0),"")</f>
        <v>13820.650000000001</v>
      </c>
      <c r="BH30" s="155">
        <f t="shared" si="18"/>
        <v>0</v>
      </c>
      <c r="BI30" s="152">
        <f>IFERROR(VLOOKUP($B30,'PEDIDO JULIO'!$A$10:$AG$200,26,0),"0")</f>
        <v>0</v>
      </c>
      <c r="BJ30" s="153">
        <f>IFERROR(VLOOKUP($B30,'[5]INSUMOS MARZO'!$A$2:$S$105,17,0),"")</f>
        <v>13820.650000000001</v>
      </c>
      <c r="BK30" s="154">
        <f t="shared" si="19"/>
        <v>0</v>
      </c>
      <c r="BL30" s="152">
        <f>IFERROR(VLOOKUP($B30,'PEDIDO JULIO'!$A$10:$AG$200,27,0),"0")</f>
        <v>0</v>
      </c>
      <c r="BM30" s="153">
        <f>IFERROR(VLOOKUP($B30,'[5]INSUMOS MARZO'!$A$2:$S$105,17,0),"")</f>
        <v>13820.650000000001</v>
      </c>
      <c r="BN30" s="154">
        <f t="shared" si="20"/>
        <v>0</v>
      </c>
      <c r="BO30" s="152">
        <f>IFERROR(VLOOKUP($B30,'PEDIDO JULIO'!$A$10:$AG$200,28,0),"0")</f>
        <v>0</v>
      </c>
      <c r="BP30" s="153">
        <f>IFERROR(VLOOKUP($B30,'[5]INSUMOS MARZO'!$A$2:$S$105,17,0),"")</f>
        <v>13820.650000000001</v>
      </c>
      <c r="BQ30" s="154">
        <f t="shared" si="21"/>
        <v>0</v>
      </c>
      <c r="BR30" s="152">
        <f>IFERROR(VLOOKUP($B30,'PEDIDO JULIO'!$A$10:$AG$200,29,0),"0")</f>
        <v>10</v>
      </c>
      <c r="BS30" s="153">
        <f>IFERROR(VLOOKUP($B30,'[5]INSUMOS MARZO'!$A$2:$S$105,17,0),"")</f>
        <v>13820.650000000001</v>
      </c>
      <c r="BT30" s="155">
        <f t="shared" si="22"/>
        <v>138206.5</v>
      </c>
      <c r="BU30" s="152">
        <f>IFERROR(VLOOKUP($B30,'PEDIDO JULIO'!$A$10:$AG$200,30,0),"0")</f>
        <v>0</v>
      </c>
      <c r="BV30" s="153">
        <f>IFERROR(VLOOKUP($B30,'[5]INSUMOS MARZO'!$A$2:$S$105,17,0),"")</f>
        <v>13820.650000000001</v>
      </c>
      <c r="BW30" s="155">
        <f t="shared" si="23"/>
        <v>0</v>
      </c>
      <c r="BX30" s="152">
        <f>IFERROR(VLOOKUP($B30,'PEDIDO JULIO'!$A$10:$AG$200,31,0),"0")</f>
        <v>0</v>
      </c>
      <c r="BY30" s="153">
        <f>IFERROR(VLOOKUP($B30,'[5]INSUMOS MARZO'!$A$2:$S$105,17,0),"")</f>
        <v>13820.650000000001</v>
      </c>
      <c r="BZ30" s="155">
        <f t="shared" si="24"/>
        <v>0</v>
      </c>
      <c r="CA30" s="152">
        <f>IFERROR(VLOOKUP($B30,'PEDIDO JULIO'!$A$10:$AG$200,32,0),"0")</f>
        <v>0</v>
      </c>
      <c r="CB30" s="153">
        <f>IFERROR(VLOOKUP($B30,'[5]INSUMOS MARZO'!$A$2:$S$105,17,0),"")</f>
        <v>13820.650000000001</v>
      </c>
      <c r="CC30" s="155">
        <f t="shared" si="25"/>
        <v>0</v>
      </c>
      <c r="CD30" s="157">
        <f t="shared" si="26"/>
        <v>21</v>
      </c>
      <c r="CE30" s="158">
        <f t="shared" si="27"/>
        <v>0</v>
      </c>
      <c r="CF30" s="251">
        <f>IFERROR(VLOOKUP($B30,'MATRIZ INSUMOS '!$A$3:$P$106,16,0),"")</f>
        <v>21</v>
      </c>
      <c r="CG30" s="153">
        <f>IFERROR(VLOOKUP($B30,'[5]INSUMOS MARZO'!$A$2:$S$105,17,0),"")</f>
        <v>13820.650000000001</v>
      </c>
      <c r="CH30" s="156">
        <f t="shared" si="28"/>
        <v>290233.65000000002</v>
      </c>
      <c r="CI30" s="251">
        <f>IFERROR(VLOOKUP($B30,'MATRIZ INSUMOS '!$A$3:$P$106,10,0),"")</f>
        <v>0</v>
      </c>
      <c r="CJ30" s="156">
        <f>IFERROR(VLOOKUP($B30,'[5]INSUMOS MARZO'!$A$2:$S$105,14,0),"")</f>
        <v>20399.279400000003</v>
      </c>
      <c r="CK30" s="159">
        <f t="shared" si="29"/>
        <v>0</v>
      </c>
      <c r="CL30" s="160">
        <f t="shared" si="30"/>
        <v>290233.64999999997</v>
      </c>
      <c r="CM30" s="14">
        <f t="shared" si="31"/>
        <v>29023.364999999998</v>
      </c>
      <c r="CN30" s="14">
        <f t="shared" si="32"/>
        <v>5514.4393499999996</v>
      </c>
      <c r="CO30" s="14">
        <f t="shared" si="33"/>
        <v>324771.45434999996</v>
      </c>
      <c r="CQ30" s="19">
        <f t="shared" si="34"/>
        <v>290233.65000000002</v>
      </c>
      <c r="CR30" s="19" t="b">
        <f t="shared" si="35"/>
        <v>1</v>
      </c>
      <c r="CS30" s="19">
        <f t="shared" si="36"/>
        <v>0</v>
      </c>
    </row>
    <row r="31" spans="1:97" ht="16.5">
      <c r="A31" s="3">
        <v>26</v>
      </c>
      <c r="B31" s="151">
        <v>65</v>
      </c>
      <c r="C31" s="4" t="s">
        <v>41</v>
      </c>
      <c r="D31" s="152">
        <f>IFERROR(VLOOKUP($B31,'[4]INSUMOS FEBRERO'!$A$2:$F$105,5,0),"")</f>
        <v>25</v>
      </c>
      <c r="E31" s="152">
        <f>IFERROR(VLOOKUP($B31,'PEDIDO JULIO'!$A$10:$AG$32,33,0),"0")</f>
        <v>17</v>
      </c>
      <c r="F31" s="152">
        <f t="shared" si="1"/>
        <v>-8</v>
      </c>
      <c r="G31" s="152">
        <f>IFERROR(VLOOKUP($B31,'PEDIDO JULIO'!$A$10:$AG$200,8,0),"0")</f>
        <v>0</v>
      </c>
      <c r="H31" s="153">
        <f>IFERROR(VLOOKUP($B31,'[5]INSUMOS MARZO'!$A$2:$S$105,17,0),"")</f>
        <v>13820.650000000001</v>
      </c>
      <c r="I31" s="154">
        <f t="shared" si="0"/>
        <v>0</v>
      </c>
      <c r="J31" s="152">
        <f>IFERROR(VLOOKUP($B31,'PEDIDO JULIO'!$A$10:$AG$200,9,0),"0")</f>
        <v>0</v>
      </c>
      <c r="K31" s="153">
        <f>IFERROR(VLOOKUP($B31,'[5]INSUMOS MARZO'!$A$2:$S$105,17,0),"")</f>
        <v>13820.650000000001</v>
      </c>
      <c r="L31" s="155">
        <f t="shared" si="2"/>
        <v>0</v>
      </c>
      <c r="M31" s="152">
        <f>IFERROR(VLOOKUP($B31,'PEDIDO JULIO'!$A$10:$AG$200,10,0),"0")</f>
        <v>0</v>
      </c>
      <c r="N31" s="153">
        <f>IFERROR(VLOOKUP($B31,'[5]INSUMOS MARZO'!$A$2:$S$105,17,0),"")</f>
        <v>13820.650000000001</v>
      </c>
      <c r="O31" s="154">
        <f t="shared" si="3"/>
        <v>0</v>
      </c>
      <c r="P31" s="152">
        <f>IFERROR(VLOOKUP($B31,'PEDIDO JULIO'!$A$10:$AG$200,11,0),"0")</f>
        <v>0</v>
      </c>
      <c r="Q31" s="153">
        <f>IFERROR(VLOOKUP($B31,'[5]INSUMOS MARZO'!$A$2:$S$105,17,0),"")</f>
        <v>13820.650000000001</v>
      </c>
      <c r="R31" s="154">
        <f t="shared" si="4"/>
        <v>0</v>
      </c>
      <c r="S31" s="152">
        <f>IFERROR(VLOOKUP($B31,'PEDIDO JULIO'!$A$10:$AG$200,12,0),"0")</f>
        <v>0</v>
      </c>
      <c r="T31" s="153">
        <f>IFERROR(VLOOKUP($B31,'[5]INSUMOS MARZO'!$A$2:$S$105,17,0),"")</f>
        <v>13820.650000000001</v>
      </c>
      <c r="U31" s="154">
        <f t="shared" si="5"/>
        <v>0</v>
      </c>
      <c r="V31" s="152">
        <f>IFERROR(VLOOKUP($B31,'PEDIDO JULIO'!$A$10:$AG$200,13,0),"0")</f>
        <v>0</v>
      </c>
      <c r="W31" s="153">
        <f>IFERROR(VLOOKUP($B31,'[5]INSUMOS MARZO'!$A$2:$S$105,17,0),"")</f>
        <v>13820.650000000001</v>
      </c>
      <c r="X31" s="154">
        <f t="shared" si="6"/>
        <v>0</v>
      </c>
      <c r="Y31" s="152">
        <f>IFERROR(VLOOKUP($B31,'PEDIDO JULIO'!$A$10:$AG$200,14,0),"0")</f>
        <v>0</v>
      </c>
      <c r="Z31" s="153">
        <f>IFERROR(VLOOKUP($B31,'[5]INSUMOS MARZO'!$A$2:$S$105,17,0),"")</f>
        <v>13820.650000000001</v>
      </c>
      <c r="AA31" s="154">
        <f t="shared" si="7"/>
        <v>0</v>
      </c>
      <c r="AB31" s="152">
        <f>IFERROR(VLOOKUP($B31,'PEDIDO JULIO'!$A$10:$AG$200,15,0),"0")</f>
        <v>0</v>
      </c>
      <c r="AC31" s="153">
        <f>IFERROR(VLOOKUP($B31,'[5]INSUMOS MARZO'!$A$2:$S$105,17,0),"")</f>
        <v>13820.650000000001</v>
      </c>
      <c r="AD31" s="154">
        <f t="shared" si="8"/>
        <v>0</v>
      </c>
      <c r="AE31" s="152">
        <f>IFERROR(VLOOKUP($B31,'PEDIDO JULIO'!$A$10:$AG$200,16,0),"0")</f>
        <v>0</v>
      </c>
      <c r="AF31" s="153">
        <f>IFERROR(VLOOKUP($B31,'[5]INSUMOS MARZO'!$A$2:$S$105,17,0),"")</f>
        <v>13820.650000000001</v>
      </c>
      <c r="AG31" s="154">
        <f t="shared" si="9"/>
        <v>0</v>
      </c>
      <c r="AH31" s="152">
        <f>IFERROR(VLOOKUP($B31,'PEDIDO JULIO'!$A$10:$AG$200,17,0),"0")</f>
        <v>5</v>
      </c>
      <c r="AI31" s="153">
        <f>IFERROR(VLOOKUP($B31,'[5]INSUMOS MARZO'!$A$2:$S$105,17,0),"")</f>
        <v>13820.650000000001</v>
      </c>
      <c r="AJ31" s="154">
        <f t="shared" si="10"/>
        <v>69103.25</v>
      </c>
      <c r="AK31" s="152">
        <f>IFERROR(VLOOKUP($B31,'PEDIDO JULIO'!$A$10:$AG$200,18,0),"0")</f>
        <v>0</v>
      </c>
      <c r="AL31" s="153">
        <f>IFERROR(VLOOKUP($B31,'[5]INSUMOS MARZO'!$A$2:$S$105,17,0),"")</f>
        <v>13820.650000000001</v>
      </c>
      <c r="AM31" s="154">
        <f t="shared" si="11"/>
        <v>0</v>
      </c>
      <c r="AN31" s="152">
        <f>IFERROR(VLOOKUP($B31,'PEDIDO JULIO'!$A$10:$AG$200,19,0),"0")</f>
        <v>0</v>
      </c>
      <c r="AO31" s="153">
        <f>IFERROR(VLOOKUP($B31,'[5]INSUMOS MARZO'!$A$2:$S$105,17,0),"")</f>
        <v>13820.650000000001</v>
      </c>
      <c r="AP31" s="154">
        <f t="shared" si="12"/>
        <v>0</v>
      </c>
      <c r="AQ31" s="152">
        <f>IFERROR(VLOOKUP($B31,'PEDIDO JULIO'!$A$10:$AG$200,20,0),"0")</f>
        <v>0</v>
      </c>
      <c r="AR31" s="153">
        <f>IFERROR(VLOOKUP($B31,'[5]INSUMOS MARZO'!$A$2:$S$105,17,0),"")</f>
        <v>13820.650000000001</v>
      </c>
      <c r="AS31" s="154">
        <f t="shared" si="13"/>
        <v>0</v>
      </c>
      <c r="AT31" s="152">
        <f>IFERROR(VLOOKUP($B31,'PEDIDO JULIO'!$A$10:$AG$200,21,0),"0")</f>
        <v>2</v>
      </c>
      <c r="AU31" s="153">
        <f>IFERROR(VLOOKUP($B31,'[5]INSUMOS MARZO'!$A$2:$S$105,17,0),"")</f>
        <v>13820.650000000001</v>
      </c>
      <c r="AV31" s="154">
        <f t="shared" si="14"/>
        <v>27641.300000000003</v>
      </c>
      <c r="AW31" s="152">
        <f>IFERROR(VLOOKUP($B31,'PEDIDO JULIO'!$A$10:$AG$200,22,0),"0")</f>
        <v>0</v>
      </c>
      <c r="AX31" s="153">
        <f>IFERROR(VLOOKUP($B31,'[5]INSUMOS MARZO'!$A$2:$S$105,17,0),"")</f>
        <v>13820.650000000001</v>
      </c>
      <c r="AY31" s="154">
        <f t="shared" si="15"/>
        <v>0</v>
      </c>
      <c r="AZ31" s="152">
        <f>IFERROR(VLOOKUP($B31,'PEDIDO JULIO'!$A$10:$AG$200,23,0),"0")</f>
        <v>0</v>
      </c>
      <c r="BA31" s="153">
        <f>IFERROR(VLOOKUP($B31,'[5]INSUMOS MARZO'!$A$2:$S$105,17,0),"")</f>
        <v>13820.650000000001</v>
      </c>
      <c r="BB31" s="154">
        <f t="shared" si="16"/>
        <v>0</v>
      </c>
      <c r="BC31" s="152">
        <f>IFERROR(VLOOKUP($B31,'PEDIDO JULIO'!$A$10:$AG$200,24,0),"0")</f>
        <v>0</v>
      </c>
      <c r="BD31" s="153">
        <f>IFERROR(VLOOKUP($B31,'[5]INSUMOS MARZO'!$A$2:$S$105,17,0),"")</f>
        <v>13820.650000000001</v>
      </c>
      <c r="BE31" s="155">
        <f t="shared" si="17"/>
        <v>0</v>
      </c>
      <c r="BF31" s="152">
        <f>IFERROR(VLOOKUP($B31,'PEDIDO JULIO'!$A$10:$AG$200,25,0),"0")</f>
        <v>0</v>
      </c>
      <c r="BG31" s="153">
        <f>IFERROR(VLOOKUP($B31,'[5]INSUMOS MARZO'!$A$2:$S$105,17,0),"")</f>
        <v>13820.650000000001</v>
      </c>
      <c r="BH31" s="155">
        <f t="shared" si="18"/>
        <v>0</v>
      </c>
      <c r="BI31" s="152">
        <f>IFERROR(VLOOKUP($B31,'PEDIDO JULIO'!$A$10:$AG$200,26,0),"0")</f>
        <v>0</v>
      </c>
      <c r="BJ31" s="153">
        <f>IFERROR(VLOOKUP($B31,'[5]INSUMOS MARZO'!$A$2:$S$105,17,0),"")</f>
        <v>13820.650000000001</v>
      </c>
      <c r="BK31" s="154">
        <f t="shared" si="19"/>
        <v>0</v>
      </c>
      <c r="BL31" s="152">
        <f>IFERROR(VLOOKUP($B31,'PEDIDO JULIO'!$A$10:$AG$200,27,0),"0")</f>
        <v>0</v>
      </c>
      <c r="BM31" s="153">
        <f>IFERROR(VLOOKUP($B31,'[5]INSUMOS MARZO'!$A$2:$S$105,17,0),"")</f>
        <v>13820.650000000001</v>
      </c>
      <c r="BN31" s="154">
        <f t="shared" si="20"/>
        <v>0</v>
      </c>
      <c r="BO31" s="152">
        <f>IFERROR(VLOOKUP($B31,'PEDIDO JULIO'!$A$10:$AG$200,28,0),"0")</f>
        <v>0</v>
      </c>
      <c r="BP31" s="153">
        <f>IFERROR(VLOOKUP($B31,'[5]INSUMOS MARZO'!$A$2:$S$105,17,0),"")</f>
        <v>13820.650000000001</v>
      </c>
      <c r="BQ31" s="154">
        <f t="shared" si="21"/>
        <v>0</v>
      </c>
      <c r="BR31" s="152">
        <f>IFERROR(VLOOKUP($B31,'PEDIDO JULIO'!$A$10:$AG$200,29,0),"0")</f>
        <v>10</v>
      </c>
      <c r="BS31" s="153">
        <f>IFERROR(VLOOKUP($B31,'[5]INSUMOS MARZO'!$A$2:$S$105,17,0),"")</f>
        <v>13820.650000000001</v>
      </c>
      <c r="BT31" s="155">
        <f t="shared" si="22"/>
        <v>138206.5</v>
      </c>
      <c r="BU31" s="152">
        <f>IFERROR(VLOOKUP($B31,'PEDIDO JULIO'!$A$10:$AG$200,30,0),"0")</f>
        <v>0</v>
      </c>
      <c r="BV31" s="153">
        <f>IFERROR(VLOOKUP($B31,'[5]INSUMOS MARZO'!$A$2:$S$105,17,0),"")</f>
        <v>13820.650000000001</v>
      </c>
      <c r="BW31" s="155">
        <f t="shared" si="23"/>
        <v>0</v>
      </c>
      <c r="BX31" s="152">
        <f>IFERROR(VLOOKUP($B31,'PEDIDO JULIO'!$A$10:$AG$200,31,0),"0")</f>
        <v>0</v>
      </c>
      <c r="BY31" s="153">
        <f>IFERROR(VLOOKUP($B31,'[5]INSUMOS MARZO'!$A$2:$S$105,17,0),"")</f>
        <v>13820.650000000001</v>
      </c>
      <c r="BZ31" s="155">
        <f t="shared" si="24"/>
        <v>0</v>
      </c>
      <c r="CA31" s="152">
        <f>IFERROR(VLOOKUP($B31,'PEDIDO JULIO'!$A$10:$AG$200,32,0),"0")</f>
        <v>0</v>
      </c>
      <c r="CB31" s="153">
        <f>IFERROR(VLOOKUP($B31,'[5]INSUMOS MARZO'!$A$2:$S$105,17,0),"")</f>
        <v>13820.650000000001</v>
      </c>
      <c r="CC31" s="155">
        <f t="shared" si="25"/>
        <v>0</v>
      </c>
      <c r="CD31" s="164">
        <f t="shared" si="26"/>
        <v>17</v>
      </c>
      <c r="CE31" s="158">
        <f t="shared" si="27"/>
        <v>0</v>
      </c>
      <c r="CF31" s="251">
        <f>IFERROR(VLOOKUP($B31,'MATRIZ INSUMOS '!$A$3:$P$106,16,0),"")</f>
        <v>17</v>
      </c>
      <c r="CG31" s="153">
        <f>IFERROR(VLOOKUP($B31,'[5]INSUMOS MARZO'!$A$2:$S$105,17,0),"")</f>
        <v>13820.650000000001</v>
      </c>
      <c r="CH31" s="156">
        <f t="shared" si="28"/>
        <v>234951.05000000002</v>
      </c>
      <c r="CI31" s="251">
        <f>IFERROR(VLOOKUP($B31,'MATRIZ INSUMOS '!$A$3:$P$106,10,0),"")</f>
        <v>0</v>
      </c>
      <c r="CJ31" s="156">
        <f>IFERROR(VLOOKUP($B31,'[5]INSUMOS MARZO'!$A$2:$S$105,14,0),"")</f>
        <v>21295.046699999999</v>
      </c>
      <c r="CK31" s="159">
        <f t="shared" si="29"/>
        <v>0</v>
      </c>
      <c r="CL31" s="160">
        <f t="shared" si="30"/>
        <v>234951.05</v>
      </c>
      <c r="CM31" s="14">
        <f t="shared" si="31"/>
        <v>23495.105</v>
      </c>
      <c r="CN31" s="14">
        <f t="shared" si="32"/>
        <v>4464.0699500000001</v>
      </c>
      <c r="CO31" s="14">
        <f t="shared" si="33"/>
        <v>262910.22495</v>
      </c>
      <c r="CQ31" s="19">
        <f t="shared" si="34"/>
        <v>234951.05000000002</v>
      </c>
      <c r="CR31" s="19" t="b">
        <f t="shared" si="35"/>
        <v>1</v>
      </c>
      <c r="CS31" s="19">
        <f t="shared" si="36"/>
        <v>0</v>
      </c>
    </row>
    <row r="32" spans="1:97" ht="16.5">
      <c r="A32" s="3">
        <v>27</v>
      </c>
      <c r="B32" s="151">
        <v>66</v>
      </c>
      <c r="C32" s="4" t="s">
        <v>42</v>
      </c>
      <c r="D32" s="152">
        <f>IFERROR(VLOOKUP($B32,'[4]INSUMOS FEBRERO'!$A$2:$F$105,5,0),"")</f>
        <v>25</v>
      </c>
      <c r="E32" s="152">
        <f>IFERROR(VLOOKUP($B32,'PEDIDO JULIO'!$A$10:$AG$32,33,0),"0")</f>
        <v>52</v>
      </c>
      <c r="F32" s="152">
        <f t="shared" si="1"/>
        <v>27</v>
      </c>
      <c r="G32" s="152">
        <f>IFERROR(VLOOKUP($B32,'PEDIDO JULIO'!$A$10:$AG$200,8,0),"0")</f>
        <v>30</v>
      </c>
      <c r="H32" s="156">
        <f>IFERROR(VLOOKUP($B32,'[5]INSUMOS MARZO'!$A$2:$S$105,14,0),"")</f>
        <v>4178.9862000000003</v>
      </c>
      <c r="I32" s="154">
        <f t="shared" si="0"/>
        <v>125369.58600000001</v>
      </c>
      <c r="J32" s="152">
        <f>IFERROR(VLOOKUP($B32,'PEDIDO JULIO'!$A$10:$AG$200,9,0),"0")</f>
        <v>0</v>
      </c>
      <c r="K32" s="153">
        <f>IFERROR(VLOOKUP($B32,'[5]INSUMOS MARZO'!$A$2:$S$105,17,0),"")</f>
        <v>2887.0970000000002</v>
      </c>
      <c r="L32" s="155">
        <f t="shared" si="2"/>
        <v>0</v>
      </c>
      <c r="M32" s="152">
        <f>IFERROR(VLOOKUP($B32,'PEDIDO JULIO'!$A$10:$AG$200,10,0),"0")</f>
        <v>0</v>
      </c>
      <c r="N32" s="153">
        <f>IFERROR(VLOOKUP($B32,'[5]INSUMOS MARZO'!$A$2:$S$105,17,0),"")</f>
        <v>2887.0970000000002</v>
      </c>
      <c r="O32" s="154">
        <f t="shared" si="3"/>
        <v>0</v>
      </c>
      <c r="P32" s="152">
        <f>IFERROR(VLOOKUP($B32,'PEDIDO JULIO'!$A$10:$AG$200,11,0),"0")</f>
        <v>0</v>
      </c>
      <c r="Q32" s="153">
        <f>IFERROR(VLOOKUP($B32,'[5]INSUMOS MARZO'!$A$2:$S$105,17,0),"")</f>
        <v>2887.0970000000002</v>
      </c>
      <c r="R32" s="154">
        <f t="shared" si="4"/>
        <v>0</v>
      </c>
      <c r="S32" s="251">
        <f>IFERROR(VLOOKUP($B32,'PEDIDO JULIO'!$A$10:$AG$200,12,0),"0")</f>
        <v>4</v>
      </c>
      <c r="T32" s="153">
        <f>IFERROR(VLOOKUP($B32,'[5]INSUMOS MARZO'!$A$2:$S$105,17,0),"")</f>
        <v>2887.0970000000002</v>
      </c>
      <c r="U32" s="154">
        <f t="shared" si="5"/>
        <v>11548.388000000001</v>
      </c>
      <c r="V32" s="152">
        <f>IFERROR(VLOOKUP($B32,'PEDIDO JULIO'!$A$10:$AG$200,13,0),"0")</f>
        <v>15</v>
      </c>
      <c r="W32" s="156">
        <f>IFERROR(VLOOKUP($B32,'[5]INSUMOS MARZO'!$A$2:$S$105,14,0),"")</f>
        <v>4178.9862000000003</v>
      </c>
      <c r="X32" s="154">
        <f t="shared" si="6"/>
        <v>62684.793000000005</v>
      </c>
      <c r="Y32" s="152">
        <f>IFERROR(VLOOKUP($B32,'PEDIDO JULIO'!$A$10:$AG$200,14,0),"0")</f>
        <v>0</v>
      </c>
      <c r="Z32" s="156">
        <f>IFERROR(VLOOKUP($B32,'[5]INSUMOS MARZO'!$A$2:$S$105,14,0),"")</f>
        <v>4178.9862000000003</v>
      </c>
      <c r="AA32" s="154">
        <f t="shared" si="7"/>
        <v>0</v>
      </c>
      <c r="AB32" s="152">
        <f>IFERROR(VLOOKUP($B32,'PEDIDO JULIO'!$A$10:$AG$200,15,0),"0")</f>
        <v>0</v>
      </c>
      <c r="AC32" s="156">
        <f>IFERROR(VLOOKUP($B32,'[5]INSUMOS MARZO'!$A$2:$S$105,14,0),"")</f>
        <v>4178.9862000000003</v>
      </c>
      <c r="AD32" s="154">
        <f t="shared" si="8"/>
        <v>0</v>
      </c>
      <c r="AE32" s="251">
        <f>IFERROR(VLOOKUP($B32,'PEDIDO JULIO'!$A$10:$AG$200,16,0),"0")</f>
        <v>3</v>
      </c>
      <c r="AF32" s="153">
        <f>IFERROR(VLOOKUP($B32,'[5]INSUMOS MARZO'!$A$2:$S$105,17,0),"")</f>
        <v>2887.0970000000002</v>
      </c>
      <c r="AG32" s="154">
        <f t="shared" si="9"/>
        <v>8661.2910000000011</v>
      </c>
      <c r="AH32" s="152">
        <f>IFERROR(VLOOKUP($B32,'PEDIDO JULIO'!$A$10:$AG$200,17,0),"0")</f>
        <v>0</v>
      </c>
      <c r="AI32" s="156">
        <f>IFERROR(VLOOKUP($B32,'[5]INSUMOS MARZO'!$A$2:$S$105,14,0),"")</f>
        <v>4178.9862000000003</v>
      </c>
      <c r="AJ32" s="154">
        <f t="shared" si="10"/>
        <v>0</v>
      </c>
      <c r="AK32" s="152">
        <f>IFERROR(VLOOKUP($B32,'PEDIDO JULIO'!$A$10:$AG$200,18,0),"0")</f>
        <v>0</v>
      </c>
      <c r="AL32" s="156">
        <f>IFERROR(VLOOKUP($B32,'[5]INSUMOS MARZO'!$A$2:$S$105,14,0),"")</f>
        <v>4178.9862000000003</v>
      </c>
      <c r="AM32" s="154">
        <f t="shared" si="11"/>
        <v>0</v>
      </c>
      <c r="AN32" s="152">
        <f>IFERROR(VLOOKUP($B32,'PEDIDO JULIO'!$A$10:$AG$200,19,0),"0")</f>
        <v>0</v>
      </c>
      <c r="AO32" s="153">
        <f>IFERROR(VLOOKUP($B32,'[5]INSUMOS MARZO'!$A$2:$S$105,17,0),"")</f>
        <v>2887.0970000000002</v>
      </c>
      <c r="AP32" s="154">
        <f t="shared" si="12"/>
        <v>0</v>
      </c>
      <c r="AQ32" s="152">
        <f>IFERROR(VLOOKUP($B32,'PEDIDO JULIO'!$A$10:$AG$200,20,0),"0")</f>
        <v>0</v>
      </c>
      <c r="AR32" s="153">
        <f>IFERROR(VLOOKUP($B32,'[5]INSUMOS MARZO'!$A$2:$S$105,17,0),"")</f>
        <v>2887.0970000000002</v>
      </c>
      <c r="AS32" s="154">
        <f t="shared" si="13"/>
        <v>0</v>
      </c>
      <c r="AT32" s="152">
        <f>IFERROR(VLOOKUP($B32,'PEDIDO JULIO'!$A$10:$AG$200,21,0),"0")</f>
        <v>0</v>
      </c>
      <c r="AU32" s="156">
        <f>IFERROR(VLOOKUP($B32,'[5]INSUMOS MARZO'!$A$2:$S$105,14,0),"")</f>
        <v>4178.9862000000003</v>
      </c>
      <c r="AV32" s="154">
        <f t="shared" si="14"/>
        <v>0</v>
      </c>
      <c r="AW32" s="152">
        <f>IFERROR(VLOOKUP($B32,'PEDIDO JULIO'!$A$10:$AG$200,22,0),"0")</f>
        <v>0</v>
      </c>
      <c r="AX32" s="153">
        <f>IFERROR(VLOOKUP($B32,'[5]INSUMOS MARZO'!$A$2:$S$105,17,0),"")</f>
        <v>2887.0970000000002</v>
      </c>
      <c r="AY32" s="154">
        <f t="shared" si="15"/>
        <v>0</v>
      </c>
      <c r="AZ32" s="152">
        <f>IFERROR(VLOOKUP($B32,'PEDIDO JULIO'!$A$10:$AG$200,23,0),"0")</f>
        <v>0</v>
      </c>
      <c r="BA32" s="153">
        <f>IFERROR(VLOOKUP($B32,'[5]INSUMOS MARZO'!$A$2:$S$105,17,0),"")</f>
        <v>2887.0970000000002</v>
      </c>
      <c r="BB32" s="154">
        <f t="shared" si="16"/>
        <v>0</v>
      </c>
      <c r="BC32" s="152">
        <f>IFERROR(VLOOKUP($B32,'PEDIDO JULIO'!$A$10:$AG$200,24,0),"0")</f>
        <v>0</v>
      </c>
      <c r="BD32" s="153">
        <f>IFERROR(VLOOKUP($B32,'[5]INSUMOS MARZO'!$A$2:$S$105,17,0),"")</f>
        <v>2887.0970000000002</v>
      </c>
      <c r="BE32" s="155">
        <f t="shared" si="17"/>
        <v>0</v>
      </c>
      <c r="BF32" s="152">
        <f>IFERROR(VLOOKUP($B32,'PEDIDO JULIO'!$A$10:$AG$200,25,0),"0")</f>
        <v>0</v>
      </c>
      <c r="BG32" s="156">
        <f>IFERROR(VLOOKUP($B32,'[5]INSUMOS MARZO'!$A$2:$S$105,14,0),"")</f>
        <v>4178.9862000000003</v>
      </c>
      <c r="BH32" s="155">
        <f t="shared" si="18"/>
        <v>0</v>
      </c>
      <c r="BI32" s="152">
        <f>IFERROR(VLOOKUP($B32,'PEDIDO JULIO'!$A$10:$AG$200,26,0),"0")</f>
        <v>0</v>
      </c>
      <c r="BJ32" s="153">
        <f>IFERROR(VLOOKUP($B32,'[5]INSUMOS MARZO'!$A$2:$S$105,17,0),"")</f>
        <v>2887.0970000000002</v>
      </c>
      <c r="BK32" s="154">
        <f t="shared" si="19"/>
        <v>0</v>
      </c>
      <c r="BL32" s="152">
        <f>IFERROR(VLOOKUP($B32,'PEDIDO JULIO'!$A$10:$AG$200,27,0),"0")</f>
        <v>0</v>
      </c>
      <c r="BM32" s="153">
        <f>IFERROR(VLOOKUP($B32,'[5]INSUMOS MARZO'!$A$2:$S$105,17,0),"")</f>
        <v>2887.0970000000002</v>
      </c>
      <c r="BN32" s="154">
        <f t="shared" si="20"/>
        <v>0</v>
      </c>
      <c r="BO32" s="152">
        <f>IFERROR(VLOOKUP($B32,'PEDIDO JULIO'!$A$10:$AG$200,28,0),"0")</f>
        <v>0</v>
      </c>
      <c r="BP32" s="153">
        <f>IFERROR(VLOOKUP($B32,'[5]INSUMOS MARZO'!$A$2:$S$105,17,0),"")</f>
        <v>2887.0970000000002</v>
      </c>
      <c r="BQ32" s="154">
        <f t="shared" si="21"/>
        <v>0</v>
      </c>
      <c r="BR32" s="152">
        <f>IFERROR(VLOOKUP($B32,'PEDIDO JULIO'!$A$10:$AG$200,29,0),"0")</f>
        <v>0</v>
      </c>
      <c r="BS32" s="156">
        <f>IFERROR(VLOOKUP($B32,'[5]INSUMOS MARZO'!$A$2:$S$105,14,0),"")</f>
        <v>4178.9862000000003</v>
      </c>
      <c r="BT32" s="155">
        <f t="shared" si="22"/>
        <v>0</v>
      </c>
      <c r="BU32" s="152">
        <f>IFERROR(VLOOKUP($B32,'PEDIDO JULIO'!$A$10:$AG$200,30,0),"0")</f>
        <v>0</v>
      </c>
      <c r="BV32" s="156">
        <f>IFERROR(VLOOKUP($B32,'[5]INSUMOS MARZO'!$A$2:$S$105,14,0),"")</f>
        <v>4178.9862000000003</v>
      </c>
      <c r="BW32" s="155">
        <f t="shared" si="23"/>
        <v>0</v>
      </c>
      <c r="BX32" s="152">
        <f>IFERROR(VLOOKUP($B32,'PEDIDO JULIO'!$A$10:$AG$200,31,0),"0")</f>
        <v>0</v>
      </c>
      <c r="BY32" s="153">
        <f>IFERROR(VLOOKUP($B32,'[5]INSUMOS MARZO'!$A$2:$S$105,17,0),"")</f>
        <v>2887.0970000000002</v>
      </c>
      <c r="BZ32" s="155">
        <f t="shared" si="24"/>
        <v>0</v>
      </c>
      <c r="CA32" s="152">
        <f>IFERROR(VLOOKUP($B32,'PEDIDO JULIO'!$A$10:$AG$200,32,0),"0")</f>
        <v>0</v>
      </c>
      <c r="CB32" s="153">
        <f>IFERROR(VLOOKUP($B32,'[5]INSUMOS MARZO'!$A$2:$S$105,17,0),"")</f>
        <v>2887.0970000000002</v>
      </c>
      <c r="CC32" s="155">
        <f t="shared" si="25"/>
        <v>0</v>
      </c>
      <c r="CD32" s="164">
        <f t="shared" si="26"/>
        <v>52</v>
      </c>
      <c r="CE32" s="158">
        <f t="shared" si="27"/>
        <v>0</v>
      </c>
      <c r="CF32" s="251">
        <v>7</v>
      </c>
      <c r="CG32" s="153">
        <f>IFERROR(VLOOKUP($B32,'[5]INSUMOS MARZO'!$A$2:$S$105,17,0),"")</f>
        <v>2887.0970000000002</v>
      </c>
      <c r="CH32" s="156">
        <f t="shared" si="28"/>
        <v>20209.679</v>
      </c>
      <c r="CI32" s="251">
        <v>45</v>
      </c>
      <c r="CJ32" s="156">
        <f>IFERROR(VLOOKUP($B32,'[5]INSUMOS MARZO'!$A$2:$S$105,14,0),"")</f>
        <v>4178.9862000000003</v>
      </c>
      <c r="CK32" s="159">
        <f t="shared" si="29"/>
        <v>188054.37900000002</v>
      </c>
      <c r="CL32" s="160">
        <f t="shared" si="30"/>
        <v>208264.05800000002</v>
      </c>
      <c r="CM32" s="14">
        <f t="shared" si="31"/>
        <v>20826.405800000004</v>
      </c>
      <c r="CN32" s="14">
        <f t="shared" si="32"/>
        <v>3957.0171020000007</v>
      </c>
      <c r="CO32" s="14">
        <f t="shared" si="33"/>
        <v>233047.48090200004</v>
      </c>
      <c r="CP32" s="1">
        <f>+CF32+CI32-CD32</f>
        <v>0</v>
      </c>
      <c r="CQ32" s="19">
        <f t="shared" si="34"/>
        <v>208264.05800000002</v>
      </c>
      <c r="CR32" s="19" t="b">
        <f t="shared" si="35"/>
        <v>1</v>
      </c>
      <c r="CS32" s="19">
        <f t="shared" si="36"/>
        <v>0</v>
      </c>
    </row>
    <row r="33" spans="1:97" ht="16.5">
      <c r="A33" s="3">
        <v>28</v>
      </c>
      <c r="B33" s="151">
        <v>71</v>
      </c>
      <c r="C33" s="4" t="s">
        <v>43</v>
      </c>
      <c r="D33" s="152">
        <f>IFERROR(VLOOKUP($B33,'[4]INSUMOS FEBRERO'!$A$2:$F$105,5,0),"")</f>
        <v>25</v>
      </c>
      <c r="E33" s="152" t="str">
        <f>IFERROR(VLOOKUP($B33,'PEDIDO JULIO'!$A$10:$AG$32,33,0),"0")</f>
        <v>0</v>
      </c>
      <c r="F33" s="152">
        <f t="shared" si="1"/>
        <v>-25</v>
      </c>
      <c r="G33" s="152" t="str">
        <f>IFERROR(VLOOKUP($B33,'PEDIDO JULIO'!$A$10:$AG$200,8,0),"0")</f>
        <v>0</v>
      </c>
      <c r="H33" s="153">
        <f>IFERROR(VLOOKUP($B33,'[5]INSUMOS MARZO'!$A$2:$S$105,17,0),"")</f>
        <v>5196.1440000000002</v>
      </c>
      <c r="I33" s="154">
        <f t="shared" si="0"/>
        <v>0</v>
      </c>
      <c r="J33" s="152" t="str">
        <f>IFERROR(VLOOKUP($B33,'PEDIDO JULIO'!$A$10:$AG$200,9,0),"0")</f>
        <v>0</v>
      </c>
      <c r="K33" s="156">
        <f>IFERROR(VLOOKUP($B33,'[5]INSUMOS MARZO'!$A$2:$S$105,14,0),"")</f>
        <v>7960.6944000000003</v>
      </c>
      <c r="L33" s="155">
        <f t="shared" si="2"/>
        <v>0</v>
      </c>
      <c r="M33" s="152" t="str">
        <f>IFERROR(VLOOKUP($B33,'PEDIDO JULIO'!$A$10:$AG$200,10,0),"0")</f>
        <v>0</v>
      </c>
      <c r="N33" s="153">
        <f>IFERROR(VLOOKUP($B33,'[5]INSUMOS MARZO'!$A$2:$S$105,17,0),"")</f>
        <v>5196.1440000000002</v>
      </c>
      <c r="O33" s="154">
        <f t="shared" si="3"/>
        <v>0</v>
      </c>
      <c r="P33" s="152" t="str">
        <f>IFERROR(VLOOKUP($B33,'PEDIDO JULIO'!$A$10:$AG$200,11,0),"0")</f>
        <v>0</v>
      </c>
      <c r="Q33" s="153">
        <f>IFERROR(VLOOKUP($B33,'[5]INSUMOS MARZO'!$A$2:$S$105,17,0),"")</f>
        <v>5196.1440000000002</v>
      </c>
      <c r="R33" s="154">
        <f t="shared" si="4"/>
        <v>0</v>
      </c>
      <c r="S33" s="152" t="str">
        <f>IFERROR(VLOOKUP($B33,'PEDIDO JULIO'!$A$10:$AG$200,12,0),"0")</f>
        <v>0</v>
      </c>
      <c r="T33" s="153">
        <f>IFERROR(VLOOKUP($B33,'[5]INSUMOS MARZO'!$A$2:$S$105,17,0),"")</f>
        <v>5196.1440000000002</v>
      </c>
      <c r="U33" s="154">
        <f t="shared" si="5"/>
        <v>0</v>
      </c>
      <c r="V33" s="152" t="str">
        <f>IFERROR(VLOOKUP($B33,'PEDIDO JULIO'!$A$10:$AG$200,13,0),"0")</f>
        <v>0</v>
      </c>
      <c r="W33" s="153">
        <f>IFERROR(VLOOKUP($B33,'[5]INSUMOS MARZO'!$A$2:$S$105,17,0),"")</f>
        <v>5196.1440000000002</v>
      </c>
      <c r="X33" s="154">
        <f t="shared" si="6"/>
        <v>0</v>
      </c>
      <c r="Y33" s="152" t="str">
        <f>IFERROR(VLOOKUP($B33,'PEDIDO JULIO'!$A$10:$AG$200,14,0),"0")</f>
        <v>0</v>
      </c>
      <c r="Z33" s="153">
        <f>IFERROR(VLOOKUP($B33,'[5]INSUMOS MARZO'!$A$2:$S$105,17,0),"")</f>
        <v>5196.1440000000002</v>
      </c>
      <c r="AA33" s="154">
        <f t="shared" si="7"/>
        <v>0</v>
      </c>
      <c r="AB33" s="152" t="str">
        <f>IFERROR(VLOOKUP($B33,'PEDIDO JULIO'!$A$10:$AG$200,15,0),"0")</f>
        <v>0</v>
      </c>
      <c r="AC33" s="153">
        <f>IFERROR(VLOOKUP($B33,'[5]INSUMOS MARZO'!$A$2:$S$105,17,0),"")</f>
        <v>5196.1440000000002</v>
      </c>
      <c r="AD33" s="154">
        <f t="shared" si="8"/>
        <v>0</v>
      </c>
      <c r="AE33" s="152" t="str">
        <f>IFERROR(VLOOKUP($B33,'PEDIDO JULIO'!$A$10:$AG$200,16,0),"0")</f>
        <v>0</v>
      </c>
      <c r="AF33" s="153">
        <f>IFERROR(VLOOKUP($B33,'[5]INSUMOS MARZO'!$A$2:$S$105,17,0),"")</f>
        <v>5196.1440000000002</v>
      </c>
      <c r="AG33" s="154">
        <f t="shared" si="9"/>
        <v>0</v>
      </c>
      <c r="AH33" s="152" t="str">
        <f>IFERROR(VLOOKUP($B33,'PEDIDO JULIO'!$A$10:$AG$200,17,0),"0")</f>
        <v>0</v>
      </c>
      <c r="AI33" s="153">
        <f>IFERROR(VLOOKUP($B33,'[5]INSUMOS MARZO'!$A$2:$S$105,17,0),"")</f>
        <v>5196.1440000000002</v>
      </c>
      <c r="AJ33" s="154">
        <f t="shared" si="10"/>
        <v>0</v>
      </c>
      <c r="AK33" s="152" t="str">
        <f>IFERROR(VLOOKUP($B33,'PEDIDO JULIO'!$A$10:$AG$200,18,0),"0")</f>
        <v>0</v>
      </c>
      <c r="AL33" s="153">
        <f>IFERROR(VLOOKUP($B33,'[5]INSUMOS MARZO'!$A$2:$S$105,17,0),"")</f>
        <v>5196.1440000000002</v>
      </c>
      <c r="AM33" s="154">
        <f t="shared" si="11"/>
        <v>0</v>
      </c>
      <c r="AN33" s="152" t="str">
        <f>IFERROR(VLOOKUP($B33,'PEDIDO JULIO'!$A$10:$AG$200,19,0),"0")</f>
        <v>0</v>
      </c>
      <c r="AO33" s="153">
        <f>IFERROR(VLOOKUP($B33,'[5]INSUMOS MARZO'!$A$2:$S$105,17,0),"")</f>
        <v>5196.1440000000002</v>
      </c>
      <c r="AP33" s="154">
        <f t="shared" si="12"/>
        <v>0</v>
      </c>
      <c r="AQ33" s="152" t="str">
        <f>IFERROR(VLOOKUP($B33,'PEDIDO JULIO'!$A$10:$AG$200,20,0),"0")</f>
        <v>0</v>
      </c>
      <c r="AR33" s="153">
        <f>IFERROR(VLOOKUP($B33,'[5]INSUMOS MARZO'!$A$2:$S$105,17,0),"")</f>
        <v>5196.1440000000002</v>
      </c>
      <c r="AS33" s="154">
        <f t="shared" si="13"/>
        <v>0</v>
      </c>
      <c r="AT33" s="152" t="str">
        <f>IFERROR(VLOOKUP($B33,'PEDIDO JULIO'!$A$10:$AG$200,21,0),"0")</f>
        <v>0</v>
      </c>
      <c r="AU33" s="156">
        <f>IFERROR(VLOOKUP($B33,'[5]INSUMOS MARZO'!$A$2:$S$105,14,0),"")</f>
        <v>7960.6944000000003</v>
      </c>
      <c r="AV33" s="154">
        <f t="shared" si="14"/>
        <v>0</v>
      </c>
      <c r="AW33" s="152" t="str">
        <f>IFERROR(VLOOKUP($B33,'PEDIDO JULIO'!$A$10:$AG$200,22,0),"0")</f>
        <v>0</v>
      </c>
      <c r="AX33" s="153">
        <f>IFERROR(VLOOKUP($B33,'[5]INSUMOS MARZO'!$A$2:$S$105,17,0),"")</f>
        <v>5196.1440000000002</v>
      </c>
      <c r="AY33" s="154">
        <f t="shared" si="15"/>
        <v>0</v>
      </c>
      <c r="AZ33" s="152" t="str">
        <f>IFERROR(VLOOKUP($B33,'PEDIDO JULIO'!$A$10:$AG$200,23,0),"0")</f>
        <v>0</v>
      </c>
      <c r="BA33" s="153">
        <f>IFERROR(VLOOKUP($B33,'[5]INSUMOS MARZO'!$A$2:$S$105,17,0),"")</f>
        <v>5196.1440000000002</v>
      </c>
      <c r="BB33" s="154">
        <f t="shared" si="16"/>
        <v>0</v>
      </c>
      <c r="BC33" s="152" t="str">
        <f>IFERROR(VLOOKUP($B33,'PEDIDO JULIO'!$A$10:$AG$200,24,0),"0")</f>
        <v>0</v>
      </c>
      <c r="BD33" s="153">
        <f>IFERROR(VLOOKUP($B33,'[5]INSUMOS MARZO'!$A$2:$S$105,17,0),"")</f>
        <v>5196.1440000000002</v>
      </c>
      <c r="BE33" s="155">
        <f t="shared" si="17"/>
        <v>0</v>
      </c>
      <c r="BF33" s="152" t="str">
        <f>IFERROR(VLOOKUP($B33,'PEDIDO JULIO'!$A$10:$AG$200,25,0),"0")</f>
        <v>0</v>
      </c>
      <c r="BG33" s="153">
        <f>IFERROR(VLOOKUP($B33,'[5]INSUMOS MARZO'!$A$2:$S$105,17,0),"")</f>
        <v>5196.1440000000002</v>
      </c>
      <c r="BH33" s="155">
        <f t="shared" si="18"/>
        <v>0</v>
      </c>
      <c r="BI33" s="152" t="str">
        <f>IFERROR(VLOOKUP($B33,'PEDIDO JULIO'!$A$10:$AG$200,26,0),"0")</f>
        <v>0</v>
      </c>
      <c r="BJ33" s="153">
        <f>IFERROR(VLOOKUP($B33,'[5]INSUMOS MARZO'!$A$2:$S$105,17,0),"")</f>
        <v>5196.1440000000002</v>
      </c>
      <c r="BK33" s="154">
        <f t="shared" si="19"/>
        <v>0</v>
      </c>
      <c r="BL33" s="152" t="str">
        <f>IFERROR(VLOOKUP($B33,'PEDIDO JULIO'!$A$10:$AG$200,27,0),"0")</f>
        <v>0</v>
      </c>
      <c r="BM33" s="153">
        <f>IFERROR(VLOOKUP($B33,'[5]INSUMOS MARZO'!$A$2:$S$105,17,0),"")</f>
        <v>5196.1440000000002</v>
      </c>
      <c r="BN33" s="154">
        <f t="shared" si="20"/>
        <v>0</v>
      </c>
      <c r="BO33" s="152" t="str">
        <f>IFERROR(VLOOKUP($B33,'PEDIDO JULIO'!$A$10:$AG$200,28,0),"0")</f>
        <v>0</v>
      </c>
      <c r="BP33" s="153">
        <f>IFERROR(VLOOKUP($B33,'[5]INSUMOS MARZO'!$A$2:$S$105,17,0),"")</f>
        <v>5196.1440000000002</v>
      </c>
      <c r="BQ33" s="154">
        <f t="shared" si="21"/>
        <v>0</v>
      </c>
      <c r="BR33" s="152" t="str">
        <f>IFERROR(VLOOKUP($B33,'PEDIDO JULIO'!$A$10:$AG$200,29,0),"0")</f>
        <v>0</v>
      </c>
      <c r="BS33" s="153">
        <f>IFERROR(VLOOKUP($B33,'[5]INSUMOS MARZO'!$A$2:$S$105,17,0),"")</f>
        <v>5196.1440000000002</v>
      </c>
      <c r="BT33" s="155">
        <f t="shared" si="22"/>
        <v>0</v>
      </c>
      <c r="BU33" s="152" t="str">
        <f>IFERROR(VLOOKUP($B33,'PEDIDO JULIO'!$A$10:$AG$200,30,0),"0")</f>
        <v>0</v>
      </c>
      <c r="BV33" s="153">
        <f>IFERROR(VLOOKUP($B33,'[5]INSUMOS MARZO'!$A$2:$S$105,17,0),"")</f>
        <v>5196.1440000000002</v>
      </c>
      <c r="BW33" s="155">
        <f t="shared" si="23"/>
        <v>0</v>
      </c>
      <c r="BX33" s="152" t="str">
        <f>IFERROR(VLOOKUP($B33,'PEDIDO JULIO'!$A$10:$AG$200,31,0),"0")</f>
        <v>0</v>
      </c>
      <c r="BY33" s="153">
        <f>IFERROR(VLOOKUP($B33,'[5]INSUMOS MARZO'!$A$2:$S$105,17,0),"")</f>
        <v>5196.1440000000002</v>
      </c>
      <c r="BZ33" s="155">
        <f t="shared" si="24"/>
        <v>0</v>
      </c>
      <c r="CA33" s="152" t="str">
        <f>IFERROR(VLOOKUP($B33,'PEDIDO JULIO'!$A$10:$AG$200,32,0),"0")</f>
        <v>0</v>
      </c>
      <c r="CB33" s="153">
        <f>IFERROR(VLOOKUP($B33,'[5]INSUMOS MARZO'!$A$2:$S$105,17,0),"")</f>
        <v>5196.1440000000002</v>
      </c>
      <c r="CC33" s="155">
        <f t="shared" si="25"/>
        <v>0</v>
      </c>
      <c r="CD33" s="164">
        <f t="shared" si="26"/>
        <v>0</v>
      </c>
      <c r="CE33" s="158">
        <f t="shared" si="27"/>
        <v>0</v>
      </c>
      <c r="CF33" s="251">
        <f>IFERROR(VLOOKUP($B33,'MATRIZ INSUMOS '!$A$3:$P$106,16,0),"")</f>
        <v>0</v>
      </c>
      <c r="CG33" s="153">
        <f>IFERROR(VLOOKUP($B33,'[5]INSUMOS MARZO'!$A$2:$S$105,17,0),"")</f>
        <v>5196.1440000000002</v>
      </c>
      <c r="CH33" s="156">
        <f t="shared" si="28"/>
        <v>0</v>
      </c>
      <c r="CI33" s="251">
        <f>IFERROR(VLOOKUP($B33,'MATRIZ INSUMOS '!$A$3:$P$106,10,0),"")</f>
        <v>0</v>
      </c>
      <c r="CJ33" s="156">
        <f>IFERROR(VLOOKUP($B33,'[5]INSUMOS MARZO'!$A$2:$S$105,14,0),"")</f>
        <v>7960.6944000000003</v>
      </c>
      <c r="CK33" s="159">
        <f t="shared" si="29"/>
        <v>0</v>
      </c>
      <c r="CL33" s="160">
        <f t="shared" si="30"/>
        <v>0</v>
      </c>
      <c r="CM33" s="14">
        <f t="shared" si="31"/>
        <v>0</v>
      </c>
      <c r="CN33" s="14">
        <f t="shared" si="32"/>
        <v>0</v>
      </c>
      <c r="CO33" s="14">
        <f t="shared" si="33"/>
        <v>0</v>
      </c>
      <c r="CP33" s="1">
        <f>+CF33+CI33-CD33</f>
        <v>0</v>
      </c>
      <c r="CQ33" s="19">
        <f t="shared" si="34"/>
        <v>0</v>
      </c>
      <c r="CR33" s="19" t="b">
        <f t="shared" si="35"/>
        <v>1</v>
      </c>
      <c r="CS33" s="19">
        <f t="shared" si="36"/>
        <v>0</v>
      </c>
    </row>
    <row r="34" spans="1:97" ht="16.5">
      <c r="A34" s="3">
        <v>29</v>
      </c>
      <c r="B34" s="151">
        <v>72</v>
      </c>
      <c r="C34" s="4" t="s">
        <v>44</v>
      </c>
      <c r="D34" s="152">
        <f>IFERROR(VLOOKUP($B34,'[4]INSUMOS FEBRERO'!$A$2:$F$105,5,0),"")</f>
        <v>25</v>
      </c>
      <c r="E34" s="152">
        <f>IFERROR(VLOOKUP($B34,'PEDIDO JULIO'!$A$10:$AG$32,33,0),"0")</f>
        <v>59</v>
      </c>
      <c r="F34" s="152">
        <f t="shared" si="1"/>
        <v>34</v>
      </c>
      <c r="G34" s="152">
        <f>IFERROR(VLOOKUP($B34,'PEDIDO JULIO'!$A$10:$AG$200,8,0),"0")</f>
        <v>30</v>
      </c>
      <c r="H34" s="156">
        <f>IFERROR(VLOOKUP($B34,'[5]INSUMOS MARZO'!$A$2:$S$105,14,0),"")</f>
        <v>7861.3749000000007</v>
      </c>
      <c r="I34" s="154">
        <f t="shared" si="0"/>
        <v>235841.24700000003</v>
      </c>
      <c r="J34" s="251">
        <f>IFERROR(VLOOKUP($B34,'PEDIDO JULIO'!$A$10:$AG$200,9,0),"0")</f>
        <v>10</v>
      </c>
      <c r="K34" s="153">
        <f>IFERROR(VLOOKUP($B34,'[5]INSUMOS MARZO'!$A$2:$S$105,17,0),"")</f>
        <v>5196.1440000000002</v>
      </c>
      <c r="L34" s="155">
        <f t="shared" si="2"/>
        <v>51961.440000000002</v>
      </c>
      <c r="M34" s="152">
        <f>IFERROR(VLOOKUP($B34,'PEDIDO JULIO'!$A$10:$AG$200,10,0),"0")</f>
        <v>4</v>
      </c>
      <c r="N34" s="156">
        <f>IFERROR(VLOOKUP($B34,'[5]INSUMOS MARZO'!$A$2:$S$105,14,0),"")</f>
        <v>7861.3749000000007</v>
      </c>
      <c r="O34" s="154">
        <f t="shared" si="3"/>
        <v>31445.499600000003</v>
      </c>
      <c r="P34" s="152">
        <f>IFERROR(VLOOKUP($B34,'PEDIDO JULIO'!$A$10:$AG$200,11,0),"0")</f>
        <v>0</v>
      </c>
      <c r="Q34" s="153">
        <f>IFERROR(VLOOKUP($B34,'[5]INSUMOS MARZO'!$A$2:$S$105,17,0),"")</f>
        <v>5196.1440000000002</v>
      </c>
      <c r="R34" s="154">
        <f t="shared" si="4"/>
        <v>0</v>
      </c>
      <c r="S34" s="152">
        <f>IFERROR(VLOOKUP($B34,'PEDIDO JULIO'!$A$10:$AG$200,12,0),"0")</f>
        <v>0</v>
      </c>
      <c r="T34" s="156">
        <f>IFERROR(VLOOKUP($B34,'[5]INSUMOS MARZO'!$A$2:$S$105,14,0),"")</f>
        <v>7861.3749000000007</v>
      </c>
      <c r="U34" s="154">
        <f t="shared" si="5"/>
        <v>0</v>
      </c>
      <c r="V34" s="152">
        <f>IFERROR(VLOOKUP($B34,'PEDIDO JULIO'!$A$10:$AG$200,13,0),"0")</f>
        <v>15</v>
      </c>
      <c r="W34" s="156">
        <f>IFERROR(VLOOKUP($B34,'[5]INSUMOS MARZO'!$A$2:$S$105,14,0),"")</f>
        <v>7861.3749000000007</v>
      </c>
      <c r="X34" s="154">
        <f t="shared" si="6"/>
        <v>117920.62350000002</v>
      </c>
      <c r="Y34" s="152">
        <f>IFERROR(VLOOKUP($B34,'PEDIDO JULIO'!$A$10:$AG$200,14,0),"0")</f>
        <v>0</v>
      </c>
      <c r="Z34" s="153">
        <f>IFERROR(VLOOKUP($B34,'[5]INSUMOS MARZO'!$A$2:$S$105,17,0),"")</f>
        <v>5196.1440000000002</v>
      </c>
      <c r="AA34" s="154">
        <f t="shared" si="7"/>
        <v>0</v>
      </c>
      <c r="AB34" s="152">
        <f>IFERROR(VLOOKUP($B34,'PEDIDO JULIO'!$A$10:$AG$200,15,0),"0")</f>
        <v>0</v>
      </c>
      <c r="AC34" s="153">
        <f>IFERROR(VLOOKUP($B34,'[5]INSUMOS MARZO'!$A$2:$S$105,17,0),"")</f>
        <v>5196.1440000000002</v>
      </c>
      <c r="AD34" s="154">
        <f t="shared" si="8"/>
        <v>0</v>
      </c>
      <c r="AE34" s="152">
        <f>IFERROR(VLOOKUP($B34,'PEDIDO JULIO'!$A$10:$AG$200,16,0),"0")</f>
        <v>0</v>
      </c>
      <c r="AF34" s="153">
        <f>IFERROR(VLOOKUP($B34,'[5]INSUMOS MARZO'!$A$2:$S$105,17,0),"")</f>
        <v>5196.1440000000002</v>
      </c>
      <c r="AG34" s="154">
        <f t="shared" si="9"/>
        <v>0</v>
      </c>
      <c r="AH34" s="152">
        <f>IFERROR(VLOOKUP($B34,'PEDIDO JULIO'!$A$10:$AG$200,17,0),"0")</f>
        <v>0</v>
      </c>
      <c r="AI34" s="153">
        <f>IFERROR(VLOOKUP($B34,'[5]INSUMOS MARZO'!$A$2:$S$105,17,0),"")</f>
        <v>5196.1440000000002</v>
      </c>
      <c r="AJ34" s="154">
        <f t="shared" si="10"/>
        <v>0</v>
      </c>
      <c r="AK34" s="152">
        <f>IFERROR(VLOOKUP($B34,'PEDIDO JULIO'!$A$10:$AG$200,18,0),"0")</f>
        <v>0</v>
      </c>
      <c r="AL34" s="156">
        <f>IFERROR(VLOOKUP($B34,'[5]INSUMOS MARZO'!$A$2:$S$105,14,0),"")</f>
        <v>7861.3749000000007</v>
      </c>
      <c r="AM34" s="154">
        <f t="shared" si="11"/>
        <v>0</v>
      </c>
      <c r="AN34" s="152">
        <f>IFERROR(VLOOKUP($B34,'PEDIDO JULIO'!$A$10:$AG$200,19,0),"0")</f>
        <v>0</v>
      </c>
      <c r="AO34" s="153">
        <f>IFERROR(VLOOKUP($B34,'[5]INSUMOS MARZO'!$A$2:$S$105,17,0),"")</f>
        <v>5196.1440000000002</v>
      </c>
      <c r="AP34" s="154">
        <f t="shared" si="12"/>
        <v>0</v>
      </c>
      <c r="AQ34" s="152">
        <f>IFERROR(VLOOKUP($B34,'PEDIDO JULIO'!$A$10:$AG$200,20,0),"0")</f>
        <v>0</v>
      </c>
      <c r="AR34" s="153">
        <f>IFERROR(VLOOKUP($B34,'[5]INSUMOS MARZO'!$A$2:$S$105,17,0),"")</f>
        <v>5196.1440000000002</v>
      </c>
      <c r="AS34" s="154">
        <f t="shared" si="13"/>
        <v>0</v>
      </c>
      <c r="AT34" s="152">
        <f>IFERROR(VLOOKUP($B34,'PEDIDO JULIO'!$A$10:$AG$200,21,0),"0")</f>
        <v>0</v>
      </c>
      <c r="AU34" s="156">
        <f>IFERROR(VLOOKUP($B34,'[5]INSUMOS MARZO'!$A$2:$S$105,14,0),"")</f>
        <v>7861.3749000000007</v>
      </c>
      <c r="AV34" s="154">
        <f t="shared" si="14"/>
        <v>0</v>
      </c>
      <c r="AW34" s="152">
        <f>IFERROR(VLOOKUP($B34,'PEDIDO JULIO'!$A$10:$AG$200,22,0),"0")</f>
        <v>0</v>
      </c>
      <c r="AX34" s="153">
        <f>IFERROR(VLOOKUP($B34,'[5]INSUMOS MARZO'!$A$2:$S$105,17,0),"")</f>
        <v>5196.1440000000002</v>
      </c>
      <c r="AY34" s="154">
        <f t="shared" si="15"/>
        <v>0</v>
      </c>
      <c r="AZ34" s="152">
        <f>IFERROR(VLOOKUP($B34,'PEDIDO JULIO'!$A$10:$AG$200,23,0),"0")</f>
        <v>0</v>
      </c>
      <c r="BA34" s="153">
        <f>IFERROR(VLOOKUP($B34,'[5]INSUMOS MARZO'!$A$2:$S$105,17,0),"")</f>
        <v>5196.1440000000002</v>
      </c>
      <c r="BB34" s="154">
        <f t="shared" si="16"/>
        <v>0</v>
      </c>
      <c r="BC34" s="152">
        <f>IFERROR(VLOOKUP($B34,'PEDIDO JULIO'!$A$10:$AG$200,24,0),"0")</f>
        <v>0</v>
      </c>
      <c r="BD34" s="153">
        <f>IFERROR(VLOOKUP($B34,'[5]INSUMOS MARZO'!$A$2:$S$105,17,0),"")</f>
        <v>5196.1440000000002</v>
      </c>
      <c r="BE34" s="155">
        <f t="shared" si="17"/>
        <v>0</v>
      </c>
      <c r="BF34" s="152">
        <f>IFERROR(VLOOKUP($B34,'PEDIDO JULIO'!$A$10:$AG$200,25,0),"0")</f>
        <v>0</v>
      </c>
      <c r="BG34" s="156">
        <f>IFERROR(VLOOKUP($B34,'[5]INSUMOS MARZO'!$A$2:$S$105,14,0),"")</f>
        <v>7861.3749000000007</v>
      </c>
      <c r="BH34" s="155">
        <f t="shared" si="18"/>
        <v>0</v>
      </c>
      <c r="BI34" s="152">
        <f>IFERROR(VLOOKUP($B34,'PEDIDO JULIO'!$A$10:$AG$200,26,0),"0")</f>
        <v>0</v>
      </c>
      <c r="BJ34" s="153">
        <f>IFERROR(VLOOKUP($B34,'[5]INSUMOS MARZO'!$A$2:$S$105,17,0),"")</f>
        <v>5196.1440000000002</v>
      </c>
      <c r="BK34" s="154">
        <f t="shared" si="19"/>
        <v>0</v>
      </c>
      <c r="BL34" s="152">
        <f>IFERROR(VLOOKUP($B34,'PEDIDO JULIO'!$A$10:$AG$200,27,0),"0")</f>
        <v>0</v>
      </c>
      <c r="BM34" s="153">
        <f>IFERROR(VLOOKUP($B34,'[5]INSUMOS MARZO'!$A$2:$S$105,17,0),"")</f>
        <v>5196.1440000000002</v>
      </c>
      <c r="BN34" s="154">
        <f t="shared" si="20"/>
        <v>0</v>
      </c>
      <c r="BO34" s="152">
        <f>IFERROR(VLOOKUP($B34,'PEDIDO JULIO'!$A$10:$AG$200,28,0),"0")</f>
        <v>0</v>
      </c>
      <c r="BP34" s="153">
        <f>IFERROR(VLOOKUP($B34,'[5]INSUMOS MARZO'!$A$2:$S$105,17,0),"")</f>
        <v>5196.1440000000002</v>
      </c>
      <c r="BQ34" s="154">
        <f t="shared" si="21"/>
        <v>0</v>
      </c>
      <c r="BR34" s="152">
        <f>IFERROR(VLOOKUP($B34,'PEDIDO JULIO'!$A$10:$AG$200,29,0),"0")</f>
        <v>0</v>
      </c>
      <c r="BS34" s="156">
        <f>IFERROR(VLOOKUP($B34,'[5]INSUMOS MARZO'!$A$2:$S$105,14,0),"")</f>
        <v>7861.3749000000007</v>
      </c>
      <c r="BT34" s="155">
        <f t="shared" si="22"/>
        <v>0</v>
      </c>
      <c r="BU34" s="152">
        <f>IFERROR(VLOOKUP($B34,'PEDIDO JULIO'!$A$10:$AG$200,30,0),"0")</f>
        <v>0</v>
      </c>
      <c r="BV34" s="153">
        <f>IFERROR(VLOOKUP($B34,'[5]INSUMOS MARZO'!$A$2:$S$105,17,0),"")</f>
        <v>5196.1440000000002</v>
      </c>
      <c r="BW34" s="155">
        <f t="shared" si="23"/>
        <v>0</v>
      </c>
      <c r="BX34" s="152">
        <f>IFERROR(VLOOKUP($B34,'PEDIDO JULIO'!$A$10:$AG$200,31,0),"0")</f>
        <v>0</v>
      </c>
      <c r="BY34" s="153">
        <f>IFERROR(VLOOKUP($B34,'[5]INSUMOS MARZO'!$A$2:$S$105,17,0),"")</f>
        <v>5196.1440000000002</v>
      </c>
      <c r="BZ34" s="155">
        <f t="shared" si="24"/>
        <v>0</v>
      </c>
      <c r="CA34" s="152">
        <f>IFERROR(VLOOKUP($B34,'PEDIDO JULIO'!$A$10:$AG$200,32,0),"0")</f>
        <v>0</v>
      </c>
      <c r="CB34" s="153">
        <f>IFERROR(VLOOKUP($B34,'[5]INSUMOS MARZO'!$A$2:$S$105,17,0),"")</f>
        <v>5196.1440000000002</v>
      </c>
      <c r="CC34" s="155">
        <f t="shared" si="25"/>
        <v>0</v>
      </c>
      <c r="CD34" s="164">
        <f t="shared" si="26"/>
        <v>59</v>
      </c>
      <c r="CE34" s="158">
        <f t="shared" si="27"/>
        <v>0</v>
      </c>
      <c r="CF34" s="251">
        <v>10</v>
      </c>
      <c r="CG34" s="153">
        <f>IFERROR(VLOOKUP($B34,'[5]INSUMOS MARZO'!$A$2:$S$105,17,0),"")</f>
        <v>5196.1440000000002</v>
      </c>
      <c r="CH34" s="156">
        <f t="shared" si="28"/>
        <v>51961.440000000002</v>
      </c>
      <c r="CI34" s="251">
        <v>49</v>
      </c>
      <c r="CJ34" s="156">
        <f>IFERROR(VLOOKUP($B34,'[5]INSUMOS MARZO'!$A$2:$S$105,14,0),"")</f>
        <v>7861.3749000000007</v>
      </c>
      <c r="CK34" s="159">
        <f t="shared" si="29"/>
        <v>385207.37010000006</v>
      </c>
      <c r="CL34" s="160">
        <f t="shared" si="30"/>
        <v>437168.8101</v>
      </c>
      <c r="CM34" s="14">
        <f t="shared" si="31"/>
        <v>43716.881010000005</v>
      </c>
      <c r="CN34" s="14">
        <f t="shared" si="32"/>
        <v>8306.2073919000013</v>
      </c>
      <c r="CO34" s="14">
        <f t="shared" si="33"/>
        <v>489191.89850190002</v>
      </c>
      <c r="CP34" s="1">
        <f>+CF34+CI34-CD34</f>
        <v>0</v>
      </c>
      <c r="CQ34" s="19">
        <f t="shared" si="34"/>
        <v>437168.81010000006</v>
      </c>
      <c r="CR34" s="19" t="b">
        <f t="shared" si="35"/>
        <v>1</v>
      </c>
      <c r="CS34" s="19">
        <f t="shared" si="36"/>
        <v>0</v>
      </c>
    </row>
    <row r="35" spans="1:97" ht="27">
      <c r="A35" s="3">
        <v>30</v>
      </c>
      <c r="B35" s="151">
        <v>73</v>
      </c>
      <c r="C35" s="4" t="s">
        <v>45</v>
      </c>
      <c r="D35" s="152">
        <f>IFERROR(VLOOKUP($B35,'[4]INSUMOS FEBRERO'!$A$2:$F$105,5,0),"")</f>
        <v>25</v>
      </c>
      <c r="E35" s="152">
        <f>IFERROR(VLOOKUP($B35,'PEDIDO JULIO'!$A$10:$AG$32,33,0),"0")</f>
        <v>33</v>
      </c>
      <c r="F35" s="152">
        <f t="shared" si="1"/>
        <v>8</v>
      </c>
      <c r="G35" s="152">
        <f>IFERROR(VLOOKUP($B35,'PEDIDO JULIO'!$A$10:$AG$200,8,0),"0")</f>
        <v>20</v>
      </c>
      <c r="H35" s="156">
        <f>IFERROR(VLOOKUP($B35,'[5]INSUMOS MARZO'!$A$2:$S$105,14,0),"")</f>
        <v>21493.685699999998</v>
      </c>
      <c r="I35" s="154">
        <f t="shared" si="0"/>
        <v>429873.71399999998</v>
      </c>
      <c r="J35" s="152">
        <f>IFERROR(VLOOKUP($B35,'PEDIDO JULIO'!$A$10:$AG$200,9,0),"0")</f>
        <v>3</v>
      </c>
      <c r="K35" s="156">
        <f>IFERROR(VLOOKUP($B35,'[5]INSUMOS MARZO'!$A$2:$S$105,14,0),"")</f>
        <v>21493.685699999998</v>
      </c>
      <c r="L35" s="155">
        <f t="shared" si="2"/>
        <v>64481.057099999991</v>
      </c>
      <c r="M35" s="152">
        <f>IFERROR(VLOOKUP($B35,'PEDIDO JULIO'!$A$10:$AG$200,10,0),"0")</f>
        <v>2</v>
      </c>
      <c r="N35" s="156">
        <f>IFERROR(VLOOKUP($B35,'[5]INSUMOS MARZO'!$A$2:$S$105,14,0),"")</f>
        <v>21493.685699999998</v>
      </c>
      <c r="O35" s="154">
        <f t="shared" si="3"/>
        <v>42987.371399999996</v>
      </c>
      <c r="P35" s="152">
        <f>IFERROR(VLOOKUP($B35,'PEDIDO JULIO'!$A$10:$AG$200,11,0),"0")</f>
        <v>0</v>
      </c>
      <c r="Q35" s="153">
        <f>IFERROR(VLOOKUP($B35,'[5]INSUMOS MARZO'!$A$2:$S$105,17,0),"")</f>
        <v>4975.4340000000011</v>
      </c>
      <c r="R35" s="154">
        <f t="shared" si="4"/>
        <v>0</v>
      </c>
      <c r="S35" s="152">
        <f>IFERROR(VLOOKUP($B35,'PEDIDO JULIO'!$A$10:$AG$200,12,0),"0")</f>
        <v>2</v>
      </c>
      <c r="T35" s="156">
        <f>IFERROR(VLOOKUP($B35,'[5]INSUMOS MARZO'!$A$2:$S$105,14,0),"")</f>
        <v>21493.685699999998</v>
      </c>
      <c r="U35" s="154">
        <f t="shared" si="5"/>
        <v>42987.371399999996</v>
      </c>
      <c r="V35" s="152">
        <f>IFERROR(VLOOKUP($B35,'PEDIDO JULIO'!$A$10:$AG$200,13,0),"0")</f>
        <v>0</v>
      </c>
      <c r="W35" s="153">
        <f>IFERROR(VLOOKUP($B35,'[5]INSUMOS MARZO'!$A$2:$S$105,17,0),"")</f>
        <v>4975.4340000000011</v>
      </c>
      <c r="X35" s="154">
        <f t="shared" si="6"/>
        <v>0</v>
      </c>
      <c r="Y35" s="152">
        <f>IFERROR(VLOOKUP($B35,'PEDIDO JULIO'!$A$10:$AG$200,14,0),"0")</f>
        <v>4</v>
      </c>
      <c r="Z35" s="156">
        <f>IFERROR(VLOOKUP($B35,'[5]INSUMOS MARZO'!$A$2:$S$105,14,0),"")</f>
        <v>21493.685699999998</v>
      </c>
      <c r="AA35" s="154">
        <f t="shared" si="7"/>
        <v>85974.742799999993</v>
      </c>
      <c r="AB35" s="152">
        <f>IFERROR(VLOOKUP($B35,'PEDIDO JULIO'!$A$10:$AG$200,15,0),"0")</f>
        <v>0</v>
      </c>
      <c r="AC35" s="153">
        <f>IFERROR(VLOOKUP($B35,'[5]INSUMOS MARZO'!$A$2:$S$105,17,0),"")</f>
        <v>4975.4340000000011</v>
      </c>
      <c r="AD35" s="154">
        <f t="shared" si="8"/>
        <v>0</v>
      </c>
      <c r="AE35" s="152">
        <f>IFERROR(VLOOKUP($B35,'PEDIDO JULIO'!$A$10:$AG$200,16,0),"0")</f>
        <v>0</v>
      </c>
      <c r="AF35" s="153">
        <f>IFERROR(VLOOKUP($B35,'[5]INSUMOS MARZO'!$A$2:$S$105,17,0),"")</f>
        <v>4975.4340000000011</v>
      </c>
      <c r="AG35" s="154">
        <f t="shared" si="9"/>
        <v>0</v>
      </c>
      <c r="AH35" s="152">
        <f>IFERROR(VLOOKUP($B35,'PEDIDO JULIO'!$A$10:$AG$200,17,0),"0")</f>
        <v>0</v>
      </c>
      <c r="AI35" s="153">
        <f>IFERROR(VLOOKUP($B35,'[5]INSUMOS MARZO'!$A$2:$S$105,17,0),"")</f>
        <v>4975.4340000000011</v>
      </c>
      <c r="AJ35" s="154">
        <f t="shared" si="10"/>
        <v>0</v>
      </c>
      <c r="AK35" s="152">
        <f>IFERROR(VLOOKUP($B35,'PEDIDO JULIO'!$A$10:$AG$200,18,0),"0")</f>
        <v>0</v>
      </c>
      <c r="AL35" s="153">
        <f>IFERROR(VLOOKUP($B35,'[5]INSUMOS MARZO'!$A$2:$S$105,17,0),"")</f>
        <v>4975.4340000000011</v>
      </c>
      <c r="AM35" s="154">
        <f t="shared" si="11"/>
        <v>0</v>
      </c>
      <c r="AN35" s="152">
        <f>IFERROR(VLOOKUP($B35,'PEDIDO JULIO'!$A$10:$AG$200,19,0),"0")</f>
        <v>0</v>
      </c>
      <c r="AO35" s="153">
        <f>IFERROR(VLOOKUP($B35,'[5]INSUMOS MARZO'!$A$2:$S$105,17,0),"")</f>
        <v>4975.4340000000011</v>
      </c>
      <c r="AP35" s="154">
        <f t="shared" si="12"/>
        <v>0</v>
      </c>
      <c r="AQ35" s="152">
        <f>IFERROR(VLOOKUP($B35,'PEDIDO JULIO'!$A$10:$AG$200,20,0),"0")</f>
        <v>0</v>
      </c>
      <c r="AR35" s="153">
        <f>IFERROR(VLOOKUP($B35,'[5]INSUMOS MARZO'!$A$2:$S$105,17,0),"")</f>
        <v>4975.4340000000011</v>
      </c>
      <c r="AS35" s="154">
        <f t="shared" si="13"/>
        <v>0</v>
      </c>
      <c r="AT35" s="152">
        <f>IFERROR(VLOOKUP($B35,'PEDIDO JULIO'!$A$10:$AG$200,21,0),"0")</f>
        <v>0</v>
      </c>
      <c r="AU35" s="156">
        <f>IFERROR(VLOOKUP($B35,'[5]INSUMOS MARZO'!$A$2:$S$105,14,0),"")</f>
        <v>21493.685699999998</v>
      </c>
      <c r="AV35" s="154">
        <f t="shared" si="14"/>
        <v>0</v>
      </c>
      <c r="AW35" s="152">
        <f>IFERROR(VLOOKUP($B35,'PEDIDO JULIO'!$A$10:$AG$200,22,0),"0")</f>
        <v>0</v>
      </c>
      <c r="AX35" s="153">
        <f>IFERROR(VLOOKUP($B35,'[5]INSUMOS MARZO'!$A$2:$S$105,17,0),"")</f>
        <v>4975.4340000000011</v>
      </c>
      <c r="AY35" s="154">
        <f t="shared" si="15"/>
        <v>0</v>
      </c>
      <c r="AZ35" s="152">
        <f>IFERROR(VLOOKUP($B35,'PEDIDO JULIO'!$A$10:$AG$200,23,0),"0")</f>
        <v>0</v>
      </c>
      <c r="BA35" s="153">
        <f>IFERROR(VLOOKUP($B35,'[5]INSUMOS MARZO'!$A$2:$S$105,17,0),"")</f>
        <v>4975.4340000000011</v>
      </c>
      <c r="BB35" s="154">
        <f t="shared" si="16"/>
        <v>0</v>
      </c>
      <c r="BC35" s="152">
        <f>IFERROR(VLOOKUP($B35,'PEDIDO JULIO'!$A$10:$AG$200,24,0),"0")</f>
        <v>0</v>
      </c>
      <c r="BD35" s="156">
        <f>IFERROR(VLOOKUP($B35,'[5]INSUMOS MARZO'!$A$2:$S$105,14,0),"")</f>
        <v>21493.685699999998</v>
      </c>
      <c r="BE35" s="155">
        <f t="shared" si="17"/>
        <v>0</v>
      </c>
      <c r="BF35" s="251">
        <f>IFERROR(VLOOKUP($B35,'PEDIDO JULIO'!$A$10:$AG$200,25,0),"0")</f>
        <v>2</v>
      </c>
      <c r="BG35" s="153">
        <f>IFERROR(VLOOKUP($B35,'[5]INSUMOS MARZO'!$A$2:$S$105,17,0),"")</f>
        <v>4975.4340000000011</v>
      </c>
      <c r="BH35" s="155">
        <f t="shared" si="18"/>
        <v>9950.8680000000022</v>
      </c>
      <c r="BI35" s="152">
        <f>IFERROR(VLOOKUP($B35,'PEDIDO JULIO'!$A$10:$AG$200,26,0),"0")</f>
        <v>0</v>
      </c>
      <c r="BJ35" s="153">
        <f>IFERROR(VLOOKUP($B35,'[5]INSUMOS MARZO'!$A$2:$S$105,17,0),"")</f>
        <v>4975.4340000000011</v>
      </c>
      <c r="BK35" s="154">
        <f t="shared" si="19"/>
        <v>0</v>
      </c>
      <c r="BL35" s="152">
        <f>IFERROR(VLOOKUP($B35,'PEDIDO JULIO'!$A$10:$AG$200,27,0),"0")</f>
        <v>0</v>
      </c>
      <c r="BM35" s="153">
        <f>IFERROR(VLOOKUP($B35,'[5]INSUMOS MARZO'!$A$2:$S$105,17,0),"")</f>
        <v>4975.4340000000011</v>
      </c>
      <c r="BN35" s="154">
        <f t="shared" si="20"/>
        <v>0</v>
      </c>
      <c r="BO35" s="152">
        <f>IFERROR(VLOOKUP($B35,'PEDIDO JULIO'!$A$10:$AG$200,28,0),"0")</f>
        <v>0</v>
      </c>
      <c r="BP35" s="153">
        <f>IFERROR(VLOOKUP($B35,'[5]INSUMOS MARZO'!$A$2:$S$105,17,0),"")</f>
        <v>4975.4340000000011</v>
      </c>
      <c r="BQ35" s="154">
        <f t="shared" si="21"/>
        <v>0</v>
      </c>
      <c r="BR35" s="152">
        <f>IFERROR(VLOOKUP($B35,'PEDIDO JULIO'!$A$10:$AG$200,29,0),"0")</f>
        <v>0</v>
      </c>
      <c r="BS35" s="153">
        <f>IFERROR(VLOOKUP($B35,'[5]INSUMOS MARZO'!$A$2:$S$105,17,0),"")</f>
        <v>4975.4340000000011</v>
      </c>
      <c r="BT35" s="155">
        <f t="shared" si="22"/>
        <v>0</v>
      </c>
      <c r="BU35" s="152">
        <f>IFERROR(VLOOKUP($B35,'PEDIDO JULIO'!$A$10:$AG$200,30,0),"0")</f>
        <v>0</v>
      </c>
      <c r="BV35" s="153">
        <f>IFERROR(VLOOKUP($B35,'[5]INSUMOS MARZO'!$A$2:$S$105,17,0),"")</f>
        <v>4975.4340000000011</v>
      </c>
      <c r="BW35" s="155">
        <f t="shared" si="23"/>
        <v>0</v>
      </c>
      <c r="BX35" s="152">
        <f>IFERROR(VLOOKUP($B35,'PEDIDO JULIO'!$A$10:$AG$200,31,0),"0")</f>
        <v>0</v>
      </c>
      <c r="BY35" s="153">
        <f>IFERROR(VLOOKUP($B35,'[5]INSUMOS MARZO'!$A$2:$S$105,17,0),"")</f>
        <v>4975.4340000000011</v>
      </c>
      <c r="BZ35" s="155">
        <f t="shared" si="24"/>
        <v>0</v>
      </c>
      <c r="CA35" s="152">
        <f>IFERROR(VLOOKUP($B35,'PEDIDO JULIO'!$A$10:$AG$200,32,0),"0")</f>
        <v>0</v>
      </c>
      <c r="CB35" s="153">
        <f>IFERROR(VLOOKUP($B35,'[5]INSUMOS MARZO'!$A$2:$S$105,17,0),"")</f>
        <v>4975.4340000000011</v>
      </c>
      <c r="CC35" s="155">
        <f t="shared" si="25"/>
        <v>0</v>
      </c>
      <c r="CD35" s="164">
        <f t="shared" si="26"/>
        <v>33</v>
      </c>
      <c r="CE35" s="158">
        <f t="shared" si="27"/>
        <v>0</v>
      </c>
      <c r="CF35" s="251">
        <f>IFERROR(VLOOKUP($B35,'MATRIZ INSUMOS '!$A$3:$P$106,16,0),"")</f>
        <v>2</v>
      </c>
      <c r="CG35" s="153">
        <f>IFERROR(VLOOKUP($B35,'[5]INSUMOS MARZO'!$A$2:$S$105,17,0),"")</f>
        <v>4975.4340000000011</v>
      </c>
      <c r="CH35" s="156">
        <f t="shared" si="28"/>
        <v>9950.8680000000022</v>
      </c>
      <c r="CI35" s="251">
        <f>IFERROR(VLOOKUP($B35,'MATRIZ INSUMOS '!$A$3:$P$106,10,0),"")</f>
        <v>31</v>
      </c>
      <c r="CJ35" s="156">
        <f>IFERROR(VLOOKUP($B35,'[5]INSUMOS MARZO'!$A$2:$S$105,14,0),"")</f>
        <v>21493.685699999998</v>
      </c>
      <c r="CK35" s="159">
        <f t="shared" si="29"/>
        <v>666304.25669999991</v>
      </c>
      <c r="CL35" s="160">
        <f t="shared" si="30"/>
        <v>676255.12469999993</v>
      </c>
      <c r="CM35" s="14">
        <f t="shared" si="31"/>
        <v>67625.512470000001</v>
      </c>
      <c r="CN35" s="14">
        <f t="shared" si="32"/>
        <v>12848.8473693</v>
      </c>
      <c r="CO35" s="14">
        <f t="shared" si="33"/>
        <v>756729.48453929985</v>
      </c>
      <c r="CQ35" s="19">
        <f t="shared" si="34"/>
        <v>676255.12469999993</v>
      </c>
      <c r="CR35" s="19" t="b">
        <f t="shared" si="35"/>
        <v>1</v>
      </c>
      <c r="CS35" s="19">
        <f t="shared" si="36"/>
        <v>0</v>
      </c>
    </row>
    <row r="36" spans="1:97" ht="16.5">
      <c r="A36" s="3">
        <v>31</v>
      </c>
      <c r="B36" s="151">
        <v>74</v>
      </c>
      <c r="C36" s="4" t="s">
        <v>47</v>
      </c>
      <c r="D36" s="152">
        <f>IFERROR(VLOOKUP($B36,'[4]INSUMOS FEBRERO'!$A$2:$F$105,5,0),"")</f>
        <v>25</v>
      </c>
      <c r="E36" s="152">
        <f>IFERROR(VLOOKUP($B36,'PEDIDO JULIO'!$A$10:$AG$32,33,0),"0")</f>
        <v>12</v>
      </c>
      <c r="F36" s="152">
        <f t="shared" si="1"/>
        <v>-13</v>
      </c>
      <c r="G36" s="152">
        <f>IFERROR(VLOOKUP($B36,'PEDIDO JULIO'!$A$10:$AG$200,8,0),"0")</f>
        <v>0</v>
      </c>
      <c r="H36" s="153">
        <f>IFERROR(VLOOKUP($B36,'[5]INSUMOS MARZO'!$A$2:$S$105,17,0),"")</f>
        <v>3261.2529999999997</v>
      </c>
      <c r="I36" s="154">
        <f t="shared" si="0"/>
        <v>0</v>
      </c>
      <c r="J36" s="152">
        <f>IFERROR(VLOOKUP($B36,'PEDIDO JULIO'!$A$10:$AG$200,9,0),"0")</f>
        <v>2</v>
      </c>
      <c r="K36" s="153">
        <f>IFERROR(VLOOKUP($B36,'[5]INSUMOS MARZO'!$A$2:$S$105,17,0),"")</f>
        <v>3261.2529999999997</v>
      </c>
      <c r="L36" s="155">
        <f t="shared" si="2"/>
        <v>6522.5059999999994</v>
      </c>
      <c r="M36" s="152">
        <f>IFERROR(VLOOKUP($B36,'PEDIDO JULIO'!$A$10:$AG$200,10,0),"0")</f>
        <v>2</v>
      </c>
      <c r="N36" s="153">
        <f>IFERROR(VLOOKUP($B36,'[5]INSUMOS MARZO'!$A$2:$S$105,17,0),"")</f>
        <v>3261.2529999999997</v>
      </c>
      <c r="O36" s="154">
        <f t="shared" si="3"/>
        <v>6522.5059999999994</v>
      </c>
      <c r="P36" s="152">
        <f>IFERROR(VLOOKUP($B36,'PEDIDO JULIO'!$A$10:$AG$200,11,0),"0")</f>
        <v>0</v>
      </c>
      <c r="Q36" s="153">
        <f>IFERROR(VLOOKUP($B36,'[5]INSUMOS MARZO'!$A$2:$S$105,17,0),"")</f>
        <v>3261.2529999999997</v>
      </c>
      <c r="R36" s="154">
        <f t="shared" si="4"/>
        <v>0</v>
      </c>
      <c r="S36" s="152">
        <f>IFERROR(VLOOKUP($B36,'PEDIDO JULIO'!$A$10:$AG$200,12,0),"0")</f>
        <v>0</v>
      </c>
      <c r="T36" s="153">
        <f>IFERROR(VLOOKUP($B36,'[5]INSUMOS MARZO'!$A$2:$S$105,17,0),"")</f>
        <v>3261.2529999999997</v>
      </c>
      <c r="U36" s="154">
        <f t="shared" si="5"/>
        <v>0</v>
      </c>
      <c r="V36" s="152">
        <f>IFERROR(VLOOKUP($B36,'PEDIDO JULIO'!$A$10:$AG$200,13,0),"0")</f>
        <v>0</v>
      </c>
      <c r="W36" s="153">
        <f>IFERROR(VLOOKUP($B36,'[5]INSUMOS MARZO'!$A$2:$S$105,17,0),"")</f>
        <v>3261.2529999999997</v>
      </c>
      <c r="X36" s="154">
        <f t="shared" si="6"/>
        <v>0</v>
      </c>
      <c r="Y36" s="152">
        <f>IFERROR(VLOOKUP($B36,'PEDIDO JULIO'!$A$10:$AG$200,14,0),"0")</f>
        <v>0</v>
      </c>
      <c r="Z36" s="153">
        <f>IFERROR(VLOOKUP($B36,'[5]INSUMOS MARZO'!$A$2:$S$105,17,0),"")</f>
        <v>3261.2529999999997</v>
      </c>
      <c r="AA36" s="154">
        <f t="shared" si="7"/>
        <v>0</v>
      </c>
      <c r="AB36" s="152">
        <f>IFERROR(VLOOKUP($B36,'PEDIDO JULIO'!$A$10:$AG$200,15,0),"0")</f>
        <v>0</v>
      </c>
      <c r="AC36" s="156">
        <f>IFERROR(VLOOKUP($B36,'[5]INSUMOS MARZO'!$A$2:$S$105,14,0),"")</f>
        <v>6915.4749000000002</v>
      </c>
      <c r="AD36" s="154">
        <f t="shared" si="8"/>
        <v>0</v>
      </c>
      <c r="AE36" s="152">
        <f>IFERROR(VLOOKUP($B36,'PEDIDO JULIO'!$A$10:$AG$200,16,0),"0")</f>
        <v>3</v>
      </c>
      <c r="AF36" s="153">
        <f>IFERROR(VLOOKUP($B36,'[5]INSUMOS MARZO'!$A$2:$S$105,17,0),"")</f>
        <v>3261.2529999999997</v>
      </c>
      <c r="AG36" s="154">
        <f t="shared" si="9"/>
        <v>9783.7589999999982</v>
      </c>
      <c r="AH36" s="152">
        <f>IFERROR(VLOOKUP($B36,'PEDIDO JULIO'!$A$10:$AG$200,17,0),"0")</f>
        <v>0</v>
      </c>
      <c r="AI36" s="153">
        <f>IFERROR(VLOOKUP($B36,'[5]INSUMOS MARZO'!$A$2:$S$105,17,0),"")</f>
        <v>3261.2529999999997</v>
      </c>
      <c r="AJ36" s="154">
        <f t="shared" si="10"/>
        <v>0</v>
      </c>
      <c r="AK36" s="152">
        <f>IFERROR(VLOOKUP($B36,'PEDIDO JULIO'!$A$10:$AG$200,18,0),"0")</f>
        <v>0</v>
      </c>
      <c r="AL36" s="153">
        <f>IFERROR(VLOOKUP($B36,'[5]INSUMOS MARZO'!$A$2:$S$105,17,0),"")</f>
        <v>3261.2529999999997</v>
      </c>
      <c r="AM36" s="154">
        <f t="shared" si="11"/>
        <v>0</v>
      </c>
      <c r="AN36" s="152">
        <f>IFERROR(VLOOKUP($B36,'PEDIDO JULIO'!$A$10:$AG$200,19,0),"0")</f>
        <v>0</v>
      </c>
      <c r="AO36" s="153">
        <f>IFERROR(VLOOKUP($B36,'[5]INSUMOS MARZO'!$A$2:$S$105,17,0),"")</f>
        <v>3261.2529999999997</v>
      </c>
      <c r="AP36" s="154">
        <f t="shared" si="12"/>
        <v>0</v>
      </c>
      <c r="AQ36" s="152">
        <f>IFERROR(VLOOKUP($B36,'PEDIDO JULIO'!$A$10:$AG$200,20,0),"0")</f>
        <v>5</v>
      </c>
      <c r="AR36" s="153">
        <f>IFERROR(VLOOKUP($B36,'[5]INSUMOS MARZO'!$A$2:$S$105,17,0),"")</f>
        <v>3261.2529999999997</v>
      </c>
      <c r="AS36" s="154">
        <f t="shared" si="13"/>
        <v>16306.264999999999</v>
      </c>
      <c r="AT36" s="152">
        <f>IFERROR(VLOOKUP($B36,'PEDIDO JULIO'!$A$10:$AG$200,21,0),"0")</f>
        <v>0</v>
      </c>
      <c r="AU36" s="156">
        <f>IFERROR(VLOOKUP($B36,'[5]INSUMOS MARZO'!$A$2:$S$105,14,0),"")</f>
        <v>6915.4749000000002</v>
      </c>
      <c r="AV36" s="154">
        <f t="shared" si="14"/>
        <v>0</v>
      </c>
      <c r="AW36" s="152">
        <f>IFERROR(VLOOKUP($B36,'PEDIDO JULIO'!$A$10:$AG$200,22,0),"0")</f>
        <v>0</v>
      </c>
      <c r="AX36" s="153">
        <f>IFERROR(VLOOKUP($B36,'[5]INSUMOS MARZO'!$A$2:$S$105,17,0),"")</f>
        <v>3261.2529999999997</v>
      </c>
      <c r="AY36" s="154">
        <f t="shared" si="15"/>
        <v>0</v>
      </c>
      <c r="AZ36" s="152">
        <f>IFERROR(VLOOKUP($B36,'PEDIDO JULIO'!$A$10:$AG$200,23,0),"0")</f>
        <v>0</v>
      </c>
      <c r="BA36" s="153">
        <f>IFERROR(VLOOKUP($B36,'[5]INSUMOS MARZO'!$A$2:$S$105,17,0),"")</f>
        <v>3261.2529999999997</v>
      </c>
      <c r="BB36" s="154">
        <f t="shared" si="16"/>
        <v>0</v>
      </c>
      <c r="BC36" s="152">
        <f>IFERROR(VLOOKUP($B36,'PEDIDO JULIO'!$A$10:$AG$200,24,0),"0")</f>
        <v>0</v>
      </c>
      <c r="BD36" s="153">
        <f>IFERROR(VLOOKUP($B36,'[5]INSUMOS MARZO'!$A$2:$S$105,17,0),"")</f>
        <v>3261.2529999999997</v>
      </c>
      <c r="BE36" s="155">
        <f t="shared" si="17"/>
        <v>0</v>
      </c>
      <c r="BF36" s="152">
        <f>IFERROR(VLOOKUP($B36,'PEDIDO JULIO'!$A$10:$AG$200,25,0),"0")</f>
        <v>0</v>
      </c>
      <c r="BG36" s="153">
        <f>IFERROR(VLOOKUP($B36,'[5]INSUMOS MARZO'!$A$2:$S$105,17,0),"")</f>
        <v>3261.2529999999997</v>
      </c>
      <c r="BH36" s="155">
        <f t="shared" si="18"/>
        <v>0</v>
      </c>
      <c r="BI36" s="152">
        <f>IFERROR(VLOOKUP($B36,'PEDIDO JULIO'!$A$10:$AG$200,26,0),"0")</f>
        <v>0</v>
      </c>
      <c r="BJ36" s="153">
        <f>IFERROR(VLOOKUP($B36,'[5]INSUMOS MARZO'!$A$2:$S$105,17,0),"")</f>
        <v>3261.2529999999997</v>
      </c>
      <c r="BK36" s="154">
        <f t="shared" si="19"/>
        <v>0</v>
      </c>
      <c r="BL36" s="152">
        <f>IFERROR(VLOOKUP($B36,'PEDIDO JULIO'!$A$10:$AG$200,27,0),"0")</f>
        <v>0</v>
      </c>
      <c r="BM36" s="153">
        <f>IFERROR(VLOOKUP($B36,'[5]INSUMOS MARZO'!$A$2:$S$105,17,0),"")</f>
        <v>3261.2529999999997</v>
      </c>
      <c r="BN36" s="154">
        <f t="shared" si="20"/>
        <v>0</v>
      </c>
      <c r="BO36" s="152">
        <f>IFERROR(VLOOKUP($B36,'PEDIDO JULIO'!$A$10:$AG$200,28,0),"0")</f>
        <v>0</v>
      </c>
      <c r="BP36" s="153">
        <f>IFERROR(VLOOKUP($B36,'[5]INSUMOS MARZO'!$A$2:$S$105,17,0),"")</f>
        <v>3261.2529999999997</v>
      </c>
      <c r="BQ36" s="154">
        <f t="shared" si="21"/>
        <v>0</v>
      </c>
      <c r="BR36" s="152">
        <f>IFERROR(VLOOKUP($B36,'PEDIDO JULIO'!$A$10:$AG$200,29,0),"0")</f>
        <v>0</v>
      </c>
      <c r="BS36" s="153">
        <f>IFERROR(VLOOKUP($B36,'[5]INSUMOS MARZO'!$A$2:$S$105,17,0),"")</f>
        <v>3261.2529999999997</v>
      </c>
      <c r="BT36" s="155">
        <f t="shared" si="22"/>
        <v>0</v>
      </c>
      <c r="BU36" s="152">
        <f>IFERROR(VLOOKUP($B36,'PEDIDO JULIO'!$A$10:$AG$200,30,0),"0")</f>
        <v>0</v>
      </c>
      <c r="BV36" s="153">
        <f>IFERROR(VLOOKUP($B36,'[5]INSUMOS MARZO'!$A$2:$S$105,17,0),"")</f>
        <v>3261.2529999999997</v>
      </c>
      <c r="BW36" s="155">
        <f t="shared" si="23"/>
        <v>0</v>
      </c>
      <c r="BX36" s="152">
        <f>IFERROR(VLOOKUP($B36,'PEDIDO JULIO'!$A$10:$AG$200,31,0),"0")</f>
        <v>0</v>
      </c>
      <c r="BY36" s="153">
        <f>IFERROR(VLOOKUP($B36,'[5]INSUMOS MARZO'!$A$2:$S$105,17,0),"")</f>
        <v>3261.2529999999997</v>
      </c>
      <c r="BZ36" s="155">
        <f t="shared" si="24"/>
        <v>0</v>
      </c>
      <c r="CA36" s="152">
        <f>IFERROR(VLOOKUP($B36,'PEDIDO JULIO'!$A$10:$AG$200,32,0),"0")</f>
        <v>0</v>
      </c>
      <c r="CB36" s="153">
        <f>IFERROR(VLOOKUP($B36,'[5]INSUMOS MARZO'!$A$2:$S$105,17,0),"")</f>
        <v>3261.2529999999997</v>
      </c>
      <c r="CC36" s="155">
        <f t="shared" si="25"/>
        <v>0</v>
      </c>
      <c r="CD36" s="164">
        <f t="shared" si="26"/>
        <v>12</v>
      </c>
      <c r="CE36" s="158">
        <f t="shared" si="27"/>
        <v>0</v>
      </c>
      <c r="CF36" s="251">
        <f>IFERROR(VLOOKUP($B36,'MATRIZ INSUMOS '!$A$3:$P$106,16,0),"")</f>
        <v>12</v>
      </c>
      <c r="CG36" s="153">
        <f>IFERROR(VLOOKUP($B36,'[5]INSUMOS MARZO'!$A$2:$S$105,17,0),"")</f>
        <v>3261.2529999999997</v>
      </c>
      <c r="CH36" s="156">
        <f t="shared" si="28"/>
        <v>39135.035999999993</v>
      </c>
      <c r="CI36" s="251">
        <f>IFERROR(VLOOKUP($B36,'MATRIZ INSUMOS '!$A$3:$P$106,10,0),"")</f>
        <v>0</v>
      </c>
      <c r="CJ36" s="156">
        <f>IFERROR(VLOOKUP($B36,'[5]INSUMOS MARZO'!$A$2:$S$105,14,0),"")</f>
        <v>6915.4749000000002</v>
      </c>
      <c r="CK36" s="159">
        <f t="shared" si="29"/>
        <v>0</v>
      </c>
      <c r="CL36" s="160">
        <f t="shared" si="30"/>
        <v>39135.035999999993</v>
      </c>
      <c r="CM36" s="14">
        <f t="shared" si="31"/>
        <v>3913.5035999999996</v>
      </c>
      <c r="CN36" s="14">
        <f t="shared" si="32"/>
        <v>743.56568399999992</v>
      </c>
      <c r="CO36" s="14">
        <f t="shared" si="33"/>
        <v>43792.10528399999</v>
      </c>
      <c r="CP36" s="1">
        <f>+CF36+CI36-CD36</f>
        <v>0</v>
      </c>
      <c r="CQ36" s="19">
        <f t="shared" si="34"/>
        <v>39135.035999999993</v>
      </c>
      <c r="CR36" s="19" t="b">
        <f t="shared" si="35"/>
        <v>1</v>
      </c>
      <c r="CS36" s="19">
        <f t="shared" si="36"/>
        <v>0</v>
      </c>
    </row>
    <row r="37" spans="1:97" ht="16.5">
      <c r="A37" s="3">
        <v>32</v>
      </c>
      <c r="B37" s="151">
        <v>79</v>
      </c>
      <c r="C37" s="4" t="s">
        <v>48</v>
      </c>
      <c r="D37" s="152">
        <f>IFERROR(VLOOKUP($B37,'[4]INSUMOS FEBRERO'!$A$2:$F$105,5,0),"")</f>
        <v>37</v>
      </c>
      <c r="E37" s="152">
        <f>IFERROR(VLOOKUP($B37,'PEDIDO JULIO'!$A$10:$AG$32,33,0),"0")</f>
        <v>4</v>
      </c>
      <c r="F37" s="152">
        <f t="shared" si="1"/>
        <v>-33</v>
      </c>
      <c r="G37" s="152">
        <f>IFERROR(VLOOKUP($B37,'PEDIDO JULIO'!$A$10:$AG$200,8,0),"0")</f>
        <v>0</v>
      </c>
      <c r="H37" s="153">
        <f>IFERROR(VLOOKUP($B37,'[5]INSUMOS MARZO'!$A$2:$S$105,17,0),"")</f>
        <v>541.2650000000001</v>
      </c>
      <c r="I37" s="154">
        <f t="shared" si="0"/>
        <v>0</v>
      </c>
      <c r="J37" s="152">
        <f>IFERROR(VLOOKUP($B37,'PEDIDO JULIO'!$A$10:$AG$200,9,0),"0")</f>
        <v>0</v>
      </c>
      <c r="K37" s="153">
        <f>IFERROR(VLOOKUP($B37,'[5]INSUMOS MARZO'!$A$2:$S$105,17,0),"")</f>
        <v>541.2650000000001</v>
      </c>
      <c r="L37" s="155">
        <f t="shared" si="2"/>
        <v>0</v>
      </c>
      <c r="M37" s="152">
        <f>IFERROR(VLOOKUP($B37,'PEDIDO JULIO'!$A$10:$AG$200,10,0),"0")</f>
        <v>0</v>
      </c>
      <c r="N37" s="153">
        <f>IFERROR(VLOOKUP($B37,'[5]INSUMOS MARZO'!$A$2:$S$105,17,0),"")</f>
        <v>541.2650000000001</v>
      </c>
      <c r="O37" s="154">
        <f t="shared" si="3"/>
        <v>0</v>
      </c>
      <c r="P37" s="152">
        <f>IFERROR(VLOOKUP($B37,'PEDIDO JULIO'!$A$10:$AG$200,11,0),"0")</f>
        <v>0</v>
      </c>
      <c r="Q37" s="153">
        <f>IFERROR(VLOOKUP($B37,'[5]INSUMOS MARZO'!$A$2:$S$105,17,0),"")</f>
        <v>541.2650000000001</v>
      </c>
      <c r="R37" s="154">
        <f t="shared" si="4"/>
        <v>0</v>
      </c>
      <c r="S37" s="152">
        <f>IFERROR(VLOOKUP($B37,'PEDIDO JULIO'!$A$10:$AG$200,12,0),"0")</f>
        <v>0</v>
      </c>
      <c r="T37" s="153">
        <f>IFERROR(VLOOKUP($B37,'[5]INSUMOS MARZO'!$A$2:$S$105,17,0),"")</f>
        <v>541.2650000000001</v>
      </c>
      <c r="U37" s="154">
        <f t="shared" si="5"/>
        <v>0</v>
      </c>
      <c r="V37" s="152">
        <f>IFERROR(VLOOKUP($B37,'PEDIDO JULIO'!$A$10:$AG$200,13,0),"0")</f>
        <v>0</v>
      </c>
      <c r="W37" s="153">
        <f>IFERROR(VLOOKUP($B37,'[5]INSUMOS MARZO'!$A$2:$S$105,17,0),"")</f>
        <v>541.2650000000001</v>
      </c>
      <c r="X37" s="154">
        <f t="shared" si="6"/>
        <v>0</v>
      </c>
      <c r="Y37" s="152">
        <f>IFERROR(VLOOKUP($B37,'PEDIDO JULIO'!$A$10:$AG$200,14,0),"0")</f>
        <v>0</v>
      </c>
      <c r="Z37" s="153">
        <f>IFERROR(VLOOKUP($B37,'[5]INSUMOS MARZO'!$A$2:$S$105,17,0),"")</f>
        <v>541.2650000000001</v>
      </c>
      <c r="AA37" s="154">
        <f t="shared" si="7"/>
        <v>0</v>
      </c>
      <c r="AB37" s="152">
        <f>IFERROR(VLOOKUP($B37,'PEDIDO JULIO'!$A$10:$AG$200,15,0),"0")</f>
        <v>0</v>
      </c>
      <c r="AC37" s="153">
        <f>IFERROR(VLOOKUP($B37,'[5]INSUMOS MARZO'!$A$2:$S$105,17,0),"")</f>
        <v>541.2650000000001</v>
      </c>
      <c r="AD37" s="154">
        <f t="shared" si="8"/>
        <v>0</v>
      </c>
      <c r="AE37" s="152">
        <f>IFERROR(VLOOKUP($B37,'PEDIDO JULIO'!$A$10:$AG$200,16,0),"0")</f>
        <v>0</v>
      </c>
      <c r="AF37" s="153">
        <f>IFERROR(VLOOKUP($B37,'[5]INSUMOS MARZO'!$A$2:$S$105,17,0),"")</f>
        <v>541.2650000000001</v>
      </c>
      <c r="AG37" s="154">
        <f t="shared" si="9"/>
        <v>0</v>
      </c>
      <c r="AH37" s="152">
        <f>IFERROR(VLOOKUP($B37,'PEDIDO JULIO'!$A$10:$AG$200,17,0),"0")</f>
        <v>0</v>
      </c>
      <c r="AI37" s="153">
        <f>IFERROR(VLOOKUP($B37,'[5]INSUMOS MARZO'!$A$2:$S$105,17,0),"")</f>
        <v>541.2650000000001</v>
      </c>
      <c r="AJ37" s="154">
        <f t="shared" si="10"/>
        <v>0</v>
      </c>
      <c r="AK37" s="152">
        <f>IFERROR(VLOOKUP($B37,'PEDIDO JULIO'!$A$10:$AG$200,18,0),"0")</f>
        <v>0</v>
      </c>
      <c r="AL37" s="156">
        <f>IFERROR(VLOOKUP($B37,'[5]INSUMOS MARZO'!$A$2:$S$105,14,0),"")</f>
        <v>935.49510000000009</v>
      </c>
      <c r="AM37" s="154">
        <f t="shared" si="11"/>
        <v>0</v>
      </c>
      <c r="AN37" s="152">
        <f>IFERROR(VLOOKUP($B37,'PEDIDO JULIO'!$A$10:$AG$200,19,0),"0")</f>
        <v>0</v>
      </c>
      <c r="AO37" s="153">
        <f>IFERROR(VLOOKUP($B37,'[5]INSUMOS MARZO'!$A$2:$S$105,17,0),"")</f>
        <v>541.2650000000001</v>
      </c>
      <c r="AP37" s="154">
        <f t="shared" si="12"/>
        <v>0</v>
      </c>
      <c r="AQ37" s="152">
        <f>IFERROR(VLOOKUP($B37,'PEDIDO JULIO'!$A$10:$AG$200,20,0),"0")</f>
        <v>0</v>
      </c>
      <c r="AR37" s="153">
        <f>IFERROR(VLOOKUP($B37,'[5]INSUMOS MARZO'!$A$2:$S$105,17,0),"")</f>
        <v>541.2650000000001</v>
      </c>
      <c r="AS37" s="154">
        <f t="shared" si="13"/>
        <v>0</v>
      </c>
      <c r="AT37" s="152">
        <f>IFERROR(VLOOKUP($B37,'PEDIDO JULIO'!$A$10:$AG$200,21,0),"0")</f>
        <v>4</v>
      </c>
      <c r="AU37" s="153">
        <f>IFERROR(VLOOKUP($B37,'[5]INSUMOS MARZO'!$A$2:$S$105,17,0),"")</f>
        <v>541.2650000000001</v>
      </c>
      <c r="AV37" s="154">
        <f t="shared" si="14"/>
        <v>2165.0600000000004</v>
      </c>
      <c r="AW37" s="152">
        <f>IFERROR(VLOOKUP($B37,'PEDIDO JULIO'!$A$10:$AG$200,22,0),"0")</f>
        <v>0</v>
      </c>
      <c r="AX37" s="153">
        <f>IFERROR(VLOOKUP($B37,'[5]INSUMOS MARZO'!$A$2:$S$105,17,0),"")</f>
        <v>541.2650000000001</v>
      </c>
      <c r="AY37" s="154">
        <f t="shared" si="15"/>
        <v>0</v>
      </c>
      <c r="AZ37" s="152">
        <f>IFERROR(VLOOKUP($B37,'PEDIDO JULIO'!$A$10:$AG$200,23,0),"0")</f>
        <v>0</v>
      </c>
      <c r="BA37" s="153">
        <f>IFERROR(VLOOKUP($B37,'[5]INSUMOS MARZO'!$A$2:$S$105,17,0),"")</f>
        <v>541.2650000000001</v>
      </c>
      <c r="BB37" s="154">
        <f t="shared" si="16"/>
        <v>0</v>
      </c>
      <c r="BC37" s="152">
        <f>IFERROR(VLOOKUP($B37,'PEDIDO JULIO'!$A$10:$AG$200,24,0),"0")</f>
        <v>0</v>
      </c>
      <c r="BD37" s="153">
        <f>IFERROR(VLOOKUP($B37,'[5]INSUMOS MARZO'!$A$2:$S$105,17,0),"")</f>
        <v>541.2650000000001</v>
      </c>
      <c r="BE37" s="155">
        <f t="shared" si="17"/>
        <v>0</v>
      </c>
      <c r="BF37" s="152">
        <f>IFERROR(VLOOKUP($B37,'PEDIDO JULIO'!$A$10:$AG$200,25,0),"0")</f>
        <v>0</v>
      </c>
      <c r="BG37" s="153">
        <f>IFERROR(VLOOKUP($B37,'[5]INSUMOS MARZO'!$A$2:$S$105,17,0),"")</f>
        <v>541.2650000000001</v>
      </c>
      <c r="BH37" s="155">
        <f t="shared" si="18"/>
        <v>0</v>
      </c>
      <c r="BI37" s="152">
        <f>IFERROR(VLOOKUP($B37,'PEDIDO JULIO'!$A$10:$AG$200,26,0),"0")</f>
        <v>0</v>
      </c>
      <c r="BJ37" s="153">
        <f>IFERROR(VLOOKUP($B37,'[5]INSUMOS MARZO'!$A$2:$S$105,17,0),"")</f>
        <v>541.2650000000001</v>
      </c>
      <c r="BK37" s="154">
        <f t="shared" si="19"/>
        <v>0</v>
      </c>
      <c r="BL37" s="152">
        <f>IFERROR(VLOOKUP($B37,'PEDIDO JULIO'!$A$10:$AG$200,27,0),"0")</f>
        <v>0</v>
      </c>
      <c r="BM37" s="153">
        <f>IFERROR(VLOOKUP($B37,'[5]INSUMOS MARZO'!$A$2:$S$105,17,0),"")</f>
        <v>541.2650000000001</v>
      </c>
      <c r="BN37" s="154">
        <f t="shared" si="20"/>
        <v>0</v>
      </c>
      <c r="BO37" s="152">
        <f>IFERROR(VLOOKUP($B37,'PEDIDO JULIO'!$A$10:$AG$200,28,0),"0")</f>
        <v>0</v>
      </c>
      <c r="BP37" s="153">
        <f>IFERROR(VLOOKUP($B37,'[5]INSUMOS MARZO'!$A$2:$S$105,17,0),"")</f>
        <v>541.2650000000001</v>
      </c>
      <c r="BQ37" s="154">
        <f t="shared" si="21"/>
        <v>0</v>
      </c>
      <c r="BR37" s="152">
        <f>IFERROR(VLOOKUP($B37,'PEDIDO JULIO'!$A$10:$AG$200,29,0),"0")</f>
        <v>0</v>
      </c>
      <c r="BS37" s="153">
        <f>IFERROR(VLOOKUP($B37,'[5]INSUMOS MARZO'!$A$2:$S$105,17,0),"")</f>
        <v>541.2650000000001</v>
      </c>
      <c r="BT37" s="155">
        <f t="shared" si="22"/>
        <v>0</v>
      </c>
      <c r="BU37" s="152">
        <f>IFERROR(VLOOKUP($B37,'PEDIDO JULIO'!$A$10:$AG$200,30,0),"0")</f>
        <v>0</v>
      </c>
      <c r="BV37" s="153">
        <f>IFERROR(VLOOKUP($B37,'[5]INSUMOS MARZO'!$A$2:$S$105,17,0),"")</f>
        <v>541.2650000000001</v>
      </c>
      <c r="BW37" s="155">
        <f t="shared" si="23"/>
        <v>0</v>
      </c>
      <c r="BX37" s="152">
        <f>IFERROR(VLOOKUP($B37,'PEDIDO JULIO'!$A$10:$AG$200,31,0),"0")</f>
        <v>0</v>
      </c>
      <c r="BY37" s="153">
        <f>IFERROR(VLOOKUP($B37,'[5]INSUMOS MARZO'!$A$2:$S$105,17,0),"")</f>
        <v>541.2650000000001</v>
      </c>
      <c r="BZ37" s="155">
        <f t="shared" si="24"/>
        <v>0</v>
      </c>
      <c r="CA37" s="152">
        <f>IFERROR(VLOOKUP($B37,'PEDIDO JULIO'!$A$10:$AG$200,32,0),"0")</f>
        <v>0</v>
      </c>
      <c r="CB37" s="153">
        <f>IFERROR(VLOOKUP($B37,'[5]INSUMOS MARZO'!$A$2:$S$105,17,0),"")</f>
        <v>541.2650000000001</v>
      </c>
      <c r="CC37" s="155">
        <f t="shared" si="25"/>
        <v>0</v>
      </c>
      <c r="CD37" s="164">
        <f t="shared" si="26"/>
        <v>4</v>
      </c>
      <c r="CE37" s="158">
        <f t="shared" si="27"/>
        <v>0</v>
      </c>
      <c r="CF37" s="251">
        <f>IFERROR(VLOOKUP($B37,'MATRIZ INSUMOS '!$A$3:$P$106,16,0),"")</f>
        <v>4</v>
      </c>
      <c r="CG37" s="153">
        <f>IFERROR(VLOOKUP($B37,'[5]INSUMOS MARZO'!$A$2:$S$105,17,0),"")</f>
        <v>541.2650000000001</v>
      </c>
      <c r="CH37" s="156">
        <f t="shared" si="28"/>
        <v>2165.0600000000004</v>
      </c>
      <c r="CI37" s="251">
        <f>IFERROR(VLOOKUP($B37,'MATRIZ INSUMOS '!$A$3:$P$106,10,0),"")</f>
        <v>0</v>
      </c>
      <c r="CJ37" s="156">
        <f>IFERROR(VLOOKUP($B37,'[5]INSUMOS MARZO'!$A$2:$S$105,14,0),"")</f>
        <v>935.49510000000009</v>
      </c>
      <c r="CK37" s="159">
        <f t="shared" si="29"/>
        <v>0</v>
      </c>
      <c r="CL37" s="160">
        <f t="shared" si="30"/>
        <v>2165.0600000000004</v>
      </c>
      <c r="CM37" s="14">
        <f t="shared" si="31"/>
        <v>216.50600000000006</v>
      </c>
      <c r="CN37" s="14">
        <f t="shared" si="32"/>
        <v>41.136140000000012</v>
      </c>
      <c r="CO37" s="14">
        <f t="shared" si="33"/>
        <v>2422.7021400000003</v>
      </c>
      <c r="CQ37" s="19">
        <f t="shared" si="34"/>
        <v>2165.0600000000004</v>
      </c>
      <c r="CR37" s="19" t="b">
        <f t="shared" si="35"/>
        <v>1</v>
      </c>
      <c r="CS37" s="19">
        <f t="shared" si="36"/>
        <v>0</v>
      </c>
    </row>
    <row r="38" spans="1:97" ht="16.5">
      <c r="A38" s="3">
        <v>33</v>
      </c>
      <c r="B38" s="151">
        <v>80</v>
      </c>
      <c r="C38" s="4" t="s">
        <v>49</v>
      </c>
      <c r="D38" s="152">
        <f>IFERROR(VLOOKUP($B38,'[4]INSUMOS FEBRERO'!$A$2:$F$105,5,0),"")</f>
        <v>37</v>
      </c>
      <c r="E38" s="152">
        <f>IFERROR(VLOOKUP($B38,'PEDIDO JULIO'!$A$10:$AG$32,33,0),"0")</f>
        <v>10</v>
      </c>
      <c r="F38" s="152">
        <f t="shared" si="1"/>
        <v>-27</v>
      </c>
      <c r="G38" s="152">
        <f>IFERROR(VLOOKUP($B38,'PEDIDO JULIO'!$A$10:$AG$200,8,0),"0")</f>
        <v>0</v>
      </c>
      <c r="H38" s="153">
        <f>IFERROR(VLOOKUP($B38,'[5]INSUMOS MARZO'!$A$2:$S$105,17,0),"")</f>
        <v>433.01199999999994</v>
      </c>
      <c r="I38" s="154">
        <f t="shared" si="0"/>
        <v>0</v>
      </c>
      <c r="J38" s="152">
        <f>IFERROR(VLOOKUP($B38,'PEDIDO JULIO'!$A$10:$AG$200,9,0),"0")</f>
        <v>0</v>
      </c>
      <c r="K38" s="153">
        <f>IFERROR(VLOOKUP($B38,'[5]INSUMOS MARZO'!$A$2:$S$105,17,0),"")</f>
        <v>433.01199999999994</v>
      </c>
      <c r="L38" s="155">
        <f t="shared" si="2"/>
        <v>0</v>
      </c>
      <c r="M38" s="152">
        <f>IFERROR(VLOOKUP($B38,'PEDIDO JULIO'!$A$10:$AG$200,10,0),"0")</f>
        <v>0</v>
      </c>
      <c r="N38" s="153">
        <f>IFERROR(VLOOKUP($B38,'[5]INSUMOS MARZO'!$A$2:$S$105,17,0),"")</f>
        <v>433.01199999999994</v>
      </c>
      <c r="O38" s="154">
        <f t="shared" si="3"/>
        <v>0</v>
      </c>
      <c r="P38" s="152">
        <f>IFERROR(VLOOKUP($B38,'PEDIDO JULIO'!$A$10:$AG$200,11,0),"0")</f>
        <v>0</v>
      </c>
      <c r="Q38" s="153">
        <f>IFERROR(VLOOKUP($B38,'[5]INSUMOS MARZO'!$A$2:$S$105,17,0),"")</f>
        <v>433.01199999999994</v>
      </c>
      <c r="R38" s="154">
        <f t="shared" si="4"/>
        <v>0</v>
      </c>
      <c r="S38" s="152">
        <f>IFERROR(VLOOKUP($B38,'PEDIDO JULIO'!$A$10:$AG$200,12,0),"0")</f>
        <v>0</v>
      </c>
      <c r="T38" s="153">
        <f>IFERROR(VLOOKUP($B38,'[5]INSUMOS MARZO'!$A$2:$S$105,17,0),"")</f>
        <v>433.01199999999994</v>
      </c>
      <c r="U38" s="154">
        <f t="shared" si="5"/>
        <v>0</v>
      </c>
      <c r="V38" s="152">
        <f>IFERROR(VLOOKUP($B38,'PEDIDO JULIO'!$A$10:$AG$200,13,0),"0")</f>
        <v>0</v>
      </c>
      <c r="W38" s="153">
        <f>IFERROR(VLOOKUP($B38,'[5]INSUMOS MARZO'!$A$2:$S$105,17,0),"")</f>
        <v>433.01199999999994</v>
      </c>
      <c r="X38" s="154">
        <f t="shared" si="6"/>
        <v>0</v>
      </c>
      <c r="Y38" s="152">
        <f>IFERROR(VLOOKUP($B38,'PEDIDO JULIO'!$A$10:$AG$200,14,0),"0")</f>
        <v>0</v>
      </c>
      <c r="Z38" s="153">
        <f>IFERROR(VLOOKUP($B38,'[5]INSUMOS MARZO'!$A$2:$S$105,17,0),"")</f>
        <v>433.01199999999994</v>
      </c>
      <c r="AA38" s="154">
        <f t="shared" si="7"/>
        <v>0</v>
      </c>
      <c r="AB38" s="152">
        <f>IFERROR(VLOOKUP($B38,'PEDIDO JULIO'!$A$10:$AG$200,15,0),"0")</f>
        <v>0</v>
      </c>
      <c r="AC38" s="153">
        <f>IFERROR(VLOOKUP($B38,'[5]INSUMOS MARZO'!$A$2:$S$105,17,0),"")</f>
        <v>433.01199999999994</v>
      </c>
      <c r="AD38" s="154">
        <f t="shared" si="8"/>
        <v>0</v>
      </c>
      <c r="AE38" s="152">
        <f>IFERROR(VLOOKUP($B38,'PEDIDO JULIO'!$A$10:$AG$200,16,0),"0")</f>
        <v>0</v>
      </c>
      <c r="AF38" s="153">
        <f>IFERROR(VLOOKUP($B38,'[5]INSUMOS MARZO'!$A$2:$S$105,17,0),"")</f>
        <v>433.01199999999994</v>
      </c>
      <c r="AG38" s="154">
        <f t="shared" si="9"/>
        <v>0</v>
      </c>
      <c r="AH38" s="152">
        <f>IFERROR(VLOOKUP($B38,'PEDIDO JULIO'!$A$10:$AG$200,17,0),"0")</f>
        <v>0</v>
      </c>
      <c r="AI38" s="153">
        <f>IFERROR(VLOOKUP($B38,'[5]INSUMOS MARZO'!$A$2:$S$105,17,0),"")</f>
        <v>433.01199999999994</v>
      </c>
      <c r="AJ38" s="154">
        <f t="shared" si="10"/>
        <v>0</v>
      </c>
      <c r="AK38" s="152">
        <f>IFERROR(VLOOKUP($B38,'PEDIDO JULIO'!$A$10:$AG$200,18,0),"0")</f>
        <v>0</v>
      </c>
      <c r="AL38" s="153">
        <f>IFERROR(VLOOKUP($B38,'[5]INSUMOS MARZO'!$A$2:$S$105,17,0),"")</f>
        <v>433.01199999999994</v>
      </c>
      <c r="AM38" s="154">
        <f t="shared" si="11"/>
        <v>0</v>
      </c>
      <c r="AN38" s="152">
        <f>IFERROR(VLOOKUP($B38,'PEDIDO JULIO'!$A$10:$AG$200,19,0),"0")</f>
        <v>0</v>
      </c>
      <c r="AO38" s="153">
        <f>IFERROR(VLOOKUP($B38,'[5]INSUMOS MARZO'!$A$2:$S$105,17,0),"")</f>
        <v>433.01199999999994</v>
      </c>
      <c r="AP38" s="154">
        <f t="shared" si="12"/>
        <v>0</v>
      </c>
      <c r="AQ38" s="152">
        <f>IFERROR(VLOOKUP($B38,'PEDIDO JULIO'!$A$10:$AG$200,20,0),"0")</f>
        <v>0</v>
      </c>
      <c r="AR38" s="153">
        <f>IFERROR(VLOOKUP($B38,'[5]INSUMOS MARZO'!$A$2:$S$105,17,0),"")</f>
        <v>433.01199999999994</v>
      </c>
      <c r="AS38" s="154">
        <f t="shared" si="13"/>
        <v>0</v>
      </c>
      <c r="AT38" s="152">
        <f>IFERROR(VLOOKUP($B38,'PEDIDO JULIO'!$A$10:$AG$200,21,0),"0")</f>
        <v>0</v>
      </c>
      <c r="AU38" s="156">
        <f>IFERROR(VLOOKUP($B38,'[5]INSUMOS MARZO'!$A$2:$S$105,14,0),"")</f>
        <v>607.26779999999997</v>
      </c>
      <c r="AV38" s="154">
        <f t="shared" si="14"/>
        <v>0</v>
      </c>
      <c r="AW38" s="152">
        <f>IFERROR(VLOOKUP($B38,'PEDIDO JULIO'!$A$10:$AG$200,22,0),"0")</f>
        <v>0</v>
      </c>
      <c r="AX38" s="153">
        <f>IFERROR(VLOOKUP($B38,'[5]INSUMOS MARZO'!$A$2:$S$105,17,0),"")</f>
        <v>433.01199999999994</v>
      </c>
      <c r="AY38" s="154">
        <f t="shared" si="15"/>
        <v>0</v>
      </c>
      <c r="AZ38" s="152">
        <f>IFERROR(VLOOKUP($B38,'PEDIDO JULIO'!$A$10:$AG$200,23,0),"0")</f>
        <v>0</v>
      </c>
      <c r="BA38" s="153">
        <f>IFERROR(VLOOKUP($B38,'[5]INSUMOS MARZO'!$A$2:$S$105,17,0),"")</f>
        <v>433.01199999999994</v>
      </c>
      <c r="BB38" s="154">
        <f t="shared" si="16"/>
        <v>0</v>
      </c>
      <c r="BC38" s="152">
        <f>IFERROR(VLOOKUP($B38,'PEDIDO JULIO'!$A$10:$AG$200,24,0),"0")</f>
        <v>0</v>
      </c>
      <c r="BD38" s="153">
        <f>IFERROR(VLOOKUP($B38,'[5]INSUMOS MARZO'!$A$2:$S$105,17,0),"")</f>
        <v>433.01199999999994</v>
      </c>
      <c r="BE38" s="155">
        <f t="shared" si="17"/>
        <v>0</v>
      </c>
      <c r="BF38" s="152">
        <f>IFERROR(VLOOKUP($B38,'PEDIDO JULIO'!$A$10:$AG$200,25,0),"0")</f>
        <v>5</v>
      </c>
      <c r="BG38" s="153">
        <f>IFERROR(VLOOKUP($B38,'[5]INSUMOS MARZO'!$A$2:$S$105,17,0),"")</f>
        <v>433.01199999999994</v>
      </c>
      <c r="BH38" s="155">
        <f t="shared" si="18"/>
        <v>2165.0599999999995</v>
      </c>
      <c r="BI38" s="152">
        <f>IFERROR(VLOOKUP($B38,'PEDIDO JULIO'!$A$10:$AG$200,26,0),"0")</f>
        <v>0</v>
      </c>
      <c r="BJ38" s="153">
        <f>IFERROR(VLOOKUP($B38,'[5]INSUMOS MARZO'!$A$2:$S$105,17,0),"")</f>
        <v>433.01199999999994</v>
      </c>
      <c r="BK38" s="154">
        <f t="shared" si="19"/>
        <v>0</v>
      </c>
      <c r="BL38" s="152">
        <f>IFERROR(VLOOKUP($B38,'PEDIDO JULIO'!$A$10:$AG$200,27,0),"0")</f>
        <v>0</v>
      </c>
      <c r="BM38" s="153">
        <f>IFERROR(VLOOKUP($B38,'[5]INSUMOS MARZO'!$A$2:$S$105,17,0),"")</f>
        <v>433.01199999999994</v>
      </c>
      <c r="BN38" s="154">
        <f t="shared" si="20"/>
        <v>0</v>
      </c>
      <c r="BO38" s="152">
        <f>IFERROR(VLOOKUP($B38,'PEDIDO JULIO'!$A$10:$AG$200,28,0),"0")</f>
        <v>0</v>
      </c>
      <c r="BP38" s="153">
        <f>IFERROR(VLOOKUP($B38,'[5]INSUMOS MARZO'!$A$2:$S$105,17,0),"")</f>
        <v>433.01199999999994</v>
      </c>
      <c r="BQ38" s="154">
        <f t="shared" si="21"/>
        <v>0</v>
      </c>
      <c r="BR38" s="152">
        <f>IFERROR(VLOOKUP($B38,'PEDIDO JULIO'!$A$10:$AG$200,29,0),"0")</f>
        <v>0</v>
      </c>
      <c r="BS38" s="153">
        <f>IFERROR(VLOOKUP($B38,'[5]INSUMOS MARZO'!$A$2:$S$105,17,0),"")</f>
        <v>433.01199999999994</v>
      </c>
      <c r="BT38" s="155">
        <f t="shared" si="22"/>
        <v>0</v>
      </c>
      <c r="BU38" s="152">
        <f>IFERROR(VLOOKUP($B38,'PEDIDO JULIO'!$A$10:$AG$200,30,0),"0")</f>
        <v>5</v>
      </c>
      <c r="BV38" s="153">
        <f>IFERROR(VLOOKUP($B38,'[5]INSUMOS MARZO'!$A$2:$S$105,17,0),"")</f>
        <v>433.01199999999994</v>
      </c>
      <c r="BW38" s="155">
        <f t="shared" si="23"/>
        <v>2165.0599999999995</v>
      </c>
      <c r="BX38" s="152">
        <f>IFERROR(VLOOKUP($B38,'PEDIDO JULIO'!$A$10:$AG$200,31,0),"0")</f>
        <v>0</v>
      </c>
      <c r="BY38" s="153">
        <f>IFERROR(VLOOKUP($B38,'[5]INSUMOS MARZO'!$A$2:$S$105,17,0),"")</f>
        <v>433.01199999999994</v>
      </c>
      <c r="BZ38" s="155">
        <f t="shared" si="24"/>
        <v>0</v>
      </c>
      <c r="CA38" s="152">
        <f>IFERROR(VLOOKUP($B38,'PEDIDO JULIO'!$A$10:$AG$200,32,0),"0")</f>
        <v>0</v>
      </c>
      <c r="CB38" s="153">
        <f>IFERROR(VLOOKUP($B38,'[5]INSUMOS MARZO'!$A$2:$S$105,17,0),"")</f>
        <v>433.01199999999994</v>
      </c>
      <c r="CC38" s="155">
        <f t="shared" si="25"/>
        <v>0</v>
      </c>
      <c r="CD38" s="157">
        <f t="shared" si="26"/>
        <v>10</v>
      </c>
      <c r="CE38" s="158">
        <f t="shared" si="27"/>
        <v>0</v>
      </c>
      <c r="CF38" s="251">
        <f>IFERROR(VLOOKUP($B38,'MATRIZ INSUMOS '!$A$3:$P$106,16,0),"")</f>
        <v>10</v>
      </c>
      <c r="CG38" s="153">
        <f>IFERROR(VLOOKUP($B38,'[5]INSUMOS MARZO'!$A$2:$S$105,17,0),"")</f>
        <v>433.01199999999994</v>
      </c>
      <c r="CH38" s="156">
        <f t="shared" si="28"/>
        <v>4330.119999999999</v>
      </c>
      <c r="CI38" s="251">
        <f>IFERROR(VLOOKUP($B38,'MATRIZ INSUMOS '!$A$3:$P$106,10,0),"")</f>
        <v>0</v>
      </c>
      <c r="CJ38" s="156">
        <f>IFERROR(VLOOKUP($B38,'[5]INSUMOS MARZO'!$A$2:$S$105,14,0),"")</f>
        <v>607.26779999999997</v>
      </c>
      <c r="CK38" s="159">
        <f t="shared" si="29"/>
        <v>0</v>
      </c>
      <c r="CL38" s="160">
        <f t="shared" si="30"/>
        <v>4330.119999999999</v>
      </c>
      <c r="CM38" s="14">
        <f t="shared" si="31"/>
        <v>433.01199999999994</v>
      </c>
      <c r="CN38" s="14">
        <f t="shared" si="32"/>
        <v>82.272279999999995</v>
      </c>
      <c r="CO38" s="14">
        <f t="shared" si="33"/>
        <v>4845.4042799999988</v>
      </c>
      <c r="CQ38" s="19">
        <f t="shared" si="34"/>
        <v>4330.119999999999</v>
      </c>
      <c r="CR38" s="19" t="b">
        <f t="shared" si="35"/>
        <v>1</v>
      </c>
      <c r="CS38" s="19">
        <f t="shared" si="36"/>
        <v>0</v>
      </c>
    </row>
    <row r="39" spans="1:97" ht="16.5">
      <c r="A39" s="3">
        <v>34</v>
      </c>
      <c r="B39" s="151">
        <v>81</v>
      </c>
      <c r="C39" s="4" t="s">
        <v>50</v>
      </c>
      <c r="D39" s="152">
        <f>IFERROR(VLOOKUP($B39,'[4]INSUMOS FEBRERO'!$A$2:$F$105,5,0),"")</f>
        <v>37</v>
      </c>
      <c r="E39" s="152" t="str">
        <f>IFERROR(VLOOKUP($B39,'PEDIDO JULIO'!$A$10:$AG$32,33,0),"0")</f>
        <v>0</v>
      </c>
      <c r="F39" s="152">
        <f t="shared" si="1"/>
        <v>-37</v>
      </c>
      <c r="G39" s="152">
        <f>IFERROR(VLOOKUP($B39,'PEDIDO JULIO'!$A$10:$AG$200,8,0),"0")</f>
        <v>15</v>
      </c>
      <c r="H39" s="153">
        <f>IFERROR(VLOOKUP($B39,'[5]INSUMOS MARZO'!$A$2:$S$105,17,0),"")</f>
        <v>211.251</v>
      </c>
      <c r="I39" s="154">
        <f t="shared" si="0"/>
        <v>3168.7649999999999</v>
      </c>
      <c r="J39" s="152">
        <f>IFERROR(VLOOKUP($B39,'PEDIDO JULIO'!$A$10:$AG$200,9,0),"0")</f>
        <v>0</v>
      </c>
      <c r="K39" s="153">
        <f>IFERROR(VLOOKUP($B39,'[5]INSUMOS MARZO'!$A$2:$S$105,17,0),"")</f>
        <v>211.251</v>
      </c>
      <c r="L39" s="155">
        <f t="shared" si="2"/>
        <v>0</v>
      </c>
      <c r="M39" s="152">
        <f>IFERROR(VLOOKUP($B39,'PEDIDO JULIO'!$A$10:$AG$200,10,0),"0")</f>
        <v>0</v>
      </c>
      <c r="N39" s="153">
        <f>IFERROR(VLOOKUP($B39,'[5]INSUMOS MARZO'!$A$2:$S$105,17,0),"")</f>
        <v>211.251</v>
      </c>
      <c r="O39" s="154">
        <f t="shared" si="3"/>
        <v>0</v>
      </c>
      <c r="P39" s="152">
        <f>IFERROR(VLOOKUP($B39,'PEDIDO JULIO'!$A$10:$AG$200,11,0),"0")</f>
        <v>0</v>
      </c>
      <c r="Q39" s="153">
        <f>IFERROR(VLOOKUP($B39,'[5]INSUMOS MARZO'!$A$2:$S$105,17,0),"")</f>
        <v>211.251</v>
      </c>
      <c r="R39" s="154">
        <f t="shared" si="4"/>
        <v>0</v>
      </c>
      <c r="S39" s="152">
        <f>IFERROR(VLOOKUP($B39,'PEDIDO JULIO'!$A$10:$AG$200,12,0),"0")</f>
        <v>0</v>
      </c>
      <c r="T39" s="153">
        <f>IFERROR(VLOOKUP($B39,'[5]INSUMOS MARZO'!$A$2:$S$105,17,0),"")</f>
        <v>211.251</v>
      </c>
      <c r="U39" s="154">
        <f t="shared" si="5"/>
        <v>0</v>
      </c>
      <c r="V39" s="152">
        <f>IFERROR(VLOOKUP($B39,'PEDIDO JULIO'!$A$10:$AG$200,13,0),"0")</f>
        <v>0</v>
      </c>
      <c r="W39" s="153">
        <f>IFERROR(VLOOKUP($B39,'[5]INSUMOS MARZO'!$A$2:$S$105,17,0),"")</f>
        <v>211.251</v>
      </c>
      <c r="X39" s="154">
        <f t="shared" si="6"/>
        <v>0</v>
      </c>
      <c r="Y39" s="152">
        <f>IFERROR(VLOOKUP($B39,'PEDIDO JULIO'!$A$10:$AG$200,14,0),"0")</f>
        <v>0</v>
      </c>
      <c r="Z39" s="153">
        <f>IFERROR(VLOOKUP($B39,'[5]INSUMOS MARZO'!$A$2:$S$105,17,0),"")</f>
        <v>211.251</v>
      </c>
      <c r="AA39" s="154">
        <f t="shared" si="7"/>
        <v>0</v>
      </c>
      <c r="AB39" s="152">
        <f>IFERROR(VLOOKUP($B39,'PEDIDO JULIO'!$A$10:$AG$200,15,0),"0")</f>
        <v>0</v>
      </c>
      <c r="AC39" s="153">
        <f>IFERROR(VLOOKUP($B39,'[5]INSUMOS MARZO'!$A$2:$S$105,17,0),"")</f>
        <v>211.251</v>
      </c>
      <c r="AD39" s="154">
        <f t="shared" si="8"/>
        <v>0</v>
      </c>
      <c r="AE39" s="152">
        <f>IFERROR(VLOOKUP($B39,'PEDIDO JULIO'!$A$10:$AG$200,16,0),"0")</f>
        <v>10</v>
      </c>
      <c r="AF39" s="153">
        <f>IFERROR(VLOOKUP($B39,'[5]INSUMOS MARZO'!$A$2:$S$105,17,0),"")</f>
        <v>211.251</v>
      </c>
      <c r="AG39" s="154">
        <f t="shared" si="9"/>
        <v>2112.5100000000002</v>
      </c>
      <c r="AH39" s="152">
        <f>IFERROR(VLOOKUP($B39,'PEDIDO JULIO'!$A$10:$AG$200,17,0),"0")</f>
        <v>0</v>
      </c>
      <c r="AI39" s="153">
        <f>IFERROR(VLOOKUP($B39,'[5]INSUMOS MARZO'!$A$2:$S$105,17,0),"")</f>
        <v>211.251</v>
      </c>
      <c r="AJ39" s="154">
        <f t="shared" si="10"/>
        <v>0</v>
      </c>
      <c r="AK39" s="152">
        <f>IFERROR(VLOOKUP($B39,'PEDIDO JULIO'!$A$10:$AG$200,18,0),"0")</f>
        <v>0</v>
      </c>
      <c r="AL39" s="153">
        <f>IFERROR(VLOOKUP($B39,'[5]INSUMOS MARZO'!$A$2:$S$105,17,0),"")</f>
        <v>211.251</v>
      </c>
      <c r="AM39" s="154">
        <f t="shared" si="11"/>
        <v>0</v>
      </c>
      <c r="AN39" s="152">
        <f>IFERROR(VLOOKUP($B39,'PEDIDO JULIO'!$A$10:$AG$200,19,0),"0")</f>
        <v>0</v>
      </c>
      <c r="AO39" s="153">
        <f>IFERROR(VLOOKUP($B39,'[5]INSUMOS MARZO'!$A$2:$S$105,17,0),"")</f>
        <v>211.251</v>
      </c>
      <c r="AP39" s="154">
        <f t="shared" si="12"/>
        <v>0</v>
      </c>
      <c r="AQ39" s="152">
        <f>IFERROR(VLOOKUP($B39,'PEDIDO JULIO'!$A$10:$AG$200,20,0),"0")</f>
        <v>0</v>
      </c>
      <c r="AR39" s="153">
        <f>IFERROR(VLOOKUP($B39,'[5]INSUMOS MARZO'!$A$2:$S$105,17,0),"")</f>
        <v>211.251</v>
      </c>
      <c r="AS39" s="154">
        <f t="shared" si="13"/>
        <v>0</v>
      </c>
      <c r="AT39" s="152">
        <f>IFERROR(VLOOKUP($B39,'PEDIDO JULIO'!$A$10:$AG$200,21,0),"0")</f>
        <v>5</v>
      </c>
      <c r="AU39" s="153">
        <f>IFERROR(VLOOKUP($B39,'[5]INSUMOS MARZO'!$A$2:$S$105,17,0),"")</f>
        <v>211.251</v>
      </c>
      <c r="AV39" s="154">
        <f t="shared" si="14"/>
        <v>1056.2550000000001</v>
      </c>
      <c r="AW39" s="152">
        <f>IFERROR(VLOOKUP($B39,'PEDIDO JULIO'!$A$10:$AG$200,22,0),"0")</f>
        <v>0</v>
      </c>
      <c r="AX39" s="153">
        <f>IFERROR(VLOOKUP($B39,'[5]INSUMOS MARZO'!$A$2:$S$105,17,0),"")</f>
        <v>211.251</v>
      </c>
      <c r="AY39" s="154">
        <f t="shared" si="15"/>
        <v>0</v>
      </c>
      <c r="AZ39" s="152">
        <f>IFERROR(VLOOKUP($B39,'PEDIDO JULIO'!$A$10:$AG$200,23,0),"0")</f>
        <v>0</v>
      </c>
      <c r="BA39" s="153">
        <f>IFERROR(VLOOKUP($B39,'[5]INSUMOS MARZO'!$A$2:$S$105,17,0),"")</f>
        <v>211.251</v>
      </c>
      <c r="BB39" s="154">
        <f t="shared" si="16"/>
        <v>0</v>
      </c>
      <c r="BC39" s="152">
        <f>IFERROR(VLOOKUP($B39,'PEDIDO JULIO'!$A$10:$AG$200,24,0),"0")</f>
        <v>0</v>
      </c>
      <c r="BD39" s="153">
        <f>IFERROR(VLOOKUP($B39,'[5]INSUMOS MARZO'!$A$2:$S$105,17,0),"")</f>
        <v>211.251</v>
      </c>
      <c r="BE39" s="155">
        <f t="shared" si="17"/>
        <v>0</v>
      </c>
      <c r="BF39" s="152">
        <f>IFERROR(VLOOKUP($B39,'PEDIDO JULIO'!$A$10:$AG$200,25,0),"0")</f>
        <v>0</v>
      </c>
      <c r="BG39" s="153">
        <f>IFERROR(VLOOKUP($B39,'[5]INSUMOS MARZO'!$A$2:$S$105,17,0),"")</f>
        <v>211.251</v>
      </c>
      <c r="BH39" s="155">
        <f t="shared" si="18"/>
        <v>0</v>
      </c>
      <c r="BI39" s="152">
        <f>IFERROR(VLOOKUP($B39,'PEDIDO JULIO'!$A$10:$AG$200,26,0),"0")</f>
        <v>0</v>
      </c>
      <c r="BJ39" s="153">
        <f>IFERROR(VLOOKUP($B39,'[5]INSUMOS MARZO'!$A$2:$S$105,17,0),"")</f>
        <v>211.251</v>
      </c>
      <c r="BK39" s="154">
        <f t="shared" si="19"/>
        <v>0</v>
      </c>
      <c r="BL39" s="152">
        <f>IFERROR(VLOOKUP($B39,'PEDIDO JULIO'!$A$10:$AG$200,27,0),"0")</f>
        <v>0</v>
      </c>
      <c r="BM39" s="153">
        <f>IFERROR(VLOOKUP($B39,'[5]INSUMOS MARZO'!$A$2:$S$105,17,0),"")</f>
        <v>211.251</v>
      </c>
      <c r="BN39" s="154">
        <f t="shared" si="20"/>
        <v>0</v>
      </c>
      <c r="BO39" s="152">
        <f>IFERROR(VLOOKUP($B39,'PEDIDO JULIO'!$A$10:$AG$200,28,0),"0")</f>
        <v>0</v>
      </c>
      <c r="BP39" s="153">
        <f>IFERROR(VLOOKUP($B39,'[5]INSUMOS MARZO'!$A$2:$S$105,17,0),"")</f>
        <v>211.251</v>
      </c>
      <c r="BQ39" s="154">
        <f t="shared" si="21"/>
        <v>0</v>
      </c>
      <c r="BR39" s="152">
        <f>IFERROR(VLOOKUP($B39,'PEDIDO JULIO'!$A$10:$AG$200,29,0),"0")</f>
        <v>0</v>
      </c>
      <c r="BS39" s="153">
        <f>IFERROR(VLOOKUP($B39,'[5]INSUMOS MARZO'!$A$2:$S$105,17,0),"")</f>
        <v>211.251</v>
      </c>
      <c r="BT39" s="155">
        <f t="shared" si="22"/>
        <v>0</v>
      </c>
      <c r="BU39" s="152">
        <f>IFERROR(VLOOKUP($B39,'PEDIDO JULIO'!$A$10:$AG$200,30,0),"0")</f>
        <v>0</v>
      </c>
      <c r="BV39" s="153">
        <f>IFERROR(VLOOKUP($B39,'[5]INSUMOS MARZO'!$A$2:$S$105,17,0),"")</f>
        <v>211.251</v>
      </c>
      <c r="BW39" s="155">
        <f t="shared" si="23"/>
        <v>0</v>
      </c>
      <c r="BX39" s="152">
        <f>IFERROR(VLOOKUP($B39,'PEDIDO JULIO'!$A$10:$AG$200,31,0),"0")</f>
        <v>0</v>
      </c>
      <c r="BY39" s="153">
        <f>IFERROR(VLOOKUP($B39,'[5]INSUMOS MARZO'!$A$2:$S$105,17,0),"")</f>
        <v>211.251</v>
      </c>
      <c r="BZ39" s="155">
        <f t="shared" si="24"/>
        <v>0</v>
      </c>
      <c r="CA39" s="152">
        <f>IFERROR(VLOOKUP($B39,'PEDIDO JULIO'!$A$10:$AG$200,32,0),"0")</f>
        <v>0</v>
      </c>
      <c r="CB39" s="153">
        <f>IFERROR(VLOOKUP($B39,'[5]INSUMOS MARZO'!$A$2:$S$105,17,0),"")</f>
        <v>211.251</v>
      </c>
      <c r="CC39" s="155">
        <f t="shared" si="25"/>
        <v>0</v>
      </c>
      <c r="CD39" s="157">
        <f t="shared" si="26"/>
        <v>30</v>
      </c>
      <c r="CE39" s="158">
        <f>+CD39-E39</f>
        <v>30</v>
      </c>
      <c r="CF39" s="251">
        <f>IFERROR(VLOOKUP($B39,'MATRIZ INSUMOS '!$A$3:$P$106,16,0),"")</f>
        <v>30</v>
      </c>
      <c r="CG39" s="153">
        <f>IFERROR(VLOOKUP($B39,'[5]INSUMOS MARZO'!$A$2:$S$105,17,0),"")</f>
        <v>211.251</v>
      </c>
      <c r="CH39" s="156">
        <f t="shared" si="28"/>
        <v>6337.53</v>
      </c>
      <c r="CI39" s="251">
        <f>IFERROR(VLOOKUP($B39,'MATRIZ INSUMOS '!$A$3:$P$106,10,0),"")</f>
        <v>0</v>
      </c>
      <c r="CJ39" s="156">
        <f>IFERROR(VLOOKUP($B39,'[5]INSUMOS MARZO'!$A$2:$S$105,14,0),"")</f>
        <v>387.81900000000002</v>
      </c>
      <c r="CK39" s="159">
        <f t="shared" si="29"/>
        <v>0</v>
      </c>
      <c r="CL39" s="160">
        <f t="shared" si="30"/>
        <v>6337.53</v>
      </c>
      <c r="CM39" s="14">
        <f t="shared" si="31"/>
        <v>633.75300000000004</v>
      </c>
      <c r="CN39" s="14">
        <f t="shared" si="32"/>
        <v>120.41307</v>
      </c>
      <c r="CO39" s="14">
        <f t="shared" si="33"/>
        <v>7091.6960699999991</v>
      </c>
      <c r="CQ39" s="19">
        <f t="shared" si="34"/>
        <v>6337.53</v>
      </c>
      <c r="CR39" s="19" t="b">
        <f t="shared" si="35"/>
        <v>1</v>
      </c>
      <c r="CS39" s="19">
        <f t="shared" si="36"/>
        <v>0</v>
      </c>
    </row>
    <row r="40" spans="1:97" ht="16.5">
      <c r="A40" s="3">
        <v>35</v>
      </c>
      <c r="B40" s="151">
        <v>82</v>
      </c>
      <c r="C40" s="4" t="s">
        <v>51</v>
      </c>
      <c r="D40" s="152">
        <f>IFERROR(VLOOKUP($B40,'[4]INSUMOS FEBRERO'!$A$2:$F$105,5,0),"")</f>
        <v>37</v>
      </c>
      <c r="E40" s="152" t="str">
        <f>IFERROR(VLOOKUP($B40,'PEDIDO JULIO'!$A$10:$AG$32,33,0),"0")</f>
        <v>0</v>
      </c>
      <c r="F40" s="152">
        <f t="shared" si="1"/>
        <v>-37</v>
      </c>
      <c r="G40" s="152" t="str">
        <f>IFERROR(VLOOKUP($B40,'PEDIDO JULIO'!$A$10:$AG$200,8,0),"0")</f>
        <v>0</v>
      </c>
      <c r="H40" s="153">
        <f>IFERROR(VLOOKUP($B40,'[5]INSUMOS MARZO'!$A$2:$S$105,17,0),"")</f>
        <v>1003.7049999999999</v>
      </c>
      <c r="I40" s="154">
        <f t="shared" si="0"/>
        <v>0</v>
      </c>
      <c r="J40" s="152" t="str">
        <f>IFERROR(VLOOKUP($B40,'PEDIDO JULIO'!$A$10:$AG$200,9,0),"0")</f>
        <v>0</v>
      </c>
      <c r="K40" s="153">
        <f>IFERROR(VLOOKUP($B40,'[5]INSUMOS MARZO'!$A$2:$S$105,17,0),"")</f>
        <v>1003.7049999999999</v>
      </c>
      <c r="L40" s="155">
        <f t="shared" si="2"/>
        <v>0</v>
      </c>
      <c r="M40" s="152" t="str">
        <f>IFERROR(VLOOKUP($B40,'PEDIDO JULIO'!$A$10:$AG$200,10,0),"0")</f>
        <v>0</v>
      </c>
      <c r="N40" s="153">
        <f>IFERROR(VLOOKUP($B40,'[5]INSUMOS MARZO'!$A$2:$S$105,17,0),"")</f>
        <v>1003.7049999999999</v>
      </c>
      <c r="O40" s="154">
        <f t="shared" si="3"/>
        <v>0</v>
      </c>
      <c r="P40" s="152" t="str">
        <f>IFERROR(VLOOKUP($B40,'PEDIDO JULIO'!$A$10:$AG$200,11,0),"0")</f>
        <v>0</v>
      </c>
      <c r="Q40" s="153">
        <f>IFERROR(VLOOKUP($B40,'[5]INSUMOS MARZO'!$A$2:$S$105,17,0),"")</f>
        <v>1003.7049999999999</v>
      </c>
      <c r="R40" s="154">
        <f t="shared" si="4"/>
        <v>0</v>
      </c>
      <c r="S40" s="152" t="str">
        <f>IFERROR(VLOOKUP($B40,'PEDIDO JULIO'!$A$10:$AG$200,12,0),"0")</f>
        <v>0</v>
      </c>
      <c r="T40" s="153">
        <f>IFERROR(VLOOKUP($B40,'[5]INSUMOS MARZO'!$A$2:$S$105,17,0),"")</f>
        <v>1003.7049999999999</v>
      </c>
      <c r="U40" s="154">
        <f t="shared" si="5"/>
        <v>0</v>
      </c>
      <c r="V40" s="152" t="str">
        <f>IFERROR(VLOOKUP($B40,'PEDIDO JULIO'!$A$10:$AG$200,13,0),"0")</f>
        <v>0</v>
      </c>
      <c r="W40" s="153">
        <f>IFERROR(VLOOKUP($B40,'[5]INSUMOS MARZO'!$A$2:$S$105,17,0),"")</f>
        <v>1003.7049999999999</v>
      </c>
      <c r="X40" s="154">
        <f t="shared" si="6"/>
        <v>0</v>
      </c>
      <c r="Y40" s="152" t="str">
        <f>IFERROR(VLOOKUP($B40,'PEDIDO JULIO'!$A$10:$AG$200,14,0),"0")</f>
        <v>0</v>
      </c>
      <c r="Z40" s="153">
        <f>IFERROR(VLOOKUP($B40,'[5]INSUMOS MARZO'!$A$2:$S$105,17,0),"")</f>
        <v>1003.7049999999999</v>
      </c>
      <c r="AA40" s="154">
        <f t="shared" si="7"/>
        <v>0</v>
      </c>
      <c r="AB40" s="152" t="str">
        <f>IFERROR(VLOOKUP($B40,'PEDIDO JULIO'!$A$10:$AG$200,15,0),"0")</f>
        <v>0</v>
      </c>
      <c r="AC40" s="153">
        <f>IFERROR(VLOOKUP($B40,'[5]INSUMOS MARZO'!$A$2:$S$105,17,0),"")</f>
        <v>1003.7049999999999</v>
      </c>
      <c r="AD40" s="154">
        <f t="shared" si="8"/>
        <v>0</v>
      </c>
      <c r="AE40" s="152" t="str">
        <f>IFERROR(VLOOKUP($B40,'PEDIDO JULIO'!$A$10:$AG$200,16,0),"0")</f>
        <v>0</v>
      </c>
      <c r="AF40" s="153">
        <f>IFERROR(VLOOKUP($B40,'[5]INSUMOS MARZO'!$A$2:$S$105,17,0),"")</f>
        <v>1003.7049999999999</v>
      </c>
      <c r="AG40" s="154">
        <f t="shared" si="9"/>
        <v>0</v>
      </c>
      <c r="AH40" s="152" t="str">
        <f>IFERROR(VLOOKUP($B40,'PEDIDO JULIO'!$A$10:$AG$200,17,0),"0")</f>
        <v>0</v>
      </c>
      <c r="AI40" s="153">
        <f>IFERROR(VLOOKUP($B40,'[5]INSUMOS MARZO'!$A$2:$S$105,17,0),"")</f>
        <v>1003.7049999999999</v>
      </c>
      <c r="AJ40" s="154">
        <f t="shared" si="10"/>
        <v>0</v>
      </c>
      <c r="AK40" s="152" t="str">
        <f>IFERROR(VLOOKUP($B40,'PEDIDO JULIO'!$A$10:$AG$200,18,0),"0")</f>
        <v>0</v>
      </c>
      <c r="AL40" s="153">
        <f>IFERROR(VLOOKUP($B40,'[5]INSUMOS MARZO'!$A$2:$S$105,17,0),"")</f>
        <v>1003.7049999999999</v>
      </c>
      <c r="AM40" s="154">
        <f t="shared" si="11"/>
        <v>0</v>
      </c>
      <c r="AN40" s="152" t="str">
        <f>IFERROR(VLOOKUP($B40,'PEDIDO JULIO'!$A$10:$AG$200,19,0),"0")</f>
        <v>0</v>
      </c>
      <c r="AO40" s="153">
        <f>IFERROR(VLOOKUP($B40,'[5]INSUMOS MARZO'!$A$2:$S$105,17,0),"")</f>
        <v>1003.7049999999999</v>
      </c>
      <c r="AP40" s="154">
        <f t="shared" si="12"/>
        <v>0</v>
      </c>
      <c r="AQ40" s="152" t="str">
        <f>IFERROR(VLOOKUP($B40,'PEDIDO JULIO'!$A$10:$AG$200,20,0),"0")</f>
        <v>0</v>
      </c>
      <c r="AR40" s="153">
        <f>IFERROR(VLOOKUP($B40,'[5]INSUMOS MARZO'!$A$2:$S$105,17,0),"")</f>
        <v>1003.7049999999999</v>
      </c>
      <c r="AS40" s="154">
        <f t="shared" si="13"/>
        <v>0</v>
      </c>
      <c r="AT40" s="152" t="str">
        <f>IFERROR(VLOOKUP($B40,'PEDIDO JULIO'!$A$10:$AG$200,21,0),"0")</f>
        <v>0</v>
      </c>
      <c r="AU40" s="156">
        <f>IFERROR(VLOOKUP($B40,'[5]INSUMOS MARZO'!$A$2:$S$105,14,0),"")</f>
        <v>1959.9048</v>
      </c>
      <c r="AV40" s="154">
        <f t="shared" si="14"/>
        <v>0</v>
      </c>
      <c r="AW40" s="152" t="str">
        <f>IFERROR(VLOOKUP($B40,'PEDIDO JULIO'!$A$10:$AG$200,22,0),"0")</f>
        <v>0</v>
      </c>
      <c r="AX40" s="153">
        <f>IFERROR(VLOOKUP($B40,'[5]INSUMOS MARZO'!$A$2:$S$105,17,0),"")</f>
        <v>1003.7049999999999</v>
      </c>
      <c r="AY40" s="154">
        <f t="shared" si="15"/>
        <v>0</v>
      </c>
      <c r="AZ40" s="152" t="str">
        <f>IFERROR(VLOOKUP($B40,'PEDIDO JULIO'!$A$10:$AG$200,23,0),"0")</f>
        <v>0</v>
      </c>
      <c r="BA40" s="153">
        <f>IFERROR(VLOOKUP($B40,'[5]INSUMOS MARZO'!$A$2:$S$105,17,0),"")</f>
        <v>1003.7049999999999</v>
      </c>
      <c r="BB40" s="154">
        <f t="shared" si="16"/>
        <v>0</v>
      </c>
      <c r="BC40" s="152" t="str">
        <f>IFERROR(VLOOKUP($B40,'PEDIDO JULIO'!$A$10:$AG$200,24,0),"0")</f>
        <v>0</v>
      </c>
      <c r="BD40" s="153">
        <f>IFERROR(VLOOKUP($B40,'[5]INSUMOS MARZO'!$A$2:$S$105,17,0),"")</f>
        <v>1003.7049999999999</v>
      </c>
      <c r="BE40" s="155">
        <f t="shared" si="17"/>
        <v>0</v>
      </c>
      <c r="BF40" s="152" t="str">
        <f>IFERROR(VLOOKUP($B40,'PEDIDO JULIO'!$A$10:$AG$200,25,0),"0")</f>
        <v>0</v>
      </c>
      <c r="BG40" s="153">
        <f>IFERROR(VLOOKUP($B40,'[5]INSUMOS MARZO'!$A$2:$S$105,17,0),"")</f>
        <v>1003.7049999999999</v>
      </c>
      <c r="BH40" s="155">
        <f t="shared" si="18"/>
        <v>0</v>
      </c>
      <c r="BI40" s="152" t="str">
        <f>IFERROR(VLOOKUP($B40,'PEDIDO JULIO'!$A$10:$AG$200,26,0),"0")</f>
        <v>0</v>
      </c>
      <c r="BJ40" s="153">
        <f>IFERROR(VLOOKUP($B40,'[5]INSUMOS MARZO'!$A$2:$S$105,17,0),"")</f>
        <v>1003.7049999999999</v>
      </c>
      <c r="BK40" s="154">
        <f t="shared" si="19"/>
        <v>0</v>
      </c>
      <c r="BL40" s="152" t="str">
        <f>IFERROR(VLOOKUP($B40,'PEDIDO JULIO'!$A$10:$AG$200,27,0),"0")</f>
        <v>0</v>
      </c>
      <c r="BM40" s="153">
        <f>IFERROR(VLOOKUP($B40,'[5]INSUMOS MARZO'!$A$2:$S$105,17,0),"")</f>
        <v>1003.7049999999999</v>
      </c>
      <c r="BN40" s="154">
        <f t="shared" si="20"/>
        <v>0</v>
      </c>
      <c r="BO40" s="152" t="str">
        <f>IFERROR(VLOOKUP($B40,'PEDIDO JULIO'!$A$10:$AG$200,28,0),"0")</f>
        <v>0</v>
      </c>
      <c r="BP40" s="153">
        <f>IFERROR(VLOOKUP($B40,'[5]INSUMOS MARZO'!$A$2:$S$105,17,0),"")</f>
        <v>1003.7049999999999</v>
      </c>
      <c r="BQ40" s="154">
        <f t="shared" si="21"/>
        <v>0</v>
      </c>
      <c r="BR40" s="152" t="str">
        <f>IFERROR(VLOOKUP($B40,'PEDIDO JULIO'!$A$10:$AG$200,29,0),"0")</f>
        <v>0</v>
      </c>
      <c r="BS40" s="153">
        <f>IFERROR(VLOOKUP($B40,'[5]INSUMOS MARZO'!$A$2:$S$105,17,0),"")</f>
        <v>1003.7049999999999</v>
      </c>
      <c r="BT40" s="155">
        <f t="shared" si="22"/>
        <v>0</v>
      </c>
      <c r="BU40" s="152" t="str">
        <f>IFERROR(VLOOKUP($B40,'PEDIDO JULIO'!$A$10:$AG$200,30,0),"0")</f>
        <v>0</v>
      </c>
      <c r="BV40" s="153">
        <f>IFERROR(VLOOKUP($B40,'[5]INSUMOS MARZO'!$A$2:$S$105,17,0),"")</f>
        <v>1003.7049999999999</v>
      </c>
      <c r="BW40" s="155">
        <f t="shared" si="23"/>
        <v>0</v>
      </c>
      <c r="BX40" s="152" t="str">
        <f>IFERROR(VLOOKUP($B40,'PEDIDO JULIO'!$A$10:$AG$200,31,0),"0")</f>
        <v>0</v>
      </c>
      <c r="BY40" s="153">
        <f>IFERROR(VLOOKUP($B40,'[5]INSUMOS MARZO'!$A$2:$S$105,17,0),"")</f>
        <v>1003.7049999999999</v>
      </c>
      <c r="BZ40" s="155">
        <f t="shared" si="24"/>
        <v>0</v>
      </c>
      <c r="CA40" s="152" t="str">
        <f>IFERROR(VLOOKUP($B40,'PEDIDO JULIO'!$A$10:$AG$200,32,0),"0")</f>
        <v>0</v>
      </c>
      <c r="CB40" s="153">
        <f>IFERROR(VLOOKUP($B40,'[5]INSUMOS MARZO'!$A$2:$S$105,17,0),"")</f>
        <v>1003.7049999999999</v>
      </c>
      <c r="CC40" s="155">
        <f t="shared" si="25"/>
        <v>0</v>
      </c>
      <c r="CD40" s="157">
        <f t="shared" si="26"/>
        <v>0</v>
      </c>
      <c r="CE40" s="158">
        <f t="shared" si="27"/>
        <v>0</v>
      </c>
      <c r="CF40" s="251">
        <f>IFERROR(VLOOKUP($B40,'MATRIZ INSUMOS '!$A$3:$P$106,16,0),"")</f>
        <v>0</v>
      </c>
      <c r="CG40" s="153">
        <f>IFERROR(VLOOKUP($B40,'[5]INSUMOS MARZO'!$A$2:$S$105,17,0),"")</f>
        <v>1003.7049999999999</v>
      </c>
      <c r="CH40" s="156">
        <f t="shared" si="28"/>
        <v>0</v>
      </c>
      <c r="CI40" s="251">
        <f>IFERROR(VLOOKUP($B40,'MATRIZ INSUMOS '!$A$3:$P$106,10,0),"")</f>
        <v>0</v>
      </c>
      <c r="CJ40" s="156">
        <f>IFERROR(VLOOKUP($B40,'[5]INSUMOS MARZO'!$A$2:$S$105,14,0),"")</f>
        <v>1959.9048</v>
      </c>
      <c r="CK40" s="159">
        <f t="shared" si="29"/>
        <v>0</v>
      </c>
      <c r="CL40" s="160">
        <f t="shared" si="30"/>
        <v>0</v>
      </c>
      <c r="CM40" s="14">
        <f t="shared" si="31"/>
        <v>0</v>
      </c>
      <c r="CN40" s="14">
        <f t="shared" si="32"/>
        <v>0</v>
      </c>
      <c r="CO40" s="14">
        <f t="shared" si="33"/>
        <v>0</v>
      </c>
      <c r="CQ40" s="19">
        <f t="shared" si="34"/>
        <v>0</v>
      </c>
      <c r="CR40" s="19" t="b">
        <f t="shared" si="35"/>
        <v>1</v>
      </c>
      <c r="CS40" s="19">
        <f t="shared" si="36"/>
        <v>0</v>
      </c>
    </row>
    <row r="41" spans="1:97" ht="16.5">
      <c r="A41" s="3">
        <v>36</v>
      </c>
      <c r="B41" s="151">
        <v>83</v>
      </c>
      <c r="C41" s="4" t="s">
        <v>52</v>
      </c>
      <c r="D41" s="152">
        <f>IFERROR(VLOOKUP($B41,'[4]INSUMOS FEBRERO'!$A$2:$F$105,5,0),"")</f>
        <v>37</v>
      </c>
      <c r="E41" s="152" t="str">
        <f>IFERROR(VLOOKUP($B41,'PEDIDO JULIO'!$A$10:$AG$32,33,0),"0")</f>
        <v>0</v>
      </c>
      <c r="F41" s="152">
        <f t="shared" si="1"/>
        <v>-37</v>
      </c>
      <c r="G41" s="152" t="str">
        <f>IFERROR(VLOOKUP($B41,'PEDIDO JULIO'!$A$10:$AG$200,8,0),"0")</f>
        <v>0</v>
      </c>
      <c r="H41" s="153">
        <f>IFERROR(VLOOKUP($B41,'[5]INSUMOS MARZO'!$A$2:$S$105,17,0),"")</f>
        <v>336.32</v>
      </c>
      <c r="I41" s="154">
        <f t="shared" si="0"/>
        <v>0</v>
      </c>
      <c r="J41" s="152" t="str">
        <f>IFERROR(VLOOKUP($B41,'PEDIDO JULIO'!$A$10:$AG$200,9,0),"0")</f>
        <v>0</v>
      </c>
      <c r="K41" s="153">
        <f>IFERROR(VLOOKUP($B41,'[5]INSUMOS MARZO'!$A$2:$S$105,17,0),"")</f>
        <v>336.32</v>
      </c>
      <c r="L41" s="155">
        <f t="shared" si="2"/>
        <v>0</v>
      </c>
      <c r="M41" s="152" t="str">
        <f>IFERROR(VLOOKUP($B41,'PEDIDO JULIO'!$A$10:$AG$200,10,0),"0")</f>
        <v>0</v>
      </c>
      <c r="N41" s="153">
        <f>IFERROR(VLOOKUP($B41,'[5]INSUMOS MARZO'!$A$2:$S$105,17,0),"")</f>
        <v>336.32</v>
      </c>
      <c r="O41" s="154">
        <f t="shared" si="3"/>
        <v>0</v>
      </c>
      <c r="P41" s="152" t="str">
        <f>IFERROR(VLOOKUP($B41,'PEDIDO JULIO'!$A$10:$AG$200,11,0),"0")</f>
        <v>0</v>
      </c>
      <c r="Q41" s="153">
        <f>IFERROR(VLOOKUP($B41,'[5]INSUMOS MARZO'!$A$2:$S$105,17,0),"")</f>
        <v>336.32</v>
      </c>
      <c r="R41" s="154">
        <f t="shared" si="4"/>
        <v>0</v>
      </c>
      <c r="S41" s="152" t="str">
        <f>IFERROR(VLOOKUP($B41,'PEDIDO JULIO'!$A$10:$AG$200,12,0),"0")</f>
        <v>0</v>
      </c>
      <c r="T41" s="153">
        <f>IFERROR(VLOOKUP($B41,'[5]INSUMOS MARZO'!$A$2:$S$105,17,0),"")</f>
        <v>336.32</v>
      </c>
      <c r="U41" s="154">
        <f t="shared" si="5"/>
        <v>0</v>
      </c>
      <c r="V41" s="152" t="str">
        <f>IFERROR(VLOOKUP($B41,'PEDIDO JULIO'!$A$10:$AG$200,13,0),"0")</f>
        <v>0</v>
      </c>
      <c r="W41" s="153">
        <f>IFERROR(VLOOKUP($B41,'[5]INSUMOS MARZO'!$A$2:$S$105,17,0),"")</f>
        <v>336.32</v>
      </c>
      <c r="X41" s="154">
        <f t="shared" si="6"/>
        <v>0</v>
      </c>
      <c r="Y41" s="152" t="str">
        <f>IFERROR(VLOOKUP($B41,'PEDIDO JULIO'!$A$10:$AG$200,14,0),"0")</f>
        <v>0</v>
      </c>
      <c r="Z41" s="153">
        <f>IFERROR(VLOOKUP($B41,'[5]INSUMOS MARZO'!$A$2:$S$105,17,0),"")</f>
        <v>336.32</v>
      </c>
      <c r="AA41" s="154">
        <f t="shared" si="7"/>
        <v>0</v>
      </c>
      <c r="AB41" s="152" t="str">
        <f>IFERROR(VLOOKUP($B41,'PEDIDO JULIO'!$A$10:$AG$200,15,0),"0")</f>
        <v>0</v>
      </c>
      <c r="AC41" s="153">
        <f>IFERROR(VLOOKUP($B41,'[5]INSUMOS MARZO'!$A$2:$S$105,17,0),"")</f>
        <v>336.32</v>
      </c>
      <c r="AD41" s="154">
        <f t="shared" si="8"/>
        <v>0</v>
      </c>
      <c r="AE41" s="152" t="str">
        <f>IFERROR(VLOOKUP($B41,'PEDIDO JULIO'!$A$10:$AG$200,16,0),"0")</f>
        <v>0</v>
      </c>
      <c r="AF41" s="153">
        <f>IFERROR(VLOOKUP($B41,'[5]INSUMOS MARZO'!$A$2:$S$105,17,0),"")</f>
        <v>336.32</v>
      </c>
      <c r="AG41" s="154">
        <f t="shared" si="9"/>
        <v>0</v>
      </c>
      <c r="AH41" s="152" t="str">
        <f>IFERROR(VLOOKUP($B41,'PEDIDO JULIO'!$A$10:$AG$200,17,0),"0")</f>
        <v>0</v>
      </c>
      <c r="AI41" s="153">
        <f>IFERROR(VLOOKUP($B41,'[5]INSUMOS MARZO'!$A$2:$S$105,17,0),"")</f>
        <v>336.32</v>
      </c>
      <c r="AJ41" s="154">
        <f t="shared" si="10"/>
        <v>0</v>
      </c>
      <c r="AK41" s="152" t="str">
        <f>IFERROR(VLOOKUP($B41,'PEDIDO JULIO'!$A$10:$AG$200,18,0),"0")</f>
        <v>0</v>
      </c>
      <c r="AL41" s="153">
        <f>IFERROR(VLOOKUP($B41,'[5]INSUMOS MARZO'!$A$2:$S$105,17,0),"")</f>
        <v>336.32</v>
      </c>
      <c r="AM41" s="154">
        <f t="shared" si="11"/>
        <v>0</v>
      </c>
      <c r="AN41" s="152" t="str">
        <f>IFERROR(VLOOKUP($B41,'PEDIDO JULIO'!$A$10:$AG$200,19,0),"0")</f>
        <v>0</v>
      </c>
      <c r="AO41" s="153">
        <f>IFERROR(VLOOKUP($B41,'[5]INSUMOS MARZO'!$A$2:$S$105,17,0),"")</f>
        <v>336.32</v>
      </c>
      <c r="AP41" s="154">
        <f t="shared" si="12"/>
        <v>0</v>
      </c>
      <c r="AQ41" s="152" t="str">
        <f>IFERROR(VLOOKUP($B41,'PEDIDO JULIO'!$A$10:$AG$200,20,0),"0")</f>
        <v>0</v>
      </c>
      <c r="AR41" s="153">
        <f>IFERROR(VLOOKUP($B41,'[5]INSUMOS MARZO'!$A$2:$S$105,17,0),"")</f>
        <v>336.32</v>
      </c>
      <c r="AS41" s="154">
        <f t="shared" si="13"/>
        <v>0</v>
      </c>
      <c r="AT41" s="152" t="str">
        <f>IFERROR(VLOOKUP($B41,'PEDIDO JULIO'!$A$10:$AG$200,21,0),"0")</f>
        <v>0</v>
      </c>
      <c r="AU41" s="156">
        <f>IFERROR(VLOOKUP($B41,'[5]INSUMOS MARZO'!$A$2:$S$105,14,0),"")</f>
        <v>367.95510000000002</v>
      </c>
      <c r="AV41" s="154">
        <f t="shared" si="14"/>
        <v>0</v>
      </c>
      <c r="AW41" s="152" t="str">
        <f>IFERROR(VLOOKUP($B41,'PEDIDO JULIO'!$A$10:$AG$200,22,0),"0")</f>
        <v>0</v>
      </c>
      <c r="AX41" s="153">
        <f>IFERROR(VLOOKUP($B41,'[5]INSUMOS MARZO'!$A$2:$S$105,17,0),"")</f>
        <v>336.32</v>
      </c>
      <c r="AY41" s="154">
        <f t="shared" si="15"/>
        <v>0</v>
      </c>
      <c r="AZ41" s="152" t="str">
        <f>IFERROR(VLOOKUP($B41,'PEDIDO JULIO'!$A$10:$AG$200,23,0),"0")</f>
        <v>0</v>
      </c>
      <c r="BA41" s="153">
        <f>IFERROR(VLOOKUP($B41,'[5]INSUMOS MARZO'!$A$2:$S$105,17,0),"")</f>
        <v>336.32</v>
      </c>
      <c r="BB41" s="154">
        <f t="shared" si="16"/>
        <v>0</v>
      </c>
      <c r="BC41" s="152" t="str">
        <f>IFERROR(VLOOKUP($B41,'PEDIDO JULIO'!$A$10:$AG$200,24,0),"0")</f>
        <v>0</v>
      </c>
      <c r="BD41" s="153">
        <f>IFERROR(VLOOKUP($B41,'[5]INSUMOS MARZO'!$A$2:$S$105,17,0),"")</f>
        <v>336.32</v>
      </c>
      <c r="BE41" s="155">
        <f t="shared" si="17"/>
        <v>0</v>
      </c>
      <c r="BF41" s="152" t="str">
        <f>IFERROR(VLOOKUP($B41,'PEDIDO JULIO'!$A$10:$AG$200,25,0),"0")</f>
        <v>0</v>
      </c>
      <c r="BG41" s="153">
        <f>IFERROR(VLOOKUP($B41,'[5]INSUMOS MARZO'!$A$2:$S$105,17,0),"")</f>
        <v>336.32</v>
      </c>
      <c r="BH41" s="155">
        <f t="shared" si="18"/>
        <v>0</v>
      </c>
      <c r="BI41" s="152" t="str">
        <f>IFERROR(VLOOKUP($B41,'PEDIDO JULIO'!$A$10:$AG$200,26,0),"0")</f>
        <v>0</v>
      </c>
      <c r="BJ41" s="153">
        <f>IFERROR(VLOOKUP($B41,'[5]INSUMOS MARZO'!$A$2:$S$105,17,0),"")</f>
        <v>336.32</v>
      </c>
      <c r="BK41" s="154">
        <f t="shared" si="19"/>
        <v>0</v>
      </c>
      <c r="BL41" s="152" t="str">
        <f>IFERROR(VLOOKUP($B41,'PEDIDO JULIO'!$A$10:$AG$200,27,0),"0")</f>
        <v>0</v>
      </c>
      <c r="BM41" s="153">
        <f>IFERROR(VLOOKUP($B41,'[5]INSUMOS MARZO'!$A$2:$S$105,17,0),"")</f>
        <v>336.32</v>
      </c>
      <c r="BN41" s="154">
        <f t="shared" si="20"/>
        <v>0</v>
      </c>
      <c r="BO41" s="152" t="str">
        <f>IFERROR(VLOOKUP($B41,'PEDIDO JULIO'!$A$10:$AG$200,28,0),"0")</f>
        <v>0</v>
      </c>
      <c r="BP41" s="153">
        <f>IFERROR(VLOOKUP($B41,'[5]INSUMOS MARZO'!$A$2:$S$105,17,0),"")</f>
        <v>336.32</v>
      </c>
      <c r="BQ41" s="154">
        <f t="shared" si="21"/>
        <v>0</v>
      </c>
      <c r="BR41" s="152" t="str">
        <f>IFERROR(VLOOKUP($B41,'PEDIDO JULIO'!$A$10:$AG$200,29,0),"0")</f>
        <v>0</v>
      </c>
      <c r="BS41" s="153">
        <f>IFERROR(VLOOKUP($B41,'[5]INSUMOS MARZO'!$A$2:$S$105,17,0),"")</f>
        <v>336.32</v>
      </c>
      <c r="BT41" s="155">
        <f t="shared" si="22"/>
        <v>0</v>
      </c>
      <c r="BU41" s="152" t="str">
        <f>IFERROR(VLOOKUP($B41,'PEDIDO JULIO'!$A$10:$AG$200,30,0),"0")</f>
        <v>0</v>
      </c>
      <c r="BV41" s="153">
        <f>IFERROR(VLOOKUP($B41,'[5]INSUMOS MARZO'!$A$2:$S$105,17,0),"")</f>
        <v>336.32</v>
      </c>
      <c r="BW41" s="155">
        <f t="shared" si="23"/>
        <v>0</v>
      </c>
      <c r="BX41" s="152" t="str">
        <f>IFERROR(VLOOKUP($B41,'PEDIDO JULIO'!$A$10:$AG$200,31,0),"0")</f>
        <v>0</v>
      </c>
      <c r="BY41" s="153">
        <f>IFERROR(VLOOKUP($B41,'[5]INSUMOS MARZO'!$A$2:$S$105,17,0),"")</f>
        <v>336.32</v>
      </c>
      <c r="BZ41" s="155">
        <f t="shared" si="24"/>
        <v>0</v>
      </c>
      <c r="CA41" s="152" t="str">
        <f>IFERROR(VLOOKUP($B41,'PEDIDO JULIO'!$A$10:$AG$200,32,0),"0")</f>
        <v>0</v>
      </c>
      <c r="CB41" s="153">
        <f>IFERROR(VLOOKUP($B41,'[5]INSUMOS MARZO'!$A$2:$S$105,17,0),"")</f>
        <v>336.32</v>
      </c>
      <c r="CC41" s="155">
        <f t="shared" si="25"/>
        <v>0</v>
      </c>
      <c r="CD41" s="157">
        <f t="shared" si="26"/>
        <v>0</v>
      </c>
      <c r="CE41" s="158">
        <f t="shared" si="27"/>
        <v>0</v>
      </c>
      <c r="CF41" s="251">
        <f>IFERROR(VLOOKUP($B41,'MATRIZ INSUMOS '!$A$3:$P$106,16,0),"")</f>
        <v>0</v>
      </c>
      <c r="CG41" s="153">
        <f>IFERROR(VLOOKUP($B41,'[5]INSUMOS MARZO'!$A$2:$S$105,17,0),"")</f>
        <v>336.32</v>
      </c>
      <c r="CH41" s="156">
        <f t="shared" si="28"/>
        <v>0</v>
      </c>
      <c r="CI41" s="251">
        <f>IFERROR(VLOOKUP($B41,'MATRIZ INSUMOS '!$A$3:$P$106,10,0),"")</f>
        <v>0</v>
      </c>
      <c r="CJ41" s="156">
        <f>IFERROR(VLOOKUP($B41,'[5]INSUMOS MARZO'!$A$2:$S$105,14,0),"")</f>
        <v>367.95510000000002</v>
      </c>
      <c r="CK41" s="159">
        <f t="shared" si="29"/>
        <v>0</v>
      </c>
      <c r="CL41" s="160">
        <f t="shared" si="30"/>
        <v>0</v>
      </c>
      <c r="CM41" s="14">
        <f t="shared" si="31"/>
        <v>0</v>
      </c>
      <c r="CN41" s="14">
        <f t="shared" si="32"/>
        <v>0</v>
      </c>
      <c r="CO41" s="14">
        <f t="shared" si="33"/>
        <v>0</v>
      </c>
      <c r="CP41" s="1">
        <f>+CF41+CI41-CD41</f>
        <v>0</v>
      </c>
      <c r="CQ41" s="19">
        <f t="shared" si="34"/>
        <v>0</v>
      </c>
      <c r="CR41" s="19" t="b">
        <f t="shared" si="35"/>
        <v>1</v>
      </c>
      <c r="CS41" s="19">
        <f t="shared" si="36"/>
        <v>0</v>
      </c>
    </row>
    <row r="42" spans="1:97" ht="16.5">
      <c r="A42" s="3">
        <v>37</v>
      </c>
      <c r="B42" s="151">
        <v>86</v>
      </c>
      <c r="C42" s="4" t="s">
        <v>54</v>
      </c>
      <c r="D42" s="152">
        <f>IFERROR(VLOOKUP($B42,'[4]INSUMOS FEBRERO'!$A$2:$F$105,5,0),"")</f>
        <v>20</v>
      </c>
      <c r="E42" s="152" t="str">
        <f>IFERROR(VLOOKUP($B42,'PEDIDO JULIO'!$A$10:$AG$32,33,0),"0")</f>
        <v>0</v>
      </c>
      <c r="F42" s="152">
        <f t="shared" si="1"/>
        <v>-20</v>
      </c>
      <c r="G42" s="152" t="str">
        <f>IFERROR(VLOOKUP($B42,'PEDIDO JULIO'!$A$10:$AG$200,8,0),"0")</f>
        <v>0</v>
      </c>
      <c r="H42" s="153">
        <f>IFERROR(VLOOKUP($B42,'[5]INSUMOS MARZO'!$A$2:$S$105,17,0),"")</f>
        <v>2792.5070000000005</v>
      </c>
      <c r="I42" s="154">
        <f t="shared" si="0"/>
        <v>0</v>
      </c>
      <c r="J42" s="152" t="str">
        <f>IFERROR(VLOOKUP($B42,'PEDIDO JULIO'!$A$10:$AG$200,9,0),"0")</f>
        <v>0</v>
      </c>
      <c r="K42" s="153">
        <f>IFERROR(VLOOKUP($B42,'[5]INSUMOS MARZO'!$A$2:$S$105,17,0),"")</f>
        <v>2792.5070000000005</v>
      </c>
      <c r="L42" s="155">
        <f t="shared" si="2"/>
        <v>0</v>
      </c>
      <c r="M42" s="152" t="str">
        <f>IFERROR(VLOOKUP($B42,'PEDIDO JULIO'!$A$10:$AG$200,10,0),"0")</f>
        <v>0</v>
      </c>
      <c r="N42" s="153">
        <f>IFERROR(VLOOKUP($B42,'[5]INSUMOS MARZO'!$A$2:$S$105,17,0),"")</f>
        <v>2792.5070000000005</v>
      </c>
      <c r="O42" s="154">
        <f t="shared" si="3"/>
        <v>0</v>
      </c>
      <c r="P42" s="152" t="str">
        <f>IFERROR(VLOOKUP($B42,'PEDIDO JULIO'!$A$10:$AG$200,11,0),"0")</f>
        <v>0</v>
      </c>
      <c r="Q42" s="153">
        <f>IFERROR(VLOOKUP($B42,'[5]INSUMOS MARZO'!$A$2:$S$105,17,0),"")</f>
        <v>2792.5070000000005</v>
      </c>
      <c r="R42" s="154">
        <f t="shared" si="4"/>
        <v>0</v>
      </c>
      <c r="S42" s="152" t="str">
        <f>IFERROR(VLOOKUP($B42,'PEDIDO JULIO'!$A$10:$AG$200,12,0),"0")</f>
        <v>0</v>
      </c>
      <c r="T42" s="153">
        <f>IFERROR(VLOOKUP($B42,'[5]INSUMOS MARZO'!$A$2:$S$105,17,0),"")</f>
        <v>2792.5070000000005</v>
      </c>
      <c r="U42" s="154">
        <f t="shared" si="5"/>
        <v>0</v>
      </c>
      <c r="V42" s="152" t="str">
        <f>IFERROR(VLOOKUP($B42,'PEDIDO JULIO'!$A$10:$AG$200,13,0),"0")</f>
        <v>0</v>
      </c>
      <c r="W42" s="153">
        <f>IFERROR(VLOOKUP($B42,'[5]INSUMOS MARZO'!$A$2:$S$105,17,0),"")</f>
        <v>2792.5070000000005</v>
      </c>
      <c r="X42" s="154">
        <f t="shared" si="6"/>
        <v>0</v>
      </c>
      <c r="Y42" s="152" t="str">
        <f>IFERROR(VLOOKUP($B42,'PEDIDO JULIO'!$A$10:$AG$200,14,0),"0")</f>
        <v>0</v>
      </c>
      <c r="Z42" s="153">
        <f>IFERROR(VLOOKUP($B42,'[5]INSUMOS MARZO'!$A$2:$S$105,17,0),"")</f>
        <v>2792.5070000000005</v>
      </c>
      <c r="AA42" s="154">
        <f t="shared" si="7"/>
        <v>0</v>
      </c>
      <c r="AB42" s="152" t="str">
        <f>IFERROR(VLOOKUP($B42,'PEDIDO JULIO'!$A$10:$AG$200,15,0),"0")</f>
        <v>0</v>
      </c>
      <c r="AC42" s="153">
        <f>IFERROR(VLOOKUP($B42,'[5]INSUMOS MARZO'!$A$2:$S$105,17,0),"")</f>
        <v>2792.5070000000005</v>
      </c>
      <c r="AD42" s="154">
        <f t="shared" si="8"/>
        <v>0</v>
      </c>
      <c r="AE42" s="152" t="str">
        <f>IFERROR(VLOOKUP($B42,'PEDIDO JULIO'!$A$10:$AG$200,16,0),"0")</f>
        <v>0</v>
      </c>
      <c r="AF42" s="153">
        <f>IFERROR(VLOOKUP($B42,'[5]INSUMOS MARZO'!$A$2:$S$105,17,0),"")</f>
        <v>2792.5070000000005</v>
      </c>
      <c r="AG42" s="154">
        <f t="shared" si="9"/>
        <v>0</v>
      </c>
      <c r="AH42" s="152" t="str">
        <f>IFERROR(VLOOKUP($B42,'PEDIDO JULIO'!$A$10:$AG$200,17,0),"0")</f>
        <v>0</v>
      </c>
      <c r="AI42" s="153">
        <f>IFERROR(VLOOKUP($B42,'[5]INSUMOS MARZO'!$A$2:$S$105,17,0),"")</f>
        <v>2792.5070000000005</v>
      </c>
      <c r="AJ42" s="154">
        <f t="shared" si="10"/>
        <v>0</v>
      </c>
      <c r="AK42" s="152" t="str">
        <f>IFERROR(VLOOKUP($B42,'PEDIDO JULIO'!$A$10:$AG$200,18,0),"0")</f>
        <v>0</v>
      </c>
      <c r="AL42" s="153">
        <f>IFERROR(VLOOKUP($B42,'[5]INSUMOS MARZO'!$A$2:$S$105,17,0),"")</f>
        <v>2792.5070000000005</v>
      </c>
      <c r="AM42" s="154">
        <f t="shared" si="11"/>
        <v>0</v>
      </c>
      <c r="AN42" s="152" t="str">
        <f>IFERROR(VLOOKUP($B42,'PEDIDO JULIO'!$A$10:$AG$200,19,0),"0")</f>
        <v>0</v>
      </c>
      <c r="AO42" s="153">
        <f>IFERROR(VLOOKUP($B42,'[5]INSUMOS MARZO'!$A$2:$S$105,17,0),"")</f>
        <v>2792.5070000000005</v>
      </c>
      <c r="AP42" s="154">
        <f t="shared" si="12"/>
        <v>0</v>
      </c>
      <c r="AQ42" s="152" t="str">
        <f>IFERROR(VLOOKUP($B42,'PEDIDO JULIO'!$A$10:$AG$200,20,0),"0")</f>
        <v>0</v>
      </c>
      <c r="AR42" s="153">
        <f>IFERROR(VLOOKUP($B42,'[5]INSUMOS MARZO'!$A$2:$S$105,17,0),"")</f>
        <v>2792.5070000000005</v>
      </c>
      <c r="AS42" s="154">
        <f t="shared" si="13"/>
        <v>0</v>
      </c>
      <c r="AT42" s="152" t="str">
        <f>IFERROR(VLOOKUP($B42,'PEDIDO JULIO'!$A$10:$AG$200,21,0),"0")</f>
        <v>0</v>
      </c>
      <c r="AU42" s="156">
        <f>IFERROR(VLOOKUP($B42,'[5]INSUMOS MARZO'!$A$2:$S$105,14,0),"")</f>
        <v>3830.895</v>
      </c>
      <c r="AV42" s="154">
        <f t="shared" si="14"/>
        <v>0</v>
      </c>
      <c r="AW42" s="152" t="str">
        <f>IFERROR(VLOOKUP($B42,'PEDIDO JULIO'!$A$10:$AG$200,22,0),"0")</f>
        <v>0</v>
      </c>
      <c r="AX42" s="153">
        <f>IFERROR(VLOOKUP($B42,'[5]INSUMOS MARZO'!$A$2:$S$105,17,0),"")</f>
        <v>2792.5070000000005</v>
      </c>
      <c r="AY42" s="154">
        <f t="shared" si="15"/>
        <v>0</v>
      </c>
      <c r="AZ42" s="152" t="str">
        <f>IFERROR(VLOOKUP($B42,'PEDIDO JULIO'!$A$10:$AG$200,23,0),"0")</f>
        <v>0</v>
      </c>
      <c r="BA42" s="153">
        <f>IFERROR(VLOOKUP($B42,'[5]INSUMOS MARZO'!$A$2:$S$105,17,0),"")</f>
        <v>2792.5070000000005</v>
      </c>
      <c r="BB42" s="154">
        <f t="shared" si="16"/>
        <v>0</v>
      </c>
      <c r="BC42" s="152" t="str">
        <f>IFERROR(VLOOKUP($B42,'PEDIDO JULIO'!$A$10:$AG$200,24,0),"0")</f>
        <v>0</v>
      </c>
      <c r="BD42" s="153">
        <f>IFERROR(VLOOKUP($B42,'[5]INSUMOS MARZO'!$A$2:$S$105,17,0),"")</f>
        <v>2792.5070000000005</v>
      </c>
      <c r="BE42" s="155">
        <f t="shared" si="17"/>
        <v>0</v>
      </c>
      <c r="BF42" s="152" t="str">
        <f>IFERROR(VLOOKUP($B42,'PEDIDO JULIO'!$A$10:$AG$200,25,0),"0")</f>
        <v>0</v>
      </c>
      <c r="BG42" s="153">
        <f>IFERROR(VLOOKUP($B42,'[5]INSUMOS MARZO'!$A$2:$S$105,17,0),"")</f>
        <v>2792.5070000000005</v>
      </c>
      <c r="BH42" s="155">
        <f t="shared" si="18"/>
        <v>0</v>
      </c>
      <c r="BI42" s="152" t="str">
        <f>IFERROR(VLOOKUP($B42,'PEDIDO JULIO'!$A$10:$AG$200,26,0),"0")</f>
        <v>0</v>
      </c>
      <c r="BJ42" s="153">
        <f>IFERROR(VLOOKUP($B42,'[5]INSUMOS MARZO'!$A$2:$S$105,17,0),"")</f>
        <v>2792.5070000000005</v>
      </c>
      <c r="BK42" s="154">
        <f t="shared" si="19"/>
        <v>0</v>
      </c>
      <c r="BL42" s="152" t="str">
        <f>IFERROR(VLOOKUP($B42,'PEDIDO JULIO'!$A$10:$AG$200,27,0),"0")</f>
        <v>0</v>
      </c>
      <c r="BM42" s="153">
        <f>IFERROR(VLOOKUP($B42,'[5]INSUMOS MARZO'!$A$2:$S$105,17,0),"")</f>
        <v>2792.5070000000005</v>
      </c>
      <c r="BN42" s="154">
        <f t="shared" si="20"/>
        <v>0</v>
      </c>
      <c r="BO42" s="152" t="str">
        <f>IFERROR(VLOOKUP($B42,'PEDIDO JULIO'!$A$10:$AG$200,28,0),"0")</f>
        <v>0</v>
      </c>
      <c r="BP42" s="153">
        <f>IFERROR(VLOOKUP($B42,'[5]INSUMOS MARZO'!$A$2:$S$105,17,0),"")</f>
        <v>2792.5070000000005</v>
      </c>
      <c r="BQ42" s="154">
        <f t="shared" si="21"/>
        <v>0</v>
      </c>
      <c r="BR42" s="152" t="str">
        <f>IFERROR(VLOOKUP($B42,'PEDIDO JULIO'!$A$10:$AG$200,29,0),"0")</f>
        <v>0</v>
      </c>
      <c r="BS42" s="153">
        <f>IFERROR(VLOOKUP($B42,'[5]INSUMOS MARZO'!$A$2:$S$105,17,0),"")</f>
        <v>2792.5070000000005</v>
      </c>
      <c r="BT42" s="155">
        <f t="shared" si="22"/>
        <v>0</v>
      </c>
      <c r="BU42" s="152" t="str">
        <f>IFERROR(VLOOKUP($B42,'PEDIDO JULIO'!$A$10:$AG$200,30,0),"0")</f>
        <v>0</v>
      </c>
      <c r="BV42" s="153">
        <f>IFERROR(VLOOKUP($B42,'[5]INSUMOS MARZO'!$A$2:$S$105,17,0),"")</f>
        <v>2792.5070000000005</v>
      </c>
      <c r="BW42" s="155">
        <f t="shared" si="23"/>
        <v>0</v>
      </c>
      <c r="BX42" s="152" t="str">
        <f>IFERROR(VLOOKUP($B42,'PEDIDO JULIO'!$A$10:$AG$200,31,0),"0")</f>
        <v>0</v>
      </c>
      <c r="BY42" s="153">
        <f>IFERROR(VLOOKUP($B42,'[5]INSUMOS MARZO'!$A$2:$S$105,17,0),"")</f>
        <v>2792.5070000000005</v>
      </c>
      <c r="BZ42" s="155">
        <f t="shared" si="24"/>
        <v>0</v>
      </c>
      <c r="CA42" s="152" t="str">
        <f>IFERROR(VLOOKUP($B42,'PEDIDO JULIO'!$A$10:$AG$200,32,0),"0")</f>
        <v>0</v>
      </c>
      <c r="CB42" s="153">
        <f>IFERROR(VLOOKUP($B42,'[5]INSUMOS MARZO'!$A$2:$S$105,17,0),"")</f>
        <v>2792.5070000000005</v>
      </c>
      <c r="CC42" s="155">
        <f t="shared" si="25"/>
        <v>0</v>
      </c>
      <c r="CD42" s="157">
        <f t="shared" si="26"/>
        <v>0</v>
      </c>
      <c r="CE42" s="158">
        <f>+CD42-E42</f>
        <v>0</v>
      </c>
      <c r="CF42" s="251">
        <f>IFERROR(VLOOKUP($B42,'MATRIZ INSUMOS '!$A$3:$P$106,16,0),"")</f>
        <v>0</v>
      </c>
      <c r="CG42" s="153">
        <f>IFERROR(VLOOKUP($B42,'[5]INSUMOS MARZO'!$A$2:$S$105,17,0),"")</f>
        <v>2792.5070000000005</v>
      </c>
      <c r="CH42" s="156">
        <f t="shared" si="28"/>
        <v>0</v>
      </c>
      <c r="CI42" s="251">
        <f>IFERROR(VLOOKUP($B42,'MATRIZ INSUMOS '!$A$3:$P$106,10,0),"")</f>
        <v>0</v>
      </c>
      <c r="CJ42" s="156">
        <f>IFERROR(VLOOKUP($B42,'[5]INSUMOS MARZO'!$A$2:$S$105,14,0),"")</f>
        <v>3830.895</v>
      </c>
      <c r="CK42" s="159">
        <f t="shared" si="29"/>
        <v>0</v>
      </c>
      <c r="CL42" s="160">
        <f t="shared" si="30"/>
        <v>0</v>
      </c>
      <c r="CM42" s="14">
        <f t="shared" si="31"/>
        <v>0</v>
      </c>
      <c r="CN42" s="14">
        <f t="shared" si="32"/>
        <v>0</v>
      </c>
      <c r="CO42" s="14">
        <f t="shared" si="33"/>
        <v>0</v>
      </c>
      <c r="CP42" s="1">
        <f>+CF42+CI42-CD42</f>
        <v>0</v>
      </c>
      <c r="CQ42" s="19">
        <f t="shared" si="34"/>
        <v>0</v>
      </c>
      <c r="CR42" s="19" t="b">
        <f t="shared" si="35"/>
        <v>1</v>
      </c>
      <c r="CS42" s="19">
        <f t="shared" si="36"/>
        <v>0</v>
      </c>
    </row>
    <row r="43" spans="1:97" ht="16.5">
      <c r="A43" s="3">
        <v>38</v>
      </c>
      <c r="B43" s="151">
        <v>87</v>
      </c>
      <c r="C43" s="4" t="s">
        <v>55</v>
      </c>
      <c r="D43" s="152">
        <f>IFERROR(VLOOKUP($B43,'[4]INSUMOS FEBRERO'!$A$2:$F$105,5,0),"")</f>
        <v>25</v>
      </c>
      <c r="E43" s="152" t="str">
        <f>IFERROR(VLOOKUP($B43,'PEDIDO JULIO'!$A$10:$AG$32,33,0),"0")</f>
        <v>0</v>
      </c>
      <c r="F43" s="152">
        <f t="shared" si="1"/>
        <v>-25</v>
      </c>
      <c r="G43" s="152" t="str">
        <f>IFERROR(VLOOKUP($B43,'PEDIDO JULIO'!$A$10:$AG$200,8,0),"0")</f>
        <v>0</v>
      </c>
      <c r="H43" s="153"/>
      <c r="I43" s="154">
        <f t="shared" si="0"/>
        <v>0</v>
      </c>
      <c r="J43" s="152" t="str">
        <f>IFERROR(VLOOKUP($B43,'PEDIDO JULIO'!$A$10:$AG$200,9,0),"0")</f>
        <v>0</v>
      </c>
      <c r="K43" s="153"/>
      <c r="L43" s="155">
        <f t="shared" si="2"/>
        <v>0</v>
      </c>
      <c r="M43" s="152" t="str">
        <f>IFERROR(VLOOKUP($B43,'PEDIDO JULIO'!$A$10:$AG$200,10,0),"0")</f>
        <v>0</v>
      </c>
      <c r="N43" s="153">
        <f>IFERROR(VLOOKUP($B43,'[5]INSUMOS MARZO'!$A$2:$S$105,17,0),"")</f>
        <v>0</v>
      </c>
      <c r="O43" s="154">
        <f t="shared" si="3"/>
        <v>0</v>
      </c>
      <c r="P43" s="152" t="str">
        <f>IFERROR(VLOOKUP($B43,'PEDIDO JULIO'!$A$10:$AG$200,11,0),"0")</f>
        <v>0</v>
      </c>
      <c r="Q43" s="153">
        <f>IFERROR(VLOOKUP($B43,'[5]INSUMOS MARZO'!$A$2:$S$105,17,0),"")</f>
        <v>0</v>
      </c>
      <c r="R43" s="154">
        <f t="shared" si="4"/>
        <v>0</v>
      </c>
      <c r="S43" s="152" t="str">
        <f>IFERROR(VLOOKUP($B43,'PEDIDO JULIO'!$A$10:$AG$200,12,0),"0")</f>
        <v>0</v>
      </c>
      <c r="T43" s="153">
        <f>IFERROR(VLOOKUP($B43,'[5]INSUMOS MARZO'!$A$2:$S$105,17,0),"")</f>
        <v>0</v>
      </c>
      <c r="U43" s="154">
        <f t="shared" si="5"/>
        <v>0</v>
      </c>
      <c r="V43" s="152" t="str">
        <f>IFERROR(VLOOKUP($B43,'PEDIDO JULIO'!$A$10:$AG$200,13,0),"0")</f>
        <v>0</v>
      </c>
      <c r="W43" s="153">
        <f>IFERROR(VLOOKUP($B43,'[5]INSUMOS MARZO'!$A$2:$S$105,17,0),"")</f>
        <v>0</v>
      </c>
      <c r="X43" s="154">
        <f t="shared" si="6"/>
        <v>0</v>
      </c>
      <c r="Y43" s="152" t="str">
        <f>IFERROR(VLOOKUP($B43,'PEDIDO JULIO'!$A$10:$AG$200,14,0),"0")</f>
        <v>0</v>
      </c>
      <c r="Z43" s="153">
        <f>IFERROR(VLOOKUP($B43,'[5]INSUMOS MARZO'!$A$2:$S$105,17,0),"")</f>
        <v>0</v>
      </c>
      <c r="AA43" s="154">
        <f t="shared" si="7"/>
        <v>0</v>
      </c>
      <c r="AB43" s="152" t="str">
        <f>IFERROR(VLOOKUP($B43,'PEDIDO JULIO'!$A$10:$AG$200,15,0),"0")</f>
        <v>0</v>
      </c>
      <c r="AC43" s="153">
        <f>IFERROR(VLOOKUP($B43,'[5]INSUMOS MARZO'!$A$2:$S$105,17,0),"")</f>
        <v>0</v>
      </c>
      <c r="AD43" s="154">
        <f t="shared" si="8"/>
        <v>0</v>
      </c>
      <c r="AE43" s="152" t="str">
        <f>IFERROR(VLOOKUP($B43,'PEDIDO JULIO'!$A$10:$AG$200,16,0),"0")</f>
        <v>0</v>
      </c>
      <c r="AF43" s="153">
        <f>IFERROR(VLOOKUP($B43,'[5]INSUMOS MARZO'!$A$2:$S$105,17,0),"")</f>
        <v>0</v>
      </c>
      <c r="AG43" s="154">
        <f t="shared" si="9"/>
        <v>0</v>
      </c>
      <c r="AH43" s="152" t="str">
        <f>IFERROR(VLOOKUP($B43,'PEDIDO JULIO'!$A$10:$AG$200,17,0),"0")</f>
        <v>0</v>
      </c>
      <c r="AI43" s="153">
        <f>IFERROR(VLOOKUP($B43,'[5]INSUMOS MARZO'!$A$2:$S$105,17,0),"")</f>
        <v>0</v>
      </c>
      <c r="AJ43" s="154">
        <f t="shared" si="10"/>
        <v>0</v>
      </c>
      <c r="AK43" s="152" t="str">
        <f>IFERROR(VLOOKUP($B43,'PEDIDO JULIO'!$A$10:$AG$200,18,0),"0")</f>
        <v>0</v>
      </c>
      <c r="AL43" s="153">
        <f>IFERROR(VLOOKUP($B43,'[5]INSUMOS MARZO'!$A$2:$S$105,17,0),"")</f>
        <v>0</v>
      </c>
      <c r="AM43" s="154">
        <f t="shared" si="11"/>
        <v>0</v>
      </c>
      <c r="AN43" s="152" t="str">
        <f>IFERROR(VLOOKUP($B43,'PEDIDO JULIO'!$A$10:$AG$200,19,0),"0")</f>
        <v>0</v>
      </c>
      <c r="AO43" s="153">
        <f>IFERROR(VLOOKUP($B43,'[5]INSUMOS MARZO'!$A$2:$S$105,17,0),"")</f>
        <v>0</v>
      </c>
      <c r="AP43" s="154">
        <f t="shared" si="12"/>
        <v>0</v>
      </c>
      <c r="AQ43" s="152" t="str">
        <f>IFERROR(VLOOKUP($B43,'PEDIDO JULIO'!$A$10:$AG$200,20,0),"0")</f>
        <v>0</v>
      </c>
      <c r="AR43" s="153">
        <f>IFERROR(VLOOKUP($B43,'[5]INSUMOS MARZO'!$A$2:$S$105,17,0),"")</f>
        <v>0</v>
      </c>
      <c r="AS43" s="154">
        <f t="shared" si="13"/>
        <v>0</v>
      </c>
      <c r="AT43" s="152" t="str">
        <f>IFERROR(VLOOKUP($B43,'PEDIDO JULIO'!$A$10:$AG$200,21,0),"0")</f>
        <v>0</v>
      </c>
      <c r="AU43" s="156">
        <f>IFERROR(VLOOKUP($B43,'[5]INSUMOS MARZO'!$A$2:$S$105,14,0),"")</f>
        <v>3830.895</v>
      </c>
      <c r="AV43" s="154">
        <f t="shared" si="14"/>
        <v>0</v>
      </c>
      <c r="AW43" s="152" t="str">
        <f>IFERROR(VLOOKUP($B43,'PEDIDO JULIO'!$A$10:$AG$200,22,0),"0")</f>
        <v>0</v>
      </c>
      <c r="AX43" s="153">
        <f>IFERROR(VLOOKUP($B43,'[5]INSUMOS MARZO'!$A$2:$S$105,17,0),"")</f>
        <v>0</v>
      </c>
      <c r="AY43" s="154">
        <f t="shared" si="15"/>
        <v>0</v>
      </c>
      <c r="AZ43" s="152" t="str">
        <f>IFERROR(VLOOKUP($B43,'PEDIDO JULIO'!$A$10:$AG$200,23,0),"0")</f>
        <v>0</v>
      </c>
      <c r="BA43" s="153">
        <f>IFERROR(VLOOKUP($B43,'[5]INSUMOS MARZO'!$A$2:$S$105,17,0),"")</f>
        <v>0</v>
      </c>
      <c r="BB43" s="154">
        <f t="shared" si="16"/>
        <v>0</v>
      </c>
      <c r="BC43" s="152" t="str">
        <f>IFERROR(VLOOKUP($B43,'PEDIDO JULIO'!$A$10:$AG$200,24,0),"0")</f>
        <v>0</v>
      </c>
      <c r="BD43" s="153">
        <f>IFERROR(VLOOKUP($B43,'[5]INSUMOS MARZO'!$A$2:$S$105,17,0),"")</f>
        <v>0</v>
      </c>
      <c r="BE43" s="155">
        <f t="shared" si="17"/>
        <v>0</v>
      </c>
      <c r="BF43" s="152" t="str">
        <f>IFERROR(VLOOKUP($B43,'PEDIDO JULIO'!$A$10:$AG$200,25,0),"0")</f>
        <v>0</v>
      </c>
      <c r="BG43" s="153">
        <f>IFERROR(VLOOKUP($B43,'[5]INSUMOS MARZO'!$A$2:$S$105,17,0),"")</f>
        <v>0</v>
      </c>
      <c r="BH43" s="155">
        <f t="shared" si="18"/>
        <v>0</v>
      </c>
      <c r="BI43" s="152" t="str">
        <f>IFERROR(VLOOKUP($B43,'PEDIDO JULIO'!$A$10:$AG$200,26,0),"0")</f>
        <v>0</v>
      </c>
      <c r="BJ43" s="153">
        <f>IFERROR(VLOOKUP($B43,'[5]INSUMOS MARZO'!$A$2:$S$105,17,0),"")</f>
        <v>0</v>
      </c>
      <c r="BK43" s="154">
        <f t="shared" si="19"/>
        <v>0</v>
      </c>
      <c r="BL43" s="152" t="str">
        <f>IFERROR(VLOOKUP($B43,'PEDIDO JULIO'!$A$10:$AG$200,27,0),"0")</f>
        <v>0</v>
      </c>
      <c r="BM43" s="153">
        <f>IFERROR(VLOOKUP($B43,'[5]INSUMOS MARZO'!$A$2:$S$105,17,0),"")</f>
        <v>0</v>
      </c>
      <c r="BN43" s="154">
        <f t="shared" si="20"/>
        <v>0</v>
      </c>
      <c r="BO43" s="152" t="str">
        <f>IFERROR(VLOOKUP($B43,'PEDIDO JULIO'!$A$10:$AG$200,28,0),"0")</f>
        <v>0</v>
      </c>
      <c r="BP43" s="153">
        <f>IFERROR(VLOOKUP($B43,'[5]INSUMOS MARZO'!$A$2:$S$105,17,0),"")</f>
        <v>0</v>
      </c>
      <c r="BQ43" s="154">
        <f t="shared" si="21"/>
        <v>0</v>
      </c>
      <c r="BR43" s="152" t="str">
        <f>IFERROR(VLOOKUP($B43,'PEDIDO JULIO'!$A$10:$AG$200,29,0),"0")</f>
        <v>0</v>
      </c>
      <c r="BS43" s="153">
        <f>IFERROR(VLOOKUP($B43,'[5]INSUMOS MARZO'!$A$2:$S$105,17,0),"")</f>
        <v>0</v>
      </c>
      <c r="BT43" s="155">
        <f t="shared" si="22"/>
        <v>0</v>
      </c>
      <c r="BU43" s="152" t="str">
        <f>IFERROR(VLOOKUP($B43,'PEDIDO JULIO'!$A$10:$AG$200,30,0),"0")</f>
        <v>0</v>
      </c>
      <c r="BV43" s="153">
        <f>IFERROR(VLOOKUP($B43,'[5]INSUMOS MARZO'!$A$2:$S$105,17,0),"")</f>
        <v>0</v>
      </c>
      <c r="BW43" s="155">
        <f t="shared" si="23"/>
        <v>0</v>
      </c>
      <c r="BX43" s="152" t="str">
        <f>IFERROR(VLOOKUP($B43,'PEDIDO JULIO'!$A$10:$AG$200,31,0),"0")</f>
        <v>0</v>
      </c>
      <c r="BY43" s="153">
        <f>IFERROR(VLOOKUP($B43,'[5]INSUMOS MARZO'!$A$2:$S$105,17,0),"")</f>
        <v>0</v>
      </c>
      <c r="BZ43" s="155">
        <f t="shared" si="24"/>
        <v>0</v>
      </c>
      <c r="CA43" s="152" t="str">
        <f>IFERROR(VLOOKUP($B43,'PEDIDO JULIO'!$A$10:$AG$200,32,0),"0")</f>
        <v>0</v>
      </c>
      <c r="CB43" s="153">
        <f>IFERROR(VLOOKUP($B43,'[5]INSUMOS MARZO'!$A$2:$S$105,17,0),"")</f>
        <v>0</v>
      </c>
      <c r="CC43" s="155">
        <f t="shared" si="25"/>
        <v>0</v>
      </c>
      <c r="CD43" s="157">
        <f t="shared" si="26"/>
        <v>0</v>
      </c>
      <c r="CE43" s="158">
        <f t="shared" si="27"/>
        <v>0</v>
      </c>
      <c r="CF43" s="251">
        <f>IFERROR(VLOOKUP($B43,'MATRIZ INSUMOS '!$A$3:$P$106,16,0),"")</f>
        <v>0</v>
      </c>
      <c r="CG43" s="153">
        <f>IFERROR(VLOOKUP($B43,'[5]INSUMOS MARZO'!$A$2:$S$105,17,0),"")</f>
        <v>0</v>
      </c>
      <c r="CH43" s="156">
        <f t="shared" si="28"/>
        <v>0</v>
      </c>
      <c r="CI43" s="251">
        <f>IFERROR(VLOOKUP($B43,'MATRIZ INSUMOS '!$A$3:$P$106,10,0),"")</f>
        <v>0</v>
      </c>
      <c r="CJ43" s="156">
        <f>IFERROR(VLOOKUP($B43,'[5]INSUMOS MARZO'!$A$2:$S$105,14,0),"")</f>
        <v>3830.895</v>
      </c>
      <c r="CK43" s="159">
        <f t="shared" si="29"/>
        <v>0</v>
      </c>
      <c r="CL43" s="160">
        <f t="shared" si="30"/>
        <v>0</v>
      </c>
      <c r="CM43" s="14">
        <f t="shared" si="31"/>
        <v>0</v>
      </c>
      <c r="CN43" s="14">
        <f t="shared" si="32"/>
        <v>0</v>
      </c>
      <c r="CO43" s="14">
        <f t="shared" si="33"/>
        <v>0</v>
      </c>
      <c r="CQ43" s="19">
        <f t="shared" si="34"/>
        <v>0</v>
      </c>
      <c r="CR43" s="19" t="b">
        <f t="shared" si="35"/>
        <v>1</v>
      </c>
      <c r="CS43" s="19">
        <f t="shared" si="36"/>
        <v>0</v>
      </c>
    </row>
    <row r="44" spans="1:97" ht="16.5">
      <c r="A44" s="3">
        <v>39</v>
      </c>
      <c r="B44" s="151">
        <v>88</v>
      </c>
      <c r="C44" s="4" t="s">
        <v>56</v>
      </c>
      <c r="D44" s="152">
        <f>IFERROR(VLOOKUP($B44,'[4]INSUMOS FEBRERO'!$A$2:$F$105,5,0),"")</f>
        <v>67</v>
      </c>
      <c r="E44" s="152" t="str">
        <f>IFERROR(VLOOKUP($B44,'PEDIDO JULIO'!$A$10:$AG$32,33,0),"0")</f>
        <v>0</v>
      </c>
      <c r="F44" s="152">
        <f t="shared" si="1"/>
        <v>-67</v>
      </c>
      <c r="G44" s="152">
        <f>IFERROR(VLOOKUP($B44,'PEDIDO JULIO'!$A$10:$AG$200,8,0),"0")</f>
        <v>0</v>
      </c>
      <c r="H44" s="153">
        <f>IFERROR(VLOOKUP($B44,'[5]INSUMOS MARZO'!$A$2:$S$105,17,0),"")</f>
        <v>2717.886</v>
      </c>
      <c r="I44" s="154">
        <f t="shared" si="0"/>
        <v>0</v>
      </c>
      <c r="J44" s="152">
        <f>IFERROR(VLOOKUP($B44,'PEDIDO JULIO'!$A$10:$AG$200,9,0),"0")</f>
        <v>0</v>
      </c>
      <c r="K44" s="153">
        <f>IFERROR(VLOOKUP($B44,'[5]INSUMOS MARZO'!$A$2:$S$105,17,0),"")</f>
        <v>2717.886</v>
      </c>
      <c r="L44" s="155">
        <f t="shared" si="2"/>
        <v>0</v>
      </c>
      <c r="M44" s="152">
        <f>IFERROR(VLOOKUP($B44,'PEDIDO JULIO'!$A$10:$AG$200,10,0),"0")</f>
        <v>0</v>
      </c>
      <c r="N44" s="153">
        <f>IFERROR(VLOOKUP($B44,'[5]INSUMOS MARZO'!$A$2:$S$105,17,0),"")</f>
        <v>2717.886</v>
      </c>
      <c r="O44" s="154">
        <f t="shared" si="3"/>
        <v>0</v>
      </c>
      <c r="P44" s="152">
        <f>IFERROR(VLOOKUP($B44,'PEDIDO JULIO'!$A$10:$AG$200,11,0),"0")</f>
        <v>0</v>
      </c>
      <c r="Q44" s="153">
        <f>IFERROR(VLOOKUP($B44,'[5]INSUMOS MARZO'!$A$2:$S$105,17,0),"")</f>
        <v>2717.886</v>
      </c>
      <c r="R44" s="154">
        <f t="shared" si="4"/>
        <v>0</v>
      </c>
      <c r="S44" s="152">
        <f>IFERROR(VLOOKUP($B44,'PEDIDO JULIO'!$A$10:$AG$200,12,0),"0")</f>
        <v>0</v>
      </c>
      <c r="T44" s="153">
        <f>IFERROR(VLOOKUP($B44,'[5]INSUMOS MARZO'!$A$2:$S$105,17,0),"")</f>
        <v>2717.886</v>
      </c>
      <c r="U44" s="154">
        <f t="shared" si="5"/>
        <v>0</v>
      </c>
      <c r="V44" s="152">
        <f>IFERROR(VLOOKUP($B44,'PEDIDO JULIO'!$A$10:$AG$200,13,0),"0")</f>
        <v>0</v>
      </c>
      <c r="W44" s="153">
        <f>IFERROR(VLOOKUP($B44,'[5]INSUMOS MARZO'!$A$2:$S$105,17,0),"")</f>
        <v>2717.886</v>
      </c>
      <c r="X44" s="154">
        <f t="shared" si="6"/>
        <v>0</v>
      </c>
      <c r="Y44" s="152">
        <f>IFERROR(VLOOKUP($B44,'PEDIDO JULIO'!$A$10:$AG$200,14,0),"0")</f>
        <v>0</v>
      </c>
      <c r="Z44" s="153">
        <f>IFERROR(VLOOKUP($B44,'[5]INSUMOS MARZO'!$A$2:$S$105,17,0),"")</f>
        <v>2717.886</v>
      </c>
      <c r="AA44" s="154">
        <f t="shared" si="7"/>
        <v>0</v>
      </c>
      <c r="AB44" s="152">
        <f>IFERROR(VLOOKUP($B44,'PEDIDO JULIO'!$A$10:$AG$200,15,0),"0")</f>
        <v>0</v>
      </c>
      <c r="AC44" s="153">
        <f>IFERROR(VLOOKUP($B44,'[5]INSUMOS MARZO'!$A$2:$S$105,17,0),"")</f>
        <v>2717.886</v>
      </c>
      <c r="AD44" s="154">
        <f t="shared" si="8"/>
        <v>0</v>
      </c>
      <c r="AE44" s="152">
        <f>IFERROR(VLOOKUP($B44,'PEDIDO JULIO'!$A$10:$AG$200,16,0),"0")</f>
        <v>0</v>
      </c>
      <c r="AF44" s="153">
        <f>IFERROR(VLOOKUP($B44,'[5]INSUMOS MARZO'!$A$2:$S$105,17,0),"")</f>
        <v>2717.886</v>
      </c>
      <c r="AG44" s="154">
        <f t="shared" si="9"/>
        <v>0</v>
      </c>
      <c r="AH44" s="152">
        <f>IFERROR(VLOOKUP($B44,'PEDIDO JULIO'!$A$10:$AG$200,17,0),"0")</f>
        <v>0</v>
      </c>
      <c r="AI44" s="153">
        <f>IFERROR(VLOOKUP($B44,'[5]INSUMOS MARZO'!$A$2:$S$105,17,0),"")</f>
        <v>2717.886</v>
      </c>
      <c r="AJ44" s="154">
        <f t="shared" si="10"/>
        <v>0</v>
      </c>
      <c r="AK44" s="152">
        <f>IFERROR(VLOOKUP($B44,'PEDIDO JULIO'!$A$10:$AG$200,18,0),"0")</f>
        <v>0</v>
      </c>
      <c r="AL44" s="153">
        <f>IFERROR(VLOOKUP($B44,'[5]INSUMOS MARZO'!$A$2:$S$105,17,0),"")</f>
        <v>2717.886</v>
      </c>
      <c r="AM44" s="154">
        <f t="shared" si="11"/>
        <v>0</v>
      </c>
      <c r="AN44" s="152">
        <f>IFERROR(VLOOKUP($B44,'PEDIDO JULIO'!$A$10:$AG$200,19,0),"0")</f>
        <v>0</v>
      </c>
      <c r="AO44" s="153">
        <f>IFERROR(VLOOKUP($B44,'[5]INSUMOS MARZO'!$A$2:$S$105,17,0),"")</f>
        <v>2717.886</v>
      </c>
      <c r="AP44" s="154">
        <f t="shared" si="12"/>
        <v>0</v>
      </c>
      <c r="AQ44" s="152">
        <f>IFERROR(VLOOKUP($B44,'PEDIDO JULIO'!$A$10:$AG$200,20,0),"0")</f>
        <v>0</v>
      </c>
      <c r="AR44" s="153">
        <f>IFERROR(VLOOKUP($B44,'[5]INSUMOS MARZO'!$A$2:$S$105,17,0),"")</f>
        <v>2717.886</v>
      </c>
      <c r="AS44" s="154">
        <f t="shared" si="13"/>
        <v>0</v>
      </c>
      <c r="AT44" s="152">
        <f>IFERROR(VLOOKUP($B44,'PEDIDO JULIO'!$A$10:$AG$200,21,0),"0")</f>
        <v>0</v>
      </c>
      <c r="AU44" s="156">
        <f>IFERROR(VLOOKUP($B44,'[5]INSUMOS MARZO'!$A$2:$S$105,14,0),"")</f>
        <v>4756.9310999999998</v>
      </c>
      <c r="AV44" s="154">
        <f t="shared" si="14"/>
        <v>0</v>
      </c>
      <c r="AW44" s="152">
        <f>IFERROR(VLOOKUP($B44,'PEDIDO JULIO'!$A$10:$AG$200,22,0),"0")</f>
        <v>0</v>
      </c>
      <c r="AX44" s="153">
        <f>IFERROR(VLOOKUP($B44,'[5]INSUMOS MARZO'!$A$2:$S$105,17,0),"")</f>
        <v>2717.886</v>
      </c>
      <c r="AY44" s="154">
        <f t="shared" si="15"/>
        <v>0</v>
      </c>
      <c r="AZ44" s="152">
        <f>IFERROR(VLOOKUP($B44,'PEDIDO JULIO'!$A$10:$AG$200,23,0),"0")</f>
        <v>0</v>
      </c>
      <c r="BA44" s="153">
        <f>IFERROR(VLOOKUP($B44,'[5]INSUMOS MARZO'!$A$2:$S$105,17,0),"")</f>
        <v>2717.886</v>
      </c>
      <c r="BB44" s="154">
        <f t="shared" si="16"/>
        <v>0</v>
      </c>
      <c r="BC44" s="152">
        <f>IFERROR(VLOOKUP($B44,'PEDIDO JULIO'!$A$10:$AG$200,24,0),"0")</f>
        <v>0</v>
      </c>
      <c r="BD44" s="153">
        <f>IFERROR(VLOOKUP($B44,'[5]INSUMOS MARZO'!$A$2:$S$105,17,0),"")</f>
        <v>2717.886</v>
      </c>
      <c r="BE44" s="155">
        <f t="shared" si="17"/>
        <v>0</v>
      </c>
      <c r="BF44" s="152">
        <f>IFERROR(VLOOKUP($B44,'PEDIDO JULIO'!$A$10:$AG$200,25,0),"0")</f>
        <v>0</v>
      </c>
      <c r="BG44" s="153">
        <f>IFERROR(VLOOKUP($B44,'[5]INSUMOS MARZO'!$A$2:$S$105,17,0),"")</f>
        <v>2717.886</v>
      </c>
      <c r="BH44" s="155">
        <f t="shared" si="18"/>
        <v>0</v>
      </c>
      <c r="BI44" s="152">
        <f>IFERROR(VLOOKUP($B44,'PEDIDO JULIO'!$A$10:$AG$200,26,0),"0")</f>
        <v>0</v>
      </c>
      <c r="BJ44" s="153">
        <f>IFERROR(VLOOKUP($B44,'[5]INSUMOS MARZO'!$A$2:$S$105,17,0),"")</f>
        <v>2717.886</v>
      </c>
      <c r="BK44" s="154">
        <f t="shared" si="19"/>
        <v>0</v>
      </c>
      <c r="BL44" s="152">
        <f>IFERROR(VLOOKUP($B44,'PEDIDO JULIO'!$A$10:$AG$200,27,0),"0")</f>
        <v>0</v>
      </c>
      <c r="BM44" s="153">
        <f>IFERROR(VLOOKUP($B44,'[5]INSUMOS MARZO'!$A$2:$S$105,17,0),"")</f>
        <v>2717.886</v>
      </c>
      <c r="BN44" s="154">
        <f t="shared" si="20"/>
        <v>0</v>
      </c>
      <c r="BO44" s="152">
        <f>IFERROR(VLOOKUP($B44,'PEDIDO JULIO'!$A$10:$AG$200,28,0),"0")</f>
        <v>0</v>
      </c>
      <c r="BP44" s="153">
        <f>IFERROR(VLOOKUP($B44,'[5]INSUMOS MARZO'!$A$2:$S$105,17,0),"")</f>
        <v>2717.886</v>
      </c>
      <c r="BQ44" s="154">
        <f t="shared" si="21"/>
        <v>0</v>
      </c>
      <c r="BR44" s="152">
        <f>IFERROR(VLOOKUP($B44,'PEDIDO JULIO'!$A$10:$AG$200,29,0),"0")</f>
        <v>0</v>
      </c>
      <c r="BS44" s="153">
        <f>IFERROR(VLOOKUP($B44,'[5]INSUMOS MARZO'!$A$2:$S$105,17,0),"")</f>
        <v>2717.886</v>
      </c>
      <c r="BT44" s="155">
        <f t="shared" si="22"/>
        <v>0</v>
      </c>
      <c r="BU44" s="152">
        <f>IFERROR(VLOOKUP($B44,'PEDIDO JULIO'!$A$10:$AG$200,30,0),"0")</f>
        <v>0</v>
      </c>
      <c r="BV44" s="153">
        <f>IFERROR(VLOOKUP($B44,'[5]INSUMOS MARZO'!$A$2:$S$105,17,0),"")</f>
        <v>2717.886</v>
      </c>
      <c r="BW44" s="155">
        <f t="shared" si="23"/>
        <v>0</v>
      </c>
      <c r="BX44" s="152">
        <f>IFERROR(VLOOKUP($B44,'PEDIDO JULIO'!$A$10:$AG$200,31,0),"0")</f>
        <v>0</v>
      </c>
      <c r="BY44" s="153">
        <f>IFERROR(VLOOKUP($B44,'[5]INSUMOS MARZO'!$A$2:$S$105,17,0),"")</f>
        <v>2717.886</v>
      </c>
      <c r="BZ44" s="155">
        <f t="shared" si="24"/>
        <v>0</v>
      </c>
      <c r="CA44" s="152">
        <f>IFERROR(VLOOKUP($B44,'PEDIDO JULIO'!$A$10:$AG$200,32,0),"0")</f>
        <v>6</v>
      </c>
      <c r="CB44" s="153">
        <f>IFERROR(VLOOKUP($B44,'[5]INSUMOS MARZO'!$A$2:$S$105,17,0),"")</f>
        <v>2717.886</v>
      </c>
      <c r="CC44" s="155">
        <f t="shared" si="25"/>
        <v>16307.315999999999</v>
      </c>
      <c r="CD44" s="157">
        <f t="shared" si="26"/>
        <v>6</v>
      </c>
      <c r="CE44" s="158">
        <f t="shared" si="27"/>
        <v>6</v>
      </c>
      <c r="CF44" s="251">
        <f>IFERROR(VLOOKUP($B44,'MATRIZ INSUMOS '!$A$3:$P$106,16,0),"")</f>
        <v>6</v>
      </c>
      <c r="CG44" s="153">
        <f>IFERROR(VLOOKUP($B44,'[5]INSUMOS MARZO'!$A$2:$S$105,17,0),"")</f>
        <v>2717.886</v>
      </c>
      <c r="CH44" s="156">
        <f t="shared" si="28"/>
        <v>16307.315999999999</v>
      </c>
      <c r="CI44" s="251">
        <f>IFERROR(VLOOKUP($B44,'MATRIZ INSUMOS '!$A$3:$P$106,10,0),"")</f>
        <v>0</v>
      </c>
      <c r="CJ44" s="156">
        <f>IFERROR(VLOOKUP($B44,'[5]INSUMOS MARZO'!$A$2:$S$105,14,0),"")</f>
        <v>4756.9310999999998</v>
      </c>
      <c r="CK44" s="159">
        <f t="shared" si="29"/>
        <v>0</v>
      </c>
      <c r="CL44" s="160">
        <f t="shared" si="30"/>
        <v>16307.315999999999</v>
      </c>
      <c r="CM44" s="14">
        <f t="shared" si="31"/>
        <v>1630.7316000000001</v>
      </c>
      <c r="CN44" s="14">
        <f t="shared" si="32"/>
        <v>309.83900400000005</v>
      </c>
      <c r="CO44" s="14">
        <f t="shared" si="33"/>
        <v>18247.886603999999</v>
      </c>
      <c r="CQ44" s="19">
        <f t="shared" si="34"/>
        <v>16307.315999999999</v>
      </c>
      <c r="CR44" s="19" t="b">
        <f t="shared" si="35"/>
        <v>1</v>
      </c>
      <c r="CS44" s="19">
        <f t="shared" si="36"/>
        <v>0</v>
      </c>
    </row>
    <row r="45" spans="1:97" ht="16.5">
      <c r="A45" s="3">
        <v>40</v>
      </c>
      <c r="B45" s="151">
        <v>89</v>
      </c>
      <c r="C45" s="4" t="s">
        <v>57</v>
      </c>
      <c r="D45" s="152">
        <f>IFERROR(VLOOKUP($B45,'[4]INSUMOS FEBRERO'!$A$2:$F$105,5,0),"")</f>
        <v>35</v>
      </c>
      <c r="E45" s="152" t="str">
        <f>IFERROR(VLOOKUP($B45,'PEDIDO JULIO'!$A$10:$AG$32,33,0),"0")</f>
        <v>0</v>
      </c>
      <c r="F45" s="152">
        <f t="shared" si="1"/>
        <v>-35</v>
      </c>
      <c r="G45" s="152" t="str">
        <f>IFERROR(VLOOKUP($B45,'PEDIDO JULIO'!$A$10:$AG$200,8,0),"0")</f>
        <v>0</v>
      </c>
      <c r="H45" s="153">
        <f>IFERROR(VLOOKUP($B45,'[5]INSUMOS MARZO'!$A$2:$S$105,17,0),"")</f>
        <v>2650.6220000000003</v>
      </c>
      <c r="I45" s="154">
        <f t="shared" si="0"/>
        <v>0</v>
      </c>
      <c r="J45" s="152" t="str">
        <f>IFERROR(VLOOKUP($B45,'PEDIDO JULIO'!$A$10:$AG$200,9,0),"0")</f>
        <v>0</v>
      </c>
      <c r="K45" s="153">
        <f>IFERROR(VLOOKUP($B45,'[5]INSUMOS MARZO'!$A$2:$S$105,17,0),"")</f>
        <v>2650.6220000000003</v>
      </c>
      <c r="L45" s="155">
        <f t="shared" si="2"/>
        <v>0</v>
      </c>
      <c r="M45" s="152" t="str">
        <f>IFERROR(VLOOKUP($B45,'PEDIDO JULIO'!$A$10:$AG$200,10,0),"0")</f>
        <v>0</v>
      </c>
      <c r="N45" s="153">
        <f>IFERROR(VLOOKUP($B45,'[5]INSUMOS MARZO'!$A$2:$S$105,17,0),"")</f>
        <v>2650.6220000000003</v>
      </c>
      <c r="O45" s="154">
        <f t="shared" si="3"/>
        <v>0</v>
      </c>
      <c r="P45" s="152" t="str">
        <f>IFERROR(VLOOKUP($B45,'PEDIDO JULIO'!$A$10:$AG$200,11,0),"0")</f>
        <v>0</v>
      </c>
      <c r="Q45" s="153">
        <f>IFERROR(VLOOKUP($B45,'[5]INSUMOS MARZO'!$A$2:$S$105,17,0),"")</f>
        <v>2650.6220000000003</v>
      </c>
      <c r="R45" s="154">
        <f t="shared" si="4"/>
        <v>0</v>
      </c>
      <c r="S45" s="152" t="str">
        <f>IFERROR(VLOOKUP($B45,'PEDIDO JULIO'!$A$10:$AG$200,12,0),"0")</f>
        <v>0</v>
      </c>
      <c r="T45" s="153">
        <f>IFERROR(VLOOKUP($B45,'[5]INSUMOS MARZO'!$A$2:$S$105,17,0),"")</f>
        <v>2650.6220000000003</v>
      </c>
      <c r="U45" s="154">
        <f t="shared" si="5"/>
        <v>0</v>
      </c>
      <c r="V45" s="152" t="str">
        <f>IFERROR(VLOOKUP($B45,'PEDIDO JULIO'!$A$10:$AG$200,13,0),"0")</f>
        <v>0</v>
      </c>
      <c r="W45" s="153">
        <f>IFERROR(VLOOKUP($B45,'[5]INSUMOS MARZO'!$A$2:$S$105,17,0),"")</f>
        <v>2650.6220000000003</v>
      </c>
      <c r="X45" s="154">
        <f t="shared" si="6"/>
        <v>0</v>
      </c>
      <c r="Y45" s="152" t="str">
        <f>IFERROR(VLOOKUP($B45,'PEDIDO JULIO'!$A$10:$AG$200,14,0),"0")</f>
        <v>0</v>
      </c>
      <c r="Z45" s="153">
        <f>IFERROR(VLOOKUP($B45,'[5]INSUMOS MARZO'!$A$2:$S$105,17,0),"")</f>
        <v>2650.6220000000003</v>
      </c>
      <c r="AA45" s="154">
        <f t="shared" si="7"/>
        <v>0</v>
      </c>
      <c r="AB45" s="152" t="str">
        <f>IFERROR(VLOOKUP($B45,'PEDIDO JULIO'!$A$10:$AG$200,15,0),"0")</f>
        <v>0</v>
      </c>
      <c r="AC45" s="153">
        <f>IFERROR(VLOOKUP($B45,'[5]INSUMOS MARZO'!$A$2:$S$105,17,0),"")</f>
        <v>2650.6220000000003</v>
      </c>
      <c r="AD45" s="154">
        <f t="shared" si="8"/>
        <v>0</v>
      </c>
      <c r="AE45" s="152" t="str">
        <f>IFERROR(VLOOKUP($B45,'PEDIDO JULIO'!$A$10:$AG$200,16,0),"0")</f>
        <v>0</v>
      </c>
      <c r="AF45" s="153">
        <f>IFERROR(VLOOKUP($B45,'[5]INSUMOS MARZO'!$A$2:$S$105,17,0),"")</f>
        <v>2650.6220000000003</v>
      </c>
      <c r="AG45" s="154">
        <f t="shared" si="9"/>
        <v>0</v>
      </c>
      <c r="AH45" s="152" t="str">
        <f>IFERROR(VLOOKUP($B45,'PEDIDO JULIO'!$A$10:$AG$200,17,0),"0")</f>
        <v>0</v>
      </c>
      <c r="AI45" s="153">
        <f>IFERROR(VLOOKUP($B45,'[5]INSUMOS MARZO'!$A$2:$S$105,17,0),"")</f>
        <v>2650.6220000000003</v>
      </c>
      <c r="AJ45" s="154">
        <f t="shared" si="10"/>
        <v>0</v>
      </c>
      <c r="AK45" s="152" t="str">
        <f>IFERROR(VLOOKUP($B45,'PEDIDO JULIO'!$A$10:$AG$200,18,0),"0")</f>
        <v>0</v>
      </c>
      <c r="AL45" s="153">
        <f>IFERROR(VLOOKUP($B45,'[5]INSUMOS MARZO'!$A$2:$S$105,17,0),"")</f>
        <v>2650.6220000000003</v>
      </c>
      <c r="AM45" s="154">
        <f t="shared" si="11"/>
        <v>0</v>
      </c>
      <c r="AN45" s="152" t="str">
        <f>IFERROR(VLOOKUP($B45,'PEDIDO JULIO'!$A$10:$AG$200,19,0),"0")</f>
        <v>0</v>
      </c>
      <c r="AO45" s="153">
        <f>IFERROR(VLOOKUP($B45,'[5]INSUMOS MARZO'!$A$2:$S$105,17,0),"")</f>
        <v>2650.6220000000003</v>
      </c>
      <c r="AP45" s="154">
        <f t="shared" si="12"/>
        <v>0</v>
      </c>
      <c r="AQ45" s="152" t="str">
        <f>IFERROR(VLOOKUP($B45,'PEDIDO JULIO'!$A$10:$AG$200,20,0),"0")</f>
        <v>0</v>
      </c>
      <c r="AR45" s="153">
        <f>IFERROR(VLOOKUP($B45,'[5]INSUMOS MARZO'!$A$2:$S$105,17,0),"")</f>
        <v>2650.6220000000003</v>
      </c>
      <c r="AS45" s="154">
        <f t="shared" si="13"/>
        <v>0</v>
      </c>
      <c r="AT45" s="152" t="str">
        <f>IFERROR(VLOOKUP($B45,'PEDIDO JULIO'!$A$10:$AG$200,21,0),"0")</f>
        <v>0</v>
      </c>
      <c r="AU45" s="156">
        <f>IFERROR(VLOOKUP($B45,'[5]INSUMOS MARZO'!$A$2:$S$105,14,0),"")</f>
        <v>4756.9310999999998</v>
      </c>
      <c r="AV45" s="154">
        <f t="shared" si="14"/>
        <v>0</v>
      </c>
      <c r="AW45" s="152" t="str">
        <f>IFERROR(VLOOKUP($B45,'PEDIDO JULIO'!$A$10:$AG$200,22,0),"0")</f>
        <v>0</v>
      </c>
      <c r="AX45" s="153">
        <f>IFERROR(VLOOKUP($B45,'[5]INSUMOS MARZO'!$A$2:$S$105,17,0),"")</f>
        <v>2650.6220000000003</v>
      </c>
      <c r="AY45" s="154">
        <f t="shared" si="15"/>
        <v>0</v>
      </c>
      <c r="AZ45" s="152" t="str">
        <f>IFERROR(VLOOKUP($B45,'PEDIDO JULIO'!$A$10:$AG$200,23,0),"0")</f>
        <v>0</v>
      </c>
      <c r="BA45" s="153">
        <f>IFERROR(VLOOKUP($B45,'[5]INSUMOS MARZO'!$A$2:$S$105,17,0),"")</f>
        <v>2650.6220000000003</v>
      </c>
      <c r="BB45" s="154">
        <f t="shared" si="16"/>
        <v>0</v>
      </c>
      <c r="BC45" s="152" t="str">
        <f>IFERROR(VLOOKUP($B45,'PEDIDO JULIO'!$A$10:$AG$200,24,0),"0")</f>
        <v>0</v>
      </c>
      <c r="BD45" s="153">
        <f>IFERROR(VLOOKUP($B45,'[5]INSUMOS MARZO'!$A$2:$S$105,17,0),"")</f>
        <v>2650.6220000000003</v>
      </c>
      <c r="BE45" s="155">
        <f t="shared" si="17"/>
        <v>0</v>
      </c>
      <c r="BF45" s="152" t="str">
        <f>IFERROR(VLOOKUP($B45,'PEDIDO JULIO'!$A$10:$AG$200,25,0),"0")</f>
        <v>0</v>
      </c>
      <c r="BG45" s="153">
        <f>IFERROR(VLOOKUP($B45,'[5]INSUMOS MARZO'!$A$2:$S$105,17,0),"")</f>
        <v>2650.6220000000003</v>
      </c>
      <c r="BH45" s="155">
        <f t="shared" si="18"/>
        <v>0</v>
      </c>
      <c r="BI45" s="152" t="str">
        <f>IFERROR(VLOOKUP($B45,'PEDIDO JULIO'!$A$10:$AG$200,26,0),"0")</f>
        <v>0</v>
      </c>
      <c r="BJ45" s="153">
        <f>IFERROR(VLOOKUP($B45,'[5]INSUMOS MARZO'!$A$2:$S$105,17,0),"")</f>
        <v>2650.6220000000003</v>
      </c>
      <c r="BK45" s="154">
        <f t="shared" si="19"/>
        <v>0</v>
      </c>
      <c r="BL45" s="152" t="str">
        <f>IFERROR(VLOOKUP($B45,'PEDIDO JULIO'!$A$10:$AG$200,27,0),"0")</f>
        <v>0</v>
      </c>
      <c r="BM45" s="153">
        <f>IFERROR(VLOOKUP($B45,'[5]INSUMOS MARZO'!$A$2:$S$105,17,0),"")</f>
        <v>2650.6220000000003</v>
      </c>
      <c r="BN45" s="154">
        <f t="shared" si="20"/>
        <v>0</v>
      </c>
      <c r="BO45" s="152" t="str">
        <f>IFERROR(VLOOKUP($B45,'PEDIDO JULIO'!$A$10:$AG$200,28,0),"0")</f>
        <v>0</v>
      </c>
      <c r="BP45" s="153">
        <f>IFERROR(VLOOKUP($B45,'[5]INSUMOS MARZO'!$A$2:$S$105,17,0),"")</f>
        <v>2650.6220000000003</v>
      </c>
      <c r="BQ45" s="154">
        <f t="shared" si="21"/>
        <v>0</v>
      </c>
      <c r="BR45" s="152" t="str">
        <f>IFERROR(VLOOKUP($B45,'PEDIDO JULIO'!$A$10:$AG$200,29,0),"0")</f>
        <v>0</v>
      </c>
      <c r="BS45" s="153">
        <f>IFERROR(VLOOKUP($B45,'[5]INSUMOS MARZO'!$A$2:$S$105,17,0),"")</f>
        <v>2650.6220000000003</v>
      </c>
      <c r="BT45" s="155">
        <f t="shared" si="22"/>
        <v>0</v>
      </c>
      <c r="BU45" s="152" t="str">
        <f>IFERROR(VLOOKUP($B45,'PEDIDO JULIO'!$A$10:$AG$200,30,0),"0")</f>
        <v>0</v>
      </c>
      <c r="BV45" s="153">
        <f>IFERROR(VLOOKUP($B45,'[5]INSUMOS MARZO'!$A$2:$S$105,17,0),"")</f>
        <v>2650.6220000000003</v>
      </c>
      <c r="BW45" s="155">
        <f t="shared" si="23"/>
        <v>0</v>
      </c>
      <c r="BX45" s="152" t="str">
        <f>IFERROR(VLOOKUP($B45,'PEDIDO JULIO'!$A$10:$AG$200,31,0),"0")</f>
        <v>0</v>
      </c>
      <c r="BY45" s="153">
        <f>IFERROR(VLOOKUP($B45,'[5]INSUMOS MARZO'!$A$2:$S$105,17,0),"")</f>
        <v>2650.6220000000003</v>
      </c>
      <c r="BZ45" s="155">
        <f t="shared" si="24"/>
        <v>0</v>
      </c>
      <c r="CA45" s="152" t="str">
        <f>IFERROR(VLOOKUP($B45,'PEDIDO JULIO'!$A$10:$AG$200,32,0),"0")</f>
        <v>0</v>
      </c>
      <c r="CB45" s="153">
        <f>IFERROR(VLOOKUP($B45,'[5]INSUMOS MARZO'!$A$2:$S$105,17,0),"")</f>
        <v>2650.6220000000003</v>
      </c>
      <c r="CC45" s="155">
        <f t="shared" si="25"/>
        <v>0</v>
      </c>
      <c r="CD45" s="157">
        <f t="shared" si="26"/>
        <v>0</v>
      </c>
      <c r="CE45" s="158">
        <f t="shared" si="27"/>
        <v>0</v>
      </c>
      <c r="CF45" s="251">
        <f>IFERROR(VLOOKUP($B45,'MATRIZ INSUMOS '!$A$3:$P$106,16,0),"")</f>
        <v>0</v>
      </c>
      <c r="CG45" s="153">
        <f>IFERROR(VLOOKUP($B45,'[5]INSUMOS MARZO'!$A$2:$S$105,17,0),"")</f>
        <v>2650.6220000000003</v>
      </c>
      <c r="CH45" s="156">
        <f t="shared" si="28"/>
        <v>0</v>
      </c>
      <c r="CI45" s="251">
        <f>IFERROR(VLOOKUP($B45,'MATRIZ INSUMOS '!$A$3:$P$106,10,0),"")</f>
        <v>0</v>
      </c>
      <c r="CJ45" s="156">
        <f>IFERROR(VLOOKUP($B45,'[5]INSUMOS MARZO'!$A$2:$S$105,14,0),"")</f>
        <v>4756.9310999999998</v>
      </c>
      <c r="CK45" s="159">
        <f t="shared" si="29"/>
        <v>0</v>
      </c>
      <c r="CL45" s="160">
        <f t="shared" si="30"/>
        <v>0</v>
      </c>
      <c r="CM45" s="14">
        <f t="shared" si="31"/>
        <v>0</v>
      </c>
      <c r="CN45" s="14">
        <f t="shared" si="32"/>
        <v>0</v>
      </c>
      <c r="CO45" s="14">
        <f t="shared" si="33"/>
        <v>0</v>
      </c>
      <c r="CQ45" s="19">
        <f t="shared" si="34"/>
        <v>0</v>
      </c>
      <c r="CR45" s="19" t="b">
        <f t="shared" si="35"/>
        <v>1</v>
      </c>
      <c r="CS45" s="19">
        <f t="shared" si="36"/>
        <v>0</v>
      </c>
    </row>
    <row r="46" spans="1:97" ht="16.5">
      <c r="A46" s="3">
        <v>41</v>
      </c>
      <c r="B46" s="151">
        <v>91</v>
      </c>
      <c r="C46" s="4" t="s">
        <v>58</v>
      </c>
      <c r="D46" s="152">
        <f>IFERROR(VLOOKUP($B46,'[4]INSUMOS FEBRERO'!$A$2:$F$105,5,0),"")</f>
        <v>25</v>
      </c>
      <c r="E46" s="152" t="str">
        <f>IFERROR(VLOOKUP($B46,'PEDIDO JULIO'!$A$10:$AG$32,33,0),"0")</f>
        <v>0</v>
      </c>
      <c r="F46" s="152">
        <f t="shared" si="1"/>
        <v>-25</v>
      </c>
      <c r="G46" s="152" t="str">
        <f>IFERROR(VLOOKUP($B46,'PEDIDO JULIO'!$A$10:$AG$200,8,0),"0")</f>
        <v>0</v>
      </c>
      <c r="H46" s="153">
        <f>IFERROR(VLOOKUP($B46,'[5]INSUMOS MARZO'!$A$2:$S$105,17,0),"")</f>
        <v>4364.8029999999999</v>
      </c>
      <c r="I46" s="154">
        <f t="shared" si="0"/>
        <v>0</v>
      </c>
      <c r="J46" s="152" t="str">
        <f>IFERROR(VLOOKUP($B46,'PEDIDO JULIO'!$A$10:$AG$200,9,0),"0")</f>
        <v>0</v>
      </c>
      <c r="K46" s="153">
        <f>IFERROR(VLOOKUP($B46,'[5]INSUMOS MARZO'!$A$2:$S$105,17,0),"")</f>
        <v>4364.8029999999999</v>
      </c>
      <c r="L46" s="155">
        <f t="shared" si="2"/>
        <v>0</v>
      </c>
      <c r="M46" s="152" t="str">
        <f>IFERROR(VLOOKUP($B46,'PEDIDO JULIO'!$A$10:$AG$200,10,0),"0")</f>
        <v>0</v>
      </c>
      <c r="N46" s="153">
        <f>IFERROR(VLOOKUP($B46,'[5]INSUMOS MARZO'!$A$2:$S$105,17,0),"")</f>
        <v>4364.8029999999999</v>
      </c>
      <c r="O46" s="154">
        <f t="shared" si="3"/>
        <v>0</v>
      </c>
      <c r="P46" s="152" t="str">
        <f>IFERROR(VLOOKUP($B46,'PEDIDO JULIO'!$A$10:$AG$200,11,0),"0")</f>
        <v>0</v>
      </c>
      <c r="Q46" s="153">
        <f>IFERROR(VLOOKUP($B46,'[5]INSUMOS MARZO'!$A$2:$S$105,17,0),"")</f>
        <v>4364.8029999999999</v>
      </c>
      <c r="R46" s="154">
        <f t="shared" si="4"/>
        <v>0</v>
      </c>
      <c r="S46" s="152" t="str">
        <f>IFERROR(VLOOKUP($B46,'PEDIDO JULIO'!$A$10:$AG$200,12,0),"0")</f>
        <v>0</v>
      </c>
      <c r="T46" s="153">
        <f>IFERROR(VLOOKUP($B46,'[5]INSUMOS MARZO'!$A$2:$S$105,17,0),"")</f>
        <v>4364.8029999999999</v>
      </c>
      <c r="U46" s="154">
        <f t="shared" si="5"/>
        <v>0</v>
      </c>
      <c r="V46" s="152" t="str">
        <f>IFERROR(VLOOKUP($B46,'PEDIDO JULIO'!$A$10:$AG$200,13,0),"0")</f>
        <v>0</v>
      </c>
      <c r="W46" s="153">
        <f>IFERROR(VLOOKUP($B46,'[5]INSUMOS MARZO'!$A$2:$S$105,17,0),"")</f>
        <v>4364.8029999999999</v>
      </c>
      <c r="X46" s="154">
        <f t="shared" si="6"/>
        <v>0</v>
      </c>
      <c r="Y46" s="152" t="str">
        <f>IFERROR(VLOOKUP($B46,'PEDIDO JULIO'!$A$10:$AG$200,14,0),"0")</f>
        <v>0</v>
      </c>
      <c r="Z46" s="153">
        <f>IFERROR(VLOOKUP($B46,'[5]INSUMOS MARZO'!$A$2:$S$105,17,0),"")</f>
        <v>4364.8029999999999</v>
      </c>
      <c r="AA46" s="154">
        <f t="shared" si="7"/>
        <v>0</v>
      </c>
      <c r="AB46" s="152" t="str">
        <f>IFERROR(VLOOKUP($B46,'PEDIDO JULIO'!$A$10:$AG$200,15,0),"0")</f>
        <v>0</v>
      </c>
      <c r="AC46" s="153">
        <f>IFERROR(VLOOKUP($B46,'[5]INSUMOS MARZO'!$A$2:$S$105,17,0),"")</f>
        <v>4364.8029999999999</v>
      </c>
      <c r="AD46" s="154">
        <f t="shared" si="8"/>
        <v>0</v>
      </c>
      <c r="AE46" s="152" t="str">
        <f>IFERROR(VLOOKUP($B46,'PEDIDO JULIO'!$A$10:$AG$200,16,0),"0")</f>
        <v>0</v>
      </c>
      <c r="AF46" s="153">
        <f>IFERROR(VLOOKUP($B46,'[5]INSUMOS MARZO'!$A$2:$S$105,17,0),"")</f>
        <v>4364.8029999999999</v>
      </c>
      <c r="AG46" s="154">
        <f t="shared" si="9"/>
        <v>0</v>
      </c>
      <c r="AH46" s="152" t="str">
        <f>IFERROR(VLOOKUP($B46,'PEDIDO JULIO'!$A$10:$AG$200,17,0),"0")</f>
        <v>0</v>
      </c>
      <c r="AI46" s="153">
        <f>IFERROR(VLOOKUP($B46,'[5]INSUMOS MARZO'!$A$2:$S$105,17,0),"")</f>
        <v>4364.8029999999999</v>
      </c>
      <c r="AJ46" s="154">
        <f t="shared" si="10"/>
        <v>0</v>
      </c>
      <c r="AK46" s="152" t="str">
        <f>IFERROR(VLOOKUP($B46,'PEDIDO JULIO'!$A$10:$AG$200,18,0),"0")</f>
        <v>0</v>
      </c>
      <c r="AL46" s="153">
        <f>IFERROR(VLOOKUP($B46,'[5]INSUMOS MARZO'!$A$2:$S$105,17,0),"")</f>
        <v>4364.8029999999999</v>
      </c>
      <c r="AM46" s="154">
        <f t="shared" si="11"/>
        <v>0</v>
      </c>
      <c r="AN46" s="152" t="str">
        <f>IFERROR(VLOOKUP($B46,'PEDIDO JULIO'!$A$10:$AG$200,19,0),"0")</f>
        <v>0</v>
      </c>
      <c r="AO46" s="153">
        <f>IFERROR(VLOOKUP($B46,'[5]INSUMOS MARZO'!$A$2:$S$105,17,0),"")</f>
        <v>4364.8029999999999</v>
      </c>
      <c r="AP46" s="154">
        <f t="shared" si="12"/>
        <v>0</v>
      </c>
      <c r="AQ46" s="152" t="str">
        <f>IFERROR(VLOOKUP($B46,'PEDIDO JULIO'!$A$10:$AG$200,20,0),"0")</f>
        <v>0</v>
      </c>
      <c r="AR46" s="153">
        <f>IFERROR(VLOOKUP($B46,'[5]INSUMOS MARZO'!$A$2:$S$105,17,0),"")</f>
        <v>4364.8029999999999</v>
      </c>
      <c r="AS46" s="154">
        <f t="shared" si="13"/>
        <v>0</v>
      </c>
      <c r="AT46" s="152" t="str">
        <f>IFERROR(VLOOKUP($B46,'PEDIDO JULIO'!$A$10:$AG$200,21,0),"0")</f>
        <v>0</v>
      </c>
      <c r="AU46" s="156">
        <f>IFERROR(VLOOKUP($B46,'[5]INSUMOS MARZO'!$A$2:$S$105,14,0),"")</f>
        <v>8408.1051000000007</v>
      </c>
      <c r="AV46" s="154">
        <f t="shared" si="14"/>
        <v>0</v>
      </c>
      <c r="AW46" s="152" t="str">
        <f>IFERROR(VLOOKUP($B46,'PEDIDO JULIO'!$A$10:$AG$200,22,0),"0")</f>
        <v>0</v>
      </c>
      <c r="AX46" s="153">
        <f>IFERROR(VLOOKUP($B46,'[5]INSUMOS MARZO'!$A$2:$S$105,17,0),"")</f>
        <v>4364.8029999999999</v>
      </c>
      <c r="AY46" s="154">
        <f t="shared" si="15"/>
        <v>0</v>
      </c>
      <c r="AZ46" s="152" t="str">
        <f>IFERROR(VLOOKUP($B46,'PEDIDO JULIO'!$A$10:$AG$200,23,0),"0")</f>
        <v>0</v>
      </c>
      <c r="BA46" s="153">
        <f>IFERROR(VLOOKUP($B46,'[5]INSUMOS MARZO'!$A$2:$S$105,17,0),"")</f>
        <v>4364.8029999999999</v>
      </c>
      <c r="BB46" s="154">
        <f t="shared" si="16"/>
        <v>0</v>
      </c>
      <c r="BC46" s="152" t="str">
        <f>IFERROR(VLOOKUP($B46,'PEDIDO JULIO'!$A$10:$AG$200,24,0),"0")</f>
        <v>0</v>
      </c>
      <c r="BD46" s="153">
        <f>IFERROR(VLOOKUP($B46,'[5]INSUMOS MARZO'!$A$2:$S$105,17,0),"")</f>
        <v>4364.8029999999999</v>
      </c>
      <c r="BE46" s="155">
        <f t="shared" si="17"/>
        <v>0</v>
      </c>
      <c r="BF46" s="152" t="str">
        <f>IFERROR(VLOOKUP($B46,'PEDIDO JULIO'!$A$10:$AG$200,25,0),"0")</f>
        <v>0</v>
      </c>
      <c r="BG46" s="153">
        <f>IFERROR(VLOOKUP($B46,'[5]INSUMOS MARZO'!$A$2:$S$105,17,0),"")</f>
        <v>4364.8029999999999</v>
      </c>
      <c r="BH46" s="155">
        <f t="shared" si="18"/>
        <v>0</v>
      </c>
      <c r="BI46" s="152" t="str">
        <f>IFERROR(VLOOKUP($B46,'PEDIDO JULIO'!$A$10:$AG$200,26,0),"0")</f>
        <v>0</v>
      </c>
      <c r="BJ46" s="153">
        <f>IFERROR(VLOOKUP($B46,'[5]INSUMOS MARZO'!$A$2:$S$105,17,0),"")</f>
        <v>4364.8029999999999</v>
      </c>
      <c r="BK46" s="154">
        <f t="shared" si="19"/>
        <v>0</v>
      </c>
      <c r="BL46" s="152" t="str">
        <f>IFERROR(VLOOKUP($B46,'PEDIDO JULIO'!$A$10:$AG$200,27,0),"0")</f>
        <v>0</v>
      </c>
      <c r="BM46" s="153">
        <f>IFERROR(VLOOKUP($B46,'[5]INSUMOS MARZO'!$A$2:$S$105,17,0),"")</f>
        <v>4364.8029999999999</v>
      </c>
      <c r="BN46" s="154">
        <f t="shared" si="20"/>
        <v>0</v>
      </c>
      <c r="BO46" s="152" t="str">
        <f>IFERROR(VLOOKUP($B46,'PEDIDO JULIO'!$A$10:$AG$200,28,0),"0")</f>
        <v>0</v>
      </c>
      <c r="BP46" s="153">
        <f>IFERROR(VLOOKUP($B46,'[5]INSUMOS MARZO'!$A$2:$S$105,17,0),"")</f>
        <v>4364.8029999999999</v>
      </c>
      <c r="BQ46" s="154">
        <f t="shared" si="21"/>
        <v>0</v>
      </c>
      <c r="BR46" s="152" t="str">
        <f>IFERROR(VLOOKUP($B46,'PEDIDO JULIO'!$A$10:$AG$200,29,0),"0")</f>
        <v>0</v>
      </c>
      <c r="BS46" s="153">
        <f>IFERROR(VLOOKUP($B46,'[5]INSUMOS MARZO'!$A$2:$S$105,17,0),"")</f>
        <v>4364.8029999999999</v>
      </c>
      <c r="BT46" s="155">
        <f t="shared" si="22"/>
        <v>0</v>
      </c>
      <c r="BU46" s="152" t="str">
        <f>IFERROR(VLOOKUP($B46,'PEDIDO JULIO'!$A$10:$AG$200,30,0),"0")</f>
        <v>0</v>
      </c>
      <c r="BV46" s="153">
        <f>IFERROR(VLOOKUP($B46,'[5]INSUMOS MARZO'!$A$2:$S$105,17,0),"")</f>
        <v>4364.8029999999999</v>
      </c>
      <c r="BW46" s="155">
        <f t="shared" si="23"/>
        <v>0</v>
      </c>
      <c r="BX46" s="152" t="str">
        <f>IFERROR(VLOOKUP($B46,'PEDIDO JULIO'!$A$10:$AG$200,31,0),"0")</f>
        <v>0</v>
      </c>
      <c r="BY46" s="153">
        <f>IFERROR(VLOOKUP($B46,'[5]INSUMOS MARZO'!$A$2:$S$105,17,0),"")</f>
        <v>4364.8029999999999</v>
      </c>
      <c r="BZ46" s="155">
        <f t="shared" si="24"/>
        <v>0</v>
      </c>
      <c r="CA46" s="152" t="str">
        <f>IFERROR(VLOOKUP($B46,'PEDIDO JULIO'!$A$10:$AG$200,32,0),"0")</f>
        <v>0</v>
      </c>
      <c r="CB46" s="153">
        <f>IFERROR(VLOOKUP($B46,'[5]INSUMOS MARZO'!$A$2:$S$105,17,0),"")</f>
        <v>4364.8029999999999</v>
      </c>
      <c r="CC46" s="155">
        <f t="shared" si="25"/>
        <v>0</v>
      </c>
      <c r="CD46" s="157">
        <f t="shared" si="26"/>
        <v>0</v>
      </c>
      <c r="CE46" s="158">
        <f t="shared" si="27"/>
        <v>0</v>
      </c>
      <c r="CF46" s="251">
        <f>IFERROR(VLOOKUP($B46,'MATRIZ INSUMOS '!$A$3:$P$106,16,0),"")</f>
        <v>0</v>
      </c>
      <c r="CG46" s="153">
        <f>IFERROR(VLOOKUP($B46,'[5]INSUMOS MARZO'!$A$2:$S$105,17,0),"")</f>
        <v>4364.8029999999999</v>
      </c>
      <c r="CH46" s="156">
        <f t="shared" si="28"/>
        <v>0</v>
      </c>
      <c r="CI46" s="251">
        <f>IFERROR(VLOOKUP($B46,'MATRIZ INSUMOS '!$A$3:$P$106,10,0),"")</f>
        <v>0</v>
      </c>
      <c r="CJ46" s="156">
        <f>IFERROR(VLOOKUP($B46,'[5]INSUMOS MARZO'!$A$2:$S$105,14,0),"")</f>
        <v>8408.1051000000007</v>
      </c>
      <c r="CK46" s="159">
        <f t="shared" si="29"/>
        <v>0</v>
      </c>
      <c r="CL46" s="160">
        <f t="shared" si="30"/>
        <v>0</v>
      </c>
      <c r="CM46" s="14">
        <f t="shared" si="31"/>
        <v>0</v>
      </c>
      <c r="CN46" s="14">
        <f t="shared" si="32"/>
        <v>0</v>
      </c>
      <c r="CO46" s="14">
        <f t="shared" si="33"/>
        <v>0</v>
      </c>
      <c r="CQ46" s="19">
        <f t="shared" si="34"/>
        <v>0</v>
      </c>
      <c r="CR46" s="19" t="b">
        <f t="shared" si="35"/>
        <v>1</v>
      </c>
      <c r="CS46" s="19">
        <f t="shared" si="36"/>
        <v>0</v>
      </c>
    </row>
    <row r="47" spans="1:97" ht="16.5">
      <c r="A47" s="3">
        <v>42</v>
      </c>
      <c r="B47" s="151">
        <v>92</v>
      </c>
      <c r="C47" s="4" t="s">
        <v>59</v>
      </c>
      <c r="D47" s="152">
        <f>IFERROR(VLOOKUP($B47,'[4]INSUMOS FEBRERO'!$A$2:$F$105,5,0),"")</f>
        <v>20</v>
      </c>
      <c r="E47" s="152" t="str">
        <f>IFERROR(VLOOKUP($B47,'PEDIDO JULIO'!$A$10:$AG$32,33,0),"0")</f>
        <v>0</v>
      </c>
      <c r="F47" s="152">
        <f t="shared" si="1"/>
        <v>-20</v>
      </c>
      <c r="G47" s="152" t="str">
        <f>IFERROR(VLOOKUP($B47,'PEDIDO JULIO'!$A$10:$AG$200,8,0),"0")</f>
        <v>0</v>
      </c>
      <c r="H47" s="153">
        <f>IFERROR(VLOOKUP($B47,'[5]INSUMOS MARZO'!$A$2:$S$105,17,0),"")</f>
        <v>2380.5149999999999</v>
      </c>
      <c r="I47" s="154">
        <f t="shared" si="0"/>
        <v>0</v>
      </c>
      <c r="J47" s="152" t="str">
        <f>IFERROR(VLOOKUP($B47,'PEDIDO JULIO'!$A$10:$AG$200,9,0),"0")</f>
        <v>0</v>
      </c>
      <c r="K47" s="153">
        <f>IFERROR(VLOOKUP($B47,'[5]INSUMOS MARZO'!$A$2:$S$105,17,0),"")</f>
        <v>2380.5149999999999</v>
      </c>
      <c r="L47" s="155">
        <f t="shared" si="2"/>
        <v>0</v>
      </c>
      <c r="M47" s="152" t="str">
        <f>IFERROR(VLOOKUP($B47,'PEDIDO JULIO'!$A$10:$AG$200,10,0),"0")</f>
        <v>0</v>
      </c>
      <c r="N47" s="153">
        <f>IFERROR(VLOOKUP($B47,'[5]INSUMOS MARZO'!$A$2:$S$105,17,0),"")</f>
        <v>2380.5149999999999</v>
      </c>
      <c r="O47" s="154">
        <f t="shared" si="3"/>
        <v>0</v>
      </c>
      <c r="P47" s="152" t="str">
        <f>IFERROR(VLOOKUP($B47,'PEDIDO JULIO'!$A$10:$AG$200,11,0),"0")</f>
        <v>0</v>
      </c>
      <c r="Q47" s="153">
        <f>IFERROR(VLOOKUP($B47,'[5]INSUMOS MARZO'!$A$2:$S$105,17,0),"")</f>
        <v>2380.5149999999999</v>
      </c>
      <c r="R47" s="154">
        <f t="shared" si="4"/>
        <v>0</v>
      </c>
      <c r="S47" s="152" t="str">
        <f>IFERROR(VLOOKUP($B47,'PEDIDO JULIO'!$A$10:$AG$200,12,0),"0")</f>
        <v>0</v>
      </c>
      <c r="T47" s="153">
        <f>IFERROR(VLOOKUP($B47,'[5]INSUMOS MARZO'!$A$2:$S$105,17,0),"")</f>
        <v>2380.5149999999999</v>
      </c>
      <c r="U47" s="154">
        <f t="shared" si="5"/>
        <v>0</v>
      </c>
      <c r="V47" s="152" t="str">
        <f>IFERROR(VLOOKUP($B47,'PEDIDO JULIO'!$A$10:$AG$200,13,0),"0")</f>
        <v>0</v>
      </c>
      <c r="W47" s="153">
        <f>IFERROR(VLOOKUP($B47,'[5]INSUMOS MARZO'!$A$2:$S$105,17,0),"")</f>
        <v>2380.5149999999999</v>
      </c>
      <c r="X47" s="154">
        <f t="shared" si="6"/>
        <v>0</v>
      </c>
      <c r="Y47" s="152" t="str">
        <f>IFERROR(VLOOKUP($B47,'PEDIDO JULIO'!$A$10:$AG$200,14,0),"0")</f>
        <v>0</v>
      </c>
      <c r="Z47" s="153">
        <f>IFERROR(VLOOKUP($B47,'[5]INSUMOS MARZO'!$A$2:$S$105,17,0),"")</f>
        <v>2380.5149999999999</v>
      </c>
      <c r="AA47" s="154">
        <f t="shared" si="7"/>
        <v>0</v>
      </c>
      <c r="AB47" s="152" t="str">
        <f>IFERROR(VLOOKUP($B47,'PEDIDO JULIO'!$A$10:$AG$200,15,0),"0")</f>
        <v>0</v>
      </c>
      <c r="AC47" s="153">
        <f>IFERROR(VLOOKUP($B47,'[5]INSUMOS MARZO'!$A$2:$S$105,17,0),"")</f>
        <v>2380.5149999999999</v>
      </c>
      <c r="AD47" s="154">
        <f t="shared" si="8"/>
        <v>0</v>
      </c>
      <c r="AE47" s="152" t="str">
        <f>IFERROR(VLOOKUP($B47,'PEDIDO JULIO'!$A$10:$AG$200,16,0),"0")</f>
        <v>0</v>
      </c>
      <c r="AF47" s="153">
        <f>IFERROR(VLOOKUP($B47,'[5]INSUMOS MARZO'!$A$2:$S$105,17,0),"")</f>
        <v>2380.5149999999999</v>
      </c>
      <c r="AG47" s="154">
        <f t="shared" si="9"/>
        <v>0</v>
      </c>
      <c r="AH47" s="152" t="str">
        <f>IFERROR(VLOOKUP($B47,'PEDIDO JULIO'!$A$10:$AG$200,17,0),"0")</f>
        <v>0</v>
      </c>
      <c r="AI47" s="153">
        <f>IFERROR(VLOOKUP($B47,'[5]INSUMOS MARZO'!$A$2:$S$105,17,0),"")</f>
        <v>2380.5149999999999</v>
      </c>
      <c r="AJ47" s="154">
        <f t="shared" si="10"/>
        <v>0</v>
      </c>
      <c r="AK47" s="152" t="str">
        <f>IFERROR(VLOOKUP($B47,'PEDIDO JULIO'!$A$10:$AG$200,18,0),"0")</f>
        <v>0</v>
      </c>
      <c r="AL47" s="153">
        <f>IFERROR(VLOOKUP($B47,'[5]INSUMOS MARZO'!$A$2:$S$105,17,0),"")</f>
        <v>2380.5149999999999</v>
      </c>
      <c r="AM47" s="154">
        <f t="shared" si="11"/>
        <v>0</v>
      </c>
      <c r="AN47" s="152" t="str">
        <f>IFERROR(VLOOKUP($B47,'PEDIDO JULIO'!$A$10:$AG$200,19,0),"0")</f>
        <v>0</v>
      </c>
      <c r="AO47" s="153">
        <f>IFERROR(VLOOKUP($B47,'[5]INSUMOS MARZO'!$A$2:$S$105,17,0),"")</f>
        <v>2380.5149999999999</v>
      </c>
      <c r="AP47" s="154">
        <f t="shared" si="12"/>
        <v>0</v>
      </c>
      <c r="AQ47" s="152" t="str">
        <f>IFERROR(VLOOKUP($B47,'PEDIDO JULIO'!$A$10:$AG$200,20,0),"0")</f>
        <v>0</v>
      </c>
      <c r="AR47" s="153">
        <f>IFERROR(VLOOKUP($B47,'[5]INSUMOS MARZO'!$A$2:$S$105,17,0),"")</f>
        <v>2380.5149999999999</v>
      </c>
      <c r="AS47" s="154">
        <f t="shared" si="13"/>
        <v>0</v>
      </c>
      <c r="AT47" s="152" t="str">
        <f>IFERROR(VLOOKUP($B47,'PEDIDO JULIO'!$A$10:$AG$200,21,0),"0")</f>
        <v>0</v>
      </c>
      <c r="AU47" s="156">
        <f>IFERROR(VLOOKUP($B47,'[5]INSUMOS MARZO'!$A$2:$S$105,14,0),"")</f>
        <v>3482.8038000000001</v>
      </c>
      <c r="AV47" s="154">
        <f t="shared" si="14"/>
        <v>0</v>
      </c>
      <c r="AW47" s="152" t="str">
        <f>IFERROR(VLOOKUP($B47,'PEDIDO JULIO'!$A$10:$AG$200,22,0),"0")</f>
        <v>0</v>
      </c>
      <c r="AX47" s="153">
        <f>IFERROR(VLOOKUP($B47,'[5]INSUMOS MARZO'!$A$2:$S$105,17,0),"")</f>
        <v>2380.5149999999999</v>
      </c>
      <c r="AY47" s="154">
        <f t="shared" si="15"/>
        <v>0</v>
      </c>
      <c r="AZ47" s="152" t="str">
        <f>IFERROR(VLOOKUP($B47,'PEDIDO JULIO'!$A$10:$AG$200,23,0),"0")</f>
        <v>0</v>
      </c>
      <c r="BA47" s="153">
        <f>IFERROR(VLOOKUP($B47,'[5]INSUMOS MARZO'!$A$2:$S$105,17,0),"")</f>
        <v>2380.5149999999999</v>
      </c>
      <c r="BB47" s="154">
        <f t="shared" si="16"/>
        <v>0</v>
      </c>
      <c r="BC47" s="152" t="str">
        <f>IFERROR(VLOOKUP($B47,'PEDIDO JULIO'!$A$10:$AG$200,24,0),"0")</f>
        <v>0</v>
      </c>
      <c r="BD47" s="153">
        <f>IFERROR(VLOOKUP($B47,'[5]INSUMOS MARZO'!$A$2:$S$105,17,0),"")</f>
        <v>2380.5149999999999</v>
      </c>
      <c r="BE47" s="155">
        <f t="shared" si="17"/>
        <v>0</v>
      </c>
      <c r="BF47" s="152" t="str">
        <f>IFERROR(VLOOKUP($B47,'PEDIDO JULIO'!$A$10:$AG$200,25,0),"0")</f>
        <v>0</v>
      </c>
      <c r="BG47" s="153">
        <f>IFERROR(VLOOKUP($B47,'[5]INSUMOS MARZO'!$A$2:$S$105,17,0),"")</f>
        <v>2380.5149999999999</v>
      </c>
      <c r="BH47" s="155">
        <f t="shared" si="18"/>
        <v>0</v>
      </c>
      <c r="BI47" s="152" t="str">
        <f>IFERROR(VLOOKUP($B47,'PEDIDO JULIO'!$A$10:$AG$200,26,0),"0")</f>
        <v>0</v>
      </c>
      <c r="BJ47" s="153">
        <f>IFERROR(VLOOKUP($B47,'[5]INSUMOS MARZO'!$A$2:$S$105,17,0),"")</f>
        <v>2380.5149999999999</v>
      </c>
      <c r="BK47" s="154">
        <f t="shared" si="19"/>
        <v>0</v>
      </c>
      <c r="BL47" s="152" t="str">
        <f>IFERROR(VLOOKUP($B47,'PEDIDO JULIO'!$A$10:$AG$200,27,0),"0")</f>
        <v>0</v>
      </c>
      <c r="BM47" s="153">
        <f>IFERROR(VLOOKUP($B47,'[5]INSUMOS MARZO'!$A$2:$S$105,17,0),"")</f>
        <v>2380.5149999999999</v>
      </c>
      <c r="BN47" s="154">
        <f t="shared" si="20"/>
        <v>0</v>
      </c>
      <c r="BO47" s="152" t="str">
        <f>IFERROR(VLOOKUP($B47,'PEDIDO JULIO'!$A$10:$AG$200,28,0),"0")</f>
        <v>0</v>
      </c>
      <c r="BP47" s="153">
        <f>IFERROR(VLOOKUP($B47,'[5]INSUMOS MARZO'!$A$2:$S$105,17,0),"")</f>
        <v>2380.5149999999999</v>
      </c>
      <c r="BQ47" s="154">
        <f t="shared" si="21"/>
        <v>0</v>
      </c>
      <c r="BR47" s="152" t="str">
        <f>IFERROR(VLOOKUP($B47,'PEDIDO JULIO'!$A$10:$AG$200,29,0),"0")</f>
        <v>0</v>
      </c>
      <c r="BS47" s="153">
        <f>IFERROR(VLOOKUP($B47,'[5]INSUMOS MARZO'!$A$2:$S$105,17,0),"")</f>
        <v>2380.5149999999999</v>
      </c>
      <c r="BT47" s="155">
        <f t="shared" si="22"/>
        <v>0</v>
      </c>
      <c r="BU47" s="152" t="str">
        <f>IFERROR(VLOOKUP($B47,'PEDIDO JULIO'!$A$10:$AG$200,30,0),"0")</f>
        <v>0</v>
      </c>
      <c r="BV47" s="153">
        <f>IFERROR(VLOOKUP($B47,'[5]INSUMOS MARZO'!$A$2:$S$105,17,0),"")</f>
        <v>2380.5149999999999</v>
      </c>
      <c r="BW47" s="155">
        <f t="shared" si="23"/>
        <v>0</v>
      </c>
      <c r="BX47" s="152" t="str">
        <f>IFERROR(VLOOKUP($B47,'PEDIDO JULIO'!$A$10:$AG$200,31,0),"0")</f>
        <v>0</v>
      </c>
      <c r="BY47" s="153">
        <f>IFERROR(VLOOKUP($B47,'[5]INSUMOS MARZO'!$A$2:$S$105,17,0),"")</f>
        <v>2380.5149999999999</v>
      </c>
      <c r="BZ47" s="155">
        <f t="shared" si="24"/>
        <v>0</v>
      </c>
      <c r="CA47" s="152" t="str">
        <f>IFERROR(VLOOKUP($B47,'PEDIDO JULIO'!$A$10:$AG$200,32,0),"0")</f>
        <v>0</v>
      </c>
      <c r="CB47" s="153">
        <f>IFERROR(VLOOKUP($B47,'[5]INSUMOS MARZO'!$A$2:$S$105,17,0),"")</f>
        <v>2380.5149999999999</v>
      </c>
      <c r="CC47" s="155">
        <f t="shared" si="25"/>
        <v>0</v>
      </c>
      <c r="CD47" s="157">
        <f t="shared" si="26"/>
        <v>0</v>
      </c>
      <c r="CE47" s="158">
        <f t="shared" si="27"/>
        <v>0</v>
      </c>
      <c r="CF47" s="251">
        <f>IFERROR(VLOOKUP($B47,'MATRIZ INSUMOS '!$A$3:$P$106,16,0),"")</f>
        <v>0</v>
      </c>
      <c r="CG47" s="153">
        <f>IFERROR(VLOOKUP($B47,'[5]INSUMOS MARZO'!$A$2:$S$105,17,0),"")</f>
        <v>2380.5149999999999</v>
      </c>
      <c r="CH47" s="156">
        <f t="shared" si="28"/>
        <v>0</v>
      </c>
      <c r="CI47" s="251">
        <f>IFERROR(VLOOKUP($B47,'MATRIZ INSUMOS '!$A$3:$P$106,10,0),"")</f>
        <v>0</v>
      </c>
      <c r="CJ47" s="156">
        <f>IFERROR(VLOOKUP($B47,'[5]INSUMOS MARZO'!$A$2:$S$105,14,0),"")</f>
        <v>3482.8038000000001</v>
      </c>
      <c r="CK47" s="159">
        <f t="shared" si="29"/>
        <v>0</v>
      </c>
      <c r="CL47" s="160">
        <f t="shared" si="30"/>
        <v>0</v>
      </c>
      <c r="CM47" s="14">
        <f t="shared" si="31"/>
        <v>0</v>
      </c>
      <c r="CN47" s="14">
        <f t="shared" si="32"/>
        <v>0</v>
      </c>
      <c r="CO47" s="14">
        <f t="shared" si="33"/>
        <v>0</v>
      </c>
      <c r="CQ47" s="19">
        <f t="shared" si="34"/>
        <v>0</v>
      </c>
      <c r="CR47" s="19" t="b">
        <f t="shared" si="35"/>
        <v>1</v>
      </c>
      <c r="CS47" s="19">
        <f t="shared" si="36"/>
        <v>0</v>
      </c>
    </row>
    <row r="48" spans="1:97" ht="16.5">
      <c r="A48" s="3">
        <v>43</v>
      </c>
      <c r="B48" s="151">
        <v>94</v>
      </c>
      <c r="C48" s="4" t="s">
        <v>61</v>
      </c>
      <c r="D48" s="152">
        <f>IFERROR(VLOOKUP($B48,'[4]INSUMOS FEBRERO'!$A$2:$F$105,5,0),"")</f>
        <v>41</v>
      </c>
      <c r="E48" s="152" t="str">
        <f>IFERROR(VLOOKUP($B48,'PEDIDO JULIO'!$A$10:$AG$32,33,0),"0")</f>
        <v>0</v>
      </c>
      <c r="F48" s="152">
        <f t="shared" si="1"/>
        <v>-41</v>
      </c>
      <c r="G48" s="152" t="str">
        <f>IFERROR(VLOOKUP($B48,'PEDIDO JULIO'!$A$10:$AG$200,8,0),"0")</f>
        <v>0</v>
      </c>
      <c r="H48" s="153">
        <f>IFERROR(VLOOKUP($B48,'[5]INSUMOS MARZO'!$A$2:$S$105,17,0),"")</f>
        <v>3316.9560000000001</v>
      </c>
      <c r="I48" s="154">
        <f t="shared" si="0"/>
        <v>0</v>
      </c>
      <c r="J48" s="152" t="str">
        <f>IFERROR(VLOOKUP($B48,'PEDIDO JULIO'!$A$10:$AG$200,9,0),"0")</f>
        <v>0</v>
      </c>
      <c r="K48" s="153">
        <f>IFERROR(VLOOKUP($B48,'[5]INSUMOS MARZO'!$A$2:$S$105,17,0),"")</f>
        <v>3316.9560000000001</v>
      </c>
      <c r="L48" s="155">
        <f t="shared" si="2"/>
        <v>0</v>
      </c>
      <c r="M48" s="152" t="str">
        <f>IFERROR(VLOOKUP($B48,'PEDIDO JULIO'!$A$10:$AG$200,10,0),"0")</f>
        <v>0</v>
      </c>
      <c r="N48" s="153">
        <f>IFERROR(VLOOKUP($B48,'[5]INSUMOS MARZO'!$A$2:$S$105,17,0),"")</f>
        <v>3316.9560000000001</v>
      </c>
      <c r="O48" s="154">
        <f t="shared" si="3"/>
        <v>0</v>
      </c>
      <c r="P48" s="152" t="str">
        <f>IFERROR(VLOOKUP($B48,'PEDIDO JULIO'!$A$10:$AG$200,11,0),"0")</f>
        <v>0</v>
      </c>
      <c r="Q48" s="153">
        <f>IFERROR(VLOOKUP($B48,'[5]INSUMOS MARZO'!$A$2:$S$105,17,0),"")</f>
        <v>3316.9560000000001</v>
      </c>
      <c r="R48" s="154">
        <f t="shared" si="4"/>
        <v>0</v>
      </c>
      <c r="S48" s="152" t="str">
        <f>IFERROR(VLOOKUP($B48,'PEDIDO JULIO'!$A$10:$AG$200,12,0),"0")</f>
        <v>0</v>
      </c>
      <c r="T48" s="153">
        <f>IFERROR(VLOOKUP($B48,'[5]INSUMOS MARZO'!$A$2:$S$105,17,0),"")</f>
        <v>3316.9560000000001</v>
      </c>
      <c r="U48" s="154">
        <f t="shared" si="5"/>
        <v>0</v>
      </c>
      <c r="V48" s="152" t="str">
        <f>IFERROR(VLOOKUP($B48,'PEDIDO JULIO'!$A$10:$AG$200,13,0),"0")</f>
        <v>0</v>
      </c>
      <c r="W48" s="153">
        <f>IFERROR(VLOOKUP($B48,'[5]INSUMOS MARZO'!$A$2:$S$105,17,0),"")</f>
        <v>3316.9560000000001</v>
      </c>
      <c r="X48" s="154">
        <f t="shared" si="6"/>
        <v>0</v>
      </c>
      <c r="Y48" s="152" t="str">
        <f>IFERROR(VLOOKUP($B48,'PEDIDO JULIO'!$A$10:$AG$200,14,0),"0")</f>
        <v>0</v>
      </c>
      <c r="Z48" s="153">
        <f>IFERROR(VLOOKUP($B48,'[5]INSUMOS MARZO'!$A$2:$S$105,17,0),"")</f>
        <v>3316.9560000000001</v>
      </c>
      <c r="AA48" s="154">
        <f t="shared" si="7"/>
        <v>0</v>
      </c>
      <c r="AB48" s="152" t="str">
        <f>IFERROR(VLOOKUP($B48,'PEDIDO JULIO'!$A$10:$AG$200,15,0),"0")</f>
        <v>0</v>
      </c>
      <c r="AC48" s="153">
        <f>IFERROR(VLOOKUP($B48,'[5]INSUMOS MARZO'!$A$2:$S$105,17,0),"")</f>
        <v>3316.9560000000001</v>
      </c>
      <c r="AD48" s="154">
        <f t="shared" si="8"/>
        <v>0</v>
      </c>
      <c r="AE48" s="152" t="str">
        <f>IFERROR(VLOOKUP($B48,'PEDIDO JULIO'!$A$10:$AG$200,16,0),"0")</f>
        <v>0</v>
      </c>
      <c r="AF48" s="153">
        <f>IFERROR(VLOOKUP($B48,'[5]INSUMOS MARZO'!$A$2:$S$105,17,0),"")</f>
        <v>3316.9560000000001</v>
      </c>
      <c r="AG48" s="154">
        <f t="shared" si="9"/>
        <v>0</v>
      </c>
      <c r="AH48" s="152" t="str">
        <f>IFERROR(VLOOKUP($B48,'PEDIDO JULIO'!$A$10:$AG$200,17,0),"0")</f>
        <v>0</v>
      </c>
      <c r="AI48" s="153">
        <f>IFERROR(VLOOKUP($B48,'[5]INSUMOS MARZO'!$A$2:$S$105,17,0),"")</f>
        <v>3316.9560000000001</v>
      </c>
      <c r="AJ48" s="154">
        <f t="shared" si="10"/>
        <v>0</v>
      </c>
      <c r="AK48" s="152" t="str">
        <f>IFERROR(VLOOKUP($B48,'PEDIDO JULIO'!$A$10:$AG$200,18,0),"0")</f>
        <v>0</v>
      </c>
      <c r="AL48" s="153">
        <f>IFERROR(VLOOKUP($B48,'[5]INSUMOS MARZO'!$A$2:$S$105,17,0),"")</f>
        <v>3316.9560000000001</v>
      </c>
      <c r="AM48" s="154">
        <f t="shared" si="11"/>
        <v>0</v>
      </c>
      <c r="AN48" s="152" t="str">
        <f>IFERROR(VLOOKUP($B48,'PEDIDO JULIO'!$A$10:$AG$200,19,0),"0")</f>
        <v>0</v>
      </c>
      <c r="AO48" s="153">
        <f>IFERROR(VLOOKUP($B48,'[5]INSUMOS MARZO'!$A$2:$S$105,17,0),"")</f>
        <v>3316.9560000000001</v>
      </c>
      <c r="AP48" s="154">
        <f t="shared" si="12"/>
        <v>0</v>
      </c>
      <c r="AQ48" s="152" t="str">
        <f>IFERROR(VLOOKUP($B48,'PEDIDO JULIO'!$A$10:$AG$200,20,0),"0")</f>
        <v>0</v>
      </c>
      <c r="AR48" s="153">
        <f>IFERROR(VLOOKUP($B48,'[5]INSUMOS MARZO'!$A$2:$S$105,17,0),"")</f>
        <v>3316.9560000000001</v>
      </c>
      <c r="AS48" s="154">
        <f t="shared" si="13"/>
        <v>0</v>
      </c>
      <c r="AT48" s="152" t="str">
        <f>IFERROR(VLOOKUP($B48,'PEDIDO JULIO'!$A$10:$AG$200,21,0),"0")</f>
        <v>0</v>
      </c>
      <c r="AU48" s="156">
        <f>IFERROR(VLOOKUP($B48,'[5]INSUMOS MARZO'!$A$2:$S$105,14,0),"")</f>
        <v>14826.982499999998</v>
      </c>
      <c r="AV48" s="154">
        <f t="shared" si="14"/>
        <v>0</v>
      </c>
      <c r="AW48" s="152" t="str">
        <f>IFERROR(VLOOKUP($B48,'PEDIDO JULIO'!$A$10:$AG$200,22,0),"0")</f>
        <v>0</v>
      </c>
      <c r="AX48" s="153">
        <f>IFERROR(VLOOKUP($B48,'[5]INSUMOS MARZO'!$A$2:$S$105,17,0),"")</f>
        <v>3316.9560000000001</v>
      </c>
      <c r="AY48" s="154">
        <f t="shared" si="15"/>
        <v>0</v>
      </c>
      <c r="AZ48" s="152" t="str">
        <f>IFERROR(VLOOKUP($B48,'PEDIDO JULIO'!$A$10:$AG$200,23,0),"0")</f>
        <v>0</v>
      </c>
      <c r="BA48" s="153">
        <f>IFERROR(VLOOKUP($B48,'[5]INSUMOS MARZO'!$A$2:$S$105,17,0),"")</f>
        <v>3316.9560000000001</v>
      </c>
      <c r="BB48" s="154">
        <f t="shared" si="16"/>
        <v>0</v>
      </c>
      <c r="BC48" s="152" t="str">
        <f>IFERROR(VLOOKUP($B48,'PEDIDO JULIO'!$A$10:$AG$200,24,0),"0")</f>
        <v>0</v>
      </c>
      <c r="BD48" s="153">
        <f>IFERROR(VLOOKUP($B48,'[5]INSUMOS MARZO'!$A$2:$S$105,17,0),"")</f>
        <v>3316.9560000000001</v>
      </c>
      <c r="BE48" s="155">
        <f t="shared" si="17"/>
        <v>0</v>
      </c>
      <c r="BF48" s="152" t="str">
        <f>IFERROR(VLOOKUP($B48,'PEDIDO JULIO'!$A$10:$AG$200,25,0),"0")</f>
        <v>0</v>
      </c>
      <c r="BG48" s="153">
        <f>IFERROR(VLOOKUP($B48,'[5]INSUMOS MARZO'!$A$2:$S$105,17,0),"")</f>
        <v>3316.9560000000001</v>
      </c>
      <c r="BH48" s="155">
        <f t="shared" si="18"/>
        <v>0</v>
      </c>
      <c r="BI48" s="152" t="str">
        <f>IFERROR(VLOOKUP($B48,'PEDIDO JULIO'!$A$10:$AG$200,26,0),"0")</f>
        <v>0</v>
      </c>
      <c r="BJ48" s="153">
        <f>IFERROR(VLOOKUP($B48,'[5]INSUMOS MARZO'!$A$2:$S$105,17,0),"")</f>
        <v>3316.9560000000001</v>
      </c>
      <c r="BK48" s="154">
        <f t="shared" si="19"/>
        <v>0</v>
      </c>
      <c r="BL48" s="152" t="str">
        <f>IFERROR(VLOOKUP($B48,'PEDIDO JULIO'!$A$10:$AG$200,27,0),"0")</f>
        <v>0</v>
      </c>
      <c r="BM48" s="153">
        <f>IFERROR(VLOOKUP($B48,'[5]INSUMOS MARZO'!$A$2:$S$105,17,0),"")</f>
        <v>3316.9560000000001</v>
      </c>
      <c r="BN48" s="154">
        <f t="shared" si="20"/>
        <v>0</v>
      </c>
      <c r="BO48" s="152" t="str">
        <f>IFERROR(VLOOKUP($B48,'PEDIDO JULIO'!$A$10:$AG$200,28,0),"0")</f>
        <v>0</v>
      </c>
      <c r="BP48" s="153">
        <f>IFERROR(VLOOKUP($B48,'[5]INSUMOS MARZO'!$A$2:$S$105,17,0),"")</f>
        <v>3316.9560000000001</v>
      </c>
      <c r="BQ48" s="154">
        <f t="shared" si="21"/>
        <v>0</v>
      </c>
      <c r="BR48" s="152" t="str">
        <f>IFERROR(VLOOKUP($B48,'PEDIDO JULIO'!$A$10:$AG$200,29,0),"0")</f>
        <v>0</v>
      </c>
      <c r="BS48" s="153">
        <f>IFERROR(VLOOKUP($B48,'[5]INSUMOS MARZO'!$A$2:$S$105,17,0),"")</f>
        <v>3316.9560000000001</v>
      </c>
      <c r="BT48" s="155">
        <f t="shared" si="22"/>
        <v>0</v>
      </c>
      <c r="BU48" s="152" t="str">
        <f>IFERROR(VLOOKUP($B48,'PEDIDO JULIO'!$A$10:$AG$200,30,0),"0")</f>
        <v>0</v>
      </c>
      <c r="BV48" s="153">
        <f>IFERROR(VLOOKUP($B48,'[5]INSUMOS MARZO'!$A$2:$S$105,17,0),"")</f>
        <v>3316.9560000000001</v>
      </c>
      <c r="BW48" s="155">
        <f t="shared" si="23"/>
        <v>0</v>
      </c>
      <c r="BX48" s="152" t="str">
        <f>IFERROR(VLOOKUP($B48,'PEDIDO JULIO'!$A$10:$AG$200,31,0),"0")</f>
        <v>0</v>
      </c>
      <c r="BY48" s="153">
        <f>IFERROR(VLOOKUP($B48,'[5]INSUMOS MARZO'!$A$2:$S$105,17,0),"")</f>
        <v>3316.9560000000001</v>
      </c>
      <c r="BZ48" s="155">
        <f t="shared" si="24"/>
        <v>0</v>
      </c>
      <c r="CA48" s="152" t="str">
        <f>IFERROR(VLOOKUP($B48,'PEDIDO JULIO'!$A$10:$AG$200,32,0),"0")</f>
        <v>0</v>
      </c>
      <c r="CB48" s="153">
        <f>IFERROR(VLOOKUP($B48,'[5]INSUMOS MARZO'!$A$2:$S$105,17,0),"")</f>
        <v>3316.9560000000001</v>
      </c>
      <c r="CC48" s="155">
        <f t="shared" si="25"/>
        <v>0</v>
      </c>
      <c r="CD48" s="157">
        <f t="shared" si="26"/>
        <v>0</v>
      </c>
      <c r="CE48" s="158">
        <f t="shared" si="27"/>
        <v>0</v>
      </c>
      <c r="CF48" s="251">
        <f>IFERROR(VLOOKUP($B48,'MATRIZ INSUMOS '!$A$3:$P$106,16,0),"")</f>
        <v>0</v>
      </c>
      <c r="CG48" s="153">
        <f>IFERROR(VLOOKUP($B48,'[5]INSUMOS MARZO'!$A$2:$S$105,17,0),"")</f>
        <v>3316.9560000000001</v>
      </c>
      <c r="CH48" s="156">
        <f t="shared" si="28"/>
        <v>0</v>
      </c>
      <c r="CI48" s="251">
        <f>IFERROR(VLOOKUP($B48,'MATRIZ INSUMOS '!$A$3:$P$106,10,0),"")</f>
        <v>0</v>
      </c>
      <c r="CJ48" s="156">
        <f>IFERROR(VLOOKUP($B48,'[5]INSUMOS MARZO'!$A$2:$S$105,14,0),"")</f>
        <v>14826.982499999998</v>
      </c>
      <c r="CK48" s="159">
        <f t="shared" si="29"/>
        <v>0</v>
      </c>
      <c r="CL48" s="160">
        <f t="shared" si="30"/>
        <v>0</v>
      </c>
      <c r="CM48" s="14">
        <f t="shared" si="31"/>
        <v>0</v>
      </c>
      <c r="CN48" s="14">
        <f t="shared" si="32"/>
        <v>0</v>
      </c>
      <c r="CO48" s="14">
        <f t="shared" si="33"/>
        <v>0</v>
      </c>
      <c r="CQ48" s="19">
        <f t="shared" si="34"/>
        <v>0</v>
      </c>
      <c r="CR48" s="19" t="b">
        <f t="shared" si="35"/>
        <v>1</v>
      </c>
      <c r="CS48" s="19">
        <f t="shared" si="36"/>
        <v>0</v>
      </c>
    </row>
    <row r="49" spans="1:97" ht="16.5">
      <c r="A49" s="3">
        <v>44</v>
      </c>
      <c r="B49" s="151">
        <v>95</v>
      </c>
      <c r="C49" s="4" t="s">
        <v>62</v>
      </c>
      <c r="D49" s="152">
        <f>IFERROR(VLOOKUP($B49,'[4]INSUMOS FEBRERO'!$A$2:$F$105,5,0),"")</f>
        <v>22</v>
      </c>
      <c r="E49" s="152" t="str">
        <f>IFERROR(VLOOKUP($B49,'PEDIDO JULIO'!$A$10:$AG$32,33,0),"0")</f>
        <v>0</v>
      </c>
      <c r="F49" s="152">
        <f t="shared" si="1"/>
        <v>-22</v>
      </c>
      <c r="G49" s="152" t="str">
        <f>IFERROR(VLOOKUP($B49,'PEDIDO JULIO'!$A$10:$AG$200,8,0),"0")</f>
        <v>0</v>
      </c>
      <c r="H49" s="153">
        <f>IFERROR(VLOOKUP($B49,'[5]INSUMOS MARZO'!$A$2:$S$105,17,0),"")</f>
        <v>11056.52</v>
      </c>
      <c r="I49" s="154">
        <f t="shared" si="0"/>
        <v>0</v>
      </c>
      <c r="J49" s="152" t="str">
        <f>IFERROR(VLOOKUP($B49,'PEDIDO JULIO'!$A$10:$AG$200,9,0),"0")</f>
        <v>0</v>
      </c>
      <c r="K49" s="153">
        <f>IFERROR(VLOOKUP($B49,'[5]INSUMOS MARZO'!$A$2:$S$105,17,0),"")</f>
        <v>11056.52</v>
      </c>
      <c r="L49" s="155">
        <f t="shared" si="2"/>
        <v>0</v>
      </c>
      <c r="M49" s="152" t="str">
        <f>IFERROR(VLOOKUP($B49,'PEDIDO JULIO'!$A$10:$AG$200,10,0),"0")</f>
        <v>0</v>
      </c>
      <c r="N49" s="153">
        <f>IFERROR(VLOOKUP($B49,'[5]INSUMOS MARZO'!$A$2:$S$105,17,0),"")</f>
        <v>11056.52</v>
      </c>
      <c r="O49" s="154">
        <f t="shared" si="3"/>
        <v>0</v>
      </c>
      <c r="P49" s="152" t="str">
        <f>IFERROR(VLOOKUP($B49,'PEDIDO JULIO'!$A$10:$AG$200,11,0),"0")</f>
        <v>0</v>
      </c>
      <c r="Q49" s="153">
        <f>IFERROR(VLOOKUP($B49,'[5]INSUMOS MARZO'!$A$2:$S$105,17,0),"")</f>
        <v>11056.52</v>
      </c>
      <c r="R49" s="154">
        <f t="shared" si="4"/>
        <v>0</v>
      </c>
      <c r="S49" s="152" t="str">
        <f>IFERROR(VLOOKUP($B49,'PEDIDO JULIO'!$A$10:$AG$200,12,0),"0")</f>
        <v>0</v>
      </c>
      <c r="T49" s="153">
        <f>IFERROR(VLOOKUP($B49,'[5]INSUMOS MARZO'!$A$2:$S$105,17,0),"")</f>
        <v>11056.52</v>
      </c>
      <c r="U49" s="154">
        <f t="shared" si="5"/>
        <v>0</v>
      </c>
      <c r="V49" s="152" t="str">
        <f>IFERROR(VLOOKUP($B49,'PEDIDO JULIO'!$A$10:$AG$200,13,0),"0")</f>
        <v>0</v>
      </c>
      <c r="W49" s="153">
        <f>IFERROR(VLOOKUP($B49,'[5]INSUMOS MARZO'!$A$2:$S$105,17,0),"")</f>
        <v>11056.52</v>
      </c>
      <c r="X49" s="154">
        <f t="shared" si="6"/>
        <v>0</v>
      </c>
      <c r="Y49" s="152" t="str">
        <f>IFERROR(VLOOKUP($B49,'PEDIDO JULIO'!$A$10:$AG$200,14,0),"0")</f>
        <v>0</v>
      </c>
      <c r="Z49" s="153">
        <f>IFERROR(VLOOKUP($B49,'[5]INSUMOS MARZO'!$A$2:$S$105,17,0),"")</f>
        <v>11056.52</v>
      </c>
      <c r="AA49" s="154">
        <f t="shared" si="7"/>
        <v>0</v>
      </c>
      <c r="AB49" s="152" t="str">
        <f>IFERROR(VLOOKUP($B49,'PEDIDO JULIO'!$A$10:$AG$200,15,0),"0")</f>
        <v>0</v>
      </c>
      <c r="AC49" s="153">
        <f>IFERROR(VLOOKUP($B49,'[5]INSUMOS MARZO'!$A$2:$S$105,17,0),"")</f>
        <v>11056.52</v>
      </c>
      <c r="AD49" s="154">
        <f t="shared" si="8"/>
        <v>0</v>
      </c>
      <c r="AE49" s="152" t="str">
        <f>IFERROR(VLOOKUP($B49,'PEDIDO JULIO'!$A$10:$AG$200,16,0),"0")</f>
        <v>0</v>
      </c>
      <c r="AF49" s="153">
        <f>IFERROR(VLOOKUP($B49,'[5]INSUMOS MARZO'!$A$2:$S$105,17,0),"")</f>
        <v>11056.52</v>
      </c>
      <c r="AG49" s="154">
        <f t="shared" si="9"/>
        <v>0</v>
      </c>
      <c r="AH49" s="152" t="str">
        <f>IFERROR(VLOOKUP($B49,'PEDIDO JULIO'!$A$10:$AG$200,17,0),"0")</f>
        <v>0</v>
      </c>
      <c r="AI49" s="153">
        <f>IFERROR(VLOOKUP($B49,'[5]INSUMOS MARZO'!$A$2:$S$105,17,0),"")</f>
        <v>11056.52</v>
      </c>
      <c r="AJ49" s="154">
        <f t="shared" si="10"/>
        <v>0</v>
      </c>
      <c r="AK49" s="152" t="str">
        <f>IFERROR(VLOOKUP($B49,'PEDIDO JULIO'!$A$10:$AG$200,18,0),"0")</f>
        <v>0</v>
      </c>
      <c r="AL49" s="153">
        <f>IFERROR(VLOOKUP($B49,'[5]INSUMOS MARZO'!$A$2:$S$105,17,0),"")</f>
        <v>11056.52</v>
      </c>
      <c r="AM49" s="154">
        <f t="shared" si="11"/>
        <v>0</v>
      </c>
      <c r="AN49" s="152" t="str">
        <f>IFERROR(VLOOKUP($B49,'PEDIDO JULIO'!$A$10:$AG$200,19,0),"0")</f>
        <v>0</v>
      </c>
      <c r="AO49" s="153">
        <f>IFERROR(VLOOKUP($B49,'[5]INSUMOS MARZO'!$A$2:$S$105,17,0),"")</f>
        <v>11056.52</v>
      </c>
      <c r="AP49" s="154">
        <f t="shared" si="12"/>
        <v>0</v>
      </c>
      <c r="AQ49" s="152" t="str">
        <f>IFERROR(VLOOKUP($B49,'PEDIDO JULIO'!$A$10:$AG$200,20,0),"0")</f>
        <v>0</v>
      </c>
      <c r="AR49" s="153">
        <f>IFERROR(VLOOKUP($B49,'[5]INSUMOS MARZO'!$A$2:$S$105,17,0),"")</f>
        <v>11056.52</v>
      </c>
      <c r="AS49" s="154">
        <f t="shared" si="13"/>
        <v>0</v>
      </c>
      <c r="AT49" s="152" t="str">
        <f>IFERROR(VLOOKUP($B49,'PEDIDO JULIO'!$A$10:$AG$200,21,0),"0")</f>
        <v>0</v>
      </c>
      <c r="AU49" s="156">
        <f>IFERROR(VLOOKUP($B49,'[5]INSUMOS MARZO'!$A$2:$S$105,14,0),"")</f>
        <v>25075.808999999997</v>
      </c>
      <c r="AV49" s="154">
        <f t="shared" si="14"/>
        <v>0</v>
      </c>
      <c r="AW49" s="152" t="str">
        <f>IFERROR(VLOOKUP($B49,'PEDIDO JULIO'!$A$10:$AG$200,22,0),"0")</f>
        <v>0</v>
      </c>
      <c r="AX49" s="153">
        <f>IFERROR(VLOOKUP($B49,'[5]INSUMOS MARZO'!$A$2:$S$105,17,0),"")</f>
        <v>11056.52</v>
      </c>
      <c r="AY49" s="154">
        <f t="shared" si="15"/>
        <v>0</v>
      </c>
      <c r="AZ49" s="152" t="str">
        <f>IFERROR(VLOOKUP($B49,'PEDIDO JULIO'!$A$10:$AG$200,23,0),"0")</f>
        <v>0</v>
      </c>
      <c r="BA49" s="153">
        <f>IFERROR(VLOOKUP($B49,'[5]INSUMOS MARZO'!$A$2:$S$105,17,0),"")</f>
        <v>11056.52</v>
      </c>
      <c r="BB49" s="154">
        <f t="shared" si="16"/>
        <v>0</v>
      </c>
      <c r="BC49" s="152" t="str">
        <f>IFERROR(VLOOKUP($B49,'PEDIDO JULIO'!$A$10:$AG$200,24,0),"0")</f>
        <v>0</v>
      </c>
      <c r="BD49" s="153">
        <f>IFERROR(VLOOKUP($B49,'[5]INSUMOS MARZO'!$A$2:$S$105,17,0),"")</f>
        <v>11056.52</v>
      </c>
      <c r="BE49" s="155">
        <f t="shared" si="17"/>
        <v>0</v>
      </c>
      <c r="BF49" s="152" t="str">
        <f>IFERROR(VLOOKUP($B49,'PEDIDO JULIO'!$A$10:$AG$200,25,0),"0")</f>
        <v>0</v>
      </c>
      <c r="BG49" s="153">
        <f>IFERROR(VLOOKUP($B49,'[5]INSUMOS MARZO'!$A$2:$S$105,17,0),"")</f>
        <v>11056.52</v>
      </c>
      <c r="BH49" s="155">
        <f t="shared" si="18"/>
        <v>0</v>
      </c>
      <c r="BI49" s="152" t="str">
        <f>IFERROR(VLOOKUP($B49,'PEDIDO JULIO'!$A$10:$AG$200,26,0),"0")</f>
        <v>0</v>
      </c>
      <c r="BJ49" s="153">
        <f>IFERROR(VLOOKUP($B49,'[5]INSUMOS MARZO'!$A$2:$S$105,17,0),"")</f>
        <v>11056.52</v>
      </c>
      <c r="BK49" s="154">
        <f t="shared" si="19"/>
        <v>0</v>
      </c>
      <c r="BL49" s="152" t="str">
        <f>IFERROR(VLOOKUP($B49,'PEDIDO JULIO'!$A$10:$AG$200,27,0),"0")</f>
        <v>0</v>
      </c>
      <c r="BM49" s="153">
        <f>IFERROR(VLOOKUP($B49,'[5]INSUMOS MARZO'!$A$2:$S$105,17,0),"")</f>
        <v>11056.52</v>
      </c>
      <c r="BN49" s="154">
        <f t="shared" si="20"/>
        <v>0</v>
      </c>
      <c r="BO49" s="152" t="str">
        <f>IFERROR(VLOOKUP($B49,'PEDIDO JULIO'!$A$10:$AG$200,28,0),"0")</f>
        <v>0</v>
      </c>
      <c r="BP49" s="153">
        <f>IFERROR(VLOOKUP($B49,'[5]INSUMOS MARZO'!$A$2:$S$105,17,0),"")</f>
        <v>11056.52</v>
      </c>
      <c r="BQ49" s="154">
        <f t="shared" si="21"/>
        <v>0</v>
      </c>
      <c r="BR49" s="152" t="str">
        <f>IFERROR(VLOOKUP($B49,'PEDIDO JULIO'!$A$10:$AG$200,29,0),"0")</f>
        <v>0</v>
      </c>
      <c r="BS49" s="153">
        <f>IFERROR(VLOOKUP($B49,'[5]INSUMOS MARZO'!$A$2:$S$105,17,0),"")</f>
        <v>11056.52</v>
      </c>
      <c r="BT49" s="155">
        <f t="shared" si="22"/>
        <v>0</v>
      </c>
      <c r="BU49" s="152" t="str">
        <f>IFERROR(VLOOKUP($B49,'PEDIDO JULIO'!$A$10:$AG$200,30,0),"0")</f>
        <v>0</v>
      </c>
      <c r="BV49" s="153">
        <f>IFERROR(VLOOKUP($B49,'[5]INSUMOS MARZO'!$A$2:$S$105,17,0),"")</f>
        <v>11056.52</v>
      </c>
      <c r="BW49" s="155">
        <f t="shared" si="23"/>
        <v>0</v>
      </c>
      <c r="BX49" s="152" t="str">
        <f>IFERROR(VLOOKUP($B49,'PEDIDO JULIO'!$A$10:$AG$200,31,0),"0")</f>
        <v>0</v>
      </c>
      <c r="BY49" s="153">
        <f>IFERROR(VLOOKUP($B49,'[5]INSUMOS MARZO'!$A$2:$S$105,17,0),"")</f>
        <v>11056.52</v>
      </c>
      <c r="BZ49" s="155">
        <f t="shared" si="24"/>
        <v>0</v>
      </c>
      <c r="CA49" s="152" t="str">
        <f>IFERROR(VLOOKUP($B49,'PEDIDO JULIO'!$A$10:$AG$200,32,0),"0")</f>
        <v>0</v>
      </c>
      <c r="CB49" s="153">
        <f>IFERROR(VLOOKUP($B49,'[5]INSUMOS MARZO'!$A$2:$S$105,17,0),"")</f>
        <v>11056.52</v>
      </c>
      <c r="CC49" s="155">
        <f t="shared" si="25"/>
        <v>0</v>
      </c>
      <c r="CD49" s="157">
        <f t="shared" si="26"/>
        <v>0</v>
      </c>
      <c r="CE49" s="158">
        <f t="shared" si="27"/>
        <v>0</v>
      </c>
      <c r="CF49" s="251">
        <f>IFERROR(VLOOKUP($B49,'MATRIZ INSUMOS '!$A$3:$P$106,16,0),"")</f>
        <v>0</v>
      </c>
      <c r="CG49" s="153">
        <f>IFERROR(VLOOKUP($B49,'[5]INSUMOS MARZO'!$A$2:$S$105,17,0),"")</f>
        <v>11056.52</v>
      </c>
      <c r="CH49" s="156">
        <f t="shared" si="28"/>
        <v>0</v>
      </c>
      <c r="CI49" s="251">
        <f>IFERROR(VLOOKUP($B49,'MATRIZ INSUMOS '!$A$3:$P$106,10,0),"")</f>
        <v>0</v>
      </c>
      <c r="CJ49" s="156">
        <f>IFERROR(VLOOKUP($B49,'[5]INSUMOS MARZO'!$A$2:$S$105,14,0),"")</f>
        <v>25075.808999999997</v>
      </c>
      <c r="CK49" s="159">
        <f t="shared" si="29"/>
        <v>0</v>
      </c>
      <c r="CL49" s="160">
        <f t="shared" si="30"/>
        <v>0</v>
      </c>
      <c r="CM49" s="14">
        <f t="shared" si="31"/>
        <v>0</v>
      </c>
      <c r="CN49" s="14">
        <f t="shared" si="32"/>
        <v>0</v>
      </c>
      <c r="CO49" s="14">
        <f t="shared" si="33"/>
        <v>0</v>
      </c>
      <c r="CQ49" s="19">
        <f t="shared" si="34"/>
        <v>0</v>
      </c>
      <c r="CR49" s="19" t="b">
        <f t="shared" si="35"/>
        <v>1</v>
      </c>
      <c r="CS49" s="19">
        <f t="shared" si="36"/>
        <v>0</v>
      </c>
    </row>
    <row r="50" spans="1:97" ht="16.5">
      <c r="A50" s="3">
        <v>45</v>
      </c>
      <c r="B50" s="151">
        <v>98</v>
      </c>
      <c r="C50" s="4" t="s">
        <v>63</v>
      </c>
      <c r="D50" s="152">
        <f>IFERROR(VLOOKUP($B50,'[4]INSUMOS FEBRERO'!$A$2:$F$105,5,0),"")</f>
        <v>25</v>
      </c>
      <c r="E50" s="152" t="str">
        <f>IFERROR(VLOOKUP($B50,'PEDIDO JULIO'!$A$10:$AG$32,33,0),"0")</f>
        <v>0</v>
      </c>
      <c r="F50" s="152">
        <f t="shared" si="1"/>
        <v>-25</v>
      </c>
      <c r="G50" s="152">
        <f>IFERROR(VLOOKUP($B50,'PEDIDO JULIO'!$A$10:$AG$200,8,0),"0")</f>
        <v>0</v>
      </c>
      <c r="H50" s="156">
        <f>IFERROR(VLOOKUP($B50,'[5]INSUMOS MARZO'!$A$2:$S$105,14,0),"")</f>
        <v>9503.4573</v>
      </c>
      <c r="I50" s="154">
        <f t="shared" si="0"/>
        <v>0</v>
      </c>
      <c r="J50" s="152">
        <f>IFERROR(VLOOKUP($B50,'PEDIDO JULIO'!$A$10:$AG$200,9,0),"0")</f>
        <v>0</v>
      </c>
      <c r="K50" s="153">
        <f>IFERROR(VLOOKUP($B50,'[5]INSUMOS MARZO'!$A$2:$S$105,17,0),"")</f>
        <v>6633.9120000000003</v>
      </c>
      <c r="L50" s="155">
        <f t="shared" si="2"/>
        <v>0</v>
      </c>
      <c r="M50" s="152">
        <f>IFERROR(VLOOKUP($B50,'PEDIDO JULIO'!$A$10:$AG$200,10,0),"0")</f>
        <v>0</v>
      </c>
      <c r="N50" s="153">
        <f>IFERROR(VLOOKUP($B50,'[5]INSUMOS MARZO'!$A$2:$S$105,17,0),"")</f>
        <v>6633.9120000000003</v>
      </c>
      <c r="O50" s="154">
        <f t="shared" si="3"/>
        <v>0</v>
      </c>
      <c r="P50" s="152">
        <f>IFERROR(VLOOKUP($B50,'PEDIDO JULIO'!$A$10:$AG$200,11,0),"0")</f>
        <v>0</v>
      </c>
      <c r="Q50" s="153">
        <f>IFERROR(VLOOKUP($B50,'[5]INSUMOS MARZO'!$A$2:$S$105,17,0),"")</f>
        <v>6633.9120000000003</v>
      </c>
      <c r="R50" s="154">
        <f t="shared" si="4"/>
        <v>0</v>
      </c>
      <c r="S50" s="152">
        <f>IFERROR(VLOOKUP($B50,'PEDIDO JULIO'!$A$10:$AG$200,12,0),"0")</f>
        <v>0</v>
      </c>
      <c r="T50" s="156">
        <f>IFERROR(VLOOKUP($B50,'[5]INSUMOS MARZO'!$A$2:$S$105,14,0),"")</f>
        <v>9503.4573</v>
      </c>
      <c r="U50" s="154">
        <f t="shared" si="5"/>
        <v>0</v>
      </c>
      <c r="V50" s="152">
        <f>IFERROR(VLOOKUP($B50,'PEDIDO JULIO'!$A$10:$AG$200,13,0),"0")</f>
        <v>10</v>
      </c>
      <c r="W50" s="153">
        <f>IFERROR(VLOOKUP($B50,'[5]INSUMOS MARZO'!$A$2:$S$105,17,0),"")</f>
        <v>6633.9120000000003</v>
      </c>
      <c r="X50" s="154">
        <f t="shared" si="6"/>
        <v>66339.12</v>
      </c>
      <c r="Y50" s="152">
        <f>IFERROR(VLOOKUP($B50,'PEDIDO JULIO'!$A$10:$AG$200,14,0),"0")</f>
        <v>0</v>
      </c>
      <c r="Z50" s="153">
        <f>IFERROR(VLOOKUP($B50,'[5]INSUMOS MARZO'!$A$2:$S$105,17,0),"")</f>
        <v>6633.9120000000003</v>
      </c>
      <c r="AA50" s="154">
        <f t="shared" si="7"/>
        <v>0</v>
      </c>
      <c r="AB50" s="152">
        <f>IFERROR(VLOOKUP($B50,'PEDIDO JULIO'!$A$10:$AG$200,15,0),"0")</f>
        <v>0</v>
      </c>
      <c r="AC50" s="153">
        <f>IFERROR(VLOOKUP($B50,'[5]INSUMOS MARZO'!$A$2:$S$105,17,0),"")</f>
        <v>6633.9120000000003</v>
      </c>
      <c r="AD50" s="154">
        <f t="shared" si="8"/>
        <v>0</v>
      </c>
      <c r="AE50" s="152">
        <f>IFERROR(VLOOKUP($B50,'PEDIDO JULIO'!$A$10:$AG$200,16,0),"0")</f>
        <v>0</v>
      </c>
      <c r="AF50" s="153">
        <f>IFERROR(VLOOKUP($B50,'[5]INSUMOS MARZO'!$A$2:$S$105,17,0),"")</f>
        <v>6633.9120000000003</v>
      </c>
      <c r="AG50" s="154">
        <f t="shared" si="9"/>
        <v>0</v>
      </c>
      <c r="AH50" s="152">
        <f>IFERROR(VLOOKUP($B50,'PEDIDO JULIO'!$A$10:$AG$200,17,0),"0")</f>
        <v>0</v>
      </c>
      <c r="AI50" s="153">
        <f>IFERROR(VLOOKUP($B50,'[5]INSUMOS MARZO'!$A$2:$S$105,17,0),"")</f>
        <v>6633.9120000000003</v>
      </c>
      <c r="AJ50" s="154">
        <f t="shared" si="10"/>
        <v>0</v>
      </c>
      <c r="AK50" s="152">
        <f>IFERROR(VLOOKUP($B50,'PEDIDO JULIO'!$A$10:$AG$200,18,0),"0")</f>
        <v>0</v>
      </c>
      <c r="AL50" s="156">
        <f>IFERROR(VLOOKUP($B50,'[5]INSUMOS MARZO'!$A$2:$S$105,14,0),"")</f>
        <v>9503.4573</v>
      </c>
      <c r="AM50" s="154">
        <f t="shared" si="11"/>
        <v>0</v>
      </c>
      <c r="AN50" s="152">
        <f>IFERROR(VLOOKUP($B50,'PEDIDO JULIO'!$A$10:$AG$200,19,0),"0")</f>
        <v>0</v>
      </c>
      <c r="AO50" s="153">
        <f>IFERROR(VLOOKUP($B50,'[5]INSUMOS MARZO'!$A$2:$S$105,17,0),"")</f>
        <v>6633.9120000000003</v>
      </c>
      <c r="AP50" s="154">
        <f t="shared" si="12"/>
        <v>0</v>
      </c>
      <c r="AQ50" s="152">
        <f>IFERROR(VLOOKUP($B50,'PEDIDO JULIO'!$A$10:$AG$200,20,0),"0")</f>
        <v>0</v>
      </c>
      <c r="AR50" s="153">
        <f>IFERROR(VLOOKUP($B50,'[5]INSUMOS MARZO'!$A$2:$S$105,17,0),"")</f>
        <v>6633.9120000000003</v>
      </c>
      <c r="AS50" s="154">
        <f t="shared" si="13"/>
        <v>0</v>
      </c>
      <c r="AT50" s="152">
        <f>IFERROR(VLOOKUP($B50,'PEDIDO JULIO'!$A$10:$AG$200,21,0),"0")</f>
        <v>0</v>
      </c>
      <c r="AU50" s="156">
        <f>IFERROR(VLOOKUP($B50,'[5]INSUMOS MARZO'!$A$2:$S$105,14,0),"")</f>
        <v>9503.4573</v>
      </c>
      <c r="AV50" s="154">
        <f t="shared" si="14"/>
        <v>0</v>
      </c>
      <c r="AW50" s="152">
        <f>IFERROR(VLOOKUP($B50,'PEDIDO JULIO'!$A$10:$AG$200,22,0),"0")</f>
        <v>0</v>
      </c>
      <c r="AX50" s="153">
        <f>IFERROR(VLOOKUP($B50,'[5]INSUMOS MARZO'!$A$2:$S$105,17,0),"")</f>
        <v>6633.9120000000003</v>
      </c>
      <c r="AY50" s="154">
        <f t="shared" si="15"/>
        <v>0</v>
      </c>
      <c r="AZ50" s="152">
        <f>IFERROR(VLOOKUP($B50,'PEDIDO JULIO'!$A$10:$AG$200,23,0),"0")</f>
        <v>0</v>
      </c>
      <c r="BA50" s="153">
        <f>IFERROR(VLOOKUP($B50,'[5]INSUMOS MARZO'!$A$2:$S$105,17,0),"")</f>
        <v>6633.9120000000003</v>
      </c>
      <c r="BB50" s="154">
        <f t="shared" si="16"/>
        <v>0</v>
      </c>
      <c r="BC50" s="152">
        <f>IFERROR(VLOOKUP($B50,'PEDIDO JULIO'!$A$10:$AG$200,24,0),"0")</f>
        <v>0</v>
      </c>
      <c r="BD50" s="156">
        <f>IFERROR(VLOOKUP($B50,'[5]INSUMOS MARZO'!$A$2:$S$105,14,0),"")</f>
        <v>9503.4573</v>
      </c>
      <c r="BE50" s="155">
        <f t="shared" si="17"/>
        <v>0</v>
      </c>
      <c r="BF50" s="152">
        <f>IFERROR(VLOOKUP($B50,'PEDIDO JULIO'!$A$10:$AG$200,25,0),"0")</f>
        <v>0</v>
      </c>
      <c r="BG50" s="153">
        <f>IFERROR(VLOOKUP($B50,'[5]INSUMOS MARZO'!$A$2:$S$105,17,0),"")</f>
        <v>6633.9120000000003</v>
      </c>
      <c r="BH50" s="155">
        <f t="shared" si="18"/>
        <v>0</v>
      </c>
      <c r="BI50" s="152">
        <f>IFERROR(VLOOKUP($B50,'PEDIDO JULIO'!$A$10:$AG$200,26,0),"0")</f>
        <v>0</v>
      </c>
      <c r="BJ50" s="153">
        <f>IFERROR(VLOOKUP($B50,'[5]INSUMOS MARZO'!$A$2:$S$105,17,0),"")</f>
        <v>6633.9120000000003</v>
      </c>
      <c r="BK50" s="154">
        <f t="shared" si="19"/>
        <v>0</v>
      </c>
      <c r="BL50" s="152">
        <f>IFERROR(VLOOKUP($B50,'PEDIDO JULIO'!$A$10:$AG$200,27,0),"0")</f>
        <v>0</v>
      </c>
      <c r="BM50" s="153">
        <f>IFERROR(VLOOKUP($B50,'[5]INSUMOS MARZO'!$A$2:$S$105,17,0),"")</f>
        <v>6633.9120000000003</v>
      </c>
      <c r="BN50" s="154">
        <f t="shared" si="20"/>
        <v>0</v>
      </c>
      <c r="BO50" s="152">
        <f>IFERROR(VLOOKUP($B50,'PEDIDO JULIO'!$A$10:$AG$200,28,0),"0")</f>
        <v>0</v>
      </c>
      <c r="BP50" s="153">
        <f>IFERROR(VLOOKUP($B50,'[5]INSUMOS MARZO'!$A$2:$S$105,17,0),"")</f>
        <v>6633.9120000000003</v>
      </c>
      <c r="BQ50" s="154">
        <f t="shared" si="21"/>
        <v>0</v>
      </c>
      <c r="BR50" s="152">
        <f>IFERROR(VLOOKUP($B50,'PEDIDO JULIO'!$A$10:$AG$200,29,0),"0")</f>
        <v>0</v>
      </c>
      <c r="BS50" s="153">
        <f>IFERROR(VLOOKUP($B50,'[5]INSUMOS MARZO'!$A$2:$S$105,17,0),"")</f>
        <v>6633.9120000000003</v>
      </c>
      <c r="BT50" s="155">
        <f t="shared" si="22"/>
        <v>0</v>
      </c>
      <c r="BU50" s="152">
        <f>IFERROR(VLOOKUP($B50,'PEDIDO JULIO'!$A$10:$AG$200,30,0),"0")</f>
        <v>0</v>
      </c>
      <c r="BV50" s="153">
        <f>IFERROR(VLOOKUP($B50,'[5]INSUMOS MARZO'!$A$2:$S$105,17,0),"")</f>
        <v>6633.9120000000003</v>
      </c>
      <c r="BW50" s="155">
        <f t="shared" si="23"/>
        <v>0</v>
      </c>
      <c r="BX50" s="152">
        <f>IFERROR(VLOOKUP($B50,'PEDIDO JULIO'!$A$10:$AG$200,31,0),"0")</f>
        <v>0</v>
      </c>
      <c r="BY50" s="153">
        <f>IFERROR(VLOOKUP($B50,'[5]INSUMOS MARZO'!$A$2:$S$105,17,0),"")</f>
        <v>6633.9120000000003</v>
      </c>
      <c r="BZ50" s="155">
        <f t="shared" si="24"/>
        <v>0</v>
      </c>
      <c r="CA50" s="152">
        <f>IFERROR(VLOOKUP($B50,'PEDIDO JULIO'!$A$10:$AG$200,32,0),"0")</f>
        <v>0</v>
      </c>
      <c r="CB50" s="153">
        <f>IFERROR(VLOOKUP($B50,'[5]INSUMOS MARZO'!$A$2:$S$105,17,0),"")</f>
        <v>6633.9120000000003</v>
      </c>
      <c r="CC50" s="155">
        <f t="shared" si="25"/>
        <v>0</v>
      </c>
      <c r="CD50" s="157">
        <f t="shared" si="26"/>
        <v>10</v>
      </c>
      <c r="CE50" s="158">
        <f t="shared" si="27"/>
        <v>10</v>
      </c>
      <c r="CF50" s="251">
        <f>IFERROR(VLOOKUP($B50,'MATRIZ INSUMOS '!$A$3:$P$106,16,0),"")</f>
        <v>10</v>
      </c>
      <c r="CG50" s="153">
        <f>IFERROR(VLOOKUP($B50,'[5]INSUMOS MARZO'!$A$2:$S$105,17,0),"")</f>
        <v>6633.9120000000003</v>
      </c>
      <c r="CH50" s="156">
        <f t="shared" si="28"/>
        <v>66339.12</v>
      </c>
      <c r="CI50" s="251">
        <f>IFERROR(VLOOKUP($B50,'MATRIZ INSUMOS '!$A$3:$P$106,10,0),"")</f>
        <v>0</v>
      </c>
      <c r="CJ50" s="156">
        <f>IFERROR(VLOOKUP($B50,'[5]INSUMOS MARZO'!$A$2:$S$105,14,0),"")</f>
        <v>9503.4573</v>
      </c>
      <c r="CK50" s="159">
        <f t="shared" si="29"/>
        <v>0</v>
      </c>
      <c r="CL50" s="160">
        <f t="shared" si="30"/>
        <v>66339.12</v>
      </c>
      <c r="CM50" s="14">
        <f t="shared" si="31"/>
        <v>6633.9120000000003</v>
      </c>
      <c r="CN50" s="14">
        <f t="shared" si="32"/>
        <v>1260.44328</v>
      </c>
      <c r="CO50" s="14">
        <f t="shared" si="33"/>
        <v>74233.475279999999</v>
      </c>
      <c r="CP50" s="1">
        <f>+CF50+CI50-CD50</f>
        <v>0</v>
      </c>
      <c r="CQ50" s="19">
        <f t="shared" si="34"/>
        <v>66339.12</v>
      </c>
      <c r="CR50" s="19" t="b">
        <f t="shared" si="35"/>
        <v>1</v>
      </c>
      <c r="CS50" s="19">
        <f t="shared" si="36"/>
        <v>0</v>
      </c>
    </row>
    <row r="51" spans="1:97" ht="16.5">
      <c r="A51" s="3">
        <v>46</v>
      </c>
      <c r="B51" s="151">
        <v>100</v>
      </c>
      <c r="C51" s="4" t="s">
        <v>64</v>
      </c>
      <c r="D51" s="152">
        <f>IFERROR(VLOOKUP($B51,'[4]INSUMOS FEBRERO'!$A$2:$F$105,5,0),"")</f>
        <v>59</v>
      </c>
      <c r="E51" s="152" t="str">
        <f>IFERROR(VLOOKUP($B51,'PEDIDO JULIO'!$A$10:$AG$32,33,0),"0")</f>
        <v>0</v>
      </c>
      <c r="F51" s="152">
        <f t="shared" si="1"/>
        <v>-59</v>
      </c>
      <c r="G51" s="152" t="str">
        <f>IFERROR(VLOOKUP($B51,'PEDIDO JULIO'!$A$10:$AG$200,8,0),"0")</f>
        <v>0</v>
      </c>
      <c r="H51" s="153">
        <f>IFERROR(VLOOKUP($B51,'[5]INSUMOS MARZO'!$A$2:$S$105,17,0),"")</f>
        <v>4364.8029999999999</v>
      </c>
      <c r="I51" s="154">
        <f t="shared" si="0"/>
        <v>0</v>
      </c>
      <c r="J51" s="152" t="str">
        <f>IFERROR(VLOOKUP($B51,'PEDIDO JULIO'!$A$10:$AG$200,9,0),"0")</f>
        <v>0</v>
      </c>
      <c r="K51" s="153">
        <f>IFERROR(VLOOKUP($B51,'[5]INSUMOS MARZO'!$A$2:$S$105,17,0),"")</f>
        <v>4364.8029999999999</v>
      </c>
      <c r="L51" s="155">
        <f t="shared" si="2"/>
        <v>0</v>
      </c>
      <c r="M51" s="152" t="str">
        <f>IFERROR(VLOOKUP($B51,'PEDIDO JULIO'!$A$10:$AG$200,10,0),"0")</f>
        <v>0</v>
      </c>
      <c r="N51" s="153">
        <f>IFERROR(VLOOKUP($B51,'[5]INSUMOS MARZO'!$A$2:$S$105,17,0),"")</f>
        <v>4364.8029999999999</v>
      </c>
      <c r="O51" s="154">
        <f t="shared" si="3"/>
        <v>0</v>
      </c>
      <c r="P51" s="152" t="str">
        <f>IFERROR(VLOOKUP($B51,'PEDIDO JULIO'!$A$10:$AG$200,11,0),"0")</f>
        <v>0</v>
      </c>
      <c r="Q51" s="153">
        <f>IFERROR(VLOOKUP($B51,'[5]INSUMOS MARZO'!$A$2:$S$105,17,0),"")</f>
        <v>4364.8029999999999</v>
      </c>
      <c r="R51" s="154">
        <f t="shared" si="4"/>
        <v>0</v>
      </c>
      <c r="S51" s="152" t="str">
        <f>IFERROR(VLOOKUP($B51,'PEDIDO JULIO'!$A$10:$AG$200,12,0),"0")</f>
        <v>0</v>
      </c>
      <c r="T51" s="153">
        <f>IFERROR(VLOOKUP($B51,'[5]INSUMOS MARZO'!$A$2:$S$105,17,0),"")</f>
        <v>4364.8029999999999</v>
      </c>
      <c r="U51" s="154">
        <f t="shared" si="5"/>
        <v>0</v>
      </c>
      <c r="V51" s="152" t="str">
        <f>IFERROR(VLOOKUP($B51,'PEDIDO JULIO'!$A$10:$AG$200,13,0),"0")</f>
        <v>0</v>
      </c>
      <c r="W51" s="153">
        <f>IFERROR(VLOOKUP($B51,'[5]INSUMOS MARZO'!$A$2:$S$105,17,0),"")</f>
        <v>4364.8029999999999</v>
      </c>
      <c r="X51" s="154">
        <f t="shared" si="6"/>
        <v>0</v>
      </c>
      <c r="Y51" s="152" t="str">
        <f>IFERROR(VLOOKUP($B51,'PEDIDO JULIO'!$A$10:$AG$200,14,0),"0")</f>
        <v>0</v>
      </c>
      <c r="Z51" s="153">
        <f>IFERROR(VLOOKUP($B51,'[5]INSUMOS MARZO'!$A$2:$S$105,17,0),"")</f>
        <v>4364.8029999999999</v>
      </c>
      <c r="AA51" s="154">
        <f t="shared" si="7"/>
        <v>0</v>
      </c>
      <c r="AB51" s="152" t="str">
        <f>IFERROR(VLOOKUP($B51,'PEDIDO JULIO'!$A$10:$AG$200,15,0),"0")</f>
        <v>0</v>
      </c>
      <c r="AC51" s="153">
        <f>IFERROR(VLOOKUP($B51,'[5]INSUMOS MARZO'!$A$2:$S$105,17,0),"")</f>
        <v>4364.8029999999999</v>
      </c>
      <c r="AD51" s="154">
        <f t="shared" si="8"/>
        <v>0</v>
      </c>
      <c r="AE51" s="152" t="str">
        <f>IFERROR(VLOOKUP($B51,'PEDIDO JULIO'!$A$10:$AG$200,16,0),"0")</f>
        <v>0</v>
      </c>
      <c r="AF51" s="153">
        <f>IFERROR(VLOOKUP($B51,'[5]INSUMOS MARZO'!$A$2:$S$105,17,0),"")</f>
        <v>4364.8029999999999</v>
      </c>
      <c r="AG51" s="154">
        <f t="shared" si="9"/>
        <v>0</v>
      </c>
      <c r="AH51" s="152" t="str">
        <f>IFERROR(VLOOKUP($B51,'PEDIDO JULIO'!$A$10:$AG$200,17,0),"0")</f>
        <v>0</v>
      </c>
      <c r="AI51" s="153">
        <f>IFERROR(VLOOKUP($B51,'[5]INSUMOS MARZO'!$A$2:$S$105,17,0),"")</f>
        <v>4364.8029999999999</v>
      </c>
      <c r="AJ51" s="154">
        <f t="shared" si="10"/>
        <v>0</v>
      </c>
      <c r="AK51" s="152" t="str">
        <f>IFERROR(VLOOKUP($B51,'PEDIDO JULIO'!$A$10:$AG$200,18,0),"0")</f>
        <v>0</v>
      </c>
      <c r="AL51" s="153">
        <f>IFERROR(VLOOKUP($B51,'[5]INSUMOS MARZO'!$A$2:$S$105,17,0),"")</f>
        <v>4364.8029999999999</v>
      </c>
      <c r="AM51" s="154">
        <f t="shared" si="11"/>
        <v>0</v>
      </c>
      <c r="AN51" s="152" t="str">
        <f>IFERROR(VLOOKUP($B51,'PEDIDO JULIO'!$A$10:$AG$200,19,0),"0")</f>
        <v>0</v>
      </c>
      <c r="AO51" s="153">
        <f>IFERROR(VLOOKUP($B51,'[5]INSUMOS MARZO'!$A$2:$S$105,17,0),"")</f>
        <v>4364.8029999999999</v>
      </c>
      <c r="AP51" s="154">
        <f t="shared" si="12"/>
        <v>0</v>
      </c>
      <c r="AQ51" s="152" t="str">
        <f>IFERROR(VLOOKUP($B51,'PEDIDO JULIO'!$A$10:$AG$200,20,0),"0")</f>
        <v>0</v>
      </c>
      <c r="AR51" s="153">
        <f>IFERROR(VLOOKUP($B51,'[5]INSUMOS MARZO'!$A$2:$S$105,17,0),"")</f>
        <v>4364.8029999999999</v>
      </c>
      <c r="AS51" s="154">
        <f t="shared" si="13"/>
        <v>0</v>
      </c>
      <c r="AT51" s="152" t="str">
        <f>IFERROR(VLOOKUP($B51,'PEDIDO JULIO'!$A$10:$AG$200,21,0),"0")</f>
        <v>0</v>
      </c>
      <c r="AU51" s="156">
        <f>IFERROR(VLOOKUP($B51,'[5]INSUMOS MARZO'!$A$2:$S$105,14,0),"")</f>
        <v>8408.1051000000007</v>
      </c>
      <c r="AV51" s="154">
        <f t="shared" si="14"/>
        <v>0</v>
      </c>
      <c r="AW51" s="152" t="str">
        <f>IFERROR(VLOOKUP($B51,'PEDIDO JULIO'!$A$10:$AG$200,22,0),"0")</f>
        <v>0</v>
      </c>
      <c r="AX51" s="153">
        <f>IFERROR(VLOOKUP($B51,'[5]INSUMOS MARZO'!$A$2:$S$105,17,0),"")</f>
        <v>4364.8029999999999</v>
      </c>
      <c r="AY51" s="154">
        <f t="shared" si="15"/>
        <v>0</v>
      </c>
      <c r="AZ51" s="152" t="str">
        <f>IFERROR(VLOOKUP($B51,'PEDIDO JULIO'!$A$10:$AG$200,23,0),"0")</f>
        <v>0</v>
      </c>
      <c r="BA51" s="153">
        <f>IFERROR(VLOOKUP($B51,'[5]INSUMOS MARZO'!$A$2:$S$105,17,0),"")</f>
        <v>4364.8029999999999</v>
      </c>
      <c r="BB51" s="154">
        <f t="shared" si="16"/>
        <v>0</v>
      </c>
      <c r="BC51" s="152" t="str">
        <f>IFERROR(VLOOKUP($B51,'PEDIDO JULIO'!$A$10:$AG$200,24,0),"0")</f>
        <v>0</v>
      </c>
      <c r="BD51" s="153">
        <f>IFERROR(VLOOKUP($B51,'[5]INSUMOS MARZO'!$A$2:$S$105,17,0),"")</f>
        <v>4364.8029999999999</v>
      </c>
      <c r="BE51" s="155">
        <f t="shared" si="17"/>
        <v>0</v>
      </c>
      <c r="BF51" s="152" t="str">
        <f>IFERROR(VLOOKUP($B51,'PEDIDO JULIO'!$A$10:$AG$200,25,0),"0")</f>
        <v>0</v>
      </c>
      <c r="BG51" s="153">
        <f>IFERROR(VLOOKUP($B51,'[5]INSUMOS MARZO'!$A$2:$S$105,17,0),"")</f>
        <v>4364.8029999999999</v>
      </c>
      <c r="BH51" s="155">
        <f t="shared" si="18"/>
        <v>0</v>
      </c>
      <c r="BI51" s="152" t="str">
        <f>IFERROR(VLOOKUP($B51,'PEDIDO JULIO'!$A$10:$AG$200,26,0),"0")</f>
        <v>0</v>
      </c>
      <c r="BJ51" s="153">
        <f>IFERROR(VLOOKUP($B51,'[5]INSUMOS MARZO'!$A$2:$S$105,17,0),"")</f>
        <v>4364.8029999999999</v>
      </c>
      <c r="BK51" s="154">
        <f t="shared" si="19"/>
        <v>0</v>
      </c>
      <c r="BL51" s="152" t="str">
        <f>IFERROR(VLOOKUP($B51,'PEDIDO JULIO'!$A$10:$AG$200,27,0),"0")</f>
        <v>0</v>
      </c>
      <c r="BM51" s="153">
        <f>IFERROR(VLOOKUP($B51,'[5]INSUMOS MARZO'!$A$2:$S$105,17,0),"")</f>
        <v>4364.8029999999999</v>
      </c>
      <c r="BN51" s="154">
        <f t="shared" si="20"/>
        <v>0</v>
      </c>
      <c r="BO51" s="152" t="str">
        <f>IFERROR(VLOOKUP($B51,'PEDIDO JULIO'!$A$10:$AG$200,28,0),"0")</f>
        <v>0</v>
      </c>
      <c r="BP51" s="153">
        <f>IFERROR(VLOOKUP($B51,'[5]INSUMOS MARZO'!$A$2:$S$105,17,0),"")</f>
        <v>4364.8029999999999</v>
      </c>
      <c r="BQ51" s="154">
        <f t="shared" si="21"/>
        <v>0</v>
      </c>
      <c r="BR51" s="152" t="str">
        <f>IFERROR(VLOOKUP($B51,'PEDIDO JULIO'!$A$10:$AG$200,29,0),"0")</f>
        <v>0</v>
      </c>
      <c r="BS51" s="153">
        <f>IFERROR(VLOOKUP($B51,'[5]INSUMOS MARZO'!$A$2:$S$105,17,0),"")</f>
        <v>4364.8029999999999</v>
      </c>
      <c r="BT51" s="155">
        <f t="shared" si="22"/>
        <v>0</v>
      </c>
      <c r="BU51" s="152" t="str">
        <f>IFERROR(VLOOKUP($B51,'PEDIDO JULIO'!$A$10:$AG$200,30,0),"0")</f>
        <v>0</v>
      </c>
      <c r="BV51" s="153">
        <f>IFERROR(VLOOKUP($B51,'[5]INSUMOS MARZO'!$A$2:$S$105,17,0),"")</f>
        <v>4364.8029999999999</v>
      </c>
      <c r="BW51" s="155">
        <f t="shared" si="23"/>
        <v>0</v>
      </c>
      <c r="BX51" s="152" t="str">
        <f>IFERROR(VLOOKUP($B51,'PEDIDO JULIO'!$A$10:$AG$200,31,0),"0")</f>
        <v>0</v>
      </c>
      <c r="BY51" s="153">
        <f>IFERROR(VLOOKUP($B51,'[5]INSUMOS MARZO'!$A$2:$S$105,17,0),"")</f>
        <v>4364.8029999999999</v>
      </c>
      <c r="BZ51" s="155">
        <f t="shared" si="24"/>
        <v>0</v>
      </c>
      <c r="CA51" s="152" t="str">
        <f>IFERROR(VLOOKUP($B51,'PEDIDO JULIO'!$A$10:$AG$200,32,0),"0")</f>
        <v>0</v>
      </c>
      <c r="CB51" s="153">
        <f>IFERROR(VLOOKUP($B51,'[5]INSUMOS MARZO'!$A$2:$S$105,17,0),"")</f>
        <v>4364.8029999999999</v>
      </c>
      <c r="CC51" s="155">
        <f t="shared" si="25"/>
        <v>0</v>
      </c>
      <c r="CD51" s="157">
        <f t="shared" si="26"/>
        <v>0</v>
      </c>
      <c r="CE51" s="158">
        <f t="shared" si="27"/>
        <v>0</v>
      </c>
      <c r="CF51" s="251">
        <f>IFERROR(VLOOKUP($B51,'MATRIZ INSUMOS '!$A$3:$P$106,16,0),"")</f>
        <v>0</v>
      </c>
      <c r="CG51" s="153">
        <f>IFERROR(VLOOKUP($B51,'[5]INSUMOS MARZO'!$A$2:$S$105,17,0),"")</f>
        <v>4364.8029999999999</v>
      </c>
      <c r="CH51" s="156">
        <f t="shared" si="28"/>
        <v>0</v>
      </c>
      <c r="CI51" s="251">
        <f>IFERROR(VLOOKUP($B51,'MATRIZ INSUMOS '!$A$3:$P$106,10,0),"")</f>
        <v>0</v>
      </c>
      <c r="CJ51" s="156">
        <f>IFERROR(VLOOKUP($B51,'[5]INSUMOS MARZO'!$A$2:$S$105,14,0),"")</f>
        <v>8408.1051000000007</v>
      </c>
      <c r="CK51" s="159">
        <f t="shared" si="29"/>
        <v>0</v>
      </c>
      <c r="CL51" s="160">
        <f t="shared" si="30"/>
        <v>0</v>
      </c>
      <c r="CM51" s="14">
        <f t="shared" si="31"/>
        <v>0</v>
      </c>
      <c r="CN51" s="14">
        <f t="shared" si="32"/>
        <v>0</v>
      </c>
      <c r="CO51" s="14">
        <f t="shared" si="33"/>
        <v>0</v>
      </c>
      <c r="CQ51" s="19">
        <f t="shared" si="34"/>
        <v>0</v>
      </c>
      <c r="CR51" s="19" t="b">
        <f t="shared" si="35"/>
        <v>1</v>
      </c>
      <c r="CS51" s="19">
        <f t="shared" si="36"/>
        <v>0</v>
      </c>
    </row>
    <row r="52" spans="1:97" ht="16.5">
      <c r="A52" s="3">
        <v>47</v>
      </c>
      <c r="B52" s="151">
        <v>102</v>
      </c>
      <c r="C52" s="4" t="s">
        <v>65</v>
      </c>
      <c r="D52" s="152">
        <f>IFERROR(VLOOKUP($B52,'[4]INSUMOS FEBRERO'!$A$2:$F$105,5,0),"")</f>
        <v>25</v>
      </c>
      <c r="E52" s="152" t="str">
        <f>IFERROR(VLOOKUP($B52,'PEDIDO JULIO'!$A$10:$AG$32,33,0),"0")</f>
        <v>0</v>
      </c>
      <c r="F52" s="152">
        <f t="shared" si="1"/>
        <v>-25</v>
      </c>
      <c r="G52" s="152" t="str">
        <f>IFERROR(VLOOKUP($B52,'PEDIDO JULIO'!$A$10:$AG$200,8,0),"0")</f>
        <v>0</v>
      </c>
      <c r="H52" s="153">
        <f>IFERROR(VLOOKUP($B52,'[5]INSUMOS MARZO'!$A$2:$S$105,17,0),"")</f>
        <v>3811.9770000000003</v>
      </c>
      <c r="I52" s="154">
        <f t="shared" si="0"/>
        <v>0</v>
      </c>
      <c r="J52" s="152" t="str">
        <f>IFERROR(VLOOKUP($B52,'PEDIDO JULIO'!$A$10:$AG$200,9,0),"0")</f>
        <v>0</v>
      </c>
      <c r="K52" s="153">
        <f>IFERROR(VLOOKUP($B52,'[5]INSUMOS MARZO'!$A$2:$S$105,17,0),"")</f>
        <v>3811.9770000000003</v>
      </c>
      <c r="L52" s="155">
        <f t="shared" si="2"/>
        <v>0</v>
      </c>
      <c r="M52" s="152" t="str">
        <f>IFERROR(VLOOKUP($B52,'PEDIDO JULIO'!$A$10:$AG$200,10,0),"0")</f>
        <v>0</v>
      </c>
      <c r="N52" s="153">
        <f>IFERROR(VLOOKUP($B52,'[5]INSUMOS MARZO'!$A$2:$S$105,17,0),"")</f>
        <v>3811.9770000000003</v>
      </c>
      <c r="O52" s="154">
        <f t="shared" si="3"/>
        <v>0</v>
      </c>
      <c r="P52" s="152" t="str">
        <f>IFERROR(VLOOKUP($B52,'PEDIDO JULIO'!$A$10:$AG$200,11,0),"0")</f>
        <v>0</v>
      </c>
      <c r="Q52" s="153">
        <f>IFERROR(VLOOKUP($B52,'[5]INSUMOS MARZO'!$A$2:$S$105,17,0),"")</f>
        <v>3811.9770000000003</v>
      </c>
      <c r="R52" s="154">
        <f t="shared" si="4"/>
        <v>0</v>
      </c>
      <c r="S52" s="152" t="str">
        <f>IFERROR(VLOOKUP($B52,'PEDIDO JULIO'!$A$10:$AG$200,12,0),"0")</f>
        <v>0</v>
      </c>
      <c r="T52" s="153">
        <f>IFERROR(VLOOKUP($B52,'[5]INSUMOS MARZO'!$A$2:$S$105,17,0),"")</f>
        <v>3811.9770000000003</v>
      </c>
      <c r="U52" s="154">
        <f t="shared" si="5"/>
        <v>0</v>
      </c>
      <c r="V52" s="152" t="str">
        <f>IFERROR(VLOOKUP($B52,'PEDIDO JULIO'!$A$10:$AG$200,13,0),"0")</f>
        <v>0</v>
      </c>
      <c r="W52" s="153">
        <f>IFERROR(VLOOKUP($B52,'[5]INSUMOS MARZO'!$A$2:$S$105,17,0),"")</f>
        <v>3811.9770000000003</v>
      </c>
      <c r="X52" s="154">
        <f t="shared" si="6"/>
        <v>0</v>
      </c>
      <c r="Y52" s="152" t="str">
        <f>IFERROR(VLOOKUP($B52,'PEDIDO JULIO'!$A$10:$AG$200,14,0),"0")</f>
        <v>0</v>
      </c>
      <c r="Z52" s="153">
        <f>IFERROR(VLOOKUP($B52,'[5]INSUMOS MARZO'!$A$2:$S$105,17,0),"")</f>
        <v>3811.9770000000003</v>
      </c>
      <c r="AA52" s="154">
        <f t="shared" si="7"/>
        <v>0</v>
      </c>
      <c r="AB52" s="152" t="str">
        <f>IFERROR(VLOOKUP($B52,'PEDIDO JULIO'!$A$10:$AG$200,15,0),"0")</f>
        <v>0</v>
      </c>
      <c r="AC52" s="153">
        <f>IFERROR(VLOOKUP($B52,'[5]INSUMOS MARZO'!$A$2:$S$105,17,0),"")</f>
        <v>3811.9770000000003</v>
      </c>
      <c r="AD52" s="154">
        <f t="shared" si="8"/>
        <v>0</v>
      </c>
      <c r="AE52" s="152" t="str">
        <f>IFERROR(VLOOKUP($B52,'PEDIDO JULIO'!$A$10:$AG$200,16,0),"0")</f>
        <v>0</v>
      </c>
      <c r="AF52" s="153">
        <f>IFERROR(VLOOKUP($B52,'[5]INSUMOS MARZO'!$A$2:$S$105,17,0),"")</f>
        <v>3811.9770000000003</v>
      </c>
      <c r="AG52" s="154">
        <f t="shared" si="9"/>
        <v>0</v>
      </c>
      <c r="AH52" s="152" t="str">
        <f>IFERROR(VLOOKUP($B52,'PEDIDO JULIO'!$A$10:$AG$200,17,0),"0")</f>
        <v>0</v>
      </c>
      <c r="AI52" s="153">
        <f>IFERROR(VLOOKUP($B52,'[5]INSUMOS MARZO'!$A$2:$S$105,17,0),"")</f>
        <v>3811.9770000000003</v>
      </c>
      <c r="AJ52" s="154">
        <f t="shared" si="10"/>
        <v>0</v>
      </c>
      <c r="AK52" s="152" t="str">
        <f>IFERROR(VLOOKUP($B52,'PEDIDO JULIO'!$A$10:$AG$200,18,0),"0")</f>
        <v>0</v>
      </c>
      <c r="AL52" s="153">
        <f>IFERROR(VLOOKUP($B52,'[5]INSUMOS MARZO'!$A$2:$S$105,17,0),"")</f>
        <v>3811.9770000000003</v>
      </c>
      <c r="AM52" s="154">
        <f t="shared" si="11"/>
        <v>0</v>
      </c>
      <c r="AN52" s="152" t="str">
        <f>IFERROR(VLOOKUP($B52,'PEDIDO JULIO'!$A$10:$AG$200,19,0),"0")</f>
        <v>0</v>
      </c>
      <c r="AO52" s="153">
        <f>IFERROR(VLOOKUP($B52,'[5]INSUMOS MARZO'!$A$2:$S$105,17,0),"")</f>
        <v>3811.9770000000003</v>
      </c>
      <c r="AP52" s="154">
        <f t="shared" si="12"/>
        <v>0</v>
      </c>
      <c r="AQ52" s="152" t="str">
        <f>IFERROR(VLOOKUP($B52,'PEDIDO JULIO'!$A$10:$AG$200,20,0),"0")</f>
        <v>0</v>
      </c>
      <c r="AR52" s="153">
        <f>IFERROR(VLOOKUP($B52,'[5]INSUMOS MARZO'!$A$2:$S$105,17,0),"")</f>
        <v>3811.9770000000003</v>
      </c>
      <c r="AS52" s="154">
        <f t="shared" si="13"/>
        <v>0</v>
      </c>
      <c r="AT52" s="152" t="str">
        <f>IFERROR(VLOOKUP($B52,'PEDIDO JULIO'!$A$10:$AG$200,21,0),"0")</f>
        <v>0</v>
      </c>
      <c r="AU52" s="156">
        <f>IFERROR(VLOOKUP($B52,'[5]INSUMOS MARZO'!$A$2:$S$105,14,0),"")</f>
        <v>5422.8446999999996</v>
      </c>
      <c r="AV52" s="154">
        <f t="shared" si="14"/>
        <v>0</v>
      </c>
      <c r="AW52" s="152" t="str">
        <f>IFERROR(VLOOKUP($B52,'PEDIDO JULIO'!$A$10:$AG$200,22,0),"0")</f>
        <v>0</v>
      </c>
      <c r="AX52" s="153">
        <f>IFERROR(VLOOKUP($B52,'[5]INSUMOS MARZO'!$A$2:$S$105,17,0),"")</f>
        <v>3811.9770000000003</v>
      </c>
      <c r="AY52" s="154">
        <f t="shared" si="15"/>
        <v>0</v>
      </c>
      <c r="AZ52" s="152" t="str">
        <f>IFERROR(VLOOKUP($B52,'PEDIDO JULIO'!$A$10:$AG$200,23,0),"0")</f>
        <v>0</v>
      </c>
      <c r="BA52" s="153">
        <f>IFERROR(VLOOKUP($B52,'[5]INSUMOS MARZO'!$A$2:$S$105,17,0),"")</f>
        <v>3811.9770000000003</v>
      </c>
      <c r="BB52" s="154">
        <f t="shared" si="16"/>
        <v>0</v>
      </c>
      <c r="BC52" s="152" t="str">
        <f>IFERROR(VLOOKUP($B52,'PEDIDO JULIO'!$A$10:$AG$200,24,0),"0")</f>
        <v>0</v>
      </c>
      <c r="BD52" s="153">
        <f>IFERROR(VLOOKUP($B52,'[5]INSUMOS MARZO'!$A$2:$S$105,17,0),"")</f>
        <v>3811.9770000000003</v>
      </c>
      <c r="BE52" s="155">
        <f t="shared" si="17"/>
        <v>0</v>
      </c>
      <c r="BF52" s="152" t="str">
        <f>IFERROR(VLOOKUP($B52,'PEDIDO JULIO'!$A$10:$AG$200,25,0),"0")</f>
        <v>0</v>
      </c>
      <c r="BG52" s="153">
        <f>IFERROR(VLOOKUP($B52,'[5]INSUMOS MARZO'!$A$2:$S$105,17,0),"")</f>
        <v>3811.9770000000003</v>
      </c>
      <c r="BH52" s="155">
        <f t="shared" si="18"/>
        <v>0</v>
      </c>
      <c r="BI52" s="152" t="str">
        <f>IFERROR(VLOOKUP($B52,'PEDIDO JULIO'!$A$10:$AG$200,26,0),"0")</f>
        <v>0</v>
      </c>
      <c r="BJ52" s="153">
        <f>IFERROR(VLOOKUP($B52,'[5]INSUMOS MARZO'!$A$2:$S$105,17,0),"")</f>
        <v>3811.9770000000003</v>
      </c>
      <c r="BK52" s="154">
        <f t="shared" si="19"/>
        <v>0</v>
      </c>
      <c r="BL52" s="152" t="str">
        <f>IFERROR(VLOOKUP($B52,'PEDIDO JULIO'!$A$10:$AG$200,27,0),"0")</f>
        <v>0</v>
      </c>
      <c r="BM52" s="153">
        <f>IFERROR(VLOOKUP($B52,'[5]INSUMOS MARZO'!$A$2:$S$105,17,0),"")</f>
        <v>3811.9770000000003</v>
      </c>
      <c r="BN52" s="154">
        <f t="shared" si="20"/>
        <v>0</v>
      </c>
      <c r="BO52" s="152" t="str">
        <f>IFERROR(VLOOKUP($B52,'PEDIDO JULIO'!$A$10:$AG$200,28,0),"0")</f>
        <v>0</v>
      </c>
      <c r="BP52" s="153">
        <f>IFERROR(VLOOKUP($B52,'[5]INSUMOS MARZO'!$A$2:$S$105,17,0),"")</f>
        <v>3811.9770000000003</v>
      </c>
      <c r="BQ52" s="154">
        <f t="shared" si="21"/>
        <v>0</v>
      </c>
      <c r="BR52" s="152" t="str">
        <f>IFERROR(VLOOKUP($B52,'PEDIDO JULIO'!$A$10:$AG$200,29,0),"0")</f>
        <v>0</v>
      </c>
      <c r="BS52" s="153">
        <f>IFERROR(VLOOKUP($B52,'[5]INSUMOS MARZO'!$A$2:$S$105,17,0),"")</f>
        <v>3811.9770000000003</v>
      </c>
      <c r="BT52" s="155">
        <f t="shared" si="22"/>
        <v>0</v>
      </c>
      <c r="BU52" s="152" t="str">
        <f>IFERROR(VLOOKUP($B52,'PEDIDO JULIO'!$A$10:$AG$200,30,0),"0")</f>
        <v>0</v>
      </c>
      <c r="BV52" s="153">
        <f>IFERROR(VLOOKUP($B52,'[5]INSUMOS MARZO'!$A$2:$S$105,17,0),"")</f>
        <v>3811.9770000000003</v>
      </c>
      <c r="BW52" s="155">
        <f t="shared" si="23"/>
        <v>0</v>
      </c>
      <c r="BX52" s="152" t="str">
        <f>IFERROR(VLOOKUP($B52,'PEDIDO JULIO'!$A$10:$AG$200,31,0),"0")</f>
        <v>0</v>
      </c>
      <c r="BY52" s="153">
        <f>IFERROR(VLOOKUP($B52,'[5]INSUMOS MARZO'!$A$2:$S$105,17,0),"")</f>
        <v>3811.9770000000003</v>
      </c>
      <c r="BZ52" s="155">
        <f t="shared" si="24"/>
        <v>0</v>
      </c>
      <c r="CA52" s="152" t="str">
        <f>IFERROR(VLOOKUP($B52,'PEDIDO JULIO'!$A$10:$AG$200,32,0),"0")</f>
        <v>0</v>
      </c>
      <c r="CB52" s="153">
        <f>IFERROR(VLOOKUP($B52,'[5]INSUMOS MARZO'!$A$2:$S$105,17,0),"")</f>
        <v>3811.9770000000003</v>
      </c>
      <c r="CC52" s="155">
        <f t="shared" si="25"/>
        <v>0</v>
      </c>
      <c r="CD52" s="157">
        <f t="shared" si="26"/>
        <v>0</v>
      </c>
      <c r="CE52" s="158">
        <f t="shared" si="27"/>
        <v>0</v>
      </c>
      <c r="CF52" s="251">
        <f>IFERROR(VLOOKUP($B52,'MATRIZ INSUMOS '!$A$3:$P$106,16,0),"")</f>
        <v>0</v>
      </c>
      <c r="CG52" s="153">
        <f>IFERROR(VLOOKUP($B52,'[5]INSUMOS MARZO'!$A$2:$S$105,17,0),"")</f>
        <v>3811.9770000000003</v>
      </c>
      <c r="CH52" s="156">
        <f t="shared" si="28"/>
        <v>0</v>
      </c>
      <c r="CI52" s="251">
        <f>IFERROR(VLOOKUP($B52,'MATRIZ INSUMOS '!$A$3:$P$106,10,0),"")</f>
        <v>0</v>
      </c>
      <c r="CJ52" s="156">
        <f>IFERROR(VLOOKUP($B52,'[5]INSUMOS MARZO'!$A$2:$S$105,14,0),"")</f>
        <v>5422.8446999999996</v>
      </c>
      <c r="CK52" s="159">
        <f t="shared" si="29"/>
        <v>0</v>
      </c>
      <c r="CL52" s="160">
        <f t="shared" si="30"/>
        <v>0</v>
      </c>
      <c r="CM52" s="14">
        <f t="shared" si="31"/>
        <v>0</v>
      </c>
      <c r="CN52" s="14">
        <f t="shared" si="32"/>
        <v>0</v>
      </c>
      <c r="CO52" s="14">
        <f t="shared" si="33"/>
        <v>0</v>
      </c>
      <c r="CQ52" s="19">
        <f t="shared" si="34"/>
        <v>0</v>
      </c>
      <c r="CR52" s="19" t="b">
        <f t="shared" si="35"/>
        <v>1</v>
      </c>
      <c r="CS52" s="19">
        <f t="shared" si="36"/>
        <v>0</v>
      </c>
    </row>
    <row r="53" spans="1:97" ht="16.5">
      <c r="A53" s="3">
        <v>48</v>
      </c>
      <c r="B53" s="151">
        <v>103</v>
      </c>
      <c r="C53" s="4" t="s">
        <v>67</v>
      </c>
      <c r="D53" s="152">
        <f>IFERROR(VLOOKUP($B53,'[4]INSUMOS FEBRERO'!$A$2:$F$105,5,0),"")</f>
        <v>56</v>
      </c>
      <c r="E53" s="152" t="str">
        <f>IFERROR(VLOOKUP($B53,'PEDIDO JULIO'!$A$10:$AG$32,33,0),"0")</f>
        <v>0</v>
      </c>
      <c r="F53" s="152">
        <f t="shared" si="1"/>
        <v>-56</v>
      </c>
      <c r="G53" s="152" t="str">
        <f>IFERROR(VLOOKUP($B53,'PEDIDO JULIO'!$A$10:$AG$200,8,0),"0")</f>
        <v>0</v>
      </c>
      <c r="H53" s="153">
        <f>IFERROR(VLOOKUP($B53,'[5]INSUMOS MARZO'!$A$2:$S$105,17,0),"")</f>
        <v>18022.547999999999</v>
      </c>
      <c r="I53" s="154">
        <f t="shared" si="0"/>
        <v>0</v>
      </c>
      <c r="J53" s="152" t="str">
        <f>IFERROR(VLOOKUP($B53,'PEDIDO JULIO'!$A$10:$AG$200,9,0),"0")</f>
        <v>0</v>
      </c>
      <c r="K53" s="153">
        <f>IFERROR(VLOOKUP($B53,'[5]INSUMOS MARZO'!$A$2:$S$105,17,0),"")</f>
        <v>18022.547999999999</v>
      </c>
      <c r="L53" s="155">
        <f t="shared" si="2"/>
        <v>0</v>
      </c>
      <c r="M53" s="152" t="str">
        <f>IFERROR(VLOOKUP($B53,'PEDIDO JULIO'!$A$10:$AG$200,10,0),"0")</f>
        <v>0</v>
      </c>
      <c r="N53" s="153">
        <f>IFERROR(VLOOKUP($B53,'[5]INSUMOS MARZO'!$A$2:$S$105,17,0),"")</f>
        <v>18022.547999999999</v>
      </c>
      <c r="O53" s="154">
        <f t="shared" si="3"/>
        <v>0</v>
      </c>
      <c r="P53" s="152" t="str">
        <f>IFERROR(VLOOKUP($B53,'PEDIDO JULIO'!$A$10:$AG$200,11,0),"0")</f>
        <v>0</v>
      </c>
      <c r="Q53" s="153">
        <f>IFERROR(VLOOKUP($B53,'[5]INSUMOS MARZO'!$A$2:$S$105,17,0),"")</f>
        <v>18022.547999999999</v>
      </c>
      <c r="R53" s="154">
        <f t="shared" si="4"/>
        <v>0</v>
      </c>
      <c r="S53" s="152" t="str">
        <f>IFERROR(VLOOKUP($B53,'PEDIDO JULIO'!$A$10:$AG$200,12,0),"0")</f>
        <v>0</v>
      </c>
      <c r="T53" s="153">
        <f>IFERROR(VLOOKUP($B53,'[5]INSUMOS MARZO'!$A$2:$S$105,17,0),"")</f>
        <v>18022.547999999999</v>
      </c>
      <c r="U53" s="154">
        <f t="shared" si="5"/>
        <v>0</v>
      </c>
      <c r="V53" s="152" t="str">
        <f>IFERROR(VLOOKUP($B53,'PEDIDO JULIO'!$A$10:$AG$200,13,0),"0")</f>
        <v>0</v>
      </c>
      <c r="W53" s="153">
        <f>IFERROR(VLOOKUP($B53,'[5]INSUMOS MARZO'!$A$2:$S$105,17,0),"")</f>
        <v>18022.547999999999</v>
      </c>
      <c r="X53" s="154">
        <f t="shared" si="6"/>
        <v>0</v>
      </c>
      <c r="Y53" s="152" t="str">
        <f>IFERROR(VLOOKUP($B53,'PEDIDO JULIO'!$A$10:$AG$200,14,0),"0")</f>
        <v>0</v>
      </c>
      <c r="Z53" s="153">
        <f>IFERROR(VLOOKUP($B53,'[5]INSUMOS MARZO'!$A$2:$S$105,17,0),"")</f>
        <v>18022.547999999999</v>
      </c>
      <c r="AA53" s="154">
        <f t="shared" si="7"/>
        <v>0</v>
      </c>
      <c r="AB53" s="152" t="str">
        <f>IFERROR(VLOOKUP($B53,'PEDIDO JULIO'!$A$10:$AG$200,15,0),"0")</f>
        <v>0</v>
      </c>
      <c r="AC53" s="153">
        <f>IFERROR(VLOOKUP($B53,'[5]INSUMOS MARZO'!$A$2:$S$105,17,0),"")</f>
        <v>18022.547999999999</v>
      </c>
      <c r="AD53" s="154">
        <f t="shared" si="8"/>
        <v>0</v>
      </c>
      <c r="AE53" s="152" t="str">
        <f>IFERROR(VLOOKUP($B53,'PEDIDO JULIO'!$A$10:$AG$200,16,0),"0")</f>
        <v>0</v>
      </c>
      <c r="AF53" s="153">
        <f>IFERROR(VLOOKUP($B53,'[5]INSUMOS MARZO'!$A$2:$S$105,17,0),"")</f>
        <v>18022.547999999999</v>
      </c>
      <c r="AG53" s="154">
        <f t="shared" si="9"/>
        <v>0</v>
      </c>
      <c r="AH53" s="152" t="str">
        <f>IFERROR(VLOOKUP($B53,'PEDIDO JULIO'!$A$10:$AG$200,17,0),"0")</f>
        <v>0</v>
      </c>
      <c r="AI53" s="153">
        <f>IFERROR(VLOOKUP($B53,'[5]INSUMOS MARZO'!$A$2:$S$105,17,0),"")</f>
        <v>18022.547999999999</v>
      </c>
      <c r="AJ53" s="154">
        <f t="shared" si="10"/>
        <v>0</v>
      </c>
      <c r="AK53" s="152" t="str">
        <f>IFERROR(VLOOKUP($B53,'PEDIDO JULIO'!$A$10:$AG$200,18,0),"0")</f>
        <v>0</v>
      </c>
      <c r="AL53" s="153">
        <f>IFERROR(VLOOKUP($B53,'[5]INSUMOS MARZO'!$A$2:$S$105,17,0),"")</f>
        <v>18022.547999999999</v>
      </c>
      <c r="AM53" s="154">
        <f t="shared" si="11"/>
        <v>0</v>
      </c>
      <c r="AN53" s="152" t="str">
        <f>IFERROR(VLOOKUP($B53,'PEDIDO JULIO'!$A$10:$AG$200,19,0),"0")</f>
        <v>0</v>
      </c>
      <c r="AO53" s="153">
        <f>IFERROR(VLOOKUP($B53,'[5]INSUMOS MARZO'!$A$2:$S$105,17,0),"")</f>
        <v>18022.547999999999</v>
      </c>
      <c r="AP53" s="154">
        <f t="shared" si="12"/>
        <v>0</v>
      </c>
      <c r="AQ53" s="152" t="str">
        <f>IFERROR(VLOOKUP($B53,'PEDIDO JULIO'!$A$10:$AG$200,20,0),"0")</f>
        <v>0</v>
      </c>
      <c r="AR53" s="153">
        <f>IFERROR(VLOOKUP($B53,'[5]INSUMOS MARZO'!$A$2:$S$105,17,0),"")</f>
        <v>18022.547999999999</v>
      </c>
      <c r="AS53" s="154">
        <f t="shared" si="13"/>
        <v>0</v>
      </c>
      <c r="AT53" s="152" t="str">
        <f>IFERROR(VLOOKUP($B53,'PEDIDO JULIO'!$A$10:$AG$200,21,0),"0")</f>
        <v>0</v>
      </c>
      <c r="AU53" s="156">
        <f>IFERROR(VLOOKUP($B53,'[5]INSUMOS MARZO'!$A$2:$S$105,14,0),"")</f>
        <v>16220.293199999998</v>
      </c>
      <c r="AV53" s="154">
        <f t="shared" si="14"/>
        <v>0</v>
      </c>
      <c r="AW53" s="152" t="str">
        <f>IFERROR(VLOOKUP($B53,'PEDIDO JULIO'!$A$10:$AG$200,22,0),"0")</f>
        <v>0</v>
      </c>
      <c r="AX53" s="153">
        <f>IFERROR(VLOOKUP($B53,'[5]INSUMOS MARZO'!$A$2:$S$105,17,0),"")</f>
        <v>18022.547999999999</v>
      </c>
      <c r="AY53" s="154">
        <f t="shared" si="15"/>
        <v>0</v>
      </c>
      <c r="AZ53" s="152" t="str">
        <f>IFERROR(VLOOKUP($B53,'PEDIDO JULIO'!$A$10:$AG$200,23,0),"0")</f>
        <v>0</v>
      </c>
      <c r="BA53" s="153">
        <f>IFERROR(VLOOKUP($B53,'[5]INSUMOS MARZO'!$A$2:$S$105,17,0),"")</f>
        <v>18022.547999999999</v>
      </c>
      <c r="BB53" s="154">
        <f t="shared" si="16"/>
        <v>0</v>
      </c>
      <c r="BC53" s="152" t="str">
        <f>IFERROR(VLOOKUP($B53,'PEDIDO JULIO'!$A$10:$AG$200,24,0),"0")</f>
        <v>0</v>
      </c>
      <c r="BD53" s="153">
        <f>IFERROR(VLOOKUP($B53,'[5]INSUMOS MARZO'!$A$2:$S$105,17,0),"")</f>
        <v>18022.547999999999</v>
      </c>
      <c r="BE53" s="155">
        <f t="shared" si="17"/>
        <v>0</v>
      </c>
      <c r="BF53" s="152" t="str">
        <f>IFERROR(VLOOKUP($B53,'PEDIDO JULIO'!$A$10:$AG$200,25,0),"0")</f>
        <v>0</v>
      </c>
      <c r="BG53" s="153">
        <f>IFERROR(VLOOKUP($B53,'[5]INSUMOS MARZO'!$A$2:$S$105,17,0),"")</f>
        <v>18022.547999999999</v>
      </c>
      <c r="BH53" s="155">
        <f t="shared" si="18"/>
        <v>0</v>
      </c>
      <c r="BI53" s="152" t="str">
        <f>IFERROR(VLOOKUP($B53,'PEDIDO JULIO'!$A$10:$AG$200,26,0),"0")</f>
        <v>0</v>
      </c>
      <c r="BJ53" s="153">
        <f>IFERROR(VLOOKUP($B53,'[5]INSUMOS MARZO'!$A$2:$S$105,17,0),"")</f>
        <v>18022.547999999999</v>
      </c>
      <c r="BK53" s="154">
        <f t="shared" si="19"/>
        <v>0</v>
      </c>
      <c r="BL53" s="152" t="str">
        <f>IFERROR(VLOOKUP($B53,'PEDIDO JULIO'!$A$10:$AG$200,27,0),"0")</f>
        <v>0</v>
      </c>
      <c r="BM53" s="153">
        <f>IFERROR(VLOOKUP($B53,'[5]INSUMOS MARZO'!$A$2:$S$105,17,0),"")</f>
        <v>18022.547999999999</v>
      </c>
      <c r="BN53" s="154">
        <f t="shared" si="20"/>
        <v>0</v>
      </c>
      <c r="BO53" s="152" t="str">
        <f>IFERROR(VLOOKUP($B53,'PEDIDO JULIO'!$A$10:$AG$200,28,0),"0")</f>
        <v>0</v>
      </c>
      <c r="BP53" s="153">
        <f>IFERROR(VLOOKUP($B53,'[5]INSUMOS MARZO'!$A$2:$S$105,17,0),"")</f>
        <v>18022.547999999999</v>
      </c>
      <c r="BQ53" s="154">
        <f t="shared" si="21"/>
        <v>0</v>
      </c>
      <c r="BR53" s="152" t="str">
        <f>IFERROR(VLOOKUP($B53,'PEDIDO JULIO'!$A$10:$AG$200,29,0),"0")</f>
        <v>0</v>
      </c>
      <c r="BS53" s="153">
        <f>IFERROR(VLOOKUP($B53,'[5]INSUMOS MARZO'!$A$2:$S$105,17,0),"")</f>
        <v>18022.547999999999</v>
      </c>
      <c r="BT53" s="155">
        <f t="shared" si="22"/>
        <v>0</v>
      </c>
      <c r="BU53" s="152" t="str">
        <f>IFERROR(VLOOKUP($B53,'PEDIDO JULIO'!$A$10:$AG$200,30,0),"0")</f>
        <v>0</v>
      </c>
      <c r="BV53" s="153">
        <f>IFERROR(VLOOKUP($B53,'[5]INSUMOS MARZO'!$A$2:$S$105,17,0),"")</f>
        <v>18022.547999999999</v>
      </c>
      <c r="BW53" s="155">
        <f t="shared" si="23"/>
        <v>0</v>
      </c>
      <c r="BX53" s="152" t="str">
        <f>IFERROR(VLOOKUP($B53,'PEDIDO JULIO'!$A$10:$AG$200,31,0),"0")</f>
        <v>0</v>
      </c>
      <c r="BY53" s="153">
        <f>IFERROR(VLOOKUP($B53,'[5]INSUMOS MARZO'!$A$2:$S$105,17,0),"")</f>
        <v>18022.547999999999</v>
      </c>
      <c r="BZ53" s="155">
        <f t="shared" si="24"/>
        <v>0</v>
      </c>
      <c r="CA53" s="152" t="str">
        <f>IFERROR(VLOOKUP($B53,'PEDIDO JULIO'!$A$10:$AG$200,32,0),"0")</f>
        <v>0</v>
      </c>
      <c r="CB53" s="153">
        <f>IFERROR(VLOOKUP($B53,'[5]INSUMOS MARZO'!$A$2:$S$105,17,0),"")</f>
        <v>18022.547999999999</v>
      </c>
      <c r="CC53" s="155">
        <f t="shared" si="25"/>
        <v>0</v>
      </c>
      <c r="CD53" s="157">
        <f t="shared" si="26"/>
        <v>0</v>
      </c>
      <c r="CE53" s="158">
        <f t="shared" si="27"/>
        <v>0</v>
      </c>
      <c r="CF53" s="251">
        <f>IFERROR(VLOOKUP($B53,'MATRIZ INSUMOS '!$A$3:$P$106,16,0),"")</f>
        <v>0</v>
      </c>
      <c r="CG53" s="153">
        <f>IFERROR(VLOOKUP($B53,'[5]INSUMOS MARZO'!$A$2:$S$105,17,0),"")</f>
        <v>18022.547999999999</v>
      </c>
      <c r="CH53" s="156">
        <f t="shared" si="28"/>
        <v>0</v>
      </c>
      <c r="CI53" s="251">
        <f>IFERROR(VLOOKUP($B53,'MATRIZ INSUMOS '!$A$3:$P$106,10,0),"")</f>
        <v>0</v>
      </c>
      <c r="CJ53" s="156">
        <f>IFERROR(VLOOKUP($B53,'[5]INSUMOS MARZO'!$A$2:$S$105,14,0),"")</f>
        <v>16220.293199999998</v>
      </c>
      <c r="CK53" s="159">
        <f t="shared" si="29"/>
        <v>0</v>
      </c>
      <c r="CL53" s="160">
        <f t="shared" si="30"/>
        <v>0</v>
      </c>
      <c r="CM53" s="14">
        <f t="shared" si="31"/>
        <v>0</v>
      </c>
      <c r="CN53" s="14">
        <f t="shared" si="32"/>
        <v>0</v>
      </c>
      <c r="CO53" s="14">
        <f t="shared" si="33"/>
        <v>0</v>
      </c>
      <c r="CQ53" s="19">
        <f t="shared" si="34"/>
        <v>0</v>
      </c>
      <c r="CR53" s="19" t="b">
        <f t="shared" si="35"/>
        <v>1</v>
      </c>
      <c r="CS53" s="19">
        <f t="shared" si="36"/>
        <v>0</v>
      </c>
    </row>
    <row r="54" spans="1:97" ht="16.5">
      <c r="A54" s="3">
        <v>49</v>
      </c>
      <c r="B54" s="151">
        <v>104</v>
      </c>
      <c r="C54" s="4" t="s">
        <v>68</v>
      </c>
      <c r="D54" s="152">
        <f>IFERROR(VLOOKUP($B54,'[4]INSUMOS FEBRERO'!$A$2:$F$105,5,0),"")</f>
        <v>65</v>
      </c>
      <c r="E54" s="152" t="str">
        <f>IFERROR(VLOOKUP($B54,'PEDIDO JULIO'!$A$10:$AG$32,33,0),"0")</f>
        <v>0</v>
      </c>
      <c r="F54" s="152">
        <f t="shared" si="1"/>
        <v>-65</v>
      </c>
      <c r="G54" s="152" t="str">
        <f>IFERROR(VLOOKUP($B54,'PEDIDO JULIO'!$A$10:$AG$200,8,0),"0")</f>
        <v>0</v>
      </c>
      <c r="H54" s="153">
        <f>IFERROR(VLOOKUP($B54,'[5]INSUMOS MARZO'!$A$2:$S$105,17,0),"")</f>
        <v>18022.547999999999</v>
      </c>
      <c r="I54" s="154">
        <f t="shared" si="0"/>
        <v>0</v>
      </c>
      <c r="J54" s="152" t="str">
        <f>IFERROR(VLOOKUP($B54,'PEDIDO JULIO'!$A$10:$AG$200,9,0),"0")</f>
        <v>0</v>
      </c>
      <c r="K54" s="153">
        <f>IFERROR(VLOOKUP($B54,'[5]INSUMOS MARZO'!$A$2:$S$105,17,0),"")</f>
        <v>18022.547999999999</v>
      </c>
      <c r="L54" s="155">
        <f t="shared" si="2"/>
        <v>0</v>
      </c>
      <c r="M54" s="152" t="str">
        <f>IFERROR(VLOOKUP($B54,'PEDIDO JULIO'!$A$10:$AG$200,10,0),"0")</f>
        <v>0</v>
      </c>
      <c r="N54" s="153">
        <f>IFERROR(VLOOKUP($B54,'[5]INSUMOS MARZO'!$A$2:$S$105,17,0),"")</f>
        <v>18022.547999999999</v>
      </c>
      <c r="O54" s="154">
        <f t="shared" si="3"/>
        <v>0</v>
      </c>
      <c r="P54" s="152" t="str">
        <f>IFERROR(VLOOKUP($B54,'PEDIDO JULIO'!$A$10:$AG$200,11,0),"0")</f>
        <v>0</v>
      </c>
      <c r="Q54" s="153">
        <f>IFERROR(VLOOKUP($B54,'[5]INSUMOS MARZO'!$A$2:$S$105,17,0),"")</f>
        <v>18022.547999999999</v>
      </c>
      <c r="R54" s="154">
        <f t="shared" si="4"/>
        <v>0</v>
      </c>
      <c r="S54" s="152" t="str">
        <f>IFERROR(VLOOKUP($B54,'PEDIDO JULIO'!$A$10:$AG$200,12,0),"0")</f>
        <v>0</v>
      </c>
      <c r="T54" s="153">
        <f>IFERROR(VLOOKUP($B54,'[5]INSUMOS MARZO'!$A$2:$S$105,17,0),"")</f>
        <v>18022.547999999999</v>
      </c>
      <c r="U54" s="154">
        <f t="shared" si="5"/>
        <v>0</v>
      </c>
      <c r="V54" s="152" t="str">
        <f>IFERROR(VLOOKUP($B54,'PEDIDO JULIO'!$A$10:$AG$200,13,0),"0")</f>
        <v>0</v>
      </c>
      <c r="W54" s="153">
        <f>IFERROR(VLOOKUP($B54,'[5]INSUMOS MARZO'!$A$2:$S$105,17,0),"")</f>
        <v>18022.547999999999</v>
      </c>
      <c r="X54" s="154">
        <f t="shared" si="6"/>
        <v>0</v>
      </c>
      <c r="Y54" s="152" t="str">
        <f>IFERROR(VLOOKUP($B54,'PEDIDO JULIO'!$A$10:$AG$200,14,0),"0")</f>
        <v>0</v>
      </c>
      <c r="Z54" s="153">
        <f>IFERROR(VLOOKUP($B54,'[5]INSUMOS MARZO'!$A$2:$S$105,17,0),"")</f>
        <v>18022.547999999999</v>
      </c>
      <c r="AA54" s="154">
        <f t="shared" si="7"/>
        <v>0</v>
      </c>
      <c r="AB54" s="152" t="str">
        <f>IFERROR(VLOOKUP($B54,'PEDIDO JULIO'!$A$10:$AG$200,15,0),"0")</f>
        <v>0</v>
      </c>
      <c r="AC54" s="153">
        <f>IFERROR(VLOOKUP($B54,'[5]INSUMOS MARZO'!$A$2:$S$105,17,0),"")</f>
        <v>18022.547999999999</v>
      </c>
      <c r="AD54" s="154">
        <f t="shared" si="8"/>
        <v>0</v>
      </c>
      <c r="AE54" s="152" t="str">
        <f>IFERROR(VLOOKUP($B54,'PEDIDO JULIO'!$A$10:$AG$200,16,0),"0")</f>
        <v>0</v>
      </c>
      <c r="AF54" s="153">
        <f>IFERROR(VLOOKUP($B54,'[5]INSUMOS MARZO'!$A$2:$S$105,17,0),"")</f>
        <v>18022.547999999999</v>
      </c>
      <c r="AG54" s="154">
        <f t="shared" si="9"/>
        <v>0</v>
      </c>
      <c r="AH54" s="152" t="str">
        <f>IFERROR(VLOOKUP($B54,'PEDIDO JULIO'!$A$10:$AG$200,17,0),"0")</f>
        <v>0</v>
      </c>
      <c r="AI54" s="153">
        <f>IFERROR(VLOOKUP($B54,'[5]INSUMOS MARZO'!$A$2:$S$105,17,0),"")</f>
        <v>18022.547999999999</v>
      </c>
      <c r="AJ54" s="154">
        <f t="shared" si="10"/>
        <v>0</v>
      </c>
      <c r="AK54" s="152" t="str">
        <f>IFERROR(VLOOKUP($B54,'PEDIDO JULIO'!$A$10:$AG$200,18,0),"0")</f>
        <v>0</v>
      </c>
      <c r="AL54" s="153">
        <f>IFERROR(VLOOKUP($B54,'[5]INSUMOS MARZO'!$A$2:$S$105,17,0),"")</f>
        <v>18022.547999999999</v>
      </c>
      <c r="AM54" s="154">
        <f t="shared" si="11"/>
        <v>0</v>
      </c>
      <c r="AN54" s="152" t="str">
        <f>IFERROR(VLOOKUP($B54,'PEDIDO JULIO'!$A$10:$AG$200,19,0),"0")</f>
        <v>0</v>
      </c>
      <c r="AO54" s="153">
        <f>IFERROR(VLOOKUP($B54,'[5]INSUMOS MARZO'!$A$2:$S$105,17,0),"")</f>
        <v>18022.547999999999</v>
      </c>
      <c r="AP54" s="154">
        <f t="shared" si="12"/>
        <v>0</v>
      </c>
      <c r="AQ54" s="152" t="str">
        <f>IFERROR(VLOOKUP($B54,'PEDIDO JULIO'!$A$10:$AG$200,20,0),"0")</f>
        <v>0</v>
      </c>
      <c r="AR54" s="153">
        <f>IFERROR(VLOOKUP($B54,'[5]INSUMOS MARZO'!$A$2:$S$105,17,0),"")</f>
        <v>18022.547999999999</v>
      </c>
      <c r="AS54" s="154">
        <f t="shared" si="13"/>
        <v>0</v>
      </c>
      <c r="AT54" s="152" t="str">
        <f>IFERROR(VLOOKUP($B54,'PEDIDO JULIO'!$A$10:$AG$200,21,0),"0")</f>
        <v>0</v>
      </c>
      <c r="AU54" s="156">
        <f>IFERROR(VLOOKUP($B54,'[5]INSUMOS MARZO'!$A$2:$S$105,14,0),"")</f>
        <v>16220.293199999998</v>
      </c>
      <c r="AV54" s="154">
        <f t="shared" si="14"/>
        <v>0</v>
      </c>
      <c r="AW54" s="152" t="str">
        <f>IFERROR(VLOOKUP($B54,'PEDIDO JULIO'!$A$10:$AG$200,22,0),"0")</f>
        <v>0</v>
      </c>
      <c r="AX54" s="153">
        <f>IFERROR(VLOOKUP($B54,'[5]INSUMOS MARZO'!$A$2:$S$105,17,0),"")</f>
        <v>18022.547999999999</v>
      </c>
      <c r="AY54" s="154">
        <f t="shared" si="15"/>
        <v>0</v>
      </c>
      <c r="AZ54" s="152" t="str">
        <f>IFERROR(VLOOKUP($B54,'PEDIDO JULIO'!$A$10:$AG$200,23,0),"0")</f>
        <v>0</v>
      </c>
      <c r="BA54" s="153">
        <f>IFERROR(VLOOKUP($B54,'[5]INSUMOS MARZO'!$A$2:$S$105,17,0),"")</f>
        <v>18022.547999999999</v>
      </c>
      <c r="BB54" s="154">
        <f t="shared" si="16"/>
        <v>0</v>
      </c>
      <c r="BC54" s="152" t="str">
        <f>IFERROR(VLOOKUP($B54,'PEDIDO JULIO'!$A$10:$AG$200,24,0),"0")</f>
        <v>0</v>
      </c>
      <c r="BD54" s="153">
        <f>IFERROR(VLOOKUP($B54,'[5]INSUMOS MARZO'!$A$2:$S$105,17,0),"")</f>
        <v>18022.547999999999</v>
      </c>
      <c r="BE54" s="155">
        <f t="shared" si="17"/>
        <v>0</v>
      </c>
      <c r="BF54" s="152" t="str">
        <f>IFERROR(VLOOKUP($B54,'PEDIDO JULIO'!$A$10:$AG$200,25,0),"0")</f>
        <v>0</v>
      </c>
      <c r="BG54" s="153">
        <f>IFERROR(VLOOKUP($B54,'[5]INSUMOS MARZO'!$A$2:$S$105,17,0),"")</f>
        <v>18022.547999999999</v>
      </c>
      <c r="BH54" s="155">
        <f t="shared" si="18"/>
        <v>0</v>
      </c>
      <c r="BI54" s="152" t="str">
        <f>IFERROR(VLOOKUP($B54,'PEDIDO JULIO'!$A$10:$AG$200,26,0),"0")</f>
        <v>0</v>
      </c>
      <c r="BJ54" s="153">
        <f>IFERROR(VLOOKUP($B54,'[5]INSUMOS MARZO'!$A$2:$S$105,17,0),"")</f>
        <v>18022.547999999999</v>
      </c>
      <c r="BK54" s="154">
        <f t="shared" si="19"/>
        <v>0</v>
      </c>
      <c r="BL54" s="152" t="str">
        <f>IFERROR(VLOOKUP($B54,'PEDIDO JULIO'!$A$10:$AG$200,27,0),"0")</f>
        <v>0</v>
      </c>
      <c r="BM54" s="153">
        <f>IFERROR(VLOOKUP($B54,'[5]INSUMOS MARZO'!$A$2:$S$105,17,0),"")</f>
        <v>18022.547999999999</v>
      </c>
      <c r="BN54" s="154">
        <f t="shared" si="20"/>
        <v>0</v>
      </c>
      <c r="BO54" s="152" t="str">
        <f>IFERROR(VLOOKUP($B54,'PEDIDO JULIO'!$A$10:$AG$200,28,0),"0")</f>
        <v>0</v>
      </c>
      <c r="BP54" s="153">
        <f>IFERROR(VLOOKUP($B54,'[5]INSUMOS MARZO'!$A$2:$S$105,17,0),"")</f>
        <v>18022.547999999999</v>
      </c>
      <c r="BQ54" s="154">
        <f t="shared" si="21"/>
        <v>0</v>
      </c>
      <c r="BR54" s="152" t="str">
        <f>IFERROR(VLOOKUP($B54,'PEDIDO JULIO'!$A$10:$AG$200,29,0),"0")</f>
        <v>0</v>
      </c>
      <c r="BS54" s="153">
        <f>IFERROR(VLOOKUP($B54,'[5]INSUMOS MARZO'!$A$2:$S$105,17,0),"")</f>
        <v>18022.547999999999</v>
      </c>
      <c r="BT54" s="155">
        <f t="shared" si="22"/>
        <v>0</v>
      </c>
      <c r="BU54" s="152" t="str">
        <f>IFERROR(VLOOKUP($B54,'PEDIDO JULIO'!$A$10:$AG$200,30,0),"0")</f>
        <v>0</v>
      </c>
      <c r="BV54" s="153">
        <f>IFERROR(VLOOKUP($B54,'[5]INSUMOS MARZO'!$A$2:$S$105,17,0),"")</f>
        <v>18022.547999999999</v>
      </c>
      <c r="BW54" s="155">
        <f t="shared" si="23"/>
        <v>0</v>
      </c>
      <c r="BX54" s="152" t="str">
        <f>IFERROR(VLOOKUP($B54,'PEDIDO JULIO'!$A$10:$AG$200,31,0),"0")</f>
        <v>0</v>
      </c>
      <c r="BY54" s="153">
        <f>IFERROR(VLOOKUP($B54,'[5]INSUMOS MARZO'!$A$2:$S$105,17,0),"")</f>
        <v>18022.547999999999</v>
      </c>
      <c r="BZ54" s="155">
        <f t="shared" si="24"/>
        <v>0</v>
      </c>
      <c r="CA54" s="152" t="str">
        <f>IFERROR(VLOOKUP($B54,'PEDIDO JULIO'!$A$10:$AG$200,32,0),"0")</f>
        <v>0</v>
      </c>
      <c r="CB54" s="153">
        <f>IFERROR(VLOOKUP($B54,'[5]INSUMOS MARZO'!$A$2:$S$105,17,0),"")</f>
        <v>18022.547999999999</v>
      </c>
      <c r="CC54" s="155">
        <f t="shared" si="25"/>
        <v>0</v>
      </c>
      <c r="CD54" s="157">
        <f t="shared" si="26"/>
        <v>0</v>
      </c>
      <c r="CE54" s="158">
        <f t="shared" si="27"/>
        <v>0</v>
      </c>
      <c r="CF54" s="251">
        <f>IFERROR(VLOOKUP($B54,'MATRIZ INSUMOS '!$A$3:$P$106,16,0),"")</f>
        <v>0</v>
      </c>
      <c r="CG54" s="153">
        <f>IFERROR(VLOOKUP($B54,'[5]INSUMOS MARZO'!$A$2:$S$105,17,0),"")</f>
        <v>18022.547999999999</v>
      </c>
      <c r="CH54" s="156">
        <f t="shared" si="28"/>
        <v>0</v>
      </c>
      <c r="CI54" s="251">
        <f>IFERROR(VLOOKUP($B54,'MATRIZ INSUMOS '!$A$3:$P$106,10,0),"")</f>
        <v>0</v>
      </c>
      <c r="CJ54" s="156">
        <f>IFERROR(VLOOKUP($B54,'[5]INSUMOS MARZO'!$A$2:$S$105,14,0),"")</f>
        <v>16220.293199999998</v>
      </c>
      <c r="CK54" s="159">
        <f t="shared" si="29"/>
        <v>0</v>
      </c>
      <c r="CL54" s="160">
        <f t="shared" si="30"/>
        <v>0</v>
      </c>
      <c r="CM54" s="14">
        <f t="shared" si="31"/>
        <v>0</v>
      </c>
      <c r="CN54" s="14">
        <f t="shared" si="32"/>
        <v>0</v>
      </c>
      <c r="CO54" s="14">
        <f t="shared" si="33"/>
        <v>0</v>
      </c>
      <c r="CQ54" s="19">
        <f t="shared" si="34"/>
        <v>0</v>
      </c>
      <c r="CR54" s="19" t="b">
        <f t="shared" si="35"/>
        <v>1</v>
      </c>
      <c r="CS54" s="19">
        <f t="shared" si="36"/>
        <v>0</v>
      </c>
    </row>
    <row r="55" spans="1:97" ht="16.5">
      <c r="A55" s="3">
        <v>50</v>
      </c>
      <c r="B55" s="151">
        <v>105</v>
      </c>
      <c r="C55" s="4" t="s">
        <v>69</v>
      </c>
      <c r="D55" s="152">
        <f>IFERROR(VLOOKUP($B55,'[4]INSUMOS FEBRERO'!$A$2:$F$105,5,0),"")</f>
        <v>25</v>
      </c>
      <c r="E55" s="152" t="str">
        <f>IFERROR(VLOOKUP($B55,'PEDIDO JULIO'!$A$10:$AG$32,33,0),"0")</f>
        <v>0</v>
      </c>
      <c r="F55" s="152">
        <f t="shared" si="1"/>
        <v>-25</v>
      </c>
      <c r="G55" s="152" t="str">
        <f>IFERROR(VLOOKUP($B55,'PEDIDO JULIO'!$A$10:$AG$200,8,0),"0")</f>
        <v>0</v>
      </c>
      <c r="H55" s="153">
        <f>IFERROR(VLOOKUP($B55,'[5]INSUMOS MARZO'!$A$2:$S$105,17,0),"")</f>
        <v>27641.3</v>
      </c>
      <c r="I55" s="154">
        <f t="shared" si="0"/>
        <v>0</v>
      </c>
      <c r="J55" s="152" t="str">
        <f>IFERROR(VLOOKUP($B55,'PEDIDO JULIO'!$A$10:$AG$200,9,0),"0")</f>
        <v>0</v>
      </c>
      <c r="K55" s="153">
        <f>IFERROR(VLOOKUP($B55,'[5]INSUMOS MARZO'!$A$2:$S$105,17,0),"")</f>
        <v>27641.3</v>
      </c>
      <c r="L55" s="155">
        <f t="shared" si="2"/>
        <v>0</v>
      </c>
      <c r="M55" s="152" t="str">
        <f>IFERROR(VLOOKUP($B55,'PEDIDO JULIO'!$A$10:$AG$200,10,0),"0")</f>
        <v>0</v>
      </c>
      <c r="N55" s="153">
        <f>IFERROR(VLOOKUP($B55,'[5]INSUMOS MARZO'!$A$2:$S$105,17,0),"")</f>
        <v>27641.3</v>
      </c>
      <c r="O55" s="154">
        <f t="shared" si="3"/>
        <v>0</v>
      </c>
      <c r="P55" s="152" t="str">
        <f>IFERROR(VLOOKUP($B55,'PEDIDO JULIO'!$A$10:$AG$200,11,0),"0")</f>
        <v>0</v>
      </c>
      <c r="Q55" s="153">
        <f>IFERROR(VLOOKUP($B55,'[5]INSUMOS MARZO'!$A$2:$S$105,17,0),"")</f>
        <v>27641.3</v>
      </c>
      <c r="R55" s="154">
        <f t="shared" si="4"/>
        <v>0</v>
      </c>
      <c r="S55" s="152" t="str">
        <f>IFERROR(VLOOKUP($B55,'PEDIDO JULIO'!$A$10:$AG$200,12,0),"0")</f>
        <v>0</v>
      </c>
      <c r="T55" s="153">
        <f>IFERROR(VLOOKUP($B55,'[5]INSUMOS MARZO'!$A$2:$S$105,17,0),"")</f>
        <v>27641.3</v>
      </c>
      <c r="U55" s="154">
        <f t="shared" si="5"/>
        <v>0</v>
      </c>
      <c r="V55" s="152" t="str">
        <f>IFERROR(VLOOKUP($B55,'PEDIDO JULIO'!$A$10:$AG$200,13,0),"0")</f>
        <v>0</v>
      </c>
      <c r="W55" s="153">
        <f>IFERROR(VLOOKUP($B55,'[5]INSUMOS MARZO'!$A$2:$S$105,17,0),"")</f>
        <v>27641.3</v>
      </c>
      <c r="X55" s="154">
        <f t="shared" si="6"/>
        <v>0</v>
      </c>
      <c r="Y55" s="152" t="str">
        <f>IFERROR(VLOOKUP($B55,'PEDIDO JULIO'!$A$10:$AG$200,14,0),"0")</f>
        <v>0</v>
      </c>
      <c r="Z55" s="153">
        <f>IFERROR(VLOOKUP($B55,'[5]INSUMOS MARZO'!$A$2:$S$105,17,0),"")</f>
        <v>27641.3</v>
      </c>
      <c r="AA55" s="154">
        <f t="shared" si="7"/>
        <v>0</v>
      </c>
      <c r="AB55" s="152" t="str">
        <f>IFERROR(VLOOKUP($B55,'PEDIDO JULIO'!$A$10:$AG$200,15,0),"0")</f>
        <v>0</v>
      </c>
      <c r="AC55" s="153">
        <f>IFERROR(VLOOKUP($B55,'[5]INSUMOS MARZO'!$A$2:$S$105,17,0),"")</f>
        <v>27641.3</v>
      </c>
      <c r="AD55" s="154">
        <f t="shared" si="8"/>
        <v>0</v>
      </c>
      <c r="AE55" s="152" t="str">
        <f>IFERROR(VLOOKUP($B55,'PEDIDO JULIO'!$A$10:$AG$200,16,0),"0")</f>
        <v>0</v>
      </c>
      <c r="AF55" s="153">
        <f>IFERROR(VLOOKUP($B55,'[5]INSUMOS MARZO'!$A$2:$S$105,17,0),"")</f>
        <v>27641.3</v>
      </c>
      <c r="AG55" s="154">
        <f t="shared" si="9"/>
        <v>0</v>
      </c>
      <c r="AH55" s="152" t="str">
        <f>IFERROR(VLOOKUP($B55,'PEDIDO JULIO'!$A$10:$AG$200,17,0),"0")</f>
        <v>0</v>
      </c>
      <c r="AI55" s="153">
        <f>IFERROR(VLOOKUP($B55,'[5]INSUMOS MARZO'!$A$2:$S$105,17,0),"")</f>
        <v>27641.3</v>
      </c>
      <c r="AJ55" s="154">
        <f t="shared" si="10"/>
        <v>0</v>
      </c>
      <c r="AK55" s="152" t="str">
        <f>IFERROR(VLOOKUP($B55,'PEDIDO JULIO'!$A$10:$AG$200,18,0),"0")</f>
        <v>0</v>
      </c>
      <c r="AL55" s="153">
        <f>IFERROR(VLOOKUP($B55,'[5]INSUMOS MARZO'!$A$2:$S$105,17,0),"")</f>
        <v>27641.3</v>
      </c>
      <c r="AM55" s="154">
        <f t="shared" si="11"/>
        <v>0</v>
      </c>
      <c r="AN55" s="152" t="str">
        <f>IFERROR(VLOOKUP($B55,'PEDIDO JULIO'!$A$10:$AG$200,19,0),"0")</f>
        <v>0</v>
      </c>
      <c r="AO55" s="153">
        <f>IFERROR(VLOOKUP($B55,'[5]INSUMOS MARZO'!$A$2:$S$105,17,0),"")</f>
        <v>27641.3</v>
      </c>
      <c r="AP55" s="154">
        <f t="shared" si="12"/>
        <v>0</v>
      </c>
      <c r="AQ55" s="152" t="str">
        <f>IFERROR(VLOOKUP($B55,'PEDIDO JULIO'!$A$10:$AG$200,20,0),"0")</f>
        <v>0</v>
      </c>
      <c r="AR55" s="153">
        <f>IFERROR(VLOOKUP($B55,'[5]INSUMOS MARZO'!$A$2:$S$105,17,0),"")</f>
        <v>27641.3</v>
      </c>
      <c r="AS55" s="154">
        <f t="shared" si="13"/>
        <v>0</v>
      </c>
      <c r="AT55" s="152" t="str">
        <f>IFERROR(VLOOKUP($B55,'PEDIDO JULIO'!$A$10:$AG$200,21,0),"0")</f>
        <v>0</v>
      </c>
      <c r="AU55" s="156">
        <f>IFERROR(VLOOKUP($B55,'[5]INSUMOS MARZO'!$A$2:$S$105,14,0),"")</f>
        <v>27265.567500000001</v>
      </c>
      <c r="AV55" s="154">
        <f t="shared" si="14"/>
        <v>0</v>
      </c>
      <c r="AW55" s="152" t="str">
        <f>IFERROR(VLOOKUP($B55,'PEDIDO JULIO'!$A$10:$AG$200,22,0),"0")</f>
        <v>0</v>
      </c>
      <c r="AX55" s="153">
        <f>IFERROR(VLOOKUP($B55,'[5]INSUMOS MARZO'!$A$2:$S$105,17,0),"")</f>
        <v>27641.3</v>
      </c>
      <c r="AY55" s="154">
        <f t="shared" si="15"/>
        <v>0</v>
      </c>
      <c r="AZ55" s="152" t="str">
        <f>IFERROR(VLOOKUP($B55,'PEDIDO JULIO'!$A$10:$AG$200,23,0),"0")</f>
        <v>0</v>
      </c>
      <c r="BA55" s="153">
        <f>IFERROR(VLOOKUP($B55,'[5]INSUMOS MARZO'!$A$2:$S$105,17,0),"")</f>
        <v>27641.3</v>
      </c>
      <c r="BB55" s="154">
        <f t="shared" si="16"/>
        <v>0</v>
      </c>
      <c r="BC55" s="152" t="str">
        <f>IFERROR(VLOOKUP($B55,'PEDIDO JULIO'!$A$10:$AG$200,24,0),"0")</f>
        <v>0</v>
      </c>
      <c r="BD55" s="153">
        <f>IFERROR(VLOOKUP($B55,'[5]INSUMOS MARZO'!$A$2:$S$105,17,0),"")</f>
        <v>27641.3</v>
      </c>
      <c r="BE55" s="155">
        <f t="shared" si="17"/>
        <v>0</v>
      </c>
      <c r="BF55" s="152" t="str">
        <f>IFERROR(VLOOKUP($B55,'PEDIDO JULIO'!$A$10:$AG$200,25,0),"0")</f>
        <v>0</v>
      </c>
      <c r="BG55" s="153">
        <f>IFERROR(VLOOKUP($B55,'[5]INSUMOS MARZO'!$A$2:$S$105,17,0),"")</f>
        <v>27641.3</v>
      </c>
      <c r="BH55" s="155">
        <f t="shared" si="18"/>
        <v>0</v>
      </c>
      <c r="BI55" s="152" t="str">
        <f>IFERROR(VLOOKUP($B55,'PEDIDO JULIO'!$A$10:$AG$200,26,0),"0")</f>
        <v>0</v>
      </c>
      <c r="BJ55" s="153">
        <f>IFERROR(VLOOKUP($B55,'[5]INSUMOS MARZO'!$A$2:$S$105,17,0),"")</f>
        <v>27641.3</v>
      </c>
      <c r="BK55" s="154">
        <f t="shared" si="19"/>
        <v>0</v>
      </c>
      <c r="BL55" s="152" t="str">
        <f>IFERROR(VLOOKUP($B55,'PEDIDO JULIO'!$A$10:$AG$200,27,0),"0")</f>
        <v>0</v>
      </c>
      <c r="BM55" s="153">
        <f>IFERROR(VLOOKUP($B55,'[5]INSUMOS MARZO'!$A$2:$S$105,17,0),"")</f>
        <v>27641.3</v>
      </c>
      <c r="BN55" s="154">
        <f t="shared" si="20"/>
        <v>0</v>
      </c>
      <c r="BO55" s="152" t="str">
        <f>IFERROR(VLOOKUP($B55,'PEDIDO JULIO'!$A$10:$AG$200,28,0),"0")</f>
        <v>0</v>
      </c>
      <c r="BP55" s="153">
        <f>IFERROR(VLOOKUP($B55,'[5]INSUMOS MARZO'!$A$2:$S$105,17,0),"")</f>
        <v>27641.3</v>
      </c>
      <c r="BQ55" s="154">
        <f t="shared" si="21"/>
        <v>0</v>
      </c>
      <c r="BR55" s="152" t="str">
        <f>IFERROR(VLOOKUP($B55,'PEDIDO JULIO'!$A$10:$AG$200,29,0),"0")</f>
        <v>0</v>
      </c>
      <c r="BS55" s="153">
        <f>IFERROR(VLOOKUP($B55,'[5]INSUMOS MARZO'!$A$2:$S$105,17,0),"")</f>
        <v>27641.3</v>
      </c>
      <c r="BT55" s="155">
        <f t="shared" si="22"/>
        <v>0</v>
      </c>
      <c r="BU55" s="152" t="str">
        <f>IFERROR(VLOOKUP($B55,'PEDIDO JULIO'!$A$10:$AG$200,30,0),"0")</f>
        <v>0</v>
      </c>
      <c r="BV55" s="153">
        <f>IFERROR(VLOOKUP($B55,'[5]INSUMOS MARZO'!$A$2:$S$105,17,0),"")</f>
        <v>27641.3</v>
      </c>
      <c r="BW55" s="155">
        <f t="shared" si="23"/>
        <v>0</v>
      </c>
      <c r="BX55" s="152" t="str">
        <f>IFERROR(VLOOKUP($B55,'PEDIDO JULIO'!$A$10:$AG$200,31,0),"0")</f>
        <v>0</v>
      </c>
      <c r="BY55" s="153">
        <f>IFERROR(VLOOKUP($B55,'[5]INSUMOS MARZO'!$A$2:$S$105,17,0),"")</f>
        <v>27641.3</v>
      </c>
      <c r="BZ55" s="155">
        <f t="shared" si="24"/>
        <v>0</v>
      </c>
      <c r="CA55" s="152" t="str">
        <f>IFERROR(VLOOKUP($B55,'PEDIDO JULIO'!$A$10:$AG$200,32,0),"0")</f>
        <v>0</v>
      </c>
      <c r="CB55" s="153">
        <f>IFERROR(VLOOKUP($B55,'[5]INSUMOS MARZO'!$A$2:$S$105,17,0),"")</f>
        <v>27641.3</v>
      </c>
      <c r="CC55" s="155">
        <f t="shared" si="25"/>
        <v>0</v>
      </c>
      <c r="CD55" s="157">
        <f t="shared" si="26"/>
        <v>0</v>
      </c>
      <c r="CE55" s="158">
        <f t="shared" si="27"/>
        <v>0</v>
      </c>
      <c r="CF55" s="251">
        <f>IFERROR(VLOOKUP($B55,'MATRIZ INSUMOS '!$A$3:$P$106,16,0),"")</f>
        <v>0</v>
      </c>
      <c r="CG55" s="153">
        <f>IFERROR(VLOOKUP($B55,'[5]INSUMOS MARZO'!$A$2:$S$105,17,0),"")</f>
        <v>27641.3</v>
      </c>
      <c r="CH55" s="156">
        <f t="shared" si="28"/>
        <v>0</v>
      </c>
      <c r="CI55" s="251">
        <f>IFERROR(VLOOKUP($B55,'MATRIZ INSUMOS '!$A$3:$P$106,10,0),"")</f>
        <v>0</v>
      </c>
      <c r="CJ55" s="156">
        <f>IFERROR(VLOOKUP($B55,'[5]INSUMOS MARZO'!$A$2:$S$105,14,0),"")</f>
        <v>27265.567500000001</v>
      </c>
      <c r="CK55" s="159">
        <f t="shared" si="29"/>
        <v>0</v>
      </c>
      <c r="CL55" s="160">
        <f t="shared" si="30"/>
        <v>0</v>
      </c>
      <c r="CM55" s="14">
        <f t="shared" si="31"/>
        <v>0</v>
      </c>
      <c r="CN55" s="14">
        <f t="shared" si="32"/>
        <v>0</v>
      </c>
      <c r="CO55" s="14">
        <f t="shared" si="33"/>
        <v>0</v>
      </c>
      <c r="CQ55" s="19">
        <f t="shared" si="34"/>
        <v>0</v>
      </c>
      <c r="CR55" s="19" t="b">
        <f t="shared" si="35"/>
        <v>1</v>
      </c>
      <c r="CS55" s="19">
        <f t="shared" si="36"/>
        <v>0</v>
      </c>
    </row>
    <row r="56" spans="1:97" ht="16.5">
      <c r="A56" s="3">
        <v>51</v>
      </c>
      <c r="B56" s="151">
        <v>106</v>
      </c>
      <c r="C56" s="4" t="s">
        <v>70</v>
      </c>
      <c r="D56" s="152">
        <f>IFERROR(VLOOKUP($B56,'[4]INSUMOS FEBRERO'!$A$2:$F$105,5,0),"")</f>
        <v>25</v>
      </c>
      <c r="E56" s="152" t="str">
        <f>IFERROR(VLOOKUP($B56,'PEDIDO JULIO'!$A$10:$AG$32,33,0),"0")</f>
        <v>0</v>
      </c>
      <c r="F56" s="152">
        <f t="shared" si="1"/>
        <v>-25</v>
      </c>
      <c r="G56" s="152" t="str">
        <f>IFERROR(VLOOKUP($B56,'PEDIDO JULIO'!$A$10:$AG$200,8,0),"0")</f>
        <v>0</v>
      </c>
      <c r="H56" s="153">
        <f>IFERROR(VLOOKUP($B56,'[5]INSUMOS MARZO'!$A$2:$S$105,17,0),"")</f>
        <v>0</v>
      </c>
      <c r="I56" s="154">
        <f t="shared" si="0"/>
        <v>0</v>
      </c>
      <c r="J56" s="152" t="str">
        <f>IFERROR(VLOOKUP($B56,'PEDIDO JULIO'!$A$10:$AG$200,9,0),"0")</f>
        <v>0</v>
      </c>
      <c r="K56" s="153">
        <f>IFERROR(VLOOKUP($B56,'[5]INSUMOS MARZO'!$A$2:$S$105,17,0),"")</f>
        <v>0</v>
      </c>
      <c r="L56" s="155">
        <f t="shared" si="2"/>
        <v>0</v>
      </c>
      <c r="M56" s="152" t="str">
        <f>IFERROR(VLOOKUP($B56,'PEDIDO JULIO'!$A$10:$AG$200,10,0),"0")</f>
        <v>0</v>
      </c>
      <c r="N56" s="153">
        <f>IFERROR(VLOOKUP($B56,'[5]INSUMOS MARZO'!$A$2:$S$105,17,0),"")</f>
        <v>0</v>
      </c>
      <c r="O56" s="154">
        <f t="shared" si="3"/>
        <v>0</v>
      </c>
      <c r="P56" s="152" t="str">
        <f>IFERROR(VLOOKUP($B56,'PEDIDO JULIO'!$A$10:$AG$200,11,0),"0")</f>
        <v>0</v>
      </c>
      <c r="Q56" s="153">
        <f>IFERROR(VLOOKUP($B56,'[5]INSUMOS MARZO'!$A$2:$S$105,17,0),"")</f>
        <v>0</v>
      </c>
      <c r="R56" s="154">
        <f t="shared" si="4"/>
        <v>0</v>
      </c>
      <c r="S56" s="152" t="str">
        <f>IFERROR(VLOOKUP($B56,'PEDIDO JULIO'!$A$10:$AG$200,12,0),"0")</f>
        <v>0</v>
      </c>
      <c r="T56" s="153">
        <f>IFERROR(VLOOKUP($B56,'[5]INSUMOS MARZO'!$A$2:$S$105,17,0),"")</f>
        <v>0</v>
      </c>
      <c r="U56" s="154">
        <f t="shared" si="5"/>
        <v>0</v>
      </c>
      <c r="V56" s="152" t="str">
        <f>IFERROR(VLOOKUP($B56,'PEDIDO JULIO'!$A$10:$AG$200,13,0),"0")</f>
        <v>0</v>
      </c>
      <c r="W56" s="153">
        <f>IFERROR(VLOOKUP($B56,'[5]INSUMOS MARZO'!$A$2:$S$105,17,0),"")</f>
        <v>0</v>
      </c>
      <c r="X56" s="154">
        <f t="shared" si="6"/>
        <v>0</v>
      </c>
      <c r="Y56" s="152" t="str">
        <f>IFERROR(VLOOKUP($B56,'PEDIDO JULIO'!$A$10:$AG$200,14,0),"0")</f>
        <v>0</v>
      </c>
      <c r="Z56" s="153">
        <f>IFERROR(VLOOKUP($B56,'[5]INSUMOS MARZO'!$A$2:$S$105,17,0),"")</f>
        <v>0</v>
      </c>
      <c r="AA56" s="154">
        <f t="shared" si="7"/>
        <v>0</v>
      </c>
      <c r="AB56" s="152" t="str">
        <f>IFERROR(VLOOKUP($B56,'PEDIDO JULIO'!$A$10:$AG$200,15,0),"0")</f>
        <v>0</v>
      </c>
      <c r="AC56" s="153">
        <f>IFERROR(VLOOKUP($B56,'[5]INSUMOS MARZO'!$A$2:$S$105,17,0),"")</f>
        <v>0</v>
      </c>
      <c r="AD56" s="154">
        <f t="shared" si="8"/>
        <v>0</v>
      </c>
      <c r="AE56" s="152" t="str">
        <f>IFERROR(VLOOKUP($B56,'PEDIDO JULIO'!$A$10:$AG$200,16,0),"0")</f>
        <v>0</v>
      </c>
      <c r="AF56" s="153">
        <f>IFERROR(VLOOKUP($B56,'[5]INSUMOS MARZO'!$A$2:$S$105,17,0),"")</f>
        <v>0</v>
      </c>
      <c r="AG56" s="154">
        <f t="shared" si="9"/>
        <v>0</v>
      </c>
      <c r="AH56" s="152" t="str">
        <f>IFERROR(VLOOKUP($B56,'PEDIDO JULIO'!$A$10:$AG$200,17,0),"0")</f>
        <v>0</v>
      </c>
      <c r="AI56" s="153">
        <f>IFERROR(VLOOKUP($B56,'[5]INSUMOS MARZO'!$A$2:$S$105,17,0),"")</f>
        <v>0</v>
      </c>
      <c r="AJ56" s="154">
        <f t="shared" si="10"/>
        <v>0</v>
      </c>
      <c r="AK56" s="152" t="str">
        <f>IFERROR(VLOOKUP($B56,'PEDIDO JULIO'!$A$10:$AG$200,18,0),"0")</f>
        <v>0</v>
      </c>
      <c r="AL56" s="153">
        <f>IFERROR(VLOOKUP($B56,'[5]INSUMOS MARZO'!$A$2:$S$105,17,0),"")</f>
        <v>0</v>
      </c>
      <c r="AM56" s="154">
        <f t="shared" si="11"/>
        <v>0</v>
      </c>
      <c r="AN56" s="152" t="str">
        <f>IFERROR(VLOOKUP($B56,'PEDIDO JULIO'!$A$10:$AG$200,19,0),"0")</f>
        <v>0</v>
      </c>
      <c r="AO56" s="153">
        <f>IFERROR(VLOOKUP($B56,'[5]INSUMOS MARZO'!$A$2:$S$105,17,0),"")</f>
        <v>0</v>
      </c>
      <c r="AP56" s="154">
        <f t="shared" si="12"/>
        <v>0</v>
      </c>
      <c r="AQ56" s="152" t="str">
        <f>IFERROR(VLOOKUP($B56,'PEDIDO JULIO'!$A$10:$AG$200,20,0),"0")</f>
        <v>0</v>
      </c>
      <c r="AR56" s="153">
        <f>IFERROR(VLOOKUP($B56,'[5]INSUMOS MARZO'!$A$2:$S$105,17,0),"")</f>
        <v>0</v>
      </c>
      <c r="AS56" s="154">
        <f t="shared" si="13"/>
        <v>0</v>
      </c>
      <c r="AT56" s="152" t="str">
        <f>IFERROR(VLOOKUP($B56,'PEDIDO JULIO'!$A$10:$AG$200,21,0),"0")</f>
        <v>0</v>
      </c>
      <c r="AU56" s="156">
        <f>IFERROR(VLOOKUP($B56,'[5]INSUMOS MARZO'!$A$2:$S$105,14,0),"")</f>
        <v>27265.567500000001</v>
      </c>
      <c r="AV56" s="154">
        <f t="shared" si="14"/>
        <v>0</v>
      </c>
      <c r="AW56" s="152" t="str">
        <f>IFERROR(VLOOKUP($B56,'PEDIDO JULIO'!$A$10:$AG$200,22,0),"0")</f>
        <v>0</v>
      </c>
      <c r="AX56" s="153">
        <f>IFERROR(VLOOKUP($B56,'[5]INSUMOS MARZO'!$A$2:$S$105,17,0),"")</f>
        <v>0</v>
      </c>
      <c r="AY56" s="154">
        <f t="shared" si="15"/>
        <v>0</v>
      </c>
      <c r="AZ56" s="152" t="str">
        <f>IFERROR(VLOOKUP($B56,'PEDIDO JULIO'!$A$10:$AG$200,23,0),"0")</f>
        <v>0</v>
      </c>
      <c r="BA56" s="153">
        <f>IFERROR(VLOOKUP($B56,'[5]INSUMOS MARZO'!$A$2:$S$105,17,0),"")</f>
        <v>0</v>
      </c>
      <c r="BB56" s="154">
        <f t="shared" si="16"/>
        <v>0</v>
      </c>
      <c r="BC56" s="152" t="str">
        <f>IFERROR(VLOOKUP($B56,'PEDIDO JULIO'!$A$10:$AG$200,24,0),"0")</f>
        <v>0</v>
      </c>
      <c r="BD56" s="153">
        <f>IFERROR(VLOOKUP($B56,'[5]INSUMOS MARZO'!$A$2:$S$105,17,0),"")</f>
        <v>0</v>
      </c>
      <c r="BE56" s="155">
        <f t="shared" si="17"/>
        <v>0</v>
      </c>
      <c r="BF56" s="152" t="str">
        <f>IFERROR(VLOOKUP($B56,'PEDIDO JULIO'!$A$10:$AG$200,25,0),"0")</f>
        <v>0</v>
      </c>
      <c r="BG56" s="153">
        <f>IFERROR(VLOOKUP($B56,'[5]INSUMOS MARZO'!$A$2:$S$105,17,0),"")</f>
        <v>0</v>
      </c>
      <c r="BH56" s="155">
        <f t="shared" si="18"/>
        <v>0</v>
      </c>
      <c r="BI56" s="152" t="str">
        <f>IFERROR(VLOOKUP($B56,'PEDIDO JULIO'!$A$10:$AG$200,26,0),"0")</f>
        <v>0</v>
      </c>
      <c r="BJ56" s="153">
        <f>IFERROR(VLOOKUP($B56,'[5]INSUMOS MARZO'!$A$2:$S$105,17,0),"")</f>
        <v>0</v>
      </c>
      <c r="BK56" s="154">
        <f t="shared" si="19"/>
        <v>0</v>
      </c>
      <c r="BL56" s="152" t="str">
        <f>IFERROR(VLOOKUP($B56,'PEDIDO JULIO'!$A$10:$AG$200,27,0),"0")</f>
        <v>0</v>
      </c>
      <c r="BM56" s="153">
        <f>IFERROR(VLOOKUP($B56,'[5]INSUMOS MARZO'!$A$2:$S$105,17,0),"")</f>
        <v>0</v>
      </c>
      <c r="BN56" s="154">
        <f t="shared" si="20"/>
        <v>0</v>
      </c>
      <c r="BO56" s="152" t="str">
        <f>IFERROR(VLOOKUP($B56,'PEDIDO JULIO'!$A$10:$AG$200,28,0),"0")</f>
        <v>0</v>
      </c>
      <c r="BP56" s="153">
        <f>IFERROR(VLOOKUP($B56,'[5]INSUMOS MARZO'!$A$2:$S$105,17,0),"")</f>
        <v>0</v>
      </c>
      <c r="BQ56" s="154">
        <f t="shared" si="21"/>
        <v>0</v>
      </c>
      <c r="BR56" s="152" t="str">
        <f>IFERROR(VLOOKUP($B56,'PEDIDO JULIO'!$A$10:$AG$200,29,0),"0")</f>
        <v>0</v>
      </c>
      <c r="BS56" s="153">
        <f>IFERROR(VLOOKUP($B56,'[5]INSUMOS MARZO'!$A$2:$S$105,17,0),"")</f>
        <v>0</v>
      </c>
      <c r="BT56" s="155">
        <f t="shared" si="22"/>
        <v>0</v>
      </c>
      <c r="BU56" s="152" t="str">
        <f>IFERROR(VLOOKUP($B56,'PEDIDO JULIO'!$A$10:$AG$200,30,0),"0")</f>
        <v>0</v>
      </c>
      <c r="BV56" s="153">
        <f>IFERROR(VLOOKUP($B56,'[5]INSUMOS MARZO'!$A$2:$S$105,17,0),"")</f>
        <v>0</v>
      </c>
      <c r="BW56" s="155">
        <f t="shared" si="23"/>
        <v>0</v>
      </c>
      <c r="BX56" s="152" t="str">
        <f>IFERROR(VLOOKUP($B56,'PEDIDO JULIO'!$A$10:$AG$200,31,0),"0")</f>
        <v>0</v>
      </c>
      <c r="BY56" s="153">
        <f>IFERROR(VLOOKUP($B56,'[5]INSUMOS MARZO'!$A$2:$S$105,17,0),"")</f>
        <v>0</v>
      </c>
      <c r="BZ56" s="155">
        <f t="shared" si="24"/>
        <v>0</v>
      </c>
      <c r="CA56" s="152" t="str">
        <f>IFERROR(VLOOKUP($B56,'PEDIDO JULIO'!$A$10:$AG$200,32,0),"0")</f>
        <v>0</v>
      </c>
      <c r="CB56" s="153">
        <f>IFERROR(VLOOKUP($B56,'[5]INSUMOS MARZO'!$A$2:$S$105,17,0),"")</f>
        <v>0</v>
      </c>
      <c r="CC56" s="155">
        <f t="shared" si="25"/>
        <v>0</v>
      </c>
      <c r="CD56" s="157">
        <f t="shared" si="26"/>
        <v>0</v>
      </c>
      <c r="CE56" s="158">
        <f t="shared" si="27"/>
        <v>0</v>
      </c>
      <c r="CF56" s="251">
        <f>IFERROR(VLOOKUP($B56,'MATRIZ INSUMOS '!$A$3:$P$106,16,0),"")</f>
        <v>0</v>
      </c>
      <c r="CG56" s="153">
        <f>IFERROR(VLOOKUP($B56,'[5]INSUMOS MARZO'!$A$2:$S$105,17,0),"")</f>
        <v>0</v>
      </c>
      <c r="CH56" s="156">
        <f t="shared" si="28"/>
        <v>0</v>
      </c>
      <c r="CI56" s="251">
        <f>IFERROR(VLOOKUP($B56,'MATRIZ INSUMOS '!$A$3:$P$106,10,0),"")</f>
        <v>0</v>
      </c>
      <c r="CJ56" s="156">
        <f>IFERROR(VLOOKUP($B56,'[5]INSUMOS MARZO'!$A$2:$S$105,14,0),"")</f>
        <v>27265.567500000001</v>
      </c>
      <c r="CK56" s="159">
        <f t="shared" si="29"/>
        <v>0</v>
      </c>
      <c r="CL56" s="160">
        <f t="shared" si="30"/>
        <v>0</v>
      </c>
      <c r="CM56" s="14">
        <f t="shared" si="31"/>
        <v>0</v>
      </c>
      <c r="CN56" s="14">
        <f t="shared" si="32"/>
        <v>0</v>
      </c>
      <c r="CO56" s="14">
        <f t="shared" si="33"/>
        <v>0</v>
      </c>
      <c r="CQ56" s="19">
        <f t="shared" si="34"/>
        <v>0</v>
      </c>
      <c r="CR56" s="19" t="b">
        <f t="shared" si="35"/>
        <v>1</v>
      </c>
      <c r="CS56" s="19">
        <f t="shared" si="36"/>
        <v>0</v>
      </c>
    </row>
    <row r="57" spans="1:97" ht="16.5">
      <c r="A57" s="3">
        <v>52</v>
      </c>
      <c r="B57" s="151">
        <v>108</v>
      </c>
      <c r="C57" s="4" t="s">
        <v>71</v>
      </c>
      <c r="D57" s="152">
        <f>IFERROR(VLOOKUP($B57,'[4]INSUMOS FEBRERO'!$A$2:$F$105,5,0),"")</f>
        <v>20</v>
      </c>
      <c r="E57" s="152" t="str">
        <f>IFERROR(VLOOKUP($B57,'PEDIDO JULIO'!$A$10:$AG$32,33,0),"0")</f>
        <v>0</v>
      </c>
      <c r="F57" s="152">
        <f t="shared" si="1"/>
        <v>-20</v>
      </c>
      <c r="G57" s="152" t="str">
        <f>IFERROR(VLOOKUP($B57,'PEDIDO JULIO'!$A$10:$AG$200,8,0),"0")</f>
        <v>0</v>
      </c>
      <c r="H57" s="153">
        <f>IFERROR(VLOOKUP($B57,'[5]INSUMOS MARZO'!$A$2:$S$105,17,0),"")</f>
        <v>38697.82</v>
      </c>
      <c r="I57" s="154">
        <f t="shared" si="0"/>
        <v>0</v>
      </c>
      <c r="J57" s="152" t="str">
        <f>IFERROR(VLOOKUP($B57,'PEDIDO JULIO'!$A$10:$AG$200,9,0),"0")</f>
        <v>0</v>
      </c>
      <c r="K57" s="153">
        <f>IFERROR(VLOOKUP($B57,'[5]INSUMOS MARZO'!$A$2:$S$105,17,0),"")</f>
        <v>38697.82</v>
      </c>
      <c r="L57" s="155">
        <f t="shared" si="2"/>
        <v>0</v>
      </c>
      <c r="M57" s="152" t="str">
        <f>IFERROR(VLOOKUP($B57,'PEDIDO JULIO'!$A$10:$AG$200,10,0),"0")</f>
        <v>0</v>
      </c>
      <c r="N57" s="153">
        <f>IFERROR(VLOOKUP($B57,'[5]INSUMOS MARZO'!$A$2:$S$105,17,0),"")</f>
        <v>38697.82</v>
      </c>
      <c r="O57" s="154">
        <f t="shared" si="3"/>
        <v>0</v>
      </c>
      <c r="P57" s="152" t="str">
        <f>IFERROR(VLOOKUP($B57,'PEDIDO JULIO'!$A$10:$AG$200,11,0),"0")</f>
        <v>0</v>
      </c>
      <c r="Q57" s="153">
        <f>IFERROR(VLOOKUP($B57,'[5]INSUMOS MARZO'!$A$2:$S$105,17,0),"")</f>
        <v>38697.82</v>
      </c>
      <c r="R57" s="154">
        <f t="shared" si="4"/>
        <v>0</v>
      </c>
      <c r="S57" s="152" t="str">
        <f>IFERROR(VLOOKUP($B57,'PEDIDO JULIO'!$A$10:$AG$200,12,0),"0")</f>
        <v>0</v>
      </c>
      <c r="T57" s="153">
        <f>IFERROR(VLOOKUP($B57,'[5]INSUMOS MARZO'!$A$2:$S$105,17,0),"")</f>
        <v>38697.82</v>
      </c>
      <c r="U57" s="154">
        <f t="shared" si="5"/>
        <v>0</v>
      </c>
      <c r="V57" s="152" t="str">
        <f>IFERROR(VLOOKUP($B57,'PEDIDO JULIO'!$A$10:$AG$200,13,0),"0")</f>
        <v>0</v>
      </c>
      <c r="W57" s="153">
        <f>IFERROR(VLOOKUP($B57,'[5]INSUMOS MARZO'!$A$2:$S$105,17,0),"")</f>
        <v>38697.82</v>
      </c>
      <c r="X57" s="154">
        <f t="shared" si="6"/>
        <v>0</v>
      </c>
      <c r="Y57" s="152" t="str">
        <f>IFERROR(VLOOKUP($B57,'PEDIDO JULIO'!$A$10:$AG$200,14,0),"0")</f>
        <v>0</v>
      </c>
      <c r="Z57" s="153">
        <f>IFERROR(VLOOKUP($B57,'[5]INSUMOS MARZO'!$A$2:$S$105,17,0),"")</f>
        <v>38697.82</v>
      </c>
      <c r="AA57" s="154">
        <f t="shared" si="7"/>
        <v>0</v>
      </c>
      <c r="AB57" s="152" t="str">
        <f>IFERROR(VLOOKUP($B57,'PEDIDO JULIO'!$A$10:$AG$200,15,0),"0")</f>
        <v>0</v>
      </c>
      <c r="AC57" s="153">
        <f>IFERROR(VLOOKUP($B57,'[5]INSUMOS MARZO'!$A$2:$S$105,17,0),"")</f>
        <v>38697.82</v>
      </c>
      <c r="AD57" s="154">
        <f t="shared" si="8"/>
        <v>0</v>
      </c>
      <c r="AE57" s="152" t="str">
        <f>IFERROR(VLOOKUP($B57,'PEDIDO JULIO'!$A$10:$AG$200,16,0),"0")</f>
        <v>0</v>
      </c>
      <c r="AF57" s="153">
        <f>IFERROR(VLOOKUP($B57,'[5]INSUMOS MARZO'!$A$2:$S$105,17,0),"")</f>
        <v>38697.82</v>
      </c>
      <c r="AG57" s="154">
        <f t="shared" si="9"/>
        <v>0</v>
      </c>
      <c r="AH57" s="152" t="str">
        <f>IFERROR(VLOOKUP($B57,'PEDIDO JULIO'!$A$10:$AG$200,17,0),"0")</f>
        <v>0</v>
      </c>
      <c r="AI57" s="153">
        <f>IFERROR(VLOOKUP($B57,'[5]INSUMOS MARZO'!$A$2:$S$105,17,0),"")</f>
        <v>38697.82</v>
      </c>
      <c r="AJ57" s="154">
        <f t="shared" si="10"/>
        <v>0</v>
      </c>
      <c r="AK57" s="152" t="str">
        <f>IFERROR(VLOOKUP($B57,'PEDIDO JULIO'!$A$10:$AG$200,18,0),"0")</f>
        <v>0</v>
      </c>
      <c r="AL57" s="153">
        <f>IFERROR(VLOOKUP($B57,'[5]INSUMOS MARZO'!$A$2:$S$105,17,0),"")</f>
        <v>38697.82</v>
      </c>
      <c r="AM57" s="154">
        <f t="shared" si="11"/>
        <v>0</v>
      </c>
      <c r="AN57" s="152" t="str">
        <f>IFERROR(VLOOKUP($B57,'PEDIDO JULIO'!$A$10:$AG$200,19,0),"0")</f>
        <v>0</v>
      </c>
      <c r="AO57" s="153">
        <f>IFERROR(VLOOKUP($B57,'[5]INSUMOS MARZO'!$A$2:$S$105,17,0),"")</f>
        <v>38697.82</v>
      </c>
      <c r="AP57" s="154">
        <f t="shared" si="12"/>
        <v>0</v>
      </c>
      <c r="AQ57" s="152" t="str">
        <f>IFERROR(VLOOKUP($B57,'PEDIDO JULIO'!$A$10:$AG$200,20,0),"0")</f>
        <v>0</v>
      </c>
      <c r="AR57" s="153">
        <f>IFERROR(VLOOKUP($B57,'[5]INSUMOS MARZO'!$A$2:$S$105,17,0),"")</f>
        <v>38697.82</v>
      </c>
      <c r="AS57" s="154">
        <f t="shared" si="13"/>
        <v>0</v>
      </c>
      <c r="AT57" s="152" t="str">
        <f>IFERROR(VLOOKUP($B57,'PEDIDO JULIO'!$A$10:$AG$200,21,0),"0")</f>
        <v>0</v>
      </c>
      <c r="AU57" s="156">
        <f>IFERROR(VLOOKUP($B57,'[5]INSUMOS MARZO'!$A$2:$S$105,14,0),"")</f>
        <v>79606.944000000003</v>
      </c>
      <c r="AV57" s="154">
        <f t="shared" si="14"/>
        <v>0</v>
      </c>
      <c r="AW57" s="152" t="str">
        <f>IFERROR(VLOOKUP($B57,'PEDIDO JULIO'!$A$10:$AG$200,22,0),"0")</f>
        <v>0</v>
      </c>
      <c r="AX57" s="153">
        <f>IFERROR(VLOOKUP($B57,'[5]INSUMOS MARZO'!$A$2:$S$105,17,0),"")</f>
        <v>38697.82</v>
      </c>
      <c r="AY57" s="154">
        <f t="shared" si="15"/>
        <v>0</v>
      </c>
      <c r="AZ57" s="152" t="str">
        <f>IFERROR(VLOOKUP($B57,'PEDIDO JULIO'!$A$10:$AG$200,23,0),"0")</f>
        <v>0</v>
      </c>
      <c r="BA57" s="153">
        <f>IFERROR(VLOOKUP($B57,'[5]INSUMOS MARZO'!$A$2:$S$105,17,0),"")</f>
        <v>38697.82</v>
      </c>
      <c r="BB57" s="154">
        <f t="shared" si="16"/>
        <v>0</v>
      </c>
      <c r="BC57" s="152" t="str">
        <f>IFERROR(VLOOKUP($B57,'PEDIDO JULIO'!$A$10:$AG$200,24,0),"0")</f>
        <v>0</v>
      </c>
      <c r="BD57" s="153">
        <f>IFERROR(VLOOKUP($B57,'[5]INSUMOS MARZO'!$A$2:$S$105,17,0),"")</f>
        <v>38697.82</v>
      </c>
      <c r="BE57" s="155">
        <f t="shared" si="17"/>
        <v>0</v>
      </c>
      <c r="BF57" s="152" t="str">
        <f>IFERROR(VLOOKUP($B57,'PEDIDO JULIO'!$A$10:$AG$200,25,0),"0")</f>
        <v>0</v>
      </c>
      <c r="BG57" s="153">
        <f>IFERROR(VLOOKUP($B57,'[5]INSUMOS MARZO'!$A$2:$S$105,17,0),"")</f>
        <v>38697.82</v>
      </c>
      <c r="BH57" s="155">
        <f t="shared" si="18"/>
        <v>0</v>
      </c>
      <c r="BI57" s="152" t="str">
        <f>IFERROR(VLOOKUP($B57,'PEDIDO JULIO'!$A$10:$AG$200,26,0),"0")</f>
        <v>0</v>
      </c>
      <c r="BJ57" s="153">
        <f>IFERROR(VLOOKUP($B57,'[5]INSUMOS MARZO'!$A$2:$S$105,17,0),"")</f>
        <v>38697.82</v>
      </c>
      <c r="BK57" s="154">
        <f t="shared" si="19"/>
        <v>0</v>
      </c>
      <c r="BL57" s="152" t="str">
        <f>IFERROR(VLOOKUP($B57,'PEDIDO JULIO'!$A$10:$AG$200,27,0),"0")</f>
        <v>0</v>
      </c>
      <c r="BM57" s="153">
        <f>IFERROR(VLOOKUP($B57,'[5]INSUMOS MARZO'!$A$2:$S$105,17,0),"")</f>
        <v>38697.82</v>
      </c>
      <c r="BN57" s="154">
        <f t="shared" si="20"/>
        <v>0</v>
      </c>
      <c r="BO57" s="152" t="str">
        <f>IFERROR(VLOOKUP($B57,'PEDIDO JULIO'!$A$10:$AG$200,28,0),"0")</f>
        <v>0</v>
      </c>
      <c r="BP57" s="153">
        <f>IFERROR(VLOOKUP($B57,'[5]INSUMOS MARZO'!$A$2:$S$105,17,0),"")</f>
        <v>38697.82</v>
      </c>
      <c r="BQ57" s="154">
        <f t="shared" si="21"/>
        <v>0</v>
      </c>
      <c r="BR57" s="152" t="str">
        <f>IFERROR(VLOOKUP($B57,'PEDIDO JULIO'!$A$10:$AG$200,29,0),"0")</f>
        <v>0</v>
      </c>
      <c r="BS57" s="153">
        <f>IFERROR(VLOOKUP($B57,'[5]INSUMOS MARZO'!$A$2:$S$105,17,0),"")</f>
        <v>38697.82</v>
      </c>
      <c r="BT57" s="155">
        <f t="shared" si="22"/>
        <v>0</v>
      </c>
      <c r="BU57" s="152" t="str">
        <f>IFERROR(VLOOKUP($B57,'PEDIDO JULIO'!$A$10:$AG$200,30,0),"0")</f>
        <v>0</v>
      </c>
      <c r="BV57" s="153">
        <f>IFERROR(VLOOKUP($B57,'[5]INSUMOS MARZO'!$A$2:$S$105,17,0),"")</f>
        <v>38697.82</v>
      </c>
      <c r="BW57" s="155">
        <f t="shared" si="23"/>
        <v>0</v>
      </c>
      <c r="BX57" s="152" t="str">
        <f>IFERROR(VLOOKUP($B57,'PEDIDO JULIO'!$A$10:$AG$200,31,0),"0")</f>
        <v>0</v>
      </c>
      <c r="BY57" s="153">
        <f>IFERROR(VLOOKUP($B57,'[5]INSUMOS MARZO'!$A$2:$S$105,17,0),"")</f>
        <v>38697.82</v>
      </c>
      <c r="BZ57" s="155">
        <f t="shared" si="24"/>
        <v>0</v>
      </c>
      <c r="CA57" s="152" t="str">
        <f>IFERROR(VLOOKUP($B57,'PEDIDO JULIO'!$A$10:$AG$200,32,0),"0")</f>
        <v>0</v>
      </c>
      <c r="CB57" s="153">
        <f>IFERROR(VLOOKUP($B57,'[5]INSUMOS MARZO'!$A$2:$S$105,17,0),"")</f>
        <v>38697.82</v>
      </c>
      <c r="CC57" s="155">
        <f t="shared" si="25"/>
        <v>0</v>
      </c>
      <c r="CD57" s="157">
        <f t="shared" si="26"/>
        <v>0</v>
      </c>
      <c r="CE57" s="158">
        <f t="shared" si="27"/>
        <v>0</v>
      </c>
      <c r="CF57" s="251">
        <f>IFERROR(VLOOKUP($B57,'MATRIZ INSUMOS '!$A$3:$P$106,16,0),"")</f>
        <v>0</v>
      </c>
      <c r="CG57" s="153">
        <f>IFERROR(VLOOKUP($B57,'[5]INSUMOS MARZO'!$A$2:$S$105,17,0),"")</f>
        <v>38697.82</v>
      </c>
      <c r="CH57" s="156">
        <f t="shared" si="28"/>
        <v>0</v>
      </c>
      <c r="CI57" s="251">
        <f>IFERROR(VLOOKUP($B57,'MATRIZ INSUMOS '!$A$3:$P$106,10,0),"")</f>
        <v>0</v>
      </c>
      <c r="CJ57" s="156">
        <f>IFERROR(VLOOKUP($B57,'[5]INSUMOS MARZO'!$A$2:$S$105,14,0),"")</f>
        <v>79606.944000000003</v>
      </c>
      <c r="CK57" s="159">
        <f t="shared" si="29"/>
        <v>0</v>
      </c>
      <c r="CL57" s="160">
        <f t="shared" si="30"/>
        <v>0</v>
      </c>
      <c r="CM57" s="14">
        <f t="shared" si="31"/>
        <v>0</v>
      </c>
      <c r="CN57" s="14">
        <f t="shared" si="32"/>
        <v>0</v>
      </c>
      <c r="CO57" s="14">
        <f t="shared" si="33"/>
        <v>0</v>
      </c>
      <c r="CQ57" s="19">
        <f t="shared" si="34"/>
        <v>0</v>
      </c>
      <c r="CR57" s="19" t="b">
        <f t="shared" si="35"/>
        <v>1</v>
      </c>
      <c r="CS57" s="19">
        <f t="shared" si="36"/>
        <v>0</v>
      </c>
    </row>
    <row r="58" spans="1:97" ht="16.5">
      <c r="A58" s="3">
        <v>53</v>
      </c>
      <c r="B58" s="151">
        <v>109</v>
      </c>
      <c r="C58" s="4" t="s">
        <v>72</v>
      </c>
      <c r="D58" s="152">
        <f>IFERROR(VLOOKUP($B58,'[4]INSUMOS FEBRERO'!$A$2:$F$105,5,0),"")</f>
        <v>2</v>
      </c>
      <c r="E58" s="152" t="str">
        <f>IFERROR(VLOOKUP($B58,'PEDIDO JULIO'!$A$10:$AG$32,33,0),"0")</f>
        <v>0</v>
      </c>
      <c r="F58" s="152">
        <f t="shared" si="1"/>
        <v>-2</v>
      </c>
      <c r="G58" s="152" t="str">
        <f>IFERROR(VLOOKUP($B58,'PEDIDO JULIO'!$A$10:$AG$200,8,0),"0")</f>
        <v>0</v>
      </c>
      <c r="H58" s="153">
        <f>IFERROR(VLOOKUP($B58,'[5]INSUMOS MARZO'!$A$2:$S$105,17,0),"")</f>
        <v>49754.340000000004</v>
      </c>
      <c r="I58" s="154">
        <f t="shared" si="0"/>
        <v>0</v>
      </c>
      <c r="J58" s="152" t="str">
        <f>IFERROR(VLOOKUP($B58,'PEDIDO JULIO'!$A$10:$AG$200,9,0),"0")</f>
        <v>0</v>
      </c>
      <c r="K58" s="153">
        <f>IFERROR(VLOOKUP($B58,'[5]INSUMOS MARZO'!$A$2:$S$105,17,0),"")</f>
        <v>49754.340000000004</v>
      </c>
      <c r="L58" s="155">
        <f t="shared" si="2"/>
        <v>0</v>
      </c>
      <c r="M58" s="152" t="str">
        <f>IFERROR(VLOOKUP($B58,'PEDIDO JULIO'!$A$10:$AG$200,10,0),"0")</f>
        <v>0</v>
      </c>
      <c r="N58" s="153">
        <f>IFERROR(VLOOKUP($B58,'[5]INSUMOS MARZO'!$A$2:$S$105,17,0),"")</f>
        <v>49754.340000000004</v>
      </c>
      <c r="O58" s="154">
        <f t="shared" si="3"/>
        <v>0</v>
      </c>
      <c r="P58" s="152" t="str">
        <f>IFERROR(VLOOKUP($B58,'PEDIDO JULIO'!$A$10:$AG$200,11,0),"0")</f>
        <v>0</v>
      </c>
      <c r="Q58" s="153">
        <f>IFERROR(VLOOKUP($B58,'[5]INSUMOS MARZO'!$A$2:$S$105,17,0),"")</f>
        <v>49754.340000000004</v>
      </c>
      <c r="R58" s="154">
        <f t="shared" si="4"/>
        <v>0</v>
      </c>
      <c r="S58" s="152" t="str">
        <f>IFERROR(VLOOKUP($B58,'PEDIDO JULIO'!$A$10:$AG$200,12,0),"0")</f>
        <v>0</v>
      </c>
      <c r="T58" s="153">
        <f>IFERROR(VLOOKUP($B58,'[5]INSUMOS MARZO'!$A$2:$S$105,17,0),"")</f>
        <v>49754.340000000004</v>
      </c>
      <c r="U58" s="154">
        <f t="shared" si="5"/>
        <v>0</v>
      </c>
      <c r="V58" s="152" t="str">
        <f>IFERROR(VLOOKUP($B58,'PEDIDO JULIO'!$A$10:$AG$200,13,0),"0")</f>
        <v>0</v>
      </c>
      <c r="W58" s="153">
        <f>IFERROR(VLOOKUP($B58,'[5]INSUMOS MARZO'!$A$2:$S$105,17,0),"")</f>
        <v>49754.340000000004</v>
      </c>
      <c r="X58" s="154">
        <f t="shared" si="6"/>
        <v>0</v>
      </c>
      <c r="Y58" s="152" t="str">
        <f>IFERROR(VLOOKUP($B58,'PEDIDO JULIO'!$A$10:$AG$200,14,0),"0")</f>
        <v>0</v>
      </c>
      <c r="Z58" s="153">
        <f>IFERROR(VLOOKUP($B58,'[5]INSUMOS MARZO'!$A$2:$S$105,17,0),"")</f>
        <v>49754.340000000004</v>
      </c>
      <c r="AA58" s="154">
        <f t="shared" si="7"/>
        <v>0</v>
      </c>
      <c r="AB58" s="152" t="str">
        <f>IFERROR(VLOOKUP($B58,'PEDIDO JULIO'!$A$10:$AG$200,15,0),"0")</f>
        <v>0</v>
      </c>
      <c r="AC58" s="153">
        <f>IFERROR(VLOOKUP($B58,'[5]INSUMOS MARZO'!$A$2:$S$105,17,0),"")</f>
        <v>49754.340000000004</v>
      </c>
      <c r="AD58" s="154">
        <f t="shared" si="8"/>
        <v>0</v>
      </c>
      <c r="AE58" s="152" t="str">
        <f>IFERROR(VLOOKUP($B58,'PEDIDO JULIO'!$A$10:$AG$200,16,0),"0")</f>
        <v>0</v>
      </c>
      <c r="AF58" s="153">
        <f>IFERROR(VLOOKUP($B58,'[5]INSUMOS MARZO'!$A$2:$S$105,17,0),"")</f>
        <v>49754.340000000004</v>
      </c>
      <c r="AG58" s="154">
        <f t="shared" si="9"/>
        <v>0</v>
      </c>
      <c r="AH58" s="152" t="str">
        <f>IFERROR(VLOOKUP($B58,'PEDIDO JULIO'!$A$10:$AG$200,17,0),"0")</f>
        <v>0</v>
      </c>
      <c r="AI58" s="153">
        <f>IFERROR(VLOOKUP($B58,'[5]INSUMOS MARZO'!$A$2:$S$105,17,0),"")</f>
        <v>49754.340000000004</v>
      </c>
      <c r="AJ58" s="154">
        <f t="shared" si="10"/>
        <v>0</v>
      </c>
      <c r="AK58" s="152" t="str">
        <f>IFERROR(VLOOKUP($B58,'PEDIDO JULIO'!$A$10:$AG$200,18,0),"0")</f>
        <v>0</v>
      </c>
      <c r="AL58" s="153">
        <f>IFERROR(VLOOKUP($B58,'[5]INSUMOS MARZO'!$A$2:$S$105,17,0),"")</f>
        <v>49754.340000000004</v>
      </c>
      <c r="AM58" s="154">
        <f t="shared" si="11"/>
        <v>0</v>
      </c>
      <c r="AN58" s="152" t="str">
        <f>IFERROR(VLOOKUP($B58,'PEDIDO JULIO'!$A$10:$AG$200,19,0),"0")</f>
        <v>0</v>
      </c>
      <c r="AO58" s="153">
        <f>IFERROR(VLOOKUP($B58,'[5]INSUMOS MARZO'!$A$2:$S$105,17,0),"")</f>
        <v>49754.340000000004</v>
      </c>
      <c r="AP58" s="154">
        <f t="shared" si="12"/>
        <v>0</v>
      </c>
      <c r="AQ58" s="152" t="str">
        <f>IFERROR(VLOOKUP($B58,'PEDIDO JULIO'!$A$10:$AG$200,20,0),"0")</f>
        <v>0</v>
      </c>
      <c r="AR58" s="153">
        <f>IFERROR(VLOOKUP($B58,'[5]INSUMOS MARZO'!$A$2:$S$105,17,0),"")</f>
        <v>49754.340000000004</v>
      </c>
      <c r="AS58" s="154">
        <f t="shared" si="13"/>
        <v>0</v>
      </c>
      <c r="AT58" s="152" t="str">
        <f>IFERROR(VLOOKUP($B58,'PEDIDO JULIO'!$A$10:$AG$200,21,0),"0")</f>
        <v>0</v>
      </c>
      <c r="AU58" s="156">
        <f>IFERROR(VLOOKUP($B58,'[5]INSUMOS MARZO'!$A$2:$S$105,14,0),"")</f>
        <v>88761.364199999996</v>
      </c>
      <c r="AV58" s="154">
        <f t="shared" si="14"/>
        <v>0</v>
      </c>
      <c r="AW58" s="152" t="str">
        <f>IFERROR(VLOOKUP($B58,'PEDIDO JULIO'!$A$10:$AG$200,22,0),"0")</f>
        <v>0</v>
      </c>
      <c r="AX58" s="153">
        <f>IFERROR(VLOOKUP($B58,'[5]INSUMOS MARZO'!$A$2:$S$105,17,0),"")</f>
        <v>49754.340000000004</v>
      </c>
      <c r="AY58" s="154">
        <f t="shared" si="15"/>
        <v>0</v>
      </c>
      <c r="AZ58" s="152" t="str">
        <f>IFERROR(VLOOKUP($B58,'PEDIDO JULIO'!$A$10:$AG$200,23,0),"0")</f>
        <v>0</v>
      </c>
      <c r="BA58" s="153">
        <f>IFERROR(VLOOKUP($B58,'[5]INSUMOS MARZO'!$A$2:$S$105,17,0),"")</f>
        <v>49754.340000000004</v>
      </c>
      <c r="BB58" s="154">
        <f t="shared" si="16"/>
        <v>0</v>
      </c>
      <c r="BC58" s="152" t="str">
        <f>IFERROR(VLOOKUP($B58,'PEDIDO JULIO'!$A$10:$AG$200,24,0),"0")</f>
        <v>0</v>
      </c>
      <c r="BD58" s="153">
        <f>IFERROR(VLOOKUP($B58,'[5]INSUMOS MARZO'!$A$2:$S$105,17,0),"")</f>
        <v>49754.340000000004</v>
      </c>
      <c r="BE58" s="155">
        <f t="shared" si="17"/>
        <v>0</v>
      </c>
      <c r="BF58" s="152" t="str">
        <f>IFERROR(VLOOKUP($B58,'PEDIDO JULIO'!$A$10:$AG$200,25,0),"0")</f>
        <v>0</v>
      </c>
      <c r="BG58" s="153">
        <f>IFERROR(VLOOKUP($B58,'[5]INSUMOS MARZO'!$A$2:$S$105,17,0),"")</f>
        <v>49754.340000000004</v>
      </c>
      <c r="BH58" s="155">
        <f t="shared" si="18"/>
        <v>0</v>
      </c>
      <c r="BI58" s="152" t="str">
        <f>IFERROR(VLOOKUP($B58,'PEDIDO JULIO'!$A$10:$AG$200,26,0),"0")</f>
        <v>0</v>
      </c>
      <c r="BJ58" s="153">
        <f>IFERROR(VLOOKUP($B58,'[5]INSUMOS MARZO'!$A$2:$S$105,17,0),"")</f>
        <v>49754.340000000004</v>
      </c>
      <c r="BK58" s="154">
        <f t="shared" si="19"/>
        <v>0</v>
      </c>
      <c r="BL58" s="152" t="str">
        <f>IFERROR(VLOOKUP($B58,'PEDIDO JULIO'!$A$10:$AG$200,27,0),"0")</f>
        <v>0</v>
      </c>
      <c r="BM58" s="153">
        <f>IFERROR(VLOOKUP($B58,'[5]INSUMOS MARZO'!$A$2:$S$105,17,0),"")</f>
        <v>49754.340000000004</v>
      </c>
      <c r="BN58" s="154">
        <f t="shared" si="20"/>
        <v>0</v>
      </c>
      <c r="BO58" s="152" t="str">
        <f>IFERROR(VLOOKUP($B58,'PEDIDO JULIO'!$A$10:$AG$200,28,0),"0")</f>
        <v>0</v>
      </c>
      <c r="BP58" s="153">
        <f>IFERROR(VLOOKUP($B58,'[5]INSUMOS MARZO'!$A$2:$S$105,17,0),"")</f>
        <v>49754.340000000004</v>
      </c>
      <c r="BQ58" s="154">
        <f t="shared" si="21"/>
        <v>0</v>
      </c>
      <c r="BR58" s="152" t="str">
        <f>IFERROR(VLOOKUP($B58,'PEDIDO JULIO'!$A$10:$AG$200,29,0),"0")</f>
        <v>0</v>
      </c>
      <c r="BS58" s="153">
        <f>IFERROR(VLOOKUP($B58,'[5]INSUMOS MARZO'!$A$2:$S$105,17,0),"")</f>
        <v>49754.340000000004</v>
      </c>
      <c r="BT58" s="155">
        <f t="shared" si="22"/>
        <v>0</v>
      </c>
      <c r="BU58" s="152" t="str">
        <f>IFERROR(VLOOKUP($B58,'PEDIDO JULIO'!$A$10:$AG$200,30,0),"0")</f>
        <v>0</v>
      </c>
      <c r="BV58" s="153">
        <f>IFERROR(VLOOKUP($B58,'[5]INSUMOS MARZO'!$A$2:$S$105,17,0),"")</f>
        <v>49754.340000000004</v>
      </c>
      <c r="BW58" s="155">
        <f t="shared" si="23"/>
        <v>0</v>
      </c>
      <c r="BX58" s="152" t="str">
        <f>IFERROR(VLOOKUP($B58,'PEDIDO JULIO'!$A$10:$AG$200,31,0),"0")</f>
        <v>0</v>
      </c>
      <c r="BY58" s="153">
        <f>IFERROR(VLOOKUP($B58,'[5]INSUMOS MARZO'!$A$2:$S$105,17,0),"")</f>
        <v>49754.340000000004</v>
      </c>
      <c r="BZ58" s="155">
        <f t="shared" si="24"/>
        <v>0</v>
      </c>
      <c r="CA58" s="152" t="str">
        <f>IFERROR(VLOOKUP($B58,'PEDIDO JULIO'!$A$10:$AG$200,32,0),"0")</f>
        <v>0</v>
      </c>
      <c r="CB58" s="153">
        <f>IFERROR(VLOOKUP($B58,'[5]INSUMOS MARZO'!$A$2:$S$105,17,0),"")</f>
        <v>49754.340000000004</v>
      </c>
      <c r="CC58" s="155">
        <f t="shared" si="25"/>
        <v>0</v>
      </c>
      <c r="CD58" s="157">
        <f t="shared" si="26"/>
        <v>0</v>
      </c>
      <c r="CE58" s="158">
        <f t="shared" si="27"/>
        <v>0</v>
      </c>
      <c r="CF58" s="251">
        <f>IFERROR(VLOOKUP($B58,'MATRIZ INSUMOS '!$A$3:$P$106,16,0),"")</f>
        <v>0</v>
      </c>
      <c r="CG58" s="153">
        <f>IFERROR(VLOOKUP($B58,'[5]INSUMOS MARZO'!$A$2:$S$105,17,0),"")</f>
        <v>49754.340000000004</v>
      </c>
      <c r="CH58" s="156">
        <f t="shared" si="28"/>
        <v>0</v>
      </c>
      <c r="CI58" s="251">
        <f>IFERROR(VLOOKUP($B58,'MATRIZ INSUMOS '!$A$3:$P$106,10,0),"")</f>
        <v>0</v>
      </c>
      <c r="CJ58" s="156">
        <f>IFERROR(VLOOKUP($B58,'[5]INSUMOS MARZO'!$A$2:$S$105,14,0),"")</f>
        <v>88761.364199999996</v>
      </c>
      <c r="CK58" s="159">
        <f t="shared" si="29"/>
        <v>0</v>
      </c>
      <c r="CL58" s="160">
        <f t="shared" si="30"/>
        <v>0</v>
      </c>
      <c r="CM58" s="14">
        <f t="shared" si="31"/>
        <v>0</v>
      </c>
      <c r="CN58" s="14">
        <f t="shared" si="32"/>
        <v>0</v>
      </c>
      <c r="CO58" s="14">
        <f t="shared" si="33"/>
        <v>0</v>
      </c>
      <c r="CQ58" s="19">
        <f t="shared" si="34"/>
        <v>0</v>
      </c>
      <c r="CR58" s="19" t="b">
        <f t="shared" si="35"/>
        <v>1</v>
      </c>
      <c r="CS58" s="19">
        <f t="shared" si="36"/>
        <v>0</v>
      </c>
    </row>
    <row r="59" spans="1:97" ht="16.5">
      <c r="A59" s="3">
        <v>54</v>
      </c>
      <c r="B59" s="151">
        <v>110</v>
      </c>
      <c r="C59" s="4" t="s">
        <v>73</v>
      </c>
      <c r="D59" s="152">
        <f>IFERROR(VLOOKUP($B59,'[4]INSUMOS FEBRERO'!$A$2:$F$105,5,0),"")</f>
        <v>96</v>
      </c>
      <c r="E59" s="152" t="str">
        <f>IFERROR(VLOOKUP($B59,'PEDIDO JULIO'!$A$10:$AG$32,33,0),"0")</f>
        <v>0</v>
      </c>
      <c r="F59" s="152">
        <f t="shared" si="1"/>
        <v>-96</v>
      </c>
      <c r="G59" s="152">
        <f>IFERROR(VLOOKUP($B59,'PEDIDO JULIO'!$A$10:$AG$200,8,0),"0")</f>
        <v>350</v>
      </c>
      <c r="H59" s="156">
        <f>IFERROR(VLOOKUP($B59,'[5]INSUMOS MARZO'!$A$2:$S$105,14,0),"")</f>
        <v>1442.4974999999999</v>
      </c>
      <c r="I59" s="154">
        <f t="shared" si="0"/>
        <v>504874.125</v>
      </c>
      <c r="J59" s="152">
        <f>IFERROR(VLOOKUP($B59,'PEDIDO JULIO'!$A$10:$AG$200,9,0),"0")</f>
        <v>0</v>
      </c>
      <c r="K59" s="156">
        <f>IFERROR(VLOOKUP($B59,'[5]INSUMOS MARZO'!$A$2:$S$105,14,0),"")</f>
        <v>1442.4974999999999</v>
      </c>
      <c r="L59" s="155">
        <f t="shared" si="2"/>
        <v>0</v>
      </c>
      <c r="M59" s="152">
        <f>IFERROR(VLOOKUP($B59,'PEDIDO JULIO'!$A$10:$AG$200,10,0),"0")</f>
        <v>0</v>
      </c>
      <c r="N59" s="153">
        <f>IFERROR(VLOOKUP($B59,'[5]INSUMOS MARZO'!$A$2:$S$105,17,0),"")</f>
        <v>470.84799999999996</v>
      </c>
      <c r="O59" s="154">
        <f t="shared" si="3"/>
        <v>0</v>
      </c>
      <c r="P59" s="152">
        <f>IFERROR(VLOOKUP($B59,'PEDIDO JULIO'!$A$10:$AG$200,11,0),"0")</f>
        <v>0</v>
      </c>
      <c r="Q59" s="153">
        <f>IFERROR(VLOOKUP($B59,'[5]INSUMOS MARZO'!$A$2:$S$105,17,0),"")</f>
        <v>470.84799999999996</v>
      </c>
      <c r="R59" s="154">
        <f t="shared" si="4"/>
        <v>0</v>
      </c>
      <c r="S59" s="152">
        <f>IFERROR(VLOOKUP($B59,'PEDIDO JULIO'!$A$10:$AG$200,12,0),"0")</f>
        <v>25</v>
      </c>
      <c r="T59" s="156">
        <f>IFERROR(VLOOKUP($B59,'[5]INSUMOS MARZO'!$A$2:$S$105,14,0),"")</f>
        <v>1442.4974999999999</v>
      </c>
      <c r="U59" s="154">
        <f t="shared" si="5"/>
        <v>36062.4375</v>
      </c>
      <c r="V59" s="152">
        <f>IFERROR(VLOOKUP($B59,'PEDIDO JULIO'!$A$10:$AG$200,13,0),"0")</f>
        <v>20</v>
      </c>
      <c r="W59" s="156">
        <f>IFERROR(VLOOKUP($B59,'[5]INSUMOS MARZO'!$A$2:$S$105,14,0),"")</f>
        <v>1442.4974999999999</v>
      </c>
      <c r="X59" s="154">
        <f t="shared" si="6"/>
        <v>28849.949999999997</v>
      </c>
      <c r="Y59" s="152">
        <f>IFERROR(VLOOKUP($B59,'PEDIDO JULIO'!$A$10:$AG$200,14,0),"0")</f>
        <v>20</v>
      </c>
      <c r="Z59" s="156">
        <f>IFERROR(VLOOKUP($B59,'[5]INSUMOS MARZO'!$A$2:$S$105,14,0),"")</f>
        <v>1442.4974999999999</v>
      </c>
      <c r="AA59" s="154">
        <f t="shared" si="7"/>
        <v>28849.949999999997</v>
      </c>
      <c r="AB59" s="152">
        <f>IFERROR(VLOOKUP($B59,'PEDIDO JULIO'!$A$10:$AG$200,15,0),"0")</f>
        <v>0</v>
      </c>
      <c r="AC59" s="156">
        <f>IFERROR(VLOOKUP($B59,'[5]INSUMOS MARZO'!$A$2:$S$105,14,0),"")</f>
        <v>1442.4974999999999</v>
      </c>
      <c r="AD59" s="154">
        <f t="shared" si="8"/>
        <v>0</v>
      </c>
      <c r="AE59" s="251">
        <f>IFERROR(VLOOKUP($B59,'PEDIDO JULIO'!$A$10:$AG$200,16,0),"0")</f>
        <v>5</v>
      </c>
      <c r="AF59" s="153">
        <f>IFERROR(VLOOKUP($B59,'[5]INSUMOS MARZO'!$A$2:$S$105,17,0),"")</f>
        <v>470.84799999999996</v>
      </c>
      <c r="AG59" s="154">
        <f t="shared" si="9"/>
        <v>2354.2399999999998</v>
      </c>
      <c r="AH59" s="152">
        <f>IFERROR(VLOOKUP($B59,'PEDIDO JULIO'!$A$10:$AG$200,17,0),"0")</f>
        <v>0</v>
      </c>
      <c r="AI59" s="153">
        <f>IFERROR(VLOOKUP($B59,'[5]INSUMOS MARZO'!$A$2:$S$105,17,0),"")</f>
        <v>470.84799999999996</v>
      </c>
      <c r="AJ59" s="154">
        <f t="shared" si="10"/>
        <v>0</v>
      </c>
      <c r="AK59" s="152">
        <f>IFERROR(VLOOKUP($B59,'PEDIDO JULIO'!$A$10:$AG$200,18,0),"0")</f>
        <v>0</v>
      </c>
      <c r="AL59" s="156">
        <f>IFERROR(VLOOKUP($B59,'[5]INSUMOS MARZO'!$A$2:$S$105,14,0),"")</f>
        <v>1442.4974999999999</v>
      </c>
      <c r="AM59" s="154">
        <f t="shared" si="11"/>
        <v>0</v>
      </c>
      <c r="AN59" s="152">
        <f>IFERROR(VLOOKUP($B59,'PEDIDO JULIO'!$A$10:$AG$200,19,0),"0")</f>
        <v>0</v>
      </c>
      <c r="AO59" s="156">
        <f>IFERROR(VLOOKUP($B59,'[5]INSUMOS MARZO'!$A$2:$S$105,14,0),"")</f>
        <v>1442.4974999999999</v>
      </c>
      <c r="AP59" s="154">
        <f t="shared" si="12"/>
        <v>0</v>
      </c>
      <c r="AQ59" s="251">
        <f>IFERROR(VLOOKUP($B59,'PEDIDO JULIO'!$A$10:$AG$200,20,0),"0")</f>
        <v>30</v>
      </c>
      <c r="AR59" s="153">
        <f>IFERROR(VLOOKUP($B59,'[5]INSUMOS MARZO'!$A$2:$S$105,17,0),"")</f>
        <v>470.84799999999996</v>
      </c>
      <c r="AS59" s="154">
        <f t="shared" si="13"/>
        <v>14125.439999999999</v>
      </c>
      <c r="AT59" s="251">
        <f>IFERROR(VLOOKUP($B59,'PEDIDO JULIO'!$A$10:$AG$200,21,0),"0")</f>
        <v>4</v>
      </c>
      <c r="AU59" s="153">
        <f>IFERROR(VLOOKUP($B59,'[5]INSUMOS MARZO'!$A$2:$S$105,17,0),"")</f>
        <v>470.84799999999996</v>
      </c>
      <c r="AV59" s="154">
        <f t="shared" si="14"/>
        <v>1883.3919999999998</v>
      </c>
      <c r="AW59" s="152">
        <f>IFERROR(VLOOKUP($B59,'PEDIDO JULIO'!$A$10:$AG$200,22,0),"0")</f>
        <v>0</v>
      </c>
      <c r="AX59" s="156">
        <f>IFERROR(VLOOKUP($B59,'[5]INSUMOS MARZO'!$A$2:$S$105,14,0),"")</f>
        <v>1442.4974999999999</v>
      </c>
      <c r="AY59" s="154">
        <f t="shared" si="15"/>
        <v>0</v>
      </c>
      <c r="AZ59" s="152">
        <f>IFERROR(VLOOKUP($B59,'PEDIDO JULIO'!$A$10:$AG$200,23,0),"0")</f>
        <v>0</v>
      </c>
      <c r="BA59" s="156">
        <f>IFERROR(VLOOKUP($B59,'[5]INSUMOS MARZO'!$A$2:$S$105,14,0),"")</f>
        <v>1442.4974999999999</v>
      </c>
      <c r="BB59" s="154">
        <f t="shared" si="16"/>
        <v>0</v>
      </c>
      <c r="BC59" s="152">
        <f>IFERROR(VLOOKUP($B59,'PEDIDO JULIO'!$A$10:$AG$200,24,0),"0")</f>
        <v>0</v>
      </c>
      <c r="BD59" s="153">
        <f>IFERROR(VLOOKUP($B59,'[5]INSUMOS MARZO'!$A$2:$S$105,17,0),"")</f>
        <v>470.84799999999996</v>
      </c>
      <c r="BE59" s="155">
        <f t="shared" si="17"/>
        <v>0</v>
      </c>
      <c r="BF59" s="251">
        <f>IFERROR(VLOOKUP($B59,'PEDIDO JULIO'!$A$10:$AG$200,25,0),"0")</f>
        <v>50</v>
      </c>
      <c r="BG59" s="153">
        <f>IFERROR(VLOOKUP($B59,'[5]INSUMOS MARZO'!$A$2:$S$105,17,0),"")</f>
        <v>470.84799999999996</v>
      </c>
      <c r="BH59" s="155">
        <f t="shared" si="18"/>
        <v>23542.399999999998</v>
      </c>
      <c r="BI59" s="152">
        <f>IFERROR(VLOOKUP($B59,'PEDIDO JULIO'!$A$10:$AG$200,26,0),"0")</f>
        <v>0</v>
      </c>
      <c r="BJ59" s="156">
        <f>IFERROR(VLOOKUP($B59,'[5]INSUMOS MARZO'!$A$2:$S$105,14,0),"")</f>
        <v>1442.4974999999999</v>
      </c>
      <c r="BK59" s="154">
        <f t="shared" si="19"/>
        <v>0</v>
      </c>
      <c r="BL59" s="152">
        <f>IFERROR(VLOOKUP($B59,'PEDIDO JULIO'!$A$10:$AG$200,27,0),"0")</f>
        <v>0</v>
      </c>
      <c r="BM59" s="153">
        <f>IFERROR(VLOOKUP($B59,'[5]INSUMOS MARZO'!$A$2:$S$105,17,0),"")</f>
        <v>470.84799999999996</v>
      </c>
      <c r="BN59" s="154">
        <f t="shared" si="20"/>
        <v>0</v>
      </c>
      <c r="BO59" s="152">
        <f>IFERROR(VLOOKUP($B59,'PEDIDO JULIO'!$A$10:$AG$200,28,0),"0")</f>
        <v>0</v>
      </c>
      <c r="BP59" s="153">
        <f>IFERROR(VLOOKUP($B59,'[5]INSUMOS MARZO'!$A$2:$S$105,17,0),"")</f>
        <v>470.84799999999996</v>
      </c>
      <c r="BQ59" s="154">
        <f t="shared" si="21"/>
        <v>0</v>
      </c>
      <c r="BR59" s="251">
        <f>IFERROR(VLOOKUP($B59,'PEDIDO JULIO'!$A$10:$AG$200,29,0),"0")</f>
        <v>15</v>
      </c>
      <c r="BS59" s="153">
        <f>IFERROR(VLOOKUP($B59,'[5]INSUMOS MARZO'!$A$2:$S$105,17,0),"")</f>
        <v>470.84799999999996</v>
      </c>
      <c r="BT59" s="155">
        <f t="shared" si="22"/>
        <v>7062.7199999999993</v>
      </c>
      <c r="BU59" s="152">
        <f>IFERROR(VLOOKUP($B59,'PEDIDO JULIO'!$A$10:$AG$200,30,0),"0")</f>
        <v>0</v>
      </c>
      <c r="BV59" s="153">
        <f>IFERROR(VLOOKUP($B59,'[5]INSUMOS MARZO'!$A$2:$S$105,17,0),"")</f>
        <v>470.84799999999996</v>
      </c>
      <c r="BW59" s="155">
        <f t="shared" si="23"/>
        <v>0</v>
      </c>
      <c r="BX59" s="152">
        <f>IFERROR(VLOOKUP($B59,'PEDIDO JULIO'!$A$10:$AG$200,31,0),"0")</f>
        <v>0</v>
      </c>
      <c r="BY59" s="153">
        <f>IFERROR(VLOOKUP($B59,'[5]INSUMOS MARZO'!$A$2:$S$105,17,0),"")</f>
        <v>470.84799999999996</v>
      </c>
      <c r="BZ59" s="155">
        <f t="shared" si="24"/>
        <v>0</v>
      </c>
      <c r="CA59" s="152">
        <f>IFERROR(VLOOKUP($B59,'PEDIDO JULIO'!$A$10:$AG$200,32,0),"0")</f>
        <v>0</v>
      </c>
      <c r="CB59" s="153">
        <f>IFERROR(VLOOKUP($B59,'[5]INSUMOS MARZO'!$A$2:$S$105,17,0),"")</f>
        <v>470.84799999999996</v>
      </c>
      <c r="CC59" s="155">
        <f t="shared" si="25"/>
        <v>0</v>
      </c>
      <c r="CD59" s="157">
        <f t="shared" si="26"/>
        <v>519</v>
      </c>
      <c r="CE59" s="158">
        <f t="shared" si="27"/>
        <v>519</v>
      </c>
      <c r="CF59" s="251">
        <v>104</v>
      </c>
      <c r="CG59" s="153">
        <f>IFERROR(VLOOKUP($B59,'[5]INSUMOS MARZO'!$A$2:$S$105,17,0),"")</f>
        <v>470.84799999999996</v>
      </c>
      <c r="CH59" s="156">
        <f t="shared" si="28"/>
        <v>48968.191999999995</v>
      </c>
      <c r="CI59" s="251">
        <v>415</v>
      </c>
      <c r="CJ59" s="156">
        <f>IFERROR(VLOOKUP($B59,'[5]INSUMOS MARZO'!$A$2:$S$105,14,0),"")</f>
        <v>1442.4974999999999</v>
      </c>
      <c r="CK59" s="159">
        <f t="shared" si="29"/>
        <v>598636.46250000002</v>
      </c>
      <c r="CL59" s="160">
        <f t="shared" si="30"/>
        <v>647604.65449999983</v>
      </c>
      <c r="CM59" s="14">
        <f t="shared" si="31"/>
        <v>64760.465449999989</v>
      </c>
      <c r="CN59" s="14">
        <f t="shared" si="32"/>
        <v>12304.488435499998</v>
      </c>
      <c r="CO59" s="14">
        <f t="shared" si="33"/>
        <v>724669.6083854998</v>
      </c>
      <c r="CP59" s="1">
        <f>+CF59+CI59-CD59</f>
        <v>0</v>
      </c>
      <c r="CQ59" s="19">
        <f t="shared" si="34"/>
        <v>647604.65450000006</v>
      </c>
      <c r="CR59" s="19" t="b">
        <f t="shared" si="35"/>
        <v>1</v>
      </c>
      <c r="CS59" s="19">
        <f t="shared" si="36"/>
        <v>0</v>
      </c>
    </row>
    <row r="60" spans="1:97" ht="16.5">
      <c r="A60" s="3">
        <v>55</v>
      </c>
      <c r="B60" s="151">
        <v>118</v>
      </c>
      <c r="C60" s="4" t="s">
        <v>74</v>
      </c>
      <c r="D60" s="152">
        <f>IFERROR(VLOOKUP($B60,'[4]INSUMOS FEBRERO'!$A$2:$F$105,5,0),"")</f>
        <v>96</v>
      </c>
      <c r="E60" s="152" t="str">
        <f>IFERROR(VLOOKUP($B60,'PEDIDO JULIO'!$A$10:$AG$32,33,0),"0")</f>
        <v>0</v>
      </c>
      <c r="F60" s="152">
        <f t="shared" si="1"/>
        <v>-96</v>
      </c>
      <c r="G60" s="152">
        <f>IFERROR(VLOOKUP($B60,'PEDIDO JULIO'!$A$10:$AG$200,8,0),"0")</f>
        <v>200</v>
      </c>
      <c r="H60" s="156">
        <f>IFERROR(VLOOKUP($B60,'[5]INSUMOS MARZO'!$A$2:$S$105,14,0),"")</f>
        <v>4129.7993999999999</v>
      </c>
      <c r="I60" s="154">
        <f t="shared" si="0"/>
        <v>825959.88</v>
      </c>
      <c r="J60" s="152">
        <f>IFERROR(VLOOKUP($B60,'PEDIDO JULIO'!$A$10:$AG$200,9,0),"0")</f>
        <v>0</v>
      </c>
      <c r="K60" s="156">
        <f>IFERROR(VLOOKUP($B60,'[5]INSUMOS MARZO'!$A$2:$S$105,14,0),"")</f>
        <v>4129.7993999999999</v>
      </c>
      <c r="L60" s="155">
        <f t="shared" si="2"/>
        <v>0</v>
      </c>
      <c r="M60" s="152">
        <f>IFERROR(VLOOKUP($B60,'PEDIDO JULIO'!$A$10:$AG$200,10,0),"0")</f>
        <v>0</v>
      </c>
      <c r="N60" s="153">
        <f>IFERROR(VLOOKUP($B60,'[5]INSUMOS MARZO'!$A$2:$S$105,17,0),"")</f>
        <v>2455.136</v>
      </c>
      <c r="O60" s="154">
        <f t="shared" si="3"/>
        <v>0</v>
      </c>
      <c r="P60" s="152">
        <f>IFERROR(VLOOKUP($B60,'PEDIDO JULIO'!$A$10:$AG$200,11,0),"0")</f>
        <v>0</v>
      </c>
      <c r="Q60" s="153">
        <f>IFERROR(VLOOKUP($B60,'[5]INSUMOS MARZO'!$A$2:$S$105,17,0),"")</f>
        <v>2455.136</v>
      </c>
      <c r="R60" s="154">
        <f t="shared" si="4"/>
        <v>0</v>
      </c>
      <c r="S60" s="152">
        <f>IFERROR(VLOOKUP($B60,'PEDIDO JULIO'!$A$10:$AG$200,12,0),"0")</f>
        <v>0</v>
      </c>
      <c r="T60" s="153">
        <f>IFERROR(VLOOKUP($B60,'[5]INSUMOS MARZO'!$A$2:$S$105,17,0),"")</f>
        <v>2455.136</v>
      </c>
      <c r="U60" s="154">
        <f t="shared" si="5"/>
        <v>0</v>
      </c>
      <c r="V60" s="152">
        <f>IFERROR(VLOOKUP($B60,'PEDIDO JULIO'!$A$10:$AG$200,13,0),"0")</f>
        <v>0</v>
      </c>
      <c r="W60" s="153">
        <f>IFERROR(VLOOKUP($B60,'[5]INSUMOS MARZO'!$A$2:$S$105,17,0),"")</f>
        <v>2455.136</v>
      </c>
      <c r="X60" s="154">
        <f t="shared" si="6"/>
        <v>0</v>
      </c>
      <c r="Y60" s="152">
        <f>IFERROR(VLOOKUP($B60,'PEDIDO JULIO'!$A$10:$AG$200,14,0),"0")</f>
        <v>0</v>
      </c>
      <c r="Z60" s="153">
        <f>IFERROR(VLOOKUP($B60,'[5]INSUMOS MARZO'!$A$2:$S$105,17,0),"")</f>
        <v>2455.136</v>
      </c>
      <c r="AA60" s="154">
        <f t="shared" si="7"/>
        <v>0</v>
      </c>
      <c r="AB60" s="152">
        <f>IFERROR(VLOOKUP($B60,'PEDIDO JULIO'!$A$10:$AG$200,15,0),"0")</f>
        <v>0</v>
      </c>
      <c r="AC60" s="153">
        <f>IFERROR(VLOOKUP($B60,'[5]INSUMOS MARZO'!$A$2:$S$105,17,0),"")</f>
        <v>2455.136</v>
      </c>
      <c r="AD60" s="154">
        <f t="shared" si="8"/>
        <v>0</v>
      </c>
      <c r="AE60" s="152">
        <f>IFERROR(VLOOKUP($B60,'PEDIDO JULIO'!$A$10:$AG$200,16,0),"0")</f>
        <v>0</v>
      </c>
      <c r="AF60" s="153">
        <f>IFERROR(VLOOKUP($B60,'[5]INSUMOS MARZO'!$A$2:$S$105,17,0),"")</f>
        <v>2455.136</v>
      </c>
      <c r="AG60" s="154">
        <f t="shared" si="9"/>
        <v>0</v>
      </c>
      <c r="AH60" s="152">
        <f>IFERROR(VLOOKUP($B60,'PEDIDO JULIO'!$A$10:$AG$200,17,0),"0")</f>
        <v>0</v>
      </c>
      <c r="AI60" s="153">
        <f>IFERROR(VLOOKUP($B60,'[5]INSUMOS MARZO'!$A$2:$S$105,17,0),"")</f>
        <v>2455.136</v>
      </c>
      <c r="AJ60" s="154">
        <f t="shared" si="10"/>
        <v>0</v>
      </c>
      <c r="AK60" s="152">
        <f>IFERROR(VLOOKUP($B60,'PEDIDO JULIO'!$A$10:$AG$200,18,0),"0")</f>
        <v>0</v>
      </c>
      <c r="AL60" s="153">
        <f>IFERROR(VLOOKUP($B60,'[5]INSUMOS MARZO'!$A$2:$S$105,17,0),"")</f>
        <v>2455.136</v>
      </c>
      <c r="AM60" s="154">
        <f t="shared" si="11"/>
        <v>0</v>
      </c>
      <c r="AN60" s="152">
        <f>IFERROR(VLOOKUP($B60,'PEDIDO JULIO'!$A$10:$AG$200,19,0),"0")</f>
        <v>0</v>
      </c>
      <c r="AO60" s="153">
        <f>IFERROR(VLOOKUP($B60,'[5]INSUMOS MARZO'!$A$2:$S$105,17,0),"")</f>
        <v>2455.136</v>
      </c>
      <c r="AP60" s="154">
        <f t="shared" si="12"/>
        <v>0</v>
      </c>
      <c r="AQ60" s="152">
        <f>IFERROR(VLOOKUP($B60,'PEDIDO JULIO'!$A$10:$AG$200,20,0),"0")</f>
        <v>0</v>
      </c>
      <c r="AR60" s="153">
        <f>IFERROR(VLOOKUP($B60,'[5]INSUMOS MARZO'!$A$2:$S$105,17,0),"")</f>
        <v>2455.136</v>
      </c>
      <c r="AS60" s="154">
        <f t="shared" si="13"/>
        <v>0</v>
      </c>
      <c r="AT60" s="152">
        <f>IFERROR(VLOOKUP($B60,'PEDIDO JULIO'!$A$10:$AG$200,21,0),"0")</f>
        <v>0</v>
      </c>
      <c r="AU60" s="153">
        <f>IFERROR(VLOOKUP($B60,'[5]INSUMOS MARZO'!$A$2:$S$105,17,0),"")</f>
        <v>2455.136</v>
      </c>
      <c r="AV60" s="154">
        <f t="shared" si="14"/>
        <v>0</v>
      </c>
      <c r="AW60" s="152">
        <f>IFERROR(VLOOKUP($B60,'PEDIDO JULIO'!$A$10:$AG$200,22,0),"0")</f>
        <v>0</v>
      </c>
      <c r="AX60" s="156">
        <f>IFERROR(VLOOKUP($B60,'[5]INSUMOS MARZO'!$A$2:$S$105,14,0),"")</f>
        <v>4129.7993999999999</v>
      </c>
      <c r="AY60" s="154">
        <f t="shared" si="15"/>
        <v>0</v>
      </c>
      <c r="AZ60" s="152">
        <f>IFERROR(VLOOKUP($B60,'PEDIDO JULIO'!$A$10:$AG$200,23,0),"0")</f>
        <v>0</v>
      </c>
      <c r="BA60" s="153">
        <f>IFERROR(VLOOKUP($B60,'[5]INSUMOS MARZO'!$A$2:$S$105,17,0),"")</f>
        <v>2455.136</v>
      </c>
      <c r="BB60" s="154">
        <f t="shared" si="16"/>
        <v>0</v>
      </c>
      <c r="BC60" s="152">
        <f>IFERROR(VLOOKUP($B60,'PEDIDO JULIO'!$A$10:$AG$200,24,0),"0")</f>
        <v>0</v>
      </c>
      <c r="BD60" s="153">
        <f>IFERROR(VLOOKUP($B60,'[5]INSUMOS MARZO'!$A$2:$S$105,17,0),"")</f>
        <v>2455.136</v>
      </c>
      <c r="BE60" s="155">
        <f t="shared" si="17"/>
        <v>0</v>
      </c>
      <c r="BF60" s="152">
        <f>IFERROR(VLOOKUP($B60,'PEDIDO JULIO'!$A$10:$AG$200,25,0),"0")</f>
        <v>0</v>
      </c>
      <c r="BG60" s="153">
        <f>IFERROR(VLOOKUP($B60,'[5]INSUMOS MARZO'!$A$2:$S$105,17,0),"")</f>
        <v>2455.136</v>
      </c>
      <c r="BH60" s="155">
        <f t="shared" si="18"/>
        <v>0</v>
      </c>
      <c r="BI60" s="152">
        <f>IFERROR(VLOOKUP($B60,'PEDIDO JULIO'!$A$10:$AG$200,26,0),"0")</f>
        <v>0</v>
      </c>
      <c r="BJ60" s="153">
        <f>IFERROR(VLOOKUP($B60,'[5]INSUMOS MARZO'!$A$2:$S$105,17,0),"")</f>
        <v>2455.136</v>
      </c>
      <c r="BK60" s="154">
        <f t="shared" si="19"/>
        <v>0</v>
      </c>
      <c r="BL60" s="152">
        <f>IFERROR(VLOOKUP($B60,'PEDIDO JULIO'!$A$10:$AG$200,27,0),"0")</f>
        <v>0</v>
      </c>
      <c r="BM60" s="153">
        <f>IFERROR(VLOOKUP($B60,'[5]INSUMOS MARZO'!$A$2:$S$105,17,0),"")</f>
        <v>2455.136</v>
      </c>
      <c r="BN60" s="154">
        <f t="shared" si="20"/>
        <v>0</v>
      </c>
      <c r="BO60" s="152">
        <f>IFERROR(VLOOKUP($B60,'PEDIDO JULIO'!$A$10:$AG$200,28,0),"0")</f>
        <v>0</v>
      </c>
      <c r="BP60" s="153">
        <f>IFERROR(VLOOKUP($B60,'[5]INSUMOS MARZO'!$A$2:$S$105,17,0),"")</f>
        <v>2455.136</v>
      </c>
      <c r="BQ60" s="154">
        <f t="shared" si="21"/>
        <v>0</v>
      </c>
      <c r="BR60" s="152">
        <f>IFERROR(VLOOKUP($B60,'PEDIDO JULIO'!$A$10:$AG$200,29,0),"0")</f>
        <v>0</v>
      </c>
      <c r="BS60" s="153">
        <f>IFERROR(VLOOKUP($B60,'[5]INSUMOS MARZO'!$A$2:$S$105,17,0),"")</f>
        <v>2455.136</v>
      </c>
      <c r="BT60" s="155">
        <f t="shared" si="22"/>
        <v>0</v>
      </c>
      <c r="BU60" s="152">
        <f>IFERROR(VLOOKUP($B60,'PEDIDO JULIO'!$A$10:$AG$200,30,0),"0")</f>
        <v>0</v>
      </c>
      <c r="BV60" s="153">
        <f>IFERROR(VLOOKUP($B60,'[5]INSUMOS MARZO'!$A$2:$S$105,17,0),"")</f>
        <v>2455.136</v>
      </c>
      <c r="BW60" s="155">
        <f t="shared" si="23"/>
        <v>0</v>
      </c>
      <c r="BX60" s="152">
        <f>IFERROR(VLOOKUP($B60,'PEDIDO JULIO'!$A$10:$AG$200,31,0),"0")</f>
        <v>0</v>
      </c>
      <c r="BY60" s="156">
        <f>IFERROR(VLOOKUP($B60,'[5]INSUMOS MARZO'!$A$2:$S$105,14,0),"")</f>
        <v>4129.7993999999999</v>
      </c>
      <c r="BZ60" s="155">
        <f t="shared" si="24"/>
        <v>0</v>
      </c>
      <c r="CA60" s="152">
        <f>IFERROR(VLOOKUP($B60,'PEDIDO JULIO'!$A$10:$AG$200,32,0),"0")</f>
        <v>0</v>
      </c>
      <c r="CB60" s="153">
        <f>IFERROR(VLOOKUP($B60,'[5]INSUMOS MARZO'!$A$2:$S$105,17,0),"")</f>
        <v>2455.136</v>
      </c>
      <c r="CC60" s="155">
        <f t="shared" si="25"/>
        <v>0</v>
      </c>
      <c r="CD60" s="157">
        <f t="shared" si="26"/>
        <v>200</v>
      </c>
      <c r="CE60" s="158">
        <f t="shared" si="27"/>
        <v>200</v>
      </c>
      <c r="CF60" s="251">
        <v>0</v>
      </c>
      <c r="CG60" s="153">
        <f>IFERROR(VLOOKUP($B60,'[5]INSUMOS MARZO'!$A$2:$S$105,17,0),"")</f>
        <v>2455.136</v>
      </c>
      <c r="CH60" s="156">
        <f t="shared" si="28"/>
        <v>0</v>
      </c>
      <c r="CI60" s="251">
        <v>200</v>
      </c>
      <c r="CJ60" s="156">
        <f>IFERROR(VLOOKUP($B60,'[5]INSUMOS MARZO'!$A$2:$S$105,14,0),"")</f>
        <v>4129.7993999999999</v>
      </c>
      <c r="CK60" s="159">
        <f t="shared" si="29"/>
        <v>825959.88</v>
      </c>
      <c r="CL60" s="160">
        <f t="shared" si="30"/>
        <v>825959.88</v>
      </c>
      <c r="CM60" s="14">
        <f t="shared" si="31"/>
        <v>82595.988000000012</v>
      </c>
      <c r="CN60" s="14">
        <f t="shared" si="32"/>
        <v>15693.237720000003</v>
      </c>
      <c r="CO60" s="14">
        <f t="shared" si="33"/>
        <v>924249.10571999999</v>
      </c>
      <c r="CP60" s="1">
        <f>+CF60+CI60-CD60</f>
        <v>0</v>
      </c>
      <c r="CQ60" s="19">
        <f t="shared" si="34"/>
        <v>825959.88</v>
      </c>
      <c r="CR60" s="19" t="b">
        <f t="shared" si="35"/>
        <v>1</v>
      </c>
      <c r="CS60" s="19">
        <f t="shared" si="36"/>
        <v>0</v>
      </c>
    </row>
    <row r="61" spans="1:97" ht="16.5">
      <c r="A61" s="3">
        <v>56</v>
      </c>
      <c r="B61" s="151">
        <v>119</v>
      </c>
      <c r="C61" s="4" t="s">
        <v>75</v>
      </c>
      <c r="D61" s="152">
        <f>IFERROR(VLOOKUP($B61,'[4]INSUMOS FEBRERO'!$A$2:$F$105,5,0),"")</f>
        <v>96</v>
      </c>
      <c r="E61" s="152" t="str">
        <f>IFERROR(VLOOKUP($B61,'PEDIDO JULIO'!$A$10:$AG$32,33,0),"0")</f>
        <v>0</v>
      </c>
      <c r="F61" s="152">
        <f t="shared" si="1"/>
        <v>-96</v>
      </c>
      <c r="G61" s="152" t="str">
        <f>IFERROR(VLOOKUP($B61,'PEDIDO JULIO'!$A$10:$AG$200,8,0),"0")</f>
        <v>0</v>
      </c>
      <c r="H61" s="153">
        <f>IFERROR(VLOOKUP($B61,'[5]INSUMOS MARZO'!$A$2:$S$105,17,0),"")</f>
        <v>2821.9350000000004</v>
      </c>
      <c r="I61" s="154">
        <f t="shared" si="0"/>
        <v>0</v>
      </c>
      <c r="J61" s="152" t="str">
        <f>IFERROR(VLOOKUP($B61,'PEDIDO JULIO'!$A$10:$AG$200,9,0),"0")</f>
        <v>0</v>
      </c>
      <c r="K61" s="156">
        <f>IFERROR(VLOOKUP($B61,'[5]INSUMOS MARZO'!$A$2:$S$105,14,0),"")</f>
        <v>4259.3877000000002</v>
      </c>
      <c r="L61" s="155">
        <f t="shared" si="2"/>
        <v>0</v>
      </c>
      <c r="M61" s="152" t="str">
        <f>IFERROR(VLOOKUP($B61,'PEDIDO JULIO'!$A$10:$AG$200,10,0),"0")</f>
        <v>0</v>
      </c>
      <c r="N61" s="153">
        <f>IFERROR(VLOOKUP($B61,'[5]INSUMOS MARZO'!$A$2:$S$105,17,0),"")</f>
        <v>2821.9350000000004</v>
      </c>
      <c r="O61" s="154">
        <f t="shared" si="3"/>
        <v>0</v>
      </c>
      <c r="P61" s="152" t="str">
        <f>IFERROR(VLOOKUP($B61,'PEDIDO JULIO'!$A$10:$AG$200,11,0),"0")</f>
        <v>0</v>
      </c>
      <c r="Q61" s="153">
        <f>IFERROR(VLOOKUP($B61,'[5]INSUMOS MARZO'!$A$2:$S$105,17,0),"")</f>
        <v>2821.9350000000004</v>
      </c>
      <c r="R61" s="154">
        <f t="shared" si="4"/>
        <v>0</v>
      </c>
      <c r="S61" s="152" t="str">
        <f>IFERROR(VLOOKUP($B61,'PEDIDO JULIO'!$A$10:$AG$200,12,0),"0")</f>
        <v>0</v>
      </c>
      <c r="T61" s="153">
        <f>IFERROR(VLOOKUP($B61,'[5]INSUMOS MARZO'!$A$2:$S$105,17,0),"")</f>
        <v>2821.9350000000004</v>
      </c>
      <c r="U61" s="154">
        <f t="shared" si="5"/>
        <v>0</v>
      </c>
      <c r="V61" s="152" t="str">
        <f>IFERROR(VLOOKUP($B61,'PEDIDO JULIO'!$A$10:$AG$200,13,0),"0")</f>
        <v>0</v>
      </c>
      <c r="W61" s="153">
        <f>IFERROR(VLOOKUP($B61,'[5]INSUMOS MARZO'!$A$2:$S$105,17,0),"")</f>
        <v>2821.9350000000004</v>
      </c>
      <c r="X61" s="154">
        <f t="shared" si="6"/>
        <v>0</v>
      </c>
      <c r="Y61" s="152" t="str">
        <f>IFERROR(VLOOKUP($B61,'PEDIDO JULIO'!$A$10:$AG$200,14,0),"0")</f>
        <v>0</v>
      </c>
      <c r="Z61" s="153">
        <f>IFERROR(VLOOKUP($B61,'[5]INSUMOS MARZO'!$A$2:$S$105,17,0),"")</f>
        <v>2821.9350000000004</v>
      </c>
      <c r="AA61" s="154">
        <f t="shared" si="7"/>
        <v>0</v>
      </c>
      <c r="AB61" s="152" t="str">
        <f>IFERROR(VLOOKUP($B61,'PEDIDO JULIO'!$A$10:$AG$200,15,0),"0")</f>
        <v>0</v>
      </c>
      <c r="AC61" s="153">
        <f>IFERROR(VLOOKUP($B61,'[5]INSUMOS MARZO'!$A$2:$S$105,17,0),"")</f>
        <v>2821.9350000000004</v>
      </c>
      <c r="AD61" s="154">
        <f t="shared" si="8"/>
        <v>0</v>
      </c>
      <c r="AE61" s="152" t="str">
        <f>IFERROR(VLOOKUP($B61,'PEDIDO JULIO'!$A$10:$AG$200,16,0),"0")</f>
        <v>0</v>
      </c>
      <c r="AF61" s="153">
        <f>IFERROR(VLOOKUP($B61,'[5]INSUMOS MARZO'!$A$2:$S$105,17,0),"")</f>
        <v>2821.9350000000004</v>
      </c>
      <c r="AG61" s="154">
        <f t="shared" si="9"/>
        <v>0</v>
      </c>
      <c r="AH61" s="152" t="str">
        <f>IFERROR(VLOOKUP($B61,'PEDIDO JULIO'!$A$10:$AG$200,17,0),"0")</f>
        <v>0</v>
      </c>
      <c r="AI61" s="153">
        <f>IFERROR(VLOOKUP($B61,'[5]INSUMOS MARZO'!$A$2:$S$105,17,0),"")</f>
        <v>2821.9350000000004</v>
      </c>
      <c r="AJ61" s="154">
        <f t="shared" si="10"/>
        <v>0</v>
      </c>
      <c r="AK61" s="152" t="str">
        <f>IFERROR(VLOOKUP($B61,'PEDIDO JULIO'!$A$10:$AG$200,18,0),"0")</f>
        <v>0</v>
      </c>
      <c r="AL61" s="153">
        <f>IFERROR(VLOOKUP($B61,'[5]INSUMOS MARZO'!$A$2:$S$105,17,0),"")</f>
        <v>2821.9350000000004</v>
      </c>
      <c r="AM61" s="154">
        <f t="shared" si="11"/>
        <v>0</v>
      </c>
      <c r="AN61" s="152" t="str">
        <f>IFERROR(VLOOKUP($B61,'PEDIDO JULIO'!$A$10:$AG$200,19,0),"0")</f>
        <v>0</v>
      </c>
      <c r="AO61" s="153">
        <f>IFERROR(VLOOKUP($B61,'[5]INSUMOS MARZO'!$A$2:$S$105,17,0),"")</f>
        <v>2821.9350000000004</v>
      </c>
      <c r="AP61" s="154">
        <f t="shared" si="12"/>
        <v>0</v>
      </c>
      <c r="AQ61" s="152" t="str">
        <f>IFERROR(VLOOKUP($B61,'PEDIDO JULIO'!$A$10:$AG$200,20,0),"0")</f>
        <v>0</v>
      </c>
      <c r="AR61" s="153">
        <f>IFERROR(VLOOKUP($B61,'[5]INSUMOS MARZO'!$A$2:$S$105,17,0),"")</f>
        <v>2821.9350000000004</v>
      </c>
      <c r="AS61" s="154">
        <f t="shared" si="13"/>
        <v>0</v>
      </c>
      <c r="AT61" s="152" t="str">
        <f>IFERROR(VLOOKUP($B61,'PEDIDO JULIO'!$A$10:$AG$200,21,0),"0")</f>
        <v>0</v>
      </c>
      <c r="AU61" s="153">
        <f>IFERROR(VLOOKUP($B61,'[5]INSUMOS MARZO'!$A$2:$S$105,17,0),"")</f>
        <v>2821.9350000000004</v>
      </c>
      <c r="AV61" s="154">
        <f t="shared" si="14"/>
        <v>0</v>
      </c>
      <c r="AW61" s="152" t="str">
        <f>IFERROR(VLOOKUP($B61,'PEDIDO JULIO'!$A$10:$AG$200,22,0),"0")</f>
        <v>0</v>
      </c>
      <c r="AX61" s="153">
        <f>IFERROR(VLOOKUP($B61,'[5]INSUMOS MARZO'!$A$2:$S$105,17,0),"")</f>
        <v>2821.9350000000004</v>
      </c>
      <c r="AY61" s="154">
        <f t="shared" si="15"/>
        <v>0</v>
      </c>
      <c r="AZ61" s="152" t="str">
        <f>IFERROR(VLOOKUP($B61,'PEDIDO JULIO'!$A$10:$AG$200,23,0),"0")</f>
        <v>0</v>
      </c>
      <c r="BA61" s="153">
        <f>IFERROR(VLOOKUP($B61,'[5]INSUMOS MARZO'!$A$2:$S$105,17,0),"")</f>
        <v>2821.9350000000004</v>
      </c>
      <c r="BB61" s="154">
        <f t="shared" si="16"/>
        <v>0</v>
      </c>
      <c r="BC61" s="152" t="str">
        <f>IFERROR(VLOOKUP($B61,'PEDIDO JULIO'!$A$10:$AG$200,24,0),"0")</f>
        <v>0</v>
      </c>
      <c r="BD61" s="153">
        <f>IFERROR(VLOOKUP($B61,'[5]INSUMOS MARZO'!$A$2:$S$105,17,0),"")</f>
        <v>2821.9350000000004</v>
      </c>
      <c r="BE61" s="155">
        <f t="shared" si="17"/>
        <v>0</v>
      </c>
      <c r="BF61" s="152" t="str">
        <f>IFERROR(VLOOKUP($B61,'PEDIDO JULIO'!$A$10:$AG$200,25,0),"0")</f>
        <v>0</v>
      </c>
      <c r="BG61" s="153">
        <f>IFERROR(VLOOKUP($B61,'[5]INSUMOS MARZO'!$A$2:$S$105,17,0),"")</f>
        <v>2821.9350000000004</v>
      </c>
      <c r="BH61" s="155">
        <f t="shared" si="18"/>
        <v>0</v>
      </c>
      <c r="BI61" s="152" t="str">
        <f>IFERROR(VLOOKUP($B61,'PEDIDO JULIO'!$A$10:$AG$200,26,0),"0")</f>
        <v>0</v>
      </c>
      <c r="BJ61" s="153">
        <f>IFERROR(VLOOKUP($B61,'[5]INSUMOS MARZO'!$A$2:$S$105,17,0),"")</f>
        <v>2821.9350000000004</v>
      </c>
      <c r="BK61" s="154">
        <f t="shared" si="19"/>
        <v>0</v>
      </c>
      <c r="BL61" s="152" t="str">
        <f>IFERROR(VLOOKUP($B61,'PEDIDO JULIO'!$A$10:$AG$200,27,0),"0")</f>
        <v>0</v>
      </c>
      <c r="BM61" s="153">
        <f>IFERROR(VLOOKUP($B61,'[5]INSUMOS MARZO'!$A$2:$S$105,17,0),"")</f>
        <v>2821.9350000000004</v>
      </c>
      <c r="BN61" s="154">
        <f t="shared" si="20"/>
        <v>0</v>
      </c>
      <c r="BO61" s="152" t="str">
        <f>IFERROR(VLOOKUP($B61,'PEDIDO JULIO'!$A$10:$AG$200,28,0),"0")</f>
        <v>0</v>
      </c>
      <c r="BP61" s="153">
        <f>IFERROR(VLOOKUP($B61,'[5]INSUMOS MARZO'!$A$2:$S$105,17,0),"")</f>
        <v>2821.9350000000004</v>
      </c>
      <c r="BQ61" s="154">
        <f t="shared" si="21"/>
        <v>0</v>
      </c>
      <c r="BR61" s="152" t="str">
        <f>IFERROR(VLOOKUP($B61,'PEDIDO JULIO'!$A$10:$AG$200,29,0),"0")</f>
        <v>0</v>
      </c>
      <c r="BS61" s="153">
        <f>IFERROR(VLOOKUP($B61,'[5]INSUMOS MARZO'!$A$2:$S$105,17,0),"")</f>
        <v>2821.9350000000004</v>
      </c>
      <c r="BT61" s="155">
        <f t="shared" si="22"/>
        <v>0</v>
      </c>
      <c r="BU61" s="152" t="str">
        <f>IFERROR(VLOOKUP($B61,'PEDIDO JULIO'!$A$10:$AG$200,30,0),"0")</f>
        <v>0</v>
      </c>
      <c r="BV61" s="153">
        <f>IFERROR(VLOOKUP($B61,'[5]INSUMOS MARZO'!$A$2:$S$105,17,0),"")</f>
        <v>2821.9350000000004</v>
      </c>
      <c r="BW61" s="155">
        <f t="shared" si="23"/>
        <v>0</v>
      </c>
      <c r="BX61" s="152" t="str">
        <f>IFERROR(VLOOKUP($B61,'PEDIDO JULIO'!$A$10:$AG$200,31,0),"0")</f>
        <v>0</v>
      </c>
      <c r="BY61" s="153">
        <f>IFERROR(VLOOKUP($B61,'[5]INSUMOS MARZO'!$A$2:$S$105,17,0),"")</f>
        <v>2821.9350000000004</v>
      </c>
      <c r="BZ61" s="155">
        <f t="shared" si="24"/>
        <v>0</v>
      </c>
      <c r="CA61" s="152" t="str">
        <f>IFERROR(VLOOKUP($B61,'PEDIDO JULIO'!$A$10:$AG$200,32,0),"0")</f>
        <v>0</v>
      </c>
      <c r="CB61" s="153">
        <f>IFERROR(VLOOKUP($B61,'[5]INSUMOS MARZO'!$A$2:$S$105,17,0),"")</f>
        <v>2821.9350000000004</v>
      </c>
      <c r="CC61" s="155">
        <f t="shared" si="25"/>
        <v>0</v>
      </c>
      <c r="CD61" s="164">
        <f t="shared" si="26"/>
        <v>0</v>
      </c>
      <c r="CE61" s="158">
        <f t="shared" si="27"/>
        <v>0</v>
      </c>
      <c r="CF61" s="251">
        <f>IFERROR(VLOOKUP($B61,'MATRIZ INSUMOS '!$A$3:$P$106,16,0),"")</f>
        <v>0</v>
      </c>
      <c r="CG61" s="153">
        <f>IFERROR(VLOOKUP($B61,'[5]INSUMOS MARZO'!$A$2:$S$105,17,0),"")</f>
        <v>2821.9350000000004</v>
      </c>
      <c r="CH61" s="156">
        <f t="shared" si="28"/>
        <v>0</v>
      </c>
      <c r="CI61" s="251">
        <f>IFERROR(VLOOKUP($B61,'MATRIZ INSUMOS '!$A$3:$P$106,10,0),"")</f>
        <v>0</v>
      </c>
      <c r="CJ61" s="156">
        <f>IFERROR(VLOOKUP($B61,'[5]INSUMOS MARZO'!$A$2:$S$105,14,0),"")</f>
        <v>4259.3877000000002</v>
      </c>
      <c r="CK61" s="159">
        <f t="shared" si="29"/>
        <v>0</v>
      </c>
      <c r="CL61" s="160">
        <f t="shared" si="30"/>
        <v>0</v>
      </c>
      <c r="CM61" s="14">
        <f t="shared" si="31"/>
        <v>0</v>
      </c>
      <c r="CN61" s="14">
        <f t="shared" si="32"/>
        <v>0</v>
      </c>
      <c r="CO61" s="14">
        <f t="shared" si="33"/>
        <v>0</v>
      </c>
      <c r="CP61" s="1">
        <f>+CF61+CI61-CD61</f>
        <v>0</v>
      </c>
      <c r="CQ61" s="19">
        <f t="shared" si="34"/>
        <v>0</v>
      </c>
      <c r="CR61" s="19" t="b">
        <f t="shared" si="35"/>
        <v>1</v>
      </c>
      <c r="CS61" s="19">
        <f t="shared" si="36"/>
        <v>0</v>
      </c>
    </row>
    <row r="62" spans="1:97" ht="14.1" customHeight="1">
      <c r="A62" s="3">
        <v>57</v>
      </c>
      <c r="B62" s="151">
        <v>120</v>
      </c>
      <c r="C62" s="4" t="s">
        <v>76</v>
      </c>
      <c r="D62" s="152">
        <f>IFERROR(VLOOKUP($B62,'[4]INSUMOS FEBRERO'!$A$2:$F$105,5,0),"")</f>
        <v>96</v>
      </c>
      <c r="E62" s="152" t="str">
        <f>IFERROR(VLOOKUP($B62,'PEDIDO JULIO'!$A$10:$AG$32,33,0),"0")</f>
        <v>0</v>
      </c>
      <c r="F62" s="152">
        <f t="shared" si="1"/>
        <v>-96</v>
      </c>
      <c r="G62" s="152" t="str">
        <f>IFERROR(VLOOKUP($B62,'PEDIDO JULIO'!$A$10:$AG$200,8,0),"0")</f>
        <v>0</v>
      </c>
      <c r="H62" s="153">
        <f>IFERROR(VLOOKUP($B62,'[5]INSUMOS MARZO'!$A$2:$S$105,17,0),"")</f>
        <v>2821.9350000000004</v>
      </c>
      <c r="I62" s="154">
        <f t="shared" si="0"/>
        <v>0</v>
      </c>
      <c r="J62" s="152" t="str">
        <f>IFERROR(VLOOKUP($B62,'PEDIDO JULIO'!$A$10:$AG$200,9,0),"0")</f>
        <v>0</v>
      </c>
      <c r="K62" s="156">
        <f>IFERROR(VLOOKUP($B62,'[5]INSUMOS MARZO'!$A$2:$S$105,14,0),"")</f>
        <v>4259.3877000000002</v>
      </c>
      <c r="L62" s="155">
        <f t="shared" si="2"/>
        <v>0</v>
      </c>
      <c r="M62" s="152" t="str">
        <f>IFERROR(VLOOKUP($B62,'PEDIDO JULIO'!$A$10:$AG$200,10,0),"0")</f>
        <v>0</v>
      </c>
      <c r="N62" s="153">
        <f>IFERROR(VLOOKUP($B62,'[5]INSUMOS MARZO'!$A$2:$S$105,17,0),"")</f>
        <v>2821.9350000000004</v>
      </c>
      <c r="O62" s="154">
        <f t="shared" si="3"/>
        <v>0</v>
      </c>
      <c r="P62" s="152" t="str">
        <f>IFERROR(VLOOKUP($B62,'PEDIDO JULIO'!$A$10:$AG$200,11,0),"0")</f>
        <v>0</v>
      </c>
      <c r="Q62" s="153">
        <f>IFERROR(VLOOKUP($B62,'[5]INSUMOS MARZO'!$A$2:$S$105,17,0),"")</f>
        <v>2821.9350000000004</v>
      </c>
      <c r="R62" s="154">
        <f t="shared" si="4"/>
        <v>0</v>
      </c>
      <c r="S62" s="152" t="str">
        <f>IFERROR(VLOOKUP($B62,'PEDIDO JULIO'!$A$10:$AG$200,12,0),"0")</f>
        <v>0</v>
      </c>
      <c r="T62" s="153">
        <f>IFERROR(VLOOKUP($B62,'[5]INSUMOS MARZO'!$A$2:$S$105,17,0),"")</f>
        <v>2821.9350000000004</v>
      </c>
      <c r="U62" s="154">
        <f t="shared" si="5"/>
        <v>0</v>
      </c>
      <c r="V62" s="152" t="str">
        <f>IFERROR(VLOOKUP($B62,'PEDIDO JULIO'!$A$10:$AG$200,13,0),"0")</f>
        <v>0</v>
      </c>
      <c r="W62" s="153">
        <f>IFERROR(VLOOKUP($B62,'[5]INSUMOS MARZO'!$A$2:$S$105,17,0),"")</f>
        <v>2821.9350000000004</v>
      </c>
      <c r="X62" s="154">
        <f t="shared" si="6"/>
        <v>0</v>
      </c>
      <c r="Y62" s="152" t="str">
        <f>IFERROR(VLOOKUP($B62,'PEDIDO JULIO'!$A$10:$AG$200,14,0),"0")</f>
        <v>0</v>
      </c>
      <c r="Z62" s="153">
        <f>IFERROR(VLOOKUP($B62,'[5]INSUMOS MARZO'!$A$2:$S$105,17,0),"")</f>
        <v>2821.9350000000004</v>
      </c>
      <c r="AA62" s="154">
        <f t="shared" si="7"/>
        <v>0</v>
      </c>
      <c r="AB62" s="152" t="str">
        <f>IFERROR(VLOOKUP($B62,'PEDIDO JULIO'!$A$10:$AG$200,15,0),"0")</f>
        <v>0</v>
      </c>
      <c r="AC62" s="153">
        <f>IFERROR(VLOOKUP($B62,'[5]INSUMOS MARZO'!$A$2:$S$105,17,0),"")</f>
        <v>2821.9350000000004</v>
      </c>
      <c r="AD62" s="154">
        <f t="shared" si="8"/>
        <v>0</v>
      </c>
      <c r="AE62" s="152" t="str">
        <f>IFERROR(VLOOKUP($B62,'PEDIDO JULIO'!$A$10:$AG$200,16,0),"0")</f>
        <v>0</v>
      </c>
      <c r="AF62" s="153">
        <f>IFERROR(VLOOKUP($B62,'[5]INSUMOS MARZO'!$A$2:$S$105,17,0),"")</f>
        <v>2821.9350000000004</v>
      </c>
      <c r="AG62" s="154">
        <f t="shared" si="9"/>
        <v>0</v>
      </c>
      <c r="AH62" s="152" t="str">
        <f>IFERROR(VLOOKUP($B62,'PEDIDO JULIO'!$A$10:$AG$200,17,0),"0")</f>
        <v>0</v>
      </c>
      <c r="AI62" s="153">
        <f>IFERROR(VLOOKUP($B62,'[5]INSUMOS MARZO'!$A$2:$S$105,17,0),"")</f>
        <v>2821.9350000000004</v>
      </c>
      <c r="AJ62" s="154">
        <f t="shared" si="10"/>
        <v>0</v>
      </c>
      <c r="AK62" s="152" t="str">
        <f>IFERROR(VLOOKUP($B62,'PEDIDO JULIO'!$A$10:$AG$200,18,0),"0")</f>
        <v>0</v>
      </c>
      <c r="AL62" s="153">
        <f>IFERROR(VLOOKUP($B62,'[5]INSUMOS MARZO'!$A$2:$S$105,17,0),"")</f>
        <v>2821.9350000000004</v>
      </c>
      <c r="AM62" s="154">
        <f t="shared" si="11"/>
        <v>0</v>
      </c>
      <c r="AN62" s="152" t="str">
        <f>IFERROR(VLOOKUP($B62,'PEDIDO JULIO'!$A$10:$AG$200,19,0),"0")</f>
        <v>0</v>
      </c>
      <c r="AO62" s="153">
        <f>IFERROR(VLOOKUP($B62,'[5]INSUMOS MARZO'!$A$2:$S$105,17,0),"")</f>
        <v>2821.9350000000004</v>
      </c>
      <c r="AP62" s="154">
        <f t="shared" si="12"/>
        <v>0</v>
      </c>
      <c r="AQ62" s="152" t="str">
        <f>IFERROR(VLOOKUP($B62,'PEDIDO JULIO'!$A$10:$AG$200,20,0),"0")</f>
        <v>0</v>
      </c>
      <c r="AR62" s="153">
        <f>IFERROR(VLOOKUP($B62,'[5]INSUMOS MARZO'!$A$2:$S$105,17,0),"")</f>
        <v>2821.9350000000004</v>
      </c>
      <c r="AS62" s="154">
        <f t="shared" si="13"/>
        <v>0</v>
      </c>
      <c r="AT62" s="152" t="str">
        <f>IFERROR(VLOOKUP($B62,'PEDIDO JULIO'!$A$10:$AG$200,21,0),"0")</f>
        <v>0</v>
      </c>
      <c r="AU62" s="156">
        <f>IFERROR(VLOOKUP($B62,'[5]INSUMOS MARZO'!$A$2:$S$105,14,0),"")</f>
        <v>4259.3877000000002</v>
      </c>
      <c r="AV62" s="154">
        <f t="shared" si="14"/>
        <v>0</v>
      </c>
      <c r="AW62" s="152" t="str">
        <f>IFERROR(VLOOKUP($B62,'PEDIDO JULIO'!$A$10:$AG$200,22,0),"0")</f>
        <v>0</v>
      </c>
      <c r="AX62" s="153">
        <f>IFERROR(VLOOKUP($B62,'[5]INSUMOS MARZO'!$A$2:$S$105,17,0),"")</f>
        <v>2821.9350000000004</v>
      </c>
      <c r="AY62" s="154">
        <f t="shared" si="15"/>
        <v>0</v>
      </c>
      <c r="AZ62" s="152" t="str">
        <f>IFERROR(VLOOKUP($B62,'PEDIDO JULIO'!$A$10:$AG$200,23,0),"0")</f>
        <v>0</v>
      </c>
      <c r="BA62" s="153">
        <f>IFERROR(VLOOKUP($B62,'[5]INSUMOS MARZO'!$A$2:$S$105,17,0),"")</f>
        <v>2821.9350000000004</v>
      </c>
      <c r="BB62" s="154">
        <f t="shared" si="16"/>
        <v>0</v>
      </c>
      <c r="BC62" s="152" t="str">
        <f>IFERROR(VLOOKUP($B62,'PEDIDO JULIO'!$A$10:$AG$200,24,0),"0")</f>
        <v>0</v>
      </c>
      <c r="BD62" s="153">
        <f>IFERROR(VLOOKUP($B62,'[5]INSUMOS MARZO'!$A$2:$S$105,17,0),"")</f>
        <v>2821.9350000000004</v>
      </c>
      <c r="BE62" s="155">
        <f t="shared" si="17"/>
        <v>0</v>
      </c>
      <c r="BF62" s="152" t="str">
        <f>IFERROR(VLOOKUP($B62,'PEDIDO JULIO'!$A$10:$AG$200,25,0),"0")</f>
        <v>0</v>
      </c>
      <c r="BG62" s="153">
        <f>IFERROR(VLOOKUP($B62,'[5]INSUMOS MARZO'!$A$2:$S$105,17,0),"")</f>
        <v>2821.9350000000004</v>
      </c>
      <c r="BH62" s="155">
        <f t="shared" si="18"/>
        <v>0</v>
      </c>
      <c r="BI62" s="152" t="str">
        <f>IFERROR(VLOOKUP($B62,'PEDIDO JULIO'!$A$10:$AG$200,26,0),"0")</f>
        <v>0</v>
      </c>
      <c r="BJ62" s="153">
        <f>IFERROR(VLOOKUP($B62,'[5]INSUMOS MARZO'!$A$2:$S$105,17,0),"")</f>
        <v>2821.9350000000004</v>
      </c>
      <c r="BK62" s="154">
        <f t="shared" si="19"/>
        <v>0</v>
      </c>
      <c r="BL62" s="152" t="str">
        <f>IFERROR(VLOOKUP($B62,'PEDIDO JULIO'!$A$10:$AG$200,27,0),"0")</f>
        <v>0</v>
      </c>
      <c r="BM62" s="153">
        <f>IFERROR(VLOOKUP($B62,'[5]INSUMOS MARZO'!$A$2:$S$105,17,0),"")</f>
        <v>2821.9350000000004</v>
      </c>
      <c r="BN62" s="154">
        <f t="shared" si="20"/>
        <v>0</v>
      </c>
      <c r="BO62" s="152" t="str">
        <f>IFERROR(VLOOKUP($B62,'PEDIDO JULIO'!$A$10:$AG$200,28,0),"0")</f>
        <v>0</v>
      </c>
      <c r="BP62" s="153">
        <f>IFERROR(VLOOKUP($B62,'[5]INSUMOS MARZO'!$A$2:$S$105,17,0),"")</f>
        <v>2821.9350000000004</v>
      </c>
      <c r="BQ62" s="154">
        <f t="shared" si="21"/>
        <v>0</v>
      </c>
      <c r="BR62" s="152" t="str">
        <f>IFERROR(VLOOKUP($B62,'PEDIDO JULIO'!$A$10:$AG$200,29,0),"0")</f>
        <v>0</v>
      </c>
      <c r="BS62" s="153">
        <f>IFERROR(VLOOKUP($B62,'[5]INSUMOS MARZO'!$A$2:$S$105,17,0),"")</f>
        <v>2821.9350000000004</v>
      </c>
      <c r="BT62" s="155">
        <f t="shared" si="22"/>
        <v>0</v>
      </c>
      <c r="BU62" s="152" t="str">
        <f>IFERROR(VLOOKUP($B62,'PEDIDO JULIO'!$A$10:$AG$200,30,0),"0")</f>
        <v>0</v>
      </c>
      <c r="BV62" s="153">
        <f>IFERROR(VLOOKUP($B62,'[5]INSUMOS MARZO'!$A$2:$S$105,17,0),"")</f>
        <v>2821.9350000000004</v>
      </c>
      <c r="BW62" s="155">
        <f t="shared" si="23"/>
        <v>0</v>
      </c>
      <c r="BX62" s="152" t="str">
        <f>IFERROR(VLOOKUP($B62,'PEDIDO JULIO'!$A$10:$AG$200,31,0),"0")</f>
        <v>0</v>
      </c>
      <c r="BY62" s="153">
        <f>IFERROR(VLOOKUP($B62,'[5]INSUMOS MARZO'!$A$2:$S$105,17,0),"")</f>
        <v>2821.9350000000004</v>
      </c>
      <c r="BZ62" s="155">
        <f t="shared" si="24"/>
        <v>0</v>
      </c>
      <c r="CA62" s="152" t="str">
        <f>IFERROR(VLOOKUP($B62,'PEDIDO JULIO'!$A$10:$AG$200,32,0),"0")</f>
        <v>0</v>
      </c>
      <c r="CB62" s="153">
        <f>IFERROR(VLOOKUP($B62,'[5]INSUMOS MARZO'!$A$2:$S$105,17,0),"")</f>
        <v>2821.9350000000004</v>
      </c>
      <c r="CC62" s="155">
        <f t="shared" si="25"/>
        <v>0</v>
      </c>
      <c r="CD62" s="157">
        <f t="shared" si="26"/>
        <v>0</v>
      </c>
      <c r="CE62" s="158">
        <f t="shared" si="27"/>
        <v>0</v>
      </c>
      <c r="CF62" s="251">
        <f>IFERROR(VLOOKUP($B62,'MATRIZ INSUMOS '!$A$3:$P$106,16,0),"")</f>
        <v>0</v>
      </c>
      <c r="CG62" s="153">
        <f>IFERROR(VLOOKUP($B62,'[5]INSUMOS MARZO'!$A$2:$S$105,17,0),"")</f>
        <v>2821.9350000000004</v>
      </c>
      <c r="CH62" s="156">
        <f t="shared" si="28"/>
        <v>0</v>
      </c>
      <c r="CI62" s="251">
        <f>IFERROR(VLOOKUP($B62,'MATRIZ INSUMOS '!$A$3:$P$106,10,0),"")</f>
        <v>0</v>
      </c>
      <c r="CJ62" s="156">
        <f>IFERROR(VLOOKUP($B62,'[5]INSUMOS MARZO'!$A$2:$S$105,14,0),"")</f>
        <v>4259.3877000000002</v>
      </c>
      <c r="CK62" s="159">
        <f t="shared" si="29"/>
        <v>0</v>
      </c>
      <c r="CL62" s="160">
        <f t="shared" si="30"/>
        <v>0</v>
      </c>
      <c r="CM62" s="14">
        <f t="shared" si="31"/>
        <v>0</v>
      </c>
      <c r="CN62" s="14">
        <f t="shared" si="32"/>
        <v>0</v>
      </c>
      <c r="CO62" s="14">
        <f t="shared" si="33"/>
        <v>0</v>
      </c>
      <c r="CP62" s="1">
        <f>+CF62+CI62-CD62</f>
        <v>0</v>
      </c>
      <c r="CQ62" s="19">
        <f t="shared" si="34"/>
        <v>0</v>
      </c>
      <c r="CR62" s="19" t="b">
        <f t="shared" si="35"/>
        <v>1</v>
      </c>
      <c r="CS62" s="19">
        <f t="shared" si="36"/>
        <v>0</v>
      </c>
    </row>
    <row r="63" spans="1:97" ht="16.5">
      <c r="A63" s="3">
        <v>58</v>
      </c>
      <c r="B63" s="151">
        <v>122</v>
      </c>
      <c r="C63" s="4" t="s">
        <v>77</v>
      </c>
      <c r="D63" s="152">
        <f>IFERROR(VLOOKUP($B63,'[4]INSUMOS FEBRERO'!$A$2:$F$105,5,0),"")</f>
        <v>96</v>
      </c>
      <c r="E63" s="152" t="str">
        <f>IFERROR(VLOOKUP($B63,'PEDIDO JULIO'!$A$10:$AG$32,33,0),"0")</f>
        <v>0</v>
      </c>
      <c r="F63" s="152">
        <f t="shared" si="1"/>
        <v>-96</v>
      </c>
      <c r="G63" s="152" t="str">
        <f>IFERROR(VLOOKUP($B63,'PEDIDO JULIO'!$A$10:$AG$200,8,0),"0")</f>
        <v>0</v>
      </c>
      <c r="H63" s="153">
        <f>IFERROR(VLOOKUP($B63,'[5]INSUMOS MARZO'!$A$2:$S$105,17,0),"")</f>
        <v>5223.4699999999993</v>
      </c>
      <c r="I63" s="154">
        <f t="shared" si="0"/>
        <v>0</v>
      </c>
      <c r="J63" s="152" t="str">
        <f>IFERROR(VLOOKUP($B63,'PEDIDO JULIO'!$A$10:$AG$200,9,0),"0")</f>
        <v>0</v>
      </c>
      <c r="K63" s="156">
        <f>IFERROR(VLOOKUP($B63,'[5]INSUMOS MARZO'!$A$2:$S$105,14,0),"")</f>
        <v>5920.3881000000001</v>
      </c>
      <c r="L63" s="155">
        <f t="shared" si="2"/>
        <v>0</v>
      </c>
      <c r="M63" s="152" t="str">
        <f>IFERROR(VLOOKUP($B63,'PEDIDO JULIO'!$A$10:$AG$200,10,0),"0")</f>
        <v>0</v>
      </c>
      <c r="N63" s="153">
        <f>IFERROR(VLOOKUP($B63,'[5]INSUMOS MARZO'!$A$2:$S$105,17,0),"")</f>
        <v>5223.4699999999993</v>
      </c>
      <c r="O63" s="154">
        <f t="shared" si="3"/>
        <v>0</v>
      </c>
      <c r="P63" s="152" t="str">
        <f>IFERROR(VLOOKUP($B63,'PEDIDO JULIO'!$A$10:$AG$200,11,0),"0")</f>
        <v>0</v>
      </c>
      <c r="Q63" s="153">
        <f>IFERROR(VLOOKUP($B63,'[5]INSUMOS MARZO'!$A$2:$S$105,17,0),"")</f>
        <v>5223.4699999999993</v>
      </c>
      <c r="R63" s="154">
        <f t="shared" si="4"/>
        <v>0</v>
      </c>
      <c r="S63" s="152" t="str">
        <f>IFERROR(VLOOKUP($B63,'PEDIDO JULIO'!$A$10:$AG$200,12,0),"0")</f>
        <v>0</v>
      </c>
      <c r="T63" s="153">
        <f>IFERROR(VLOOKUP($B63,'[5]INSUMOS MARZO'!$A$2:$S$105,17,0),"")</f>
        <v>5223.4699999999993</v>
      </c>
      <c r="U63" s="154">
        <f t="shared" si="5"/>
        <v>0</v>
      </c>
      <c r="V63" s="152" t="str">
        <f>IFERROR(VLOOKUP($B63,'PEDIDO JULIO'!$A$10:$AG$200,13,0),"0")</f>
        <v>0</v>
      </c>
      <c r="W63" s="153">
        <f>IFERROR(VLOOKUP($B63,'[5]INSUMOS MARZO'!$A$2:$S$105,17,0),"")</f>
        <v>5223.4699999999993</v>
      </c>
      <c r="X63" s="154">
        <f t="shared" si="6"/>
        <v>0</v>
      </c>
      <c r="Y63" s="152" t="str">
        <f>IFERROR(VLOOKUP($B63,'PEDIDO JULIO'!$A$10:$AG$200,14,0),"0")</f>
        <v>0</v>
      </c>
      <c r="Z63" s="153">
        <f>IFERROR(VLOOKUP($B63,'[5]INSUMOS MARZO'!$A$2:$S$105,17,0),"")</f>
        <v>5223.4699999999993</v>
      </c>
      <c r="AA63" s="154">
        <f t="shared" si="7"/>
        <v>0</v>
      </c>
      <c r="AB63" s="152" t="str">
        <f>IFERROR(VLOOKUP($B63,'PEDIDO JULIO'!$A$10:$AG$200,15,0),"0")</f>
        <v>0</v>
      </c>
      <c r="AC63" s="153">
        <f>IFERROR(VLOOKUP($B63,'[5]INSUMOS MARZO'!$A$2:$S$105,17,0),"")</f>
        <v>5223.4699999999993</v>
      </c>
      <c r="AD63" s="154">
        <f t="shared" si="8"/>
        <v>0</v>
      </c>
      <c r="AE63" s="152" t="str">
        <f>IFERROR(VLOOKUP($B63,'PEDIDO JULIO'!$A$10:$AG$200,16,0),"0")</f>
        <v>0</v>
      </c>
      <c r="AF63" s="153">
        <f>IFERROR(VLOOKUP($B63,'[5]INSUMOS MARZO'!$A$2:$S$105,17,0),"")</f>
        <v>5223.4699999999993</v>
      </c>
      <c r="AG63" s="154">
        <f t="shared" si="9"/>
        <v>0</v>
      </c>
      <c r="AH63" s="152" t="str">
        <f>IFERROR(VLOOKUP($B63,'PEDIDO JULIO'!$A$10:$AG$200,17,0),"0")</f>
        <v>0</v>
      </c>
      <c r="AI63" s="153">
        <f>IFERROR(VLOOKUP($B63,'[5]INSUMOS MARZO'!$A$2:$S$105,17,0),"")</f>
        <v>5223.4699999999993</v>
      </c>
      <c r="AJ63" s="154">
        <f t="shared" si="10"/>
        <v>0</v>
      </c>
      <c r="AK63" s="152" t="str">
        <f>IFERROR(VLOOKUP($B63,'PEDIDO JULIO'!$A$10:$AG$200,18,0),"0")</f>
        <v>0</v>
      </c>
      <c r="AL63" s="153">
        <f>IFERROR(VLOOKUP($B63,'[5]INSUMOS MARZO'!$A$2:$S$105,17,0),"")</f>
        <v>5223.4699999999993</v>
      </c>
      <c r="AM63" s="154">
        <f t="shared" si="11"/>
        <v>0</v>
      </c>
      <c r="AN63" s="152" t="str">
        <f>IFERROR(VLOOKUP($B63,'PEDIDO JULIO'!$A$10:$AG$200,19,0),"0")</f>
        <v>0</v>
      </c>
      <c r="AO63" s="156">
        <f>IFERROR(VLOOKUP($B63,'[5]INSUMOS MARZO'!$A$2:$S$105,14,0),"")</f>
        <v>5920.3881000000001</v>
      </c>
      <c r="AP63" s="154">
        <f t="shared" si="12"/>
        <v>0</v>
      </c>
      <c r="AQ63" s="152" t="str">
        <f>IFERROR(VLOOKUP($B63,'PEDIDO JULIO'!$A$10:$AG$200,20,0),"0")</f>
        <v>0</v>
      </c>
      <c r="AR63" s="153">
        <f>IFERROR(VLOOKUP($B63,'[5]INSUMOS MARZO'!$A$2:$S$105,17,0),"")</f>
        <v>5223.4699999999993</v>
      </c>
      <c r="AS63" s="154">
        <f t="shared" si="13"/>
        <v>0</v>
      </c>
      <c r="AT63" s="152" t="str">
        <f>IFERROR(VLOOKUP($B63,'PEDIDO JULIO'!$A$10:$AG$200,21,0),"0")</f>
        <v>0</v>
      </c>
      <c r="AU63" s="153">
        <f>IFERROR(VLOOKUP($B63,'[5]INSUMOS MARZO'!$A$2:$S$105,17,0),"")</f>
        <v>5223.4699999999993</v>
      </c>
      <c r="AV63" s="154">
        <f t="shared" si="14"/>
        <v>0</v>
      </c>
      <c r="AW63" s="152" t="str">
        <f>IFERROR(VLOOKUP($B63,'PEDIDO JULIO'!$A$10:$AG$200,22,0),"0")</f>
        <v>0</v>
      </c>
      <c r="AX63" s="153">
        <f>IFERROR(VLOOKUP($B63,'[5]INSUMOS MARZO'!$A$2:$S$105,17,0),"")</f>
        <v>5223.4699999999993</v>
      </c>
      <c r="AY63" s="154">
        <f t="shared" si="15"/>
        <v>0</v>
      </c>
      <c r="AZ63" s="152" t="str">
        <f>IFERROR(VLOOKUP($B63,'PEDIDO JULIO'!$A$10:$AG$200,23,0),"0")</f>
        <v>0</v>
      </c>
      <c r="BA63" s="153">
        <f>IFERROR(VLOOKUP($B63,'[5]INSUMOS MARZO'!$A$2:$S$105,17,0),"")</f>
        <v>5223.4699999999993</v>
      </c>
      <c r="BB63" s="154">
        <f t="shared" si="16"/>
        <v>0</v>
      </c>
      <c r="BC63" s="152" t="str">
        <f>IFERROR(VLOOKUP($B63,'PEDIDO JULIO'!$A$10:$AG$200,24,0),"0")</f>
        <v>0</v>
      </c>
      <c r="BD63" s="153">
        <f>IFERROR(VLOOKUP($B63,'[5]INSUMOS MARZO'!$A$2:$S$105,17,0),"")</f>
        <v>5223.4699999999993</v>
      </c>
      <c r="BE63" s="155">
        <f t="shared" si="17"/>
        <v>0</v>
      </c>
      <c r="BF63" s="152" t="str">
        <f>IFERROR(VLOOKUP($B63,'PEDIDO JULIO'!$A$10:$AG$200,25,0),"0")</f>
        <v>0</v>
      </c>
      <c r="BG63" s="153">
        <f>IFERROR(VLOOKUP($B63,'[5]INSUMOS MARZO'!$A$2:$S$105,17,0),"")</f>
        <v>5223.4699999999993</v>
      </c>
      <c r="BH63" s="155">
        <f t="shared" si="18"/>
        <v>0</v>
      </c>
      <c r="BI63" s="152" t="str">
        <f>IFERROR(VLOOKUP($B63,'PEDIDO JULIO'!$A$10:$AG$200,26,0),"0")</f>
        <v>0</v>
      </c>
      <c r="BJ63" s="153">
        <f>IFERROR(VLOOKUP($B63,'[5]INSUMOS MARZO'!$A$2:$S$105,17,0),"")</f>
        <v>5223.4699999999993</v>
      </c>
      <c r="BK63" s="154">
        <f t="shared" si="19"/>
        <v>0</v>
      </c>
      <c r="BL63" s="152" t="str">
        <f>IFERROR(VLOOKUP($B63,'PEDIDO JULIO'!$A$10:$AG$200,27,0),"0")</f>
        <v>0</v>
      </c>
      <c r="BM63" s="153">
        <f>IFERROR(VLOOKUP($B63,'[5]INSUMOS MARZO'!$A$2:$S$105,17,0),"")</f>
        <v>5223.4699999999993</v>
      </c>
      <c r="BN63" s="154">
        <f t="shared" si="20"/>
        <v>0</v>
      </c>
      <c r="BO63" s="152" t="str">
        <f>IFERROR(VLOOKUP($B63,'PEDIDO JULIO'!$A$10:$AG$200,28,0),"0")</f>
        <v>0</v>
      </c>
      <c r="BP63" s="153">
        <f>IFERROR(VLOOKUP($B63,'[5]INSUMOS MARZO'!$A$2:$S$105,17,0),"")</f>
        <v>5223.4699999999993</v>
      </c>
      <c r="BQ63" s="154">
        <f t="shared" si="21"/>
        <v>0</v>
      </c>
      <c r="BR63" s="152" t="str">
        <f>IFERROR(VLOOKUP($B63,'PEDIDO JULIO'!$A$10:$AG$200,29,0),"0")</f>
        <v>0</v>
      </c>
      <c r="BS63" s="153">
        <f>IFERROR(VLOOKUP($B63,'[5]INSUMOS MARZO'!$A$2:$S$105,17,0),"")</f>
        <v>5223.4699999999993</v>
      </c>
      <c r="BT63" s="155">
        <f t="shared" si="22"/>
        <v>0</v>
      </c>
      <c r="BU63" s="152" t="str">
        <f>IFERROR(VLOOKUP($B63,'PEDIDO JULIO'!$A$10:$AG$200,30,0),"0")</f>
        <v>0</v>
      </c>
      <c r="BV63" s="153">
        <f>IFERROR(VLOOKUP($B63,'[5]INSUMOS MARZO'!$A$2:$S$105,17,0),"")</f>
        <v>5223.4699999999993</v>
      </c>
      <c r="BW63" s="155">
        <f t="shared" si="23"/>
        <v>0</v>
      </c>
      <c r="BX63" s="152" t="str">
        <f>IFERROR(VLOOKUP($B63,'PEDIDO JULIO'!$A$10:$AG$200,31,0),"0")</f>
        <v>0</v>
      </c>
      <c r="BY63" s="153">
        <f>IFERROR(VLOOKUP($B63,'[5]INSUMOS MARZO'!$A$2:$S$105,17,0),"")</f>
        <v>5223.4699999999993</v>
      </c>
      <c r="BZ63" s="155">
        <f t="shared" si="24"/>
        <v>0</v>
      </c>
      <c r="CA63" s="152" t="str">
        <f>IFERROR(VLOOKUP($B63,'PEDIDO JULIO'!$A$10:$AG$200,32,0),"0")</f>
        <v>0</v>
      </c>
      <c r="CB63" s="153">
        <f>IFERROR(VLOOKUP($B63,'[5]INSUMOS MARZO'!$A$2:$S$105,17,0),"")</f>
        <v>5223.4699999999993</v>
      </c>
      <c r="CC63" s="155">
        <f t="shared" si="25"/>
        <v>0</v>
      </c>
      <c r="CD63" s="157">
        <f t="shared" si="26"/>
        <v>0</v>
      </c>
      <c r="CE63" s="158">
        <f t="shared" si="27"/>
        <v>0</v>
      </c>
      <c r="CF63" s="251">
        <f>IFERROR(VLOOKUP($B63,'MATRIZ INSUMOS '!$A$3:$P$106,16,0),"")</f>
        <v>0</v>
      </c>
      <c r="CG63" s="153">
        <f>IFERROR(VLOOKUP($B63,'[5]INSUMOS MARZO'!$A$2:$S$105,17,0),"")</f>
        <v>5223.4699999999993</v>
      </c>
      <c r="CH63" s="156">
        <f t="shared" si="28"/>
        <v>0</v>
      </c>
      <c r="CI63" s="251">
        <f>IFERROR(VLOOKUP($B63,'MATRIZ INSUMOS '!$A$3:$P$106,10,0),"")</f>
        <v>0</v>
      </c>
      <c r="CJ63" s="156">
        <f>IFERROR(VLOOKUP($B63,'[5]INSUMOS MARZO'!$A$2:$S$105,14,0),"")</f>
        <v>5920.3881000000001</v>
      </c>
      <c r="CK63" s="159">
        <f t="shared" si="29"/>
        <v>0</v>
      </c>
      <c r="CL63" s="160">
        <f t="shared" si="30"/>
        <v>0</v>
      </c>
      <c r="CM63" s="14">
        <f t="shared" si="31"/>
        <v>0</v>
      </c>
      <c r="CN63" s="14">
        <f t="shared" si="32"/>
        <v>0</v>
      </c>
      <c r="CO63" s="14">
        <f t="shared" si="33"/>
        <v>0</v>
      </c>
      <c r="CP63" s="1">
        <f>+CF63+CI63-CD63</f>
        <v>0</v>
      </c>
      <c r="CQ63" s="19">
        <f t="shared" si="34"/>
        <v>0</v>
      </c>
      <c r="CR63" s="19" t="b">
        <f t="shared" si="35"/>
        <v>1</v>
      </c>
      <c r="CS63" s="19">
        <f t="shared" si="36"/>
        <v>0</v>
      </c>
    </row>
    <row r="64" spans="1:97" ht="16.5">
      <c r="A64" s="3">
        <v>59</v>
      </c>
      <c r="B64" s="151">
        <v>123</v>
      </c>
      <c r="C64" s="4" t="s">
        <v>78</v>
      </c>
      <c r="D64" s="152">
        <f>IFERROR(VLOOKUP($B64,'[4]INSUMOS FEBRERO'!$A$2:$F$105,5,0),"")</f>
        <v>97</v>
      </c>
      <c r="E64" s="152" t="str">
        <f>IFERROR(VLOOKUP($B64,'PEDIDO JULIO'!$A$10:$AG$32,33,0),"0")</f>
        <v>0</v>
      </c>
      <c r="F64" s="152">
        <f t="shared" si="1"/>
        <v>-97</v>
      </c>
      <c r="G64" s="152" t="str">
        <f>IFERROR(VLOOKUP($B64,'PEDIDO JULIO'!$A$10:$AG$200,8,0),"0")</f>
        <v>0</v>
      </c>
      <c r="H64" s="153">
        <f>IFERROR(VLOOKUP($B64,'[5]INSUMOS MARZO'!$A$2:$S$105,17,0),"")</f>
        <v>5765.7860000000001</v>
      </c>
      <c r="I64" s="154">
        <f t="shared" si="0"/>
        <v>0</v>
      </c>
      <c r="J64" s="152" t="str">
        <f>IFERROR(VLOOKUP($B64,'PEDIDO JULIO'!$A$10:$AG$200,9,0),"0")</f>
        <v>0</v>
      </c>
      <c r="K64" s="153">
        <f>IFERROR(VLOOKUP($B64,'[5]INSUMOS MARZO'!$A$2:$S$105,17,0),"")</f>
        <v>5765.7860000000001</v>
      </c>
      <c r="L64" s="155">
        <f t="shared" si="2"/>
        <v>0</v>
      </c>
      <c r="M64" s="152" t="str">
        <f>IFERROR(VLOOKUP($B64,'PEDIDO JULIO'!$A$10:$AG$200,10,0),"0")</f>
        <v>0</v>
      </c>
      <c r="N64" s="153">
        <f>IFERROR(VLOOKUP($B64,'[5]INSUMOS MARZO'!$A$2:$S$105,17,0),"")</f>
        <v>5765.7860000000001</v>
      </c>
      <c r="O64" s="154">
        <f t="shared" si="3"/>
        <v>0</v>
      </c>
      <c r="P64" s="152" t="str">
        <f>IFERROR(VLOOKUP($B64,'PEDIDO JULIO'!$A$10:$AG$200,11,0),"0")</f>
        <v>0</v>
      </c>
      <c r="Q64" s="153">
        <f>IFERROR(VLOOKUP($B64,'[5]INSUMOS MARZO'!$A$2:$S$105,17,0),"")</f>
        <v>5765.7860000000001</v>
      </c>
      <c r="R64" s="154">
        <f t="shared" si="4"/>
        <v>0</v>
      </c>
      <c r="S64" s="152" t="str">
        <f>IFERROR(VLOOKUP($B64,'PEDIDO JULIO'!$A$10:$AG$200,12,0),"0")</f>
        <v>0</v>
      </c>
      <c r="T64" s="153">
        <f>IFERROR(VLOOKUP($B64,'[5]INSUMOS MARZO'!$A$2:$S$105,17,0),"")</f>
        <v>5765.7860000000001</v>
      </c>
      <c r="U64" s="154">
        <f t="shared" si="5"/>
        <v>0</v>
      </c>
      <c r="V64" s="152" t="str">
        <f>IFERROR(VLOOKUP($B64,'PEDIDO JULIO'!$A$10:$AG$200,13,0),"0")</f>
        <v>0</v>
      </c>
      <c r="W64" s="153">
        <f>IFERROR(VLOOKUP($B64,'[5]INSUMOS MARZO'!$A$2:$S$105,17,0),"")</f>
        <v>5765.7860000000001</v>
      </c>
      <c r="X64" s="154">
        <f t="shared" si="6"/>
        <v>0</v>
      </c>
      <c r="Y64" s="152" t="str">
        <f>IFERROR(VLOOKUP($B64,'PEDIDO JULIO'!$A$10:$AG$200,14,0),"0")</f>
        <v>0</v>
      </c>
      <c r="Z64" s="153">
        <f>IFERROR(VLOOKUP($B64,'[5]INSUMOS MARZO'!$A$2:$S$105,17,0),"")</f>
        <v>5765.7860000000001</v>
      </c>
      <c r="AA64" s="154">
        <f t="shared" si="7"/>
        <v>0</v>
      </c>
      <c r="AB64" s="152" t="str">
        <f>IFERROR(VLOOKUP($B64,'PEDIDO JULIO'!$A$10:$AG$200,15,0),"0")</f>
        <v>0</v>
      </c>
      <c r="AC64" s="153">
        <f>IFERROR(VLOOKUP($B64,'[5]INSUMOS MARZO'!$A$2:$S$105,17,0),"")</f>
        <v>5765.7860000000001</v>
      </c>
      <c r="AD64" s="154">
        <f t="shared" si="8"/>
        <v>0</v>
      </c>
      <c r="AE64" s="152" t="str">
        <f>IFERROR(VLOOKUP($B64,'PEDIDO JULIO'!$A$10:$AG$200,16,0),"0")</f>
        <v>0</v>
      </c>
      <c r="AF64" s="153">
        <f>IFERROR(VLOOKUP($B64,'[5]INSUMOS MARZO'!$A$2:$S$105,17,0),"")</f>
        <v>5765.7860000000001</v>
      </c>
      <c r="AG64" s="154">
        <f t="shared" si="9"/>
        <v>0</v>
      </c>
      <c r="AH64" s="152" t="str">
        <f>IFERROR(VLOOKUP($B64,'PEDIDO JULIO'!$A$10:$AG$200,17,0),"0")</f>
        <v>0</v>
      </c>
      <c r="AI64" s="153">
        <f>IFERROR(VLOOKUP($B64,'[5]INSUMOS MARZO'!$A$2:$S$105,17,0),"")</f>
        <v>5765.7860000000001</v>
      </c>
      <c r="AJ64" s="154">
        <f t="shared" si="10"/>
        <v>0</v>
      </c>
      <c r="AK64" s="152" t="str">
        <f>IFERROR(VLOOKUP($B64,'PEDIDO JULIO'!$A$10:$AG$200,18,0),"0")</f>
        <v>0</v>
      </c>
      <c r="AL64" s="153">
        <f>IFERROR(VLOOKUP($B64,'[5]INSUMOS MARZO'!$A$2:$S$105,17,0),"")</f>
        <v>5765.7860000000001</v>
      </c>
      <c r="AM64" s="154">
        <f t="shared" si="11"/>
        <v>0</v>
      </c>
      <c r="AN64" s="152" t="str">
        <f>IFERROR(VLOOKUP($B64,'PEDIDO JULIO'!$A$10:$AG$200,19,0),"0")</f>
        <v>0</v>
      </c>
      <c r="AO64" s="153">
        <f>IFERROR(VLOOKUP($B64,'[5]INSUMOS MARZO'!$A$2:$S$105,17,0),"")</f>
        <v>5765.7860000000001</v>
      </c>
      <c r="AP64" s="154">
        <f t="shared" si="12"/>
        <v>0</v>
      </c>
      <c r="AQ64" s="152" t="str">
        <f>IFERROR(VLOOKUP($B64,'PEDIDO JULIO'!$A$10:$AG$200,20,0),"0")</f>
        <v>0</v>
      </c>
      <c r="AR64" s="153">
        <f>IFERROR(VLOOKUP($B64,'[5]INSUMOS MARZO'!$A$2:$S$105,17,0),"")</f>
        <v>5765.7860000000001</v>
      </c>
      <c r="AS64" s="154">
        <f t="shared" si="13"/>
        <v>0</v>
      </c>
      <c r="AT64" s="152" t="str">
        <f>IFERROR(VLOOKUP($B64,'PEDIDO JULIO'!$A$10:$AG$200,21,0),"0")</f>
        <v>0</v>
      </c>
      <c r="AU64" s="156">
        <f>IFERROR(VLOOKUP($B64,'[5]INSUMOS MARZO'!$A$2:$S$105,14,0),"")</f>
        <v>6169.1598000000004</v>
      </c>
      <c r="AV64" s="154">
        <f t="shared" si="14"/>
        <v>0</v>
      </c>
      <c r="AW64" s="152" t="str">
        <f>IFERROR(VLOOKUP($B64,'PEDIDO JULIO'!$A$10:$AG$200,22,0),"0")</f>
        <v>0</v>
      </c>
      <c r="AX64" s="153">
        <f>IFERROR(VLOOKUP($B64,'[5]INSUMOS MARZO'!$A$2:$S$105,17,0),"")</f>
        <v>5765.7860000000001</v>
      </c>
      <c r="AY64" s="154">
        <f t="shared" si="15"/>
        <v>0</v>
      </c>
      <c r="AZ64" s="152" t="str">
        <f>IFERROR(VLOOKUP($B64,'PEDIDO JULIO'!$A$10:$AG$200,23,0),"0")</f>
        <v>0</v>
      </c>
      <c r="BA64" s="153">
        <f>IFERROR(VLOOKUP($B64,'[5]INSUMOS MARZO'!$A$2:$S$105,17,0),"")</f>
        <v>5765.7860000000001</v>
      </c>
      <c r="BB64" s="154">
        <f t="shared" si="16"/>
        <v>0</v>
      </c>
      <c r="BC64" s="152" t="str">
        <f>IFERROR(VLOOKUP($B64,'PEDIDO JULIO'!$A$10:$AG$200,24,0),"0")</f>
        <v>0</v>
      </c>
      <c r="BD64" s="153">
        <f>IFERROR(VLOOKUP($B64,'[5]INSUMOS MARZO'!$A$2:$S$105,17,0),"")</f>
        <v>5765.7860000000001</v>
      </c>
      <c r="BE64" s="155">
        <f t="shared" si="17"/>
        <v>0</v>
      </c>
      <c r="BF64" s="152" t="str">
        <f>IFERROR(VLOOKUP($B64,'PEDIDO JULIO'!$A$10:$AG$200,25,0),"0")</f>
        <v>0</v>
      </c>
      <c r="BG64" s="153">
        <f>IFERROR(VLOOKUP($B64,'[5]INSUMOS MARZO'!$A$2:$S$105,17,0),"")</f>
        <v>5765.7860000000001</v>
      </c>
      <c r="BH64" s="155">
        <f t="shared" si="18"/>
        <v>0</v>
      </c>
      <c r="BI64" s="152" t="str">
        <f>IFERROR(VLOOKUP($B64,'PEDIDO JULIO'!$A$10:$AG$200,26,0),"0")</f>
        <v>0</v>
      </c>
      <c r="BJ64" s="153">
        <f>IFERROR(VLOOKUP($B64,'[5]INSUMOS MARZO'!$A$2:$S$105,17,0),"")</f>
        <v>5765.7860000000001</v>
      </c>
      <c r="BK64" s="154">
        <f t="shared" si="19"/>
        <v>0</v>
      </c>
      <c r="BL64" s="152" t="str">
        <f>IFERROR(VLOOKUP($B64,'PEDIDO JULIO'!$A$10:$AG$200,27,0),"0")</f>
        <v>0</v>
      </c>
      <c r="BM64" s="153">
        <f>IFERROR(VLOOKUP($B64,'[5]INSUMOS MARZO'!$A$2:$S$105,17,0),"")</f>
        <v>5765.7860000000001</v>
      </c>
      <c r="BN64" s="154">
        <f t="shared" si="20"/>
        <v>0</v>
      </c>
      <c r="BO64" s="152" t="str">
        <f>IFERROR(VLOOKUP($B64,'PEDIDO JULIO'!$A$10:$AG$200,28,0),"0")</f>
        <v>0</v>
      </c>
      <c r="BP64" s="153">
        <f>IFERROR(VLOOKUP($B64,'[5]INSUMOS MARZO'!$A$2:$S$105,17,0),"")</f>
        <v>5765.7860000000001</v>
      </c>
      <c r="BQ64" s="154">
        <f t="shared" si="21"/>
        <v>0</v>
      </c>
      <c r="BR64" s="152" t="str">
        <f>IFERROR(VLOOKUP($B64,'PEDIDO JULIO'!$A$10:$AG$200,29,0),"0")</f>
        <v>0</v>
      </c>
      <c r="BS64" s="153">
        <f>IFERROR(VLOOKUP($B64,'[5]INSUMOS MARZO'!$A$2:$S$105,17,0),"")</f>
        <v>5765.7860000000001</v>
      </c>
      <c r="BT64" s="155">
        <f t="shared" si="22"/>
        <v>0</v>
      </c>
      <c r="BU64" s="152" t="str">
        <f>IFERROR(VLOOKUP($B64,'PEDIDO JULIO'!$A$10:$AG$200,30,0),"0")</f>
        <v>0</v>
      </c>
      <c r="BV64" s="153">
        <f>IFERROR(VLOOKUP($B64,'[5]INSUMOS MARZO'!$A$2:$S$105,17,0),"")</f>
        <v>5765.7860000000001</v>
      </c>
      <c r="BW64" s="155">
        <f t="shared" si="23"/>
        <v>0</v>
      </c>
      <c r="BX64" s="152" t="str">
        <f>IFERROR(VLOOKUP($B64,'PEDIDO JULIO'!$A$10:$AG$200,31,0),"0")</f>
        <v>0</v>
      </c>
      <c r="BY64" s="153">
        <f>IFERROR(VLOOKUP($B64,'[5]INSUMOS MARZO'!$A$2:$S$105,17,0),"")</f>
        <v>5765.7860000000001</v>
      </c>
      <c r="BZ64" s="155">
        <f t="shared" si="24"/>
        <v>0</v>
      </c>
      <c r="CA64" s="152" t="str">
        <f>IFERROR(VLOOKUP($B64,'PEDIDO JULIO'!$A$10:$AG$200,32,0),"0")</f>
        <v>0</v>
      </c>
      <c r="CB64" s="153">
        <f>IFERROR(VLOOKUP($B64,'[5]INSUMOS MARZO'!$A$2:$S$105,17,0),"")</f>
        <v>5765.7860000000001</v>
      </c>
      <c r="CC64" s="155">
        <f t="shared" si="25"/>
        <v>0</v>
      </c>
      <c r="CD64" s="157">
        <f t="shared" si="26"/>
        <v>0</v>
      </c>
      <c r="CE64" s="158">
        <f t="shared" si="27"/>
        <v>0</v>
      </c>
      <c r="CF64" s="251">
        <f>IFERROR(VLOOKUP($B64,'MATRIZ INSUMOS '!$A$3:$P$106,16,0),"")</f>
        <v>0</v>
      </c>
      <c r="CG64" s="153">
        <f>IFERROR(VLOOKUP($B64,'[5]INSUMOS MARZO'!$A$2:$S$105,17,0),"")</f>
        <v>5765.7860000000001</v>
      </c>
      <c r="CH64" s="156">
        <f t="shared" si="28"/>
        <v>0</v>
      </c>
      <c r="CI64" s="251">
        <f>IFERROR(VLOOKUP($B64,'MATRIZ INSUMOS '!$A$3:$P$106,10,0),"")</f>
        <v>0</v>
      </c>
      <c r="CJ64" s="156">
        <f>IFERROR(VLOOKUP($B64,'[5]INSUMOS MARZO'!$A$2:$S$105,14,0),"")</f>
        <v>6169.1598000000004</v>
      </c>
      <c r="CK64" s="159">
        <f t="shared" si="29"/>
        <v>0</v>
      </c>
      <c r="CL64" s="160">
        <f t="shared" si="30"/>
        <v>0</v>
      </c>
      <c r="CM64" s="14">
        <f t="shared" si="31"/>
        <v>0</v>
      </c>
      <c r="CN64" s="14">
        <f t="shared" si="32"/>
        <v>0</v>
      </c>
      <c r="CO64" s="14">
        <f t="shared" si="33"/>
        <v>0</v>
      </c>
      <c r="CQ64" s="19">
        <f t="shared" si="34"/>
        <v>0</v>
      </c>
      <c r="CR64" s="19" t="b">
        <f t="shared" si="35"/>
        <v>1</v>
      </c>
      <c r="CS64" s="19">
        <f t="shared" si="36"/>
        <v>0</v>
      </c>
    </row>
    <row r="65" spans="1:97" ht="16.5">
      <c r="A65" s="3">
        <v>60</v>
      </c>
      <c r="B65" s="151">
        <v>124</v>
      </c>
      <c r="C65" s="4" t="s">
        <v>79</v>
      </c>
      <c r="D65" s="152">
        <f>IFERROR(VLOOKUP($B65,'[4]INSUMOS FEBRERO'!$A$2:$F$105,5,0),"")</f>
        <v>96</v>
      </c>
      <c r="E65" s="152" t="str">
        <f>IFERROR(VLOOKUP($B65,'PEDIDO JULIO'!$A$10:$AG$32,33,0),"0")</f>
        <v>0</v>
      </c>
      <c r="F65" s="152">
        <f t="shared" si="1"/>
        <v>-96</v>
      </c>
      <c r="G65" s="152" t="str">
        <f>IFERROR(VLOOKUP($B65,'PEDIDO JULIO'!$A$10:$AG$200,8,0),"0")</f>
        <v>0</v>
      </c>
      <c r="H65" s="153">
        <f>IFERROR(VLOOKUP($B65,'[5]INSUMOS MARZO'!$A$2:$S$105,17,0),"")</f>
        <v>5765.7860000000001</v>
      </c>
      <c r="I65" s="154">
        <f t="shared" si="0"/>
        <v>0</v>
      </c>
      <c r="J65" s="152" t="str">
        <f>IFERROR(VLOOKUP($B65,'PEDIDO JULIO'!$A$10:$AG$200,9,0),"0")</f>
        <v>0</v>
      </c>
      <c r="K65" s="156">
        <f>IFERROR(VLOOKUP($B65,'[5]INSUMOS MARZO'!$A$2:$S$105,14,0),"")</f>
        <v>6169.1598000000004</v>
      </c>
      <c r="L65" s="155">
        <f t="shared" si="2"/>
        <v>0</v>
      </c>
      <c r="M65" s="152" t="str">
        <f>IFERROR(VLOOKUP($B65,'PEDIDO JULIO'!$A$10:$AG$200,10,0),"0")</f>
        <v>0</v>
      </c>
      <c r="N65" s="153">
        <f>IFERROR(VLOOKUP($B65,'[5]INSUMOS MARZO'!$A$2:$S$105,17,0),"")</f>
        <v>5765.7860000000001</v>
      </c>
      <c r="O65" s="154">
        <f t="shared" si="3"/>
        <v>0</v>
      </c>
      <c r="P65" s="152" t="str">
        <f>IFERROR(VLOOKUP($B65,'PEDIDO JULIO'!$A$10:$AG$200,11,0),"0")</f>
        <v>0</v>
      </c>
      <c r="Q65" s="153">
        <f>IFERROR(VLOOKUP($B65,'[5]INSUMOS MARZO'!$A$2:$S$105,17,0),"")</f>
        <v>5765.7860000000001</v>
      </c>
      <c r="R65" s="154">
        <f t="shared" si="4"/>
        <v>0</v>
      </c>
      <c r="S65" s="152" t="str">
        <f>IFERROR(VLOOKUP($B65,'PEDIDO JULIO'!$A$10:$AG$200,12,0),"0")</f>
        <v>0</v>
      </c>
      <c r="T65" s="153">
        <f>IFERROR(VLOOKUP($B65,'[5]INSUMOS MARZO'!$A$2:$S$105,17,0),"")</f>
        <v>5765.7860000000001</v>
      </c>
      <c r="U65" s="154">
        <f t="shared" si="5"/>
        <v>0</v>
      </c>
      <c r="V65" s="152" t="str">
        <f>IFERROR(VLOOKUP($B65,'PEDIDO JULIO'!$A$10:$AG$200,13,0),"0")</f>
        <v>0</v>
      </c>
      <c r="W65" s="153">
        <f>IFERROR(VLOOKUP($B65,'[5]INSUMOS MARZO'!$A$2:$S$105,17,0),"")</f>
        <v>5765.7860000000001</v>
      </c>
      <c r="X65" s="154">
        <f t="shared" si="6"/>
        <v>0</v>
      </c>
      <c r="Y65" s="152" t="str">
        <f>IFERROR(VLOOKUP($B65,'PEDIDO JULIO'!$A$10:$AG$200,14,0),"0")</f>
        <v>0</v>
      </c>
      <c r="Z65" s="153">
        <f>IFERROR(VLOOKUP($B65,'[5]INSUMOS MARZO'!$A$2:$S$105,17,0),"")</f>
        <v>5765.7860000000001</v>
      </c>
      <c r="AA65" s="154">
        <f t="shared" si="7"/>
        <v>0</v>
      </c>
      <c r="AB65" s="152" t="str">
        <f>IFERROR(VLOOKUP($B65,'PEDIDO JULIO'!$A$10:$AG$200,15,0),"0")</f>
        <v>0</v>
      </c>
      <c r="AC65" s="153">
        <f>IFERROR(VLOOKUP($B65,'[5]INSUMOS MARZO'!$A$2:$S$105,17,0),"")</f>
        <v>5765.7860000000001</v>
      </c>
      <c r="AD65" s="154">
        <f t="shared" si="8"/>
        <v>0</v>
      </c>
      <c r="AE65" s="152" t="str">
        <f>IFERROR(VLOOKUP($B65,'PEDIDO JULIO'!$A$10:$AG$200,16,0),"0")</f>
        <v>0</v>
      </c>
      <c r="AF65" s="153">
        <f>IFERROR(VLOOKUP($B65,'[5]INSUMOS MARZO'!$A$2:$S$105,17,0),"")</f>
        <v>5765.7860000000001</v>
      </c>
      <c r="AG65" s="154">
        <f t="shared" si="9"/>
        <v>0</v>
      </c>
      <c r="AH65" s="152" t="str">
        <f>IFERROR(VLOOKUP($B65,'PEDIDO JULIO'!$A$10:$AG$200,17,0),"0")</f>
        <v>0</v>
      </c>
      <c r="AI65" s="153">
        <f>IFERROR(VLOOKUP($B65,'[5]INSUMOS MARZO'!$A$2:$S$105,17,0),"")</f>
        <v>5765.7860000000001</v>
      </c>
      <c r="AJ65" s="154">
        <f t="shared" si="10"/>
        <v>0</v>
      </c>
      <c r="AK65" s="152" t="str">
        <f>IFERROR(VLOOKUP($B65,'PEDIDO JULIO'!$A$10:$AG$200,18,0),"0")</f>
        <v>0</v>
      </c>
      <c r="AL65" s="153">
        <f>IFERROR(VLOOKUP($B65,'[5]INSUMOS MARZO'!$A$2:$S$105,17,0),"")</f>
        <v>5765.7860000000001</v>
      </c>
      <c r="AM65" s="154">
        <f t="shared" si="11"/>
        <v>0</v>
      </c>
      <c r="AN65" s="152" t="str">
        <f>IFERROR(VLOOKUP($B65,'PEDIDO JULIO'!$A$10:$AG$200,19,0),"0")</f>
        <v>0</v>
      </c>
      <c r="AO65" s="153">
        <f>IFERROR(VLOOKUP($B65,'[5]INSUMOS MARZO'!$A$2:$S$105,17,0),"")</f>
        <v>5765.7860000000001</v>
      </c>
      <c r="AP65" s="154">
        <f t="shared" si="12"/>
        <v>0</v>
      </c>
      <c r="AQ65" s="152" t="str">
        <f>IFERROR(VLOOKUP($B65,'PEDIDO JULIO'!$A$10:$AG$200,20,0),"0")</f>
        <v>0</v>
      </c>
      <c r="AR65" s="153">
        <f>IFERROR(VLOOKUP($B65,'[5]INSUMOS MARZO'!$A$2:$S$105,17,0),"")</f>
        <v>5765.7860000000001</v>
      </c>
      <c r="AS65" s="154">
        <f t="shared" si="13"/>
        <v>0</v>
      </c>
      <c r="AT65" s="152" t="str">
        <f>IFERROR(VLOOKUP($B65,'PEDIDO JULIO'!$A$10:$AG$200,21,0),"0")</f>
        <v>0</v>
      </c>
      <c r="AU65" s="156">
        <f>IFERROR(VLOOKUP($B65,'[5]INSUMOS MARZO'!$A$2:$S$105,14,0),"")</f>
        <v>6169.1598000000004</v>
      </c>
      <c r="AV65" s="154">
        <f t="shared" si="14"/>
        <v>0</v>
      </c>
      <c r="AW65" s="152" t="str">
        <f>IFERROR(VLOOKUP($B65,'PEDIDO JULIO'!$A$10:$AG$200,22,0),"0")</f>
        <v>0</v>
      </c>
      <c r="AX65" s="153">
        <f>IFERROR(VLOOKUP($B65,'[5]INSUMOS MARZO'!$A$2:$S$105,17,0),"")</f>
        <v>5765.7860000000001</v>
      </c>
      <c r="AY65" s="154">
        <f t="shared" si="15"/>
        <v>0</v>
      </c>
      <c r="AZ65" s="152" t="str">
        <f>IFERROR(VLOOKUP($B65,'PEDIDO JULIO'!$A$10:$AG$200,23,0),"0")</f>
        <v>0</v>
      </c>
      <c r="BA65" s="153">
        <f>IFERROR(VLOOKUP($B65,'[5]INSUMOS MARZO'!$A$2:$S$105,17,0),"")</f>
        <v>5765.7860000000001</v>
      </c>
      <c r="BB65" s="154">
        <f t="shared" si="16"/>
        <v>0</v>
      </c>
      <c r="BC65" s="152" t="str">
        <f>IFERROR(VLOOKUP($B65,'PEDIDO JULIO'!$A$10:$AG$200,24,0),"0")</f>
        <v>0</v>
      </c>
      <c r="BD65" s="153">
        <f>IFERROR(VLOOKUP($B65,'[5]INSUMOS MARZO'!$A$2:$S$105,17,0),"")</f>
        <v>5765.7860000000001</v>
      </c>
      <c r="BE65" s="155">
        <f t="shared" si="17"/>
        <v>0</v>
      </c>
      <c r="BF65" s="152" t="str">
        <f>IFERROR(VLOOKUP($B65,'PEDIDO JULIO'!$A$10:$AG$200,25,0),"0")</f>
        <v>0</v>
      </c>
      <c r="BG65" s="153">
        <f>IFERROR(VLOOKUP($B65,'[5]INSUMOS MARZO'!$A$2:$S$105,17,0),"")</f>
        <v>5765.7860000000001</v>
      </c>
      <c r="BH65" s="155">
        <f t="shared" si="18"/>
        <v>0</v>
      </c>
      <c r="BI65" s="152" t="str">
        <f>IFERROR(VLOOKUP($B65,'PEDIDO JULIO'!$A$10:$AG$200,26,0),"0")</f>
        <v>0</v>
      </c>
      <c r="BJ65" s="153">
        <f>IFERROR(VLOOKUP($B65,'[5]INSUMOS MARZO'!$A$2:$S$105,17,0),"")</f>
        <v>5765.7860000000001</v>
      </c>
      <c r="BK65" s="154">
        <f t="shared" si="19"/>
        <v>0</v>
      </c>
      <c r="BL65" s="152" t="str">
        <f>IFERROR(VLOOKUP($B65,'PEDIDO JULIO'!$A$10:$AG$200,27,0),"0")</f>
        <v>0</v>
      </c>
      <c r="BM65" s="153">
        <f>IFERROR(VLOOKUP($B65,'[5]INSUMOS MARZO'!$A$2:$S$105,17,0),"")</f>
        <v>5765.7860000000001</v>
      </c>
      <c r="BN65" s="154">
        <f t="shared" si="20"/>
        <v>0</v>
      </c>
      <c r="BO65" s="152" t="str">
        <f>IFERROR(VLOOKUP($B65,'PEDIDO JULIO'!$A$10:$AG$200,28,0),"0")</f>
        <v>0</v>
      </c>
      <c r="BP65" s="153">
        <f>IFERROR(VLOOKUP($B65,'[5]INSUMOS MARZO'!$A$2:$S$105,17,0),"")</f>
        <v>5765.7860000000001</v>
      </c>
      <c r="BQ65" s="154">
        <f t="shared" si="21"/>
        <v>0</v>
      </c>
      <c r="BR65" s="152" t="str">
        <f>IFERROR(VLOOKUP($B65,'PEDIDO JULIO'!$A$10:$AG$200,29,0),"0")</f>
        <v>0</v>
      </c>
      <c r="BS65" s="153">
        <f>IFERROR(VLOOKUP($B65,'[5]INSUMOS MARZO'!$A$2:$S$105,17,0),"")</f>
        <v>5765.7860000000001</v>
      </c>
      <c r="BT65" s="155">
        <f t="shared" si="22"/>
        <v>0</v>
      </c>
      <c r="BU65" s="152" t="str">
        <f>IFERROR(VLOOKUP($B65,'PEDIDO JULIO'!$A$10:$AG$200,30,0),"0")</f>
        <v>0</v>
      </c>
      <c r="BV65" s="153">
        <f>IFERROR(VLOOKUP($B65,'[5]INSUMOS MARZO'!$A$2:$S$105,17,0),"")</f>
        <v>5765.7860000000001</v>
      </c>
      <c r="BW65" s="155">
        <f t="shared" si="23"/>
        <v>0</v>
      </c>
      <c r="BX65" s="152" t="str">
        <f>IFERROR(VLOOKUP($B65,'PEDIDO JULIO'!$A$10:$AG$200,31,0),"0")</f>
        <v>0</v>
      </c>
      <c r="BY65" s="153">
        <f>IFERROR(VLOOKUP($B65,'[5]INSUMOS MARZO'!$A$2:$S$105,17,0),"")</f>
        <v>5765.7860000000001</v>
      </c>
      <c r="BZ65" s="155">
        <f t="shared" si="24"/>
        <v>0</v>
      </c>
      <c r="CA65" s="152" t="str">
        <f>IFERROR(VLOOKUP($B65,'PEDIDO JULIO'!$A$10:$AG$200,32,0),"0")</f>
        <v>0</v>
      </c>
      <c r="CB65" s="153">
        <f>IFERROR(VLOOKUP($B65,'[5]INSUMOS MARZO'!$A$2:$S$105,17,0),"")</f>
        <v>5765.7860000000001</v>
      </c>
      <c r="CC65" s="155">
        <f t="shared" si="25"/>
        <v>0</v>
      </c>
      <c r="CD65" s="157">
        <f t="shared" si="26"/>
        <v>0</v>
      </c>
      <c r="CE65" s="158">
        <f t="shared" si="27"/>
        <v>0</v>
      </c>
      <c r="CF65" s="251">
        <f>IFERROR(VLOOKUP($B65,'MATRIZ INSUMOS '!$A$3:$P$106,16,0),"")</f>
        <v>0</v>
      </c>
      <c r="CG65" s="153">
        <f>IFERROR(VLOOKUP($B65,'[5]INSUMOS MARZO'!$A$2:$S$105,17,0),"")</f>
        <v>5765.7860000000001</v>
      </c>
      <c r="CH65" s="156">
        <f t="shared" si="28"/>
        <v>0</v>
      </c>
      <c r="CI65" s="251">
        <f>IFERROR(VLOOKUP($B65,'MATRIZ INSUMOS '!$A$3:$P$106,10,0),"")</f>
        <v>0</v>
      </c>
      <c r="CJ65" s="156">
        <f>IFERROR(VLOOKUP($B65,'[5]INSUMOS MARZO'!$A$2:$S$105,14,0),"")</f>
        <v>6169.1598000000004</v>
      </c>
      <c r="CK65" s="159">
        <f t="shared" si="29"/>
        <v>0</v>
      </c>
      <c r="CL65" s="160">
        <f t="shared" si="30"/>
        <v>0</v>
      </c>
      <c r="CM65" s="14">
        <f t="shared" si="31"/>
        <v>0</v>
      </c>
      <c r="CN65" s="14">
        <f t="shared" si="32"/>
        <v>0</v>
      </c>
      <c r="CO65" s="14">
        <f t="shared" si="33"/>
        <v>0</v>
      </c>
      <c r="CP65" s="1">
        <f>+CF65+CI65-CD65</f>
        <v>0</v>
      </c>
      <c r="CQ65" s="19">
        <f t="shared" si="34"/>
        <v>0</v>
      </c>
      <c r="CR65" s="19" t="b">
        <f t="shared" si="35"/>
        <v>1</v>
      </c>
      <c r="CS65" s="19">
        <f t="shared" si="36"/>
        <v>0</v>
      </c>
    </row>
    <row r="66" spans="1:97" ht="16.5">
      <c r="A66" s="3">
        <v>61</v>
      </c>
      <c r="B66" s="151">
        <v>126</v>
      </c>
      <c r="C66" s="4" t="s">
        <v>80</v>
      </c>
      <c r="D66" s="152">
        <f>IFERROR(VLOOKUP($B66,'[4]INSUMOS FEBRERO'!$A$2:$F$105,5,0),"")</f>
        <v>26</v>
      </c>
      <c r="E66" s="152" t="str">
        <f>IFERROR(VLOOKUP($B66,'PEDIDO JULIO'!$A$10:$AG$32,33,0),"0")</f>
        <v>0</v>
      </c>
      <c r="F66" s="152">
        <f t="shared" si="1"/>
        <v>-26</v>
      </c>
      <c r="G66" s="152" t="str">
        <f>IFERROR(VLOOKUP($B66,'PEDIDO JULIO'!$A$10:$AG$200,8,0),"0")</f>
        <v>0</v>
      </c>
      <c r="H66" s="153">
        <f>IFERROR(VLOOKUP($B66,'[5]INSUMOS MARZO'!$A$2:$S$105,17,0),"")</f>
        <v>3316.9560000000001</v>
      </c>
      <c r="I66" s="154">
        <f t="shared" si="0"/>
        <v>0</v>
      </c>
      <c r="J66" s="152" t="str">
        <f>IFERROR(VLOOKUP($B66,'PEDIDO JULIO'!$A$10:$AG$200,9,0),"0")</f>
        <v>0</v>
      </c>
      <c r="K66" s="153">
        <f>IFERROR(VLOOKUP($B66,'[5]INSUMOS MARZO'!$A$2:$S$105,17,0),"")</f>
        <v>3316.9560000000001</v>
      </c>
      <c r="L66" s="155">
        <f t="shared" si="2"/>
        <v>0</v>
      </c>
      <c r="M66" s="152" t="str">
        <f>IFERROR(VLOOKUP($B66,'PEDIDO JULIO'!$A$10:$AG$200,10,0),"0")</f>
        <v>0</v>
      </c>
      <c r="N66" s="153">
        <f>IFERROR(VLOOKUP($B66,'[5]INSUMOS MARZO'!$A$2:$S$105,17,0),"")</f>
        <v>3316.9560000000001</v>
      </c>
      <c r="O66" s="154">
        <f t="shared" si="3"/>
        <v>0</v>
      </c>
      <c r="P66" s="152" t="str">
        <f>IFERROR(VLOOKUP($B66,'PEDIDO JULIO'!$A$10:$AG$200,11,0),"0")</f>
        <v>0</v>
      </c>
      <c r="Q66" s="153">
        <f>IFERROR(VLOOKUP($B66,'[5]INSUMOS MARZO'!$A$2:$S$105,17,0),"")</f>
        <v>3316.9560000000001</v>
      </c>
      <c r="R66" s="154">
        <f t="shared" si="4"/>
        <v>0</v>
      </c>
      <c r="S66" s="152" t="str">
        <f>IFERROR(VLOOKUP($B66,'PEDIDO JULIO'!$A$10:$AG$200,12,0),"0")</f>
        <v>0</v>
      </c>
      <c r="T66" s="153">
        <f>IFERROR(VLOOKUP($B66,'[5]INSUMOS MARZO'!$A$2:$S$105,17,0),"")</f>
        <v>3316.9560000000001</v>
      </c>
      <c r="U66" s="154">
        <f t="shared" si="5"/>
        <v>0</v>
      </c>
      <c r="V66" s="152" t="str">
        <f>IFERROR(VLOOKUP($B66,'PEDIDO JULIO'!$A$10:$AG$200,13,0),"0")</f>
        <v>0</v>
      </c>
      <c r="W66" s="153">
        <f>IFERROR(VLOOKUP($B66,'[5]INSUMOS MARZO'!$A$2:$S$105,17,0),"")</f>
        <v>3316.9560000000001</v>
      </c>
      <c r="X66" s="154">
        <f t="shared" si="6"/>
        <v>0</v>
      </c>
      <c r="Y66" s="152" t="str">
        <f>IFERROR(VLOOKUP($B66,'PEDIDO JULIO'!$A$10:$AG$200,14,0),"0")</f>
        <v>0</v>
      </c>
      <c r="Z66" s="153">
        <f>IFERROR(VLOOKUP($B66,'[5]INSUMOS MARZO'!$A$2:$S$105,17,0),"")</f>
        <v>3316.9560000000001</v>
      </c>
      <c r="AA66" s="154">
        <f t="shared" si="7"/>
        <v>0</v>
      </c>
      <c r="AB66" s="152" t="str">
        <f>IFERROR(VLOOKUP($B66,'PEDIDO JULIO'!$A$10:$AG$200,15,0),"0")</f>
        <v>0</v>
      </c>
      <c r="AC66" s="153">
        <f>IFERROR(VLOOKUP($B66,'[5]INSUMOS MARZO'!$A$2:$S$105,17,0),"")</f>
        <v>3316.9560000000001</v>
      </c>
      <c r="AD66" s="154">
        <f t="shared" si="8"/>
        <v>0</v>
      </c>
      <c r="AE66" s="152" t="str">
        <f>IFERROR(VLOOKUP($B66,'PEDIDO JULIO'!$A$10:$AG$200,16,0),"0")</f>
        <v>0</v>
      </c>
      <c r="AF66" s="153">
        <f>IFERROR(VLOOKUP($B66,'[5]INSUMOS MARZO'!$A$2:$S$105,17,0),"")</f>
        <v>3316.9560000000001</v>
      </c>
      <c r="AG66" s="154">
        <f t="shared" si="9"/>
        <v>0</v>
      </c>
      <c r="AH66" s="152" t="str">
        <f>IFERROR(VLOOKUP($B66,'PEDIDO JULIO'!$A$10:$AG$200,17,0),"0")</f>
        <v>0</v>
      </c>
      <c r="AI66" s="153">
        <f>IFERROR(VLOOKUP($B66,'[5]INSUMOS MARZO'!$A$2:$S$105,17,0),"")</f>
        <v>3316.9560000000001</v>
      </c>
      <c r="AJ66" s="154">
        <f t="shared" si="10"/>
        <v>0</v>
      </c>
      <c r="AK66" s="152" t="str">
        <f>IFERROR(VLOOKUP($B66,'PEDIDO JULIO'!$A$10:$AG$200,18,0),"0")</f>
        <v>0</v>
      </c>
      <c r="AL66" s="153">
        <f>IFERROR(VLOOKUP($B66,'[5]INSUMOS MARZO'!$A$2:$S$105,17,0),"")</f>
        <v>3316.9560000000001</v>
      </c>
      <c r="AM66" s="154">
        <f t="shared" si="11"/>
        <v>0</v>
      </c>
      <c r="AN66" s="152" t="str">
        <f>IFERROR(VLOOKUP($B66,'PEDIDO JULIO'!$A$10:$AG$200,19,0),"0")</f>
        <v>0</v>
      </c>
      <c r="AO66" s="153">
        <f>IFERROR(VLOOKUP($B66,'[5]INSUMOS MARZO'!$A$2:$S$105,17,0),"")</f>
        <v>3316.9560000000001</v>
      </c>
      <c r="AP66" s="154">
        <f t="shared" si="12"/>
        <v>0</v>
      </c>
      <c r="AQ66" s="152" t="str">
        <f>IFERROR(VLOOKUP($B66,'PEDIDO JULIO'!$A$10:$AG$200,20,0),"0")</f>
        <v>0</v>
      </c>
      <c r="AR66" s="153">
        <f>IFERROR(VLOOKUP($B66,'[5]INSUMOS MARZO'!$A$2:$S$105,17,0),"")</f>
        <v>3316.9560000000001</v>
      </c>
      <c r="AS66" s="154">
        <f t="shared" si="13"/>
        <v>0</v>
      </c>
      <c r="AT66" s="152" t="str">
        <f>IFERROR(VLOOKUP($B66,'PEDIDO JULIO'!$A$10:$AG$200,21,0),"0")</f>
        <v>0</v>
      </c>
      <c r="AU66" s="156">
        <f>IFERROR(VLOOKUP($B66,'[5]INSUMOS MARZO'!$A$2:$S$105,14,0),"")</f>
        <v>4447.6217999999999</v>
      </c>
      <c r="AV66" s="154">
        <f t="shared" si="14"/>
        <v>0</v>
      </c>
      <c r="AW66" s="152" t="str">
        <f>IFERROR(VLOOKUP($B66,'PEDIDO JULIO'!$A$10:$AG$200,22,0),"0")</f>
        <v>0</v>
      </c>
      <c r="AX66" s="153">
        <f>IFERROR(VLOOKUP($B66,'[5]INSUMOS MARZO'!$A$2:$S$105,17,0),"")</f>
        <v>3316.9560000000001</v>
      </c>
      <c r="AY66" s="154">
        <f t="shared" si="15"/>
        <v>0</v>
      </c>
      <c r="AZ66" s="152" t="str">
        <f>IFERROR(VLOOKUP($B66,'PEDIDO JULIO'!$A$10:$AG$200,23,0),"0")</f>
        <v>0</v>
      </c>
      <c r="BA66" s="153">
        <f>IFERROR(VLOOKUP($B66,'[5]INSUMOS MARZO'!$A$2:$S$105,17,0),"")</f>
        <v>3316.9560000000001</v>
      </c>
      <c r="BB66" s="154">
        <f t="shared" si="16"/>
        <v>0</v>
      </c>
      <c r="BC66" s="152" t="str">
        <f>IFERROR(VLOOKUP($B66,'PEDIDO JULIO'!$A$10:$AG$200,24,0),"0")</f>
        <v>0</v>
      </c>
      <c r="BD66" s="153">
        <f>IFERROR(VLOOKUP($B66,'[5]INSUMOS MARZO'!$A$2:$S$105,17,0),"")</f>
        <v>3316.9560000000001</v>
      </c>
      <c r="BE66" s="155">
        <f t="shared" si="17"/>
        <v>0</v>
      </c>
      <c r="BF66" s="152" t="str">
        <f>IFERROR(VLOOKUP($B66,'PEDIDO JULIO'!$A$10:$AG$200,25,0),"0")</f>
        <v>0</v>
      </c>
      <c r="BG66" s="153">
        <f>IFERROR(VLOOKUP($B66,'[5]INSUMOS MARZO'!$A$2:$S$105,17,0),"")</f>
        <v>3316.9560000000001</v>
      </c>
      <c r="BH66" s="155">
        <f t="shared" si="18"/>
        <v>0</v>
      </c>
      <c r="BI66" s="152" t="str">
        <f>IFERROR(VLOOKUP($B66,'PEDIDO JULIO'!$A$10:$AG$200,26,0),"0")</f>
        <v>0</v>
      </c>
      <c r="BJ66" s="153">
        <f>IFERROR(VLOOKUP($B66,'[5]INSUMOS MARZO'!$A$2:$S$105,17,0),"")</f>
        <v>3316.9560000000001</v>
      </c>
      <c r="BK66" s="154">
        <f t="shared" si="19"/>
        <v>0</v>
      </c>
      <c r="BL66" s="152" t="str">
        <f>IFERROR(VLOOKUP($B66,'PEDIDO JULIO'!$A$10:$AG$200,27,0),"0")</f>
        <v>0</v>
      </c>
      <c r="BM66" s="153">
        <f>IFERROR(VLOOKUP($B66,'[5]INSUMOS MARZO'!$A$2:$S$105,17,0),"")</f>
        <v>3316.9560000000001</v>
      </c>
      <c r="BN66" s="154">
        <f t="shared" si="20"/>
        <v>0</v>
      </c>
      <c r="BO66" s="152" t="str">
        <f>IFERROR(VLOOKUP($B66,'PEDIDO JULIO'!$A$10:$AG$200,28,0),"0")</f>
        <v>0</v>
      </c>
      <c r="BP66" s="153">
        <f>IFERROR(VLOOKUP($B66,'[5]INSUMOS MARZO'!$A$2:$S$105,17,0),"")</f>
        <v>3316.9560000000001</v>
      </c>
      <c r="BQ66" s="154">
        <f t="shared" si="21"/>
        <v>0</v>
      </c>
      <c r="BR66" s="152" t="str">
        <f>IFERROR(VLOOKUP($B66,'PEDIDO JULIO'!$A$10:$AG$200,29,0),"0")</f>
        <v>0</v>
      </c>
      <c r="BS66" s="153">
        <f>IFERROR(VLOOKUP($B66,'[5]INSUMOS MARZO'!$A$2:$S$105,17,0),"")</f>
        <v>3316.9560000000001</v>
      </c>
      <c r="BT66" s="155">
        <f t="shared" si="22"/>
        <v>0</v>
      </c>
      <c r="BU66" s="152" t="str">
        <f>IFERROR(VLOOKUP($B66,'PEDIDO JULIO'!$A$10:$AG$200,30,0),"0")</f>
        <v>0</v>
      </c>
      <c r="BV66" s="153">
        <f>IFERROR(VLOOKUP($B66,'[5]INSUMOS MARZO'!$A$2:$S$105,17,0),"")</f>
        <v>3316.9560000000001</v>
      </c>
      <c r="BW66" s="155">
        <f t="shared" si="23"/>
        <v>0</v>
      </c>
      <c r="BX66" s="152" t="str">
        <f>IFERROR(VLOOKUP($B66,'PEDIDO JULIO'!$A$10:$AG$200,31,0),"0")</f>
        <v>0</v>
      </c>
      <c r="BY66" s="153">
        <f>IFERROR(VLOOKUP($B66,'[5]INSUMOS MARZO'!$A$2:$S$105,17,0),"")</f>
        <v>3316.9560000000001</v>
      </c>
      <c r="BZ66" s="155">
        <f t="shared" si="24"/>
        <v>0</v>
      </c>
      <c r="CA66" s="152" t="str">
        <f>IFERROR(VLOOKUP($B66,'PEDIDO JULIO'!$A$10:$AG$200,32,0),"0")</f>
        <v>0</v>
      </c>
      <c r="CB66" s="153">
        <f>IFERROR(VLOOKUP($B66,'[5]INSUMOS MARZO'!$A$2:$S$105,17,0),"")</f>
        <v>3316.9560000000001</v>
      </c>
      <c r="CC66" s="155">
        <f t="shared" si="25"/>
        <v>0</v>
      </c>
      <c r="CD66" s="157">
        <f t="shared" si="26"/>
        <v>0</v>
      </c>
      <c r="CE66" s="158">
        <f t="shared" si="27"/>
        <v>0</v>
      </c>
      <c r="CF66" s="251">
        <f>IFERROR(VLOOKUP($B66,'MATRIZ INSUMOS '!$A$3:$P$106,16,0),"")</f>
        <v>0</v>
      </c>
      <c r="CG66" s="153">
        <f>IFERROR(VLOOKUP($B66,'[5]INSUMOS MARZO'!$A$2:$S$105,17,0),"")</f>
        <v>3316.9560000000001</v>
      </c>
      <c r="CH66" s="156">
        <f t="shared" si="28"/>
        <v>0</v>
      </c>
      <c r="CI66" s="251">
        <f>IFERROR(VLOOKUP($B66,'MATRIZ INSUMOS '!$A$3:$P$106,10,0),"")</f>
        <v>0</v>
      </c>
      <c r="CJ66" s="156">
        <f>IFERROR(VLOOKUP($B66,'[5]INSUMOS MARZO'!$A$2:$S$105,14,0),"")</f>
        <v>4447.6217999999999</v>
      </c>
      <c r="CK66" s="159">
        <f t="shared" si="29"/>
        <v>0</v>
      </c>
      <c r="CL66" s="160">
        <f t="shared" si="30"/>
        <v>0</v>
      </c>
      <c r="CM66" s="14">
        <f t="shared" si="31"/>
        <v>0</v>
      </c>
      <c r="CN66" s="14">
        <f t="shared" si="32"/>
        <v>0</v>
      </c>
      <c r="CO66" s="14">
        <f t="shared" si="33"/>
        <v>0</v>
      </c>
      <c r="CQ66" s="19">
        <f t="shared" si="34"/>
        <v>0</v>
      </c>
      <c r="CR66" s="19" t="b">
        <f t="shared" si="35"/>
        <v>1</v>
      </c>
      <c r="CS66" s="19">
        <f t="shared" si="36"/>
        <v>0</v>
      </c>
    </row>
    <row r="67" spans="1:97" ht="16.5">
      <c r="A67" s="3">
        <v>62</v>
      </c>
      <c r="B67" s="151">
        <v>127</v>
      </c>
      <c r="C67" s="4" t="s">
        <v>81</v>
      </c>
      <c r="D67" s="152">
        <f>IFERROR(VLOOKUP($B67,'[4]INSUMOS FEBRERO'!$A$2:$F$105,5,0),"")</f>
        <v>30</v>
      </c>
      <c r="E67" s="152" t="str">
        <f>IFERROR(VLOOKUP($B67,'PEDIDO JULIO'!$A$10:$AG$32,33,0),"0")</f>
        <v>0</v>
      </c>
      <c r="F67" s="152">
        <f t="shared" si="1"/>
        <v>-30</v>
      </c>
      <c r="G67" s="152" t="str">
        <f>IFERROR(VLOOKUP($B67,'PEDIDO JULIO'!$A$10:$AG$200,8,0),"0")</f>
        <v>0</v>
      </c>
      <c r="H67" s="153">
        <f>IFERROR(VLOOKUP($B67,'[5]INSUMOS MARZO'!$A$2:$S$105,17,0),"")</f>
        <v>3316.9560000000001</v>
      </c>
      <c r="I67" s="154">
        <f t="shared" si="0"/>
        <v>0</v>
      </c>
      <c r="J67" s="152" t="str">
        <f>IFERROR(VLOOKUP($B67,'PEDIDO JULIO'!$A$10:$AG$200,9,0),"0")</f>
        <v>0</v>
      </c>
      <c r="K67" s="153">
        <f>IFERROR(VLOOKUP($B67,'[5]INSUMOS MARZO'!$A$2:$S$105,17,0),"")</f>
        <v>3316.9560000000001</v>
      </c>
      <c r="L67" s="155">
        <f t="shared" si="2"/>
        <v>0</v>
      </c>
      <c r="M67" s="152" t="str">
        <f>IFERROR(VLOOKUP($B67,'PEDIDO JULIO'!$A$10:$AG$200,10,0),"0")</f>
        <v>0</v>
      </c>
      <c r="N67" s="153">
        <f>IFERROR(VLOOKUP($B67,'[5]INSUMOS MARZO'!$A$2:$S$105,17,0),"")</f>
        <v>3316.9560000000001</v>
      </c>
      <c r="O67" s="154">
        <f t="shared" si="3"/>
        <v>0</v>
      </c>
      <c r="P67" s="152" t="str">
        <f>IFERROR(VLOOKUP($B67,'PEDIDO JULIO'!$A$10:$AG$200,11,0),"0")</f>
        <v>0</v>
      </c>
      <c r="Q67" s="153">
        <f>IFERROR(VLOOKUP($B67,'[5]INSUMOS MARZO'!$A$2:$S$105,17,0),"")</f>
        <v>3316.9560000000001</v>
      </c>
      <c r="R67" s="154">
        <f t="shared" si="4"/>
        <v>0</v>
      </c>
      <c r="S67" s="152" t="str">
        <f>IFERROR(VLOOKUP($B67,'PEDIDO JULIO'!$A$10:$AG$200,12,0),"0")</f>
        <v>0</v>
      </c>
      <c r="T67" s="153">
        <f>IFERROR(VLOOKUP($B67,'[5]INSUMOS MARZO'!$A$2:$S$105,17,0),"")</f>
        <v>3316.9560000000001</v>
      </c>
      <c r="U67" s="154">
        <f t="shared" si="5"/>
        <v>0</v>
      </c>
      <c r="V67" s="152" t="str">
        <f>IFERROR(VLOOKUP($B67,'PEDIDO JULIO'!$A$10:$AG$200,13,0),"0")</f>
        <v>0</v>
      </c>
      <c r="W67" s="153">
        <f>IFERROR(VLOOKUP($B67,'[5]INSUMOS MARZO'!$A$2:$S$105,17,0),"")</f>
        <v>3316.9560000000001</v>
      </c>
      <c r="X67" s="154">
        <f t="shared" si="6"/>
        <v>0</v>
      </c>
      <c r="Y67" s="152" t="str">
        <f>IFERROR(VLOOKUP($B67,'PEDIDO JULIO'!$A$10:$AG$200,14,0),"0")</f>
        <v>0</v>
      </c>
      <c r="Z67" s="153">
        <f>IFERROR(VLOOKUP($B67,'[5]INSUMOS MARZO'!$A$2:$S$105,17,0),"")</f>
        <v>3316.9560000000001</v>
      </c>
      <c r="AA67" s="154">
        <f t="shared" si="7"/>
        <v>0</v>
      </c>
      <c r="AB67" s="152" t="str">
        <f>IFERROR(VLOOKUP($B67,'PEDIDO JULIO'!$A$10:$AG$200,15,0),"0")</f>
        <v>0</v>
      </c>
      <c r="AC67" s="153">
        <f>IFERROR(VLOOKUP($B67,'[5]INSUMOS MARZO'!$A$2:$S$105,17,0),"")</f>
        <v>3316.9560000000001</v>
      </c>
      <c r="AD67" s="154">
        <f t="shared" si="8"/>
        <v>0</v>
      </c>
      <c r="AE67" s="152" t="str">
        <f>IFERROR(VLOOKUP($B67,'PEDIDO JULIO'!$A$10:$AG$200,16,0),"0")</f>
        <v>0</v>
      </c>
      <c r="AF67" s="153">
        <f>IFERROR(VLOOKUP($B67,'[5]INSUMOS MARZO'!$A$2:$S$105,17,0),"")</f>
        <v>3316.9560000000001</v>
      </c>
      <c r="AG67" s="154">
        <f t="shared" si="9"/>
        <v>0</v>
      </c>
      <c r="AH67" s="152" t="str">
        <f>IFERROR(VLOOKUP($B67,'PEDIDO JULIO'!$A$10:$AG$200,17,0),"0")</f>
        <v>0</v>
      </c>
      <c r="AI67" s="153">
        <f>IFERROR(VLOOKUP($B67,'[5]INSUMOS MARZO'!$A$2:$S$105,17,0),"")</f>
        <v>3316.9560000000001</v>
      </c>
      <c r="AJ67" s="154">
        <f t="shared" si="10"/>
        <v>0</v>
      </c>
      <c r="AK67" s="152" t="str">
        <f>IFERROR(VLOOKUP($B67,'PEDIDO JULIO'!$A$10:$AG$200,18,0),"0")</f>
        <v>0</v>
      </c>
      <c r="AL67" s="153">
        <f>IFERROR(VLOOKUP($B67,'[5]INSUMOS MARZO'!$A$2:$S$105,17,0),"")</f>
        <v>3316.9560000000001</v>
      </c>
      <c r="AM67" s="154">
        <f t="shared" si="11"/>
        <v>0</v>
      </c>
      <c r="AN67" s="152" t="str">
        <f>IFERROR(VLOOKUP($B67,'PEDIDO JULIO'!$A$10:$AG$200,19,0),"0")</f>
        <v>0</v>
      </c>
      <c r="AO67" s="153">
        <f>IFERROR(VLOOKUP($B67,'[5]INSUMOS MARZO'!$A$2:$S$105,17,0),"")</f>
        <v>3316.9560000000001</v>
      </c>
      <c r="AP67" s="154">
        <f t="shared" si="12"/>
        <v>0</v>
      </c>
      <c r="AQ67" s="152" t="str">
        <f>IFERROR(VLOOKUP($B67,'PEDIDO JULIO'!$A$10:$AG$200,20,0),"0")</f>
        <v>0</v>
      </c>
      <c r="AR67" s="153">
        <f>IFERROR(VLOOKUP($B67,'[5]INSUMOS MARZO'!$A$2:$S$105,17,0),"")</f>
        <v>3316.9560000000001</v>
      </c>
      <c r="AS67" s="154">
        <f t="shared" si="13"/>
        <v>0</v>
      </c>
      <c r="AT67" s="152" t="str">
        <f>IFERROR(VLOOKUP($B67,'PEDIDO JULIO'!$A$10:$AG$200,21,0),"0")</f>
        <v>0</v>
      </c>
      <c r="AU67" s="156">
        <f>IFERROR(VLOOKUP($B67,'[5]INSUMOS MARZO'!$A$2:$S$105,14,0),"")</f>
        <v>4427.7578999999996</v>
      </c>
      <c r="AV67" s="154">
        <f t="shared" si="14"/>
        <v>0</v>
      </c>
      <c r="AW67" s="152" t="str">
        <f>IFERROR(VLOOKUP($B67,'PEDIDO JULIO'!$A$10:$AG$200,22,0),"0")</f>
        <v>0</v>
      </c>
      <c r="AX67" s="153">
        <f>IFERROR(VLOOKUP($B67,'[5]INSUMOS MARZO'!$A$2:$S$105,17,0),"")</f>
        <v>3316.9560000000001</v>
      </c>
      <c r="AY67" s="154">
        <f t="shared" si="15"/>
        <v>0</v>
      </c>
      <c r="AZ67" s="152" t="str">
        <f>IFERROR(VLOOKUP($B67,'PEDIDO JULIO'!$A$10:$AG$200,23,0),"0")</f>
        <v>0</v>
      </c>
      <c r="BA67" s="153">
        <f>IFERROR(VLOOKUP($B67,'[5]INSUMOS MARZO'!$A$2:$S$105,17,0),"")</f>
        <v>3316.9560000000001</v>
      </c>
      <c r="BB67" s="154">
        <f t="shared" si="16"/>
        <v>0</v>
      </c>
      <c r="BC67" s="152" t="str">
        <f>IFERROR(VLOOKUP($B67,'PEDIDO JULIO'!$A$10:$AG$200,24,0),"0")</f>
        <v>0</v>
      </c>
      <c r="BD67" s="153">
        <f>IFERROR(VLOOKUP($B67,'[5]INSUMOS MARZO'!$A$2:$S$105,17,0),"")</f>
        <v>3316.9560000000001</v>
      </c>
      <c r="BE67" s="155">
        <f t="shared" si="17"/>
        <v>0</v>
      </c>
      <c r="BF67" s="152" t="str">
        <f>IFERROR(VLOOKUP($B67,'PEDIDO JULIO'!$A$10:$AG$200,25,0),"0")</f>
        <v>0</v>
      </c>
      <c r="BG67" s="153">
        <f>IFERROR(VLOOKUP($B67,'[5]INSUMOS MARZO'!$A$2:$S$105,17,0),"")</f>
        <v>3316.9560000000001</v>
      </c>
      <c r="BH67" s="155">
        <f t="shared" si="18"/>
        <v>0</v>
      </c>
      <c r="BI67" s="152" t="str">
        <f>IFERROR(VLOOKUP($B67,'PEDIDO JULIO'!$A$10:$AG$200,26,0),"0")</f>
        <v>0</v>
      </c>
      <c r="BJ67" s="153">
        <f>IFERROR(VLOOKUP($B67,'[5]INSUMOS MARZO'!$A$2:$S$105,17,0),"")</f>
        <v>3316.9560000000001</v>
      </c>
      <c r="BK67" s="154">
        <f t="shared" si="19"/>
        <v>0</v>
      </c>
      <c r="BL67" s="152" t="str">
        <f>IFERROR(VLOOKUP($B67,'PEDIDO JULIO'!$A$10:$AG$200,27,0),"0")</f>
        <v>0</v>
      </c>
      <c r="BM67" s="153">
        <f>IFERROR(VLOOKUP($B67,'[5]INSUMOS MARZO'!$A$2:$S$105,17,0),"")</f>
        <v>3316.9560000000001</v>
      </c>
      <c r="BN67" s="154">
        <f t="shared" si="20"/>
        <v>0</v>
      </c>
      <c r="BO67" s="152" t="str">
        <f>IFERROR(VLOOKUP($B67,'PEDIDO JULIO'!$A$10:$AG$200,28,0),"0")</f>
        <v>0</v>
      </c>
      <c r="BP67" s="153">
        <f>IFERROR(VLOOKUP($B67,'[5]INSUMOS MARZO'!$A$2:$S$105,17,0),"")</f>
        <v>3316.9560000000001</v>
      </c>
      <c r="BQ67" s="154">
        <f t="shared" si="21"/>
        <v>0</v>
      </c>
      <c r="BR67" s="152" t="str">
        <f>IFERROR(VLOOKUP($B67,'PEDIDO JULIO'!$A$10:$AG$200,29,0),"0")</f>
        <v>0</v>
      </c>
      <c r="BS67" s="153">
        <f>IFERROR(VLOOKUP($B67,'[5]INSUMOS MARZO'!$A$2:$S$105,17,0),"")</f>
        <v>3316.9560000000001</v>
      </c>
      <c r="BT67" s="155">
        <f t="shared" si="22"/>
        <v>0</v>
      </c>
      <c r="BU67" s="152" t="str">
        <f>IFERROR(VLOOKUP($B67,'PEDIDO JULIO'!$A$10:$AG$200,30,0),"0")</f>
        <v>0</v>
      </c>
      <c r="BV67" s="153">
        <f>IFERROR(VLOOKUP($B67,'[5]INSUMOS MARZO'!$A$2:$S$105,17,0),"")</f>
        <v>3316.9560000000001</v>
      </c>
      <c r="BW67" s="155">
        <f t="shared" si="23"/>
        <v>0</v>
      </c>
      <c r="BX67" s="152" t="str">
        <f>IFERROR(VLOOKUP($B67,'PEDIDO JULIO'!$A$10:$AG$200,31,0),"0")</f>
        <v>0</v>
      </c>
      <c r="BY67" s="153">
        <f>IFERROR(VLOOKUP($B67,'[5]INSUMOS MARZO'!$A$2:$S$105,17,0),"")</f>
        <v>3316.9560000000001</v>
      </c>
      <c r="BZ67" s="155">
        <f t="shared" si="24"/>
        <v>0</v>
      </c>
      <c r="CA67" s="152" t="str">
        <f>IFERROR(VLOOKUP($B67,'PEDIDO JULIO'!$A$10:$AG$200,32,0),"0")</f>
        <v>0</v>
      </c>
      <c r="CB67" s="153">
        <f>IFERROR(VLOOKUP($B67,'[5]INSUMOS MARZO'!$A$2:$S$105,17,0),"")</f>
        <v>3316.9560000000001</v>
      </c>
      <c r="CC67" s="155">
        <f t="shared" si="25"/>
        <v>0</v>
      </c>
      <c r="CD67" s="157">
        <f t="shared" si="26"/>
        <v>0</v>
      </c>
      <c r="CE67" s="158">
        <f t="shared" si="27"/>
        <v>0</v>
      </c>
      <c r="CF67" s="251">
        <f>IFERROR(VLOOKUP($B67,'MATRIZ INSUMOS '!$A$3:$P$106,16,0),"")</f>
        <v>0</v>
      </c>
      <c r="CG67" s="153">
        <f>IFERROR(VLOOKUP($B67,'[5]INSUMOS MARZO'!$A$2:$S$105,17,0),"")</f>
        <v>3316.9560000000001</v>
      </c>
      <c r="CH67" s="156">
        <f t="shared" si="28"/>
        <v>0</v>
      </c>
      <c r="CI67" s="251">
        <f>IFERROR(VLOOKUP($B67,'MATRIZ INSUMOS '!$A$3:$P$106,10,0),"")</f>
        <v>0</v>
      </c>
      <c r="CJ67" s="156">
        <f>IFERROR(VLOOKUP($B67,'[5]INSUMOS MARZO'!$A$2:$S$105,14,0),"")</f>
        <v>4427.7578999999996</v>
      </c>
      <c r="CK67" s="159">
        <f t="shared" si="29"/>
        <v>0</v>
      </c>
      <c r="CL67" s="160">
        <f t="shared" si="30"/>
        <v>0</v>
      </c>
      <c r="CM67" s="14">
        <f t="shared" si="31"/>
        <v>0</v>
      </c>
      <c r="CN67" s="14">
        <f t="shared" si="32"/>
        <v>0</v>
      </c>
      <c r="CO67" s="14">
        <f t="shared" si="33"/>
        <v>0</v>
      </c>
      <c r="CQ67" s="19">
        <f t="shared" si="34"/>
        <v>0</v>
      </c>
      <c r="CR67" s="19" t="b">
        <f t="shared" si="35"/>
        <v>1</v>
      </c>
      <c r="CS67" s="19">
        <f t="shared" si="36"/>
        <v>0</v>
      </c>
    </row>
    <row r="68" spans="1:97" ht="16.5">
      <c r="A68" s="3">
        <v>63</v>
      </c>
      <c r="B68" s="151">
        <v>129</v>
      </c>
      <c r="C68" s="4" t="s">
        <v>82</v>
      </c>
      <c r="D68" s="152">
        <f>IFERROR(VLOOKUP($B68,'[4]INSUMOS FEBRERO'!$A$2:$F$105,5,0),"")</f>
        <v>30</v>
      </c>
      <c r="E68" s="152" t="str">
        <f>IFERROR(VLOOKUP($B68,'PEDIDO JULIO'!$A$10:$AG$32,33,0),"0")</f>
        <v>0</v>
      </c>
      <c r="F68" s="152">
        <f t="shared" si="1"/>
        <v>-30</v>
      </c>
      <c r="G68" s="152" t="str">
        <f>IFERROR(VLOOKUP($B68,'PEDIDO JULIO'!$A$10:$AG$200,8,0),"0")</f>
        <v>0</v>
      </c>
      <c r="H68" s="153">
        <f>IFERROR(VLOOKUP($B68,'[5]INSUMOS MARZO'!$A$2:$S$105,17,0),"")</f>
        <v>3787.8040000000001</v>
      </c>
      <c r="I68" s="154">
        <f t="shared" si="0"/>
        <v>0</v>
      </c>
      <c r="J68" s="152" t="str">
        <f>IFERROR(VLOOKUP($B68,'PEDIDO JULIO'!$A$10:$AG$200,9,0),"0")</f>
        <v>0</v>
      </c>
      <c r="K68" s="153">
        <f>IFERROR(VLOOKUP($B68,'[5]INSUMOS MARZO'!$A$2:$S$105,17,0),"")</f>
        <v>3787.8040000000001</v>
      </c>
      <c r="L68" s="155">
        <f t="shared" si="2"/>
        <v>0</v>
      </c>
      <c r="M68" s="152" t="str">
        <f>IFERROR(VLOOKUP($B68,'PEDIDO JULIO'!$A$10:$AG$200,10,0),"0")</f>
        <v>0</v>
      </c>
      <c r="N68" s="153">
        <f>IFERROR(VLOOKUP($B68,'[5]INSUMOS MARZO'!$A$2:$S$105,17,0),"")</f>
        <v>3787.8040000000001</v>
      </c>
      <c r="O68" s="154">
        <f t="shared" si="3"/>
        <v>0</v>
      </c>
      <c r="P68" s="152" t="str">
        <f>IFERROR(VLOOKUP($B68,'PEDIDO JULIO'!$A$10:$AG$200,11,0),"0")</f>
        <v>0</v>
      </c>
      <c r="Q68" s="153">
        <f>IFERROR(VLOOKUP($B68,'[5]INSUMOS MARZO'!$A$2:$S$105,17,0),"")</f>
        <v>3787.8040000000001</v>
      </c>
      <c r="R68" s="154">
        <f t="shared" si="4"/>
        <v>0</v>
      </c>
      <c r="S68" s="152" t="str">
        <f>IFERROR(VLOOKUP($B68,'PEDIDO JULIO'!$A$10:$AG$200,12,0),"0")</f>
        <v>0</v>
      </c>
      <c r="T68" s="153">
        <f>IFERROR(VLOOKUP($B68,'[5]INSUMOS MARZO'!$A$2:$S$105,17,0),"")</f>
        <v>3787.8040000000001</v>
      </c>
      <c r="U68" s="154">
        <f t="shared" si="5"/>
        <v>0</v>
      </c>
      <c r="V68" s="152" t="str">
        <f>IFERROR(VLOOKUP($B68,'PEDIDO JULIO'!$A$10:$AG$200,13,0),"0")</f>
        <v>0</v>
      </c>
      <c r="W68" s="153">
        <f>IFERROR(VLOOKUP($B68,'[5]INSUMOS MARZO'!$A$2:$S$105,17,0),"")</f>
        <v>3787.8040000000001</v>
      </c>
      <c r="X68" s="154">
        <f t="shared" si="6"/>
        <v>0</v>
      </c>
      <c r="Y68" s="152" t="str">
        <f>IFERROR(VLOOKUP($B68,'PEDIDO JULIO'!$A$10:$AG$200,14,0),"0")</f>
        <v>0</v>
      </c>
      <c r="Z68" s="153">
        <f>IFERROR(VLOOKUP($B68,'[5]INSUMOS MARZO'!$A$2:$S$105,17,0),"")</f>
        <v>3787.8040000000001</v>
      </c>
      <c r="AA68" s="154">
        <f t="shared" si="7"/>
        <v>0</v>
      </c>
      <c r="AB68" s="152" t="str">
        <f>IFERROR(VLOOKUP($B68,'PEDIDO JULIO'!$A$10:$AG$200,15,0),"0")</f>
        <v>0</v>
      </c>
      <c r="AC68" s="153">
        <f>IFERROR(VLOOKUP($B68,'[5]INSUMOS MARZO'!$A$2:$S$105,17,0),"")</f>
        <v>3787.8040000000001</v>
      </c>
      <c r="AD68" s="154">
        <f t="shared" si="8"/>
        <v>0</v>
      </c>
      <c r="AE68" s="152" t="str">
        <f>IFERROR(VLOOKUP($B68,'PEDIDO JULIO'!$A$10:$AG$200,16,0),"0")</f>
        <v>0</v>
      </c>
      <c r="AF68" s="153">
        <f>IFERROR(VLOOKUP($B68,'[5]INSUMOS MARZO'!$A$2:$S$105,17,0),"")</f>
        <v>3787.8040000000001</v>
      </c>
      <c r="AG68" s="154">
        <f t="shared" si="9"/>
        <v>0</v>
      </c>
      <c r="AH68" s="152" t="str">
        <f>IFERROR(VLOOKUP($B68,'PEDIDO JULIO'!$A$10:$AG$200,17,0),"0")</f>
        <v>0</v>
      </c>
      <c r="AI68" s="153">
        <f>IFERROR(VLOOKUP($B68,'[5]INSUMOS MARZO'!$A$2:$S$105,17,0),"")</f>
        <v>3787.8040000000001</v>
      </c>
      <c r="AJ68" s="154">
        <f t="shared" si="10"/>
        <v>0</v>
      </c>
      <c r="AK68" s="152" t="str">
        <f>IFERROR(VLOOKUP($B68,'PEDIDO JULIO'!$A$10:$AG$200,18,0),"0")</f>
        <v>0</v>
      </c>
      <c r="AL68" s="153">
        <f>IFERROR(VLOOKUP($B68,'[5]INSUMOS MARZO'!$A$2:$S$105,17,0),"")</f>
        <v>3787.8040000000001</v>
      </c>
      <c r="AM68" s="154">
        <f t="shared" si="11"/>
        <v>0</v>
      </c>
      <c r="AN68" s="152" t="str">
        <f>IFERROR(VLOOKUP($B68,'PEDIDO JULIO'!$A$10:$AG$200,19,0),"0")</f>
        <v>0</v>
      </c>
      <c r="AO68" s="153">
        <f>IFERROR(VLOOKUP($B68,'[5]INSUMOS MARZO'!$A$2:$S$105,17,0),"")</f>
        <v>3787.8040000000001</v>
      </c>
      <c r="AP68" s="154">
        <f t="shared" si="12"/>
        <v>0</v>
      </c>
      <c r="AQ68" s="152" t="str">
        <f>IFERROR(VLOOKUP($B68,'PEDIDO JULIO'!$A$10:$AG$200,20,0),"0")</f>
        <v>0</v>
      </c>
      <c r="AR68" s="153">
        <f>IFERROR(VLOOKUP($B68,'[5]INSUMOS MARZO'!$A$2:$S$105,17,0),"")</f>
        <v>3787.8040000000001</v>
      </c>
      <c r="AS68" s="154">
        <f t="shared" si="13"/>
        <v>0</v>
      </c>
      <c r="AT68" s="152" t="str">
        <f>IFERROR(VLOOKUP($B68,'PEDIDO JULIO'!$A$10:$AG$200,21,0),"0")</f>
        <v>0</v>
      </c>
      <c r="AU68" s="156">
        <f>IFERROR(VLOOKUP($B68,'[5]INSUMOS MARZO'!$A$2:$S$105,14,0),"")</f>
        <v>5224.2056999999995</v>
      </c>
      <c r="AV68" s="154">
        <f t="shared" si="14"/>
        <v>0</v>
      </c>
      <c r="AW68" s="152" t="str">
        <f>IFERROR(VLOOKUP($B68,'PEDIDO JULIO'!$A$10:$AG$200,22,0),"0")</f>
        <v>0</v>
      </c>
      <c r="AX68" s="153">
        <f>IFERROR(VLOOKUP($B68,'[5]INSUMOS MARZO'!$A$2:$S$105,17,0),"")</f>
        <v>3787.8040000000001</v>
      </c>
      <c r="AY68" s="154">
        <f t="shared" si="15"/>
        <v>0</v>
      </c>
      <c r="AZ68" s="152" t="str">
        <f>IFERROR(VLOOKUP($B68,'PEDIDO JULIO'!$A$10:$AG$200,23,0),"0")</f>
        <v>0</v>
      </c>
      <c r="BA68" s="153">
        <f>IFERROR(VLOOKUP($B68,'[5]INSUMOS MARZO'!$A$2:$S$105,17,0),"")</f>
        <v>3787.8040000000001</v>
      </c>
      <c r="BB68" s="154">
        <f t="shared" si="16"/>
        <v>0</v>
      </c>
      <c r="BC68" s="152" t="str">
        <f>IFERROR(VLOOKUP($B68,'PEDIDO JULIO'!$A$10:$AG$200,24,0),"0")</f>
        <v>0</v>
      </c>
      <c r="BD68" s="153">
        <f>IFERROR(VLOOKUP($B68,'[5]INSUMOS MARZO'!$A$2:$S$105,17,0),"")</f>
        <v>3787.8040000000001</v>
      </c>
      <c r="BE68" s="155">
        <f t="shared" si="17"/>
        <v>0</v>
      </c>
      <c r="BF68" s="152" t="str">
        <f>IFERROR(VLOOKUP($B68,'PEDIDO JULIO'!$A$10:$AG$200,25,0),"0")</f>
        <v>0</v>
      </c>
      <c r="BG68" s="153">
        <f>IFERROR(VLOOKUP($B68,'[5]INSUMOS MARZO'!$A$2:$S$105,17,0),"")</f>
        <v>3787.8040000000001</v>
      </c>
      <c r="BH68" s="155">
        <f t="shared" si="18"/>
        <v>0</v>
      </c>
      <c r="BI68" s="152" t="str">
        <f>IFERROR(VLOOKUP($B68,'PEDIDO JULIO'!$A$10:$AG$200,26,0),"0")</f>
        <v>0</v>
      </c>
      <c r="BJ68" s="153">
        <f>IFERROR(VLOOKUP($B68,'[5]INSUMOS MARZO'!$A$2:$S$105,17,0),"")</f>
        <v>3787.8040000000001</v>
      </c>
      <c r="BK68" s="154">
        <f t="shared" si="19"/>
        <v>0</v>
      </c>
      <c r="BL68" s="152" t="str">
        <f>IFERROR(VLOOKUP($B68,'PEDIDO JULIO'!$A$10:$AG$200,27,0),"0")</f>
        <v>0</v>
      </c>
      <c r="BM68" s="153">
        <f>IFERROR(VLOOKUP($B68,'[5]INSUMOS MARZO'!$A$2:$S$105,17,0),"")</f>
        <v>3787.8040000000001</v>
      </c>
      <c r="BN68" s="154">
        <f t="shared" si="20"/>
        <v>0</v>
      </c>
      <c r="BO68" s="152" t="str">
        <f>IFERROR(VLOOKUP($B68,'PEDIDO JULIO'!$A$10:$AG$200,28,0),"0")</f>
        <v>0</v>
      </c>
      <c r="BP68" s="153">
        <f>IFERROR(VLOOKUP($B68,'[5]INSUMOS MARZO'!$A$2:$S$105,17,0),"")</f>
        <v>3787.8040000000001</v>
      </c>
      <c r="BQ68" s="154">
        <f t="shared" si="21"/>
        <v>0</v>
      </c>
      <c r="BR68" s="152" t="str">
        <f>IFERROR(VLOOKUP($B68,'PEDIDO JULIO'!$A$10:$AG$200,29,0),"0")</f>
        <v>0</v>
      </c>
      <c r="BS68" s="153">
        <f>IFERROR(VLOOKUP($B68,'[5]INSUMOS MARZO'!$A$2:$S$105,17,0),"")</f>
        <v>3787.8040000000001</v>
      </c>
      <c r="BT68" s="155">
        <f t="shared" si="22"/>
        <v>0</v>
      </c>
      <c r="BU68" s="152" t="str">
        <f>IFERROR(VLOOKUP($B68,'PEDIDO JULIO'!$A$10:$AG$200,30,0),"0")</f>
        <v>0</v>
      </c>
      <c r="BV68" s="153">
        <f>IFERROR(VLOOKUP($B68,'[5]INSUMOS MARZO'!$A$2:$S$105,17,0),"")</f>
        <v>3787.8040000000001</v>
      </c>
      <c r="BW68" s="155">
        <f t="shared" si="23"/>
        <v>0</v>
      </c>
      <c r="BX68" s="152" t="str">
        <f>IFERROR(VLOOKUP($B68,'PEDIDO JULIO'!$A$10:$AG$200,31,0),"0")</f>
        <v>0</v>
      </c>
      <c r="BY68" s="153">
        <f>IFERROR(VLOOKUP($B68,'[5]INSUMOS MARZO'!$A$2:$S$105,17,0),"")</f>
        <v>3787.8040000000001</v>
      </c>
      <c r="BZ68" s="155">
        <f t="shared" si="24"/>
        <v>0</v>
      </c>
      <c r="CA68" s="152" t="str">
        <f>IFERROR(VLOOKUP($B68,'PEDIDO JULIO'!$A$10:$AG$200,32,0),"0")</f>
        <v>0</v>
      </c>
      <c r="CB68" s="153">
        <f>IFERROR(VLOOKUP($B68,'[5]INSUMOS MARZO'!$A$2:$S$105,17,0),"")</f>
        <v>3787.8040000000001</v>
      </c>
      <c r="CC68" s="155">
        <f t="shared" si="25"/>
        <v>0</v>
      </c>
      <c r="CD68" s="157">
        <f t="shared" si="26"/>
        <v>0</v>
      </c>
      <c r="CE68" s="158">
        <f t="shared" si="27"/>
        <v>0</v>
      </c>
      <c r="CF68" s="251">
        <f>IFERROR(VLOOKUP($B68,'MATRIZ INSUMOS '!$A$3:$P$106,16,0),"")</f>
        <v>0</v>
      </c>
      <c r="CG68" s="153">
        <f>IFERROR(VLOOKUP($B68,'[5]INSUMOS MARZO'!$A$2:$S$105,17,0),"")</f>
        <v>3787.8040000000001</v>
      </c>
      <c r="CH68" s="156">
        <f t="shared" si="28"/>
        <v>0</v>
      </c>
      <c r="CI68" s="251">
        <f>IFERROR(VLOOKUP($B68,'MATRIZ INSUMOS '!$A$3:$P$106,10,0),"")</f>
        <v>0</v>
      </c>
      <c r="CJ68" s="156">
        <f>IFERROR(VLOOKUP($B68,'[5]INSUMOS MARZO'!$A$2:$S$105,14,0),"")</f>
        <v>5224.2056999999995</v>
      </c>
      <c r="CK68" s="159">
        <f t="shared" si="29"/>
        <v>0</v>
      </c>
      <c r="CL68" s="160">
        <f t="shared" si="30"/>
        <v>0</v>
      </c>
      <c r="CM68" s="14">
        <f t="shared" si="31"/>
        <v>0</v>
      </c>
      <c r="CN68" s="14">
        <f t="shared" si="32"/>
        <v>0</v>
      </c>
      <c r="CO68" s="14">
        <f t="shared" si="33"/>
        <v>0</v>
      </c>
      <c r="CQ68" s="19">
        <f t="shared" si="34"/>
        <v>0</v>
      </c>
      <c r="CR68" s="19" t="b">
        <f t="shared" si="35"/>
        <v>1</v>
      </c>
      <c r="CS68" s="19">
        <f t="shared" si="36"/>
        <v>0</v>
      </c>
    </row>
    <row r="69" spans="1:97" ht="16.5">
      <c r="A69" s="3">
        <v>64</v>
      </c>
      <c r="B69" s="151">
        <v>131</v>
      </c>
      <c r="C69" s="4" t="s">
        <v>83</v>
      </c>
      <c r="D69" s="152">
        <f>IFERROR(VLOOKUP($B69,'[4]INSUMOS FEBRERO'!$A$2:$F$105,5,0),"")</f>
        <v>5</v>
      </c>
      <c r="E69" s="152" t="str">
        <f>IFERROR(VLOOKUP($B69,'PEDIDO JULIO'!$A$10:$AG$32,33,0),"0")</f>
        <v>0</v>
      </c>
      <c r="F69" s="152">
        <f t="shared" si="1"/>
        <v>-5</v>
      </c>
      <c r="G69" s="152" t="str">
        <f>IFERROR(VLOOKUP($B69,'PEDIDO JULIO'!$A$10:$AG$200,8,0),"0")</f>
        <v>0</v>
      </c>
      <c r="H69" s="153">
        <f>IFERROR(VLOOKUP($B69,'[5]INSUMOS MARZO'!$A$2:$S$105,17,0),"")</f>
        <v>0</v>
      </c>
      <c r="I69" s="154">
        <f t="shared" si="0"/>
        <v>0</v>
      </c>
      <c r="J69" s="152" t="str">
        <f>IFERROR(VLOOKUP($B69,'PEDIDO JULIO'!$A$10:$AG$200,9,0),"0")</f>
        <v>0</v>
      </c>
      <c r="K69" s="153">
        <f>IFERROR(VLOOKUP($B69,'[5]INSUMOS MARZO'!$A$2:$S$105,17,0),"")</f>
        <v>0</v>
      </c>
      <c r="L69" s="155">
        <f t="shared" si="2"/>
        <v>0</v>
      </c>
      <c r="M69" s="152" t="str">
        <f>IFERROR(VLOOKUP($B69,'PEDIDO JULIO'!$A$10:$AG$200,10,0),"0")</f>
        <v>0</v>
      </c>
      <c r="N69" s="153">
        <f>IFERROR(VLOOKUP($B69,'[5]INSUMOS MARZO'!$A$2:$S$105,17,0),"")</f>
        <v>0</v>
      </c>
      <c r="O69" s="154">
        <f t="shared" si="3"/>
        <v>0</v>
      </c>
      <c r="P69" s="152" t="str">
        <f>IFERROR(VLOOKUP($B69,'PEDIDO JULIO'!$A$10:$AG$200,11,0),"0")</f>
        <v>0</v>
      </c>
      <c r="Q69" s="153">
        <f>IFERROR(VLOOKUP($B69,'[5]INSUMOS MARZO'!$A$2:$S$105,17,0),"")</f>
        <v>0</v>
      </c>
      <c r="R69" s="154">
        <f t="shared" si="4"/>
        <v>0</v>
      </c>
      <c r="S69" s="152" t="str">
        <f>IFERROR(VLOOKUP($B69,'PEDIDO JULIO'!$A$10:$AG$200,12,0),"0")</f>
        <v>0</v>
      </c>
      <c r="T69" s="153">
        <f>IFERROR(VLOOKUP($B69,'[5]INSUMOS MARZO'!$A$2:$S$105,17,0),"")</f>
        <v>0</v>
      </c>
      <c r="U69" s="154">
        <f t="shared" si="5"/>
        <v>0</v>
      </c>
      <c r="V69" s="152" t="str">
        <f>IFERROR(VLOOKUP($B69,'PEDIDO JULIO'!$A$10:$AG$200,13,0),"0")</f>
        <v>0</v>
      </c>
      <c r="W69" s="153">
        <f>IFERROR(VLOOKUP($B69,'[5]INSUMOS MARZO'!$A$2:$S$105,17,0),"")</f>
        <v>0</v>
      </c>
      <c r="X69" s="154">
        <f t="shared" si="6"/>
        <v>0</v>
      </c>
      <c r="Y69" s="152" t="str">
        <f>IFERROR(VLOOKUP($B69,'PEDIDO JULIO'!$A$10:$AG$200,14,0),"0")</f>
        <v>0</v>
      </c>
      <c r="Z69" s="153">
        <f>IFERROR(VLOOKUP($B69,'[5]INSUMOS MARZO'!$A$2:$S$105,17,0),"")</f>
        <v>0</v>
      </c>
      <c r="AA69" s="154">
        <f t="shared" si="7"/>
        <v>0</v>
      </c>
      <c r="AB69" s="152" t="str">
        <f>IFERROR(VLOOKUP($B69,'PEDIDO JULIO'!$A$10:$AG$200,15,0),"0")</f>
        <v>0</v>
      </c>
      <c r="AC69" s="153">
        <f>IFERROR(VLOOKUP($B69,'[5]INSUMOS MARZO'!$A$2:$S$105,17,0),"")</f>
        <v>0</v>
      </c>
      <c r="AD69" s="154">
        <f t="shared" si="8"/>
        <v>0</v>
      </c>
      <c r="AE69" s="152" t="str">
        <f>IFERROR(VLOOKUP($B69,'PEDIDO JULIO'!$A$10:$AG$200,16,0),"0")</f>
        <v>0</v>
      </c>
      <c r="AF69" s="153">
        <f>IFERROR(VLOOKUP($B69,'[5]INSUMOS MARZO'!$A$2:$S$105,17,0),"")</f>
        <v>0</v>
      </c>
      <c r="AG69" s="154">
        <f t="shared" si="9"/>
        <v>0</v>
      </c>
      <c r="AH69" s="152" t="str">
        <f>IFERROR(VLOOKUP($B69,'PEDIDO JULIO'!$A$10:$AG$200,17,0),"0")</f>
        <v>0</v>
      </c>
      <c r="AI69" s="153">
        <f>IFERROR(VLOOKUP($B69,'[5]INSUMOS MARZO'!$A$2:$S$105,17,0),"")</f>
        <v>0</v>
      </c>
      <c r="AJ69" s="154">
        <f t="shared" si="10"/>
        <v>0</v>
      </c>
      <c r="AK69" s="152" t="str">
        <f>IFERROR(VLOOKUP($B69,'PEDIDO JULIO'!$A$10:$AG$200,18,0),"0")</f>
        <v>0</v>
      </c>
      <c r="AL69" s="153">
        <f>IFERROR(VLOOKUP($B69,'[5]INSUMOS MARZO'!$A$2:$S$105,17,0),"")</f>
        <v>0</v>
      </c>
      <c r="AM69" s="154">
        <f t="shared" si="11"/>
        <v>0</v>
      </c>
      <c r="AN69" s="152" t="str">
        <f>IFERROR(VLOOKUP($B69,'PEDIDO JULIO'!$A$10:$AG$200,19,0),"0")</f>
        <v>0</v>
      </c>
      <c r="AO69" s="153">
        <f>IFERROR(VLOOKUP($B69,'[5]INSUMOS MARZO'!$A$2:$S$105,17,0),"")</f>
        <v>0</v>
      </c>
      <c r="AP69" s="154">
        <f t="shared" si="12"/>
        <v>0</v>
      </c>
      <c r="AQ69" s="152" t="str">
        <f>IFERROR(VLOOKUP($B69,'PEDIDO JULIO'!$A$10:$AG$200,20,0),"0")</f>
        <v>0</v>
      </c>
      <c r="AR69" s="153">
        <f>IFERROR(VLOOKUP($B69,'[5]INSUMOS MARZO'!$A$2:$S$105,17,0),"")</f>
        <v>0</v>
      </c>
      <c r="AS69" s="154">
        <f t="shared" si="13"/>
        <v>0</v>
      </c>
      <c r="AT69" s="152" t="str">
        <f>IFERROR(VLOOKUP($B69,'PEDIDO JULIO'!$A$10:$AG$200,21,0),"0")</f>
        <v>0</v>
      </c>
      <c r="AU69" s="156">
        <f>IFERROR(VLOOKUP($B69,'[5]INSUMOS MARZO'!$A$2:$S$105,14,0),"")</f>
        <v>21991.2291</v>
      </c>
      <c r="AV69" s="154">
        <f t="shared" si="14"/>
        <v>0</v>
      </c>
      <c r="AW69" s="152" t="str">
        <f>IFERROR(VLOOKUP($B69,'PEDIDO JULIO'!$A$10:$AG$200,22,0),"0")</f>
        <v>0</v>
      </c>
      <c r="AX69" s="153">
        <f>IFERROR(VLOOKUP($B69,'[5]INSUMOS MARZO'!$A$2:$S$105,17,0),"")</f>
        <v>0</v>
      </c>
      <c r="AY69" s="154">
        <f t="shared" si="15"/>
        <v>0</v>
      </c>
      <c r="AZ69" s="152" t="str">
        <f>IFERROR(VLOOKUP($B69,'PEDIDO JULIO'!$A$10:$AG$200,23,0),"0")</f>
        <v>0</v>
      </c>
      <c r="BA69" s="153">
        <f>IFERROR(VLOOKUP($B69,'[5]INSUMOS MARZO'!$A$2:$S$105,17,0),"")</f>
        <v>0</v>
      </c>
      <c r="BB69" s="154">
        <f t="shared" si="16"/>
        <v>0</v>
      </c>
      <c r="BC69" s="152" t="str">
        <f>IFERROR(VLOOKUP($B69,'PEDIDO JULIO'!$A$10:$AG$200,24,0),"0")</f>
        <v>0</v>
      </c>
      <c r="BD69" s="153">
        <f>IFERROR(VLOOKUP($B69,'[5]INSUMOS MARZO'!$A$2:$S$105,17,0),"")</f>
        <v>0</v>
      </c>
      <c r="BE69" s="155">
        <f t="shared" si="17"/>
        <v>0</v>
      </c>
      <c r="BF69" s="152" t="str">
        <f>IFERROR(VLOOKUP($B69,'PEDIDO JULIO'!$A$10:$AG$200,25,0),"0")</f>
        <v>0</v>
      </c>
      <c r="BG69" s="153">
        <f>IFERROR(VLOOKUP($B69,'[5]INSUMOS MARZO'!$A$2:$S$105,17,0),"")</f>
        <v>0</v>
      </c>
      <c r="BH69" s="155">
        <f t="shared" si="18"/>
        <v>0</v>
      </c>
      <c r="BI69" s="152" t="str">
        <f>IFERROR(VLOOKUP($B69,'PEDIDO JULIO'!$A$10:$AG$200,26,0),"0")</f>
        <v>0</v>
      </c>
      <c r="BJ69" s="153">
        <f>IFERROR(VLOOKUP($B69,'[5]INSUMOS MARZO'!$A$2:$S$105,17,0),"")</f>
        <v>0</v>
      </c>
      <c r="BK69" s="154">
        <f t="shared" si="19"/>
        <v>0</v>
      </c>
      <c r="BL69" s="152" t="str">
        <f>IFERROR(VLOOKUP($B69,'PEDIDO JULIO'!$A$10:$AG$200,27,0),"0")</f>
        <v>0</v>
      </c>
      <c r="BM69" s="153">
        <f>IFERROR(VLOOKUP($B69,'[5]INSUMOS MARZO'!$A$2:$S$105,17,0),"")</f>
        <v>0</v>
      </c>
      <c r="BN69" s="154">
        <f t="shared" si="20"/>
        <v>0</v>
      </c>
      <c r="BO69" s="152" t="str">
        <f>IFERROR(VLOOKUP($B69,'PEDIDO JULIO'!$A$10:$AG$200,28,0),"0")</f>
        <v>0</v>
      </c>
      <c r="BP69" s="153">
        <f>IFERROR(VLOOKUP($B69,'[5]INSUMOS MARZO'!$A$2:$S$105,17,0),"")</f>
        <v>0</v>
      </c>
      <c r="BQ69" s="154">
        <f t="shared" si="21"/>
        <v>0</v>
      </c>
      <c r="BR69" s="152" t="str">
        <f>IFERROR(VLOOKUP($B69,'PEDIDO JULIO'!$A$10:$AG$200,29,0),"0")</f>
        <v>0</v>
      </c>
      <c r="BS69" s="153">
        <f>IFERROR(VLOOKUP($B69,'[5]INSUMOS MARZO'!$A$2:$S$105,17,0),"")</f>
        <v>0</v>
      </c>
      <c r="BT69" s="155">
        <f t="shared" si="22"/>
        <v>0</v>
      </c>
      <c r="BU69" s="152" t="str">
        <f>IFERROR(VLOOKUP($B69,'PEDIDO JULIO'!$A$10:$AG$200,30,0),"0")</f>
        <v>0</v>
      </c>
      <c r="BV69" s="153">
        <f>IFERROR(VLOOKUP($B69,'[5]INSUMOS MARZO'!$A$2:$S$105,17,0),"")</f>
        <v>0</v>
      </c>
      <c r="BW69" s="155">
        <f t="shared" si="23"/>
        <v>0</v>
      </c>
      <c r="BX69" s="152" t="str">
        <f>IFERROR(VLOOKUP($B69,'PEDIDO JULIO'!$A$10:$AG$200,31,0),"0")</f>
        <v>0</v>
      </c>
      <c r="BY69" s="153">
        <f>IFERROR(VLOOKUP($B69,'[5]INSUMOS MARZO'!$A$2:$S$105,17,0),"")</f>
        <v>0</v>
      </c>
      <c r="BZ69" s="155">
        <f t="shared" si="24"/>
        <v>0</v>
      </c>
      <c r="CA69" s="152" t="str">
        <f>IFERROR(VLOOKUP($B69,'PEDIDO JULIO'!$A$10:$AG$200,32,0),"0")</f>
        <v>0</v>
      </c>
      <c r="CB69" s="153">
        <f>IFERROR(VLOOKUP($B69,'[5]INSUMOS MARZO'!$A$2:$S$105,17,0),"")</f>
        <v>0</v>
      </c>
      <c r="CC69" s="155">
        <f t="shared" si="25"/>
        <v>0</v>
      </c>
      <c r="CD69" s="157">
        <f t="shared" si="26"/>
        <v>0</v>
      </c>
      <c r="CE69" s="158">
        <f t="shared" si="27"/>
        <v>0</v>
      </c>
      <c r="CF69" s="251">
        <f>IFERROR(VLOOKUP($B69,'MATRIZ INSUMOS '!$A$3:$P$106,16,0),"")</f>
        <v>0</v>
      </c>
      <c r="CG69" s="153">
        <f>IFERROR(VLOOKUP($B69,'[5]INSUMOS MARZO'!$A$2:$S$105,17,0),"")</f>
        <v>0</v>
      </c>
      <c r="CH69" s="156">
        <f t="shared" si="28"/>
        <v>0</v>
      </c>
      <c r="CI69" s="251">
        <f>IFERROR(VLOOKUP($B69,'MATRIZ INSUMOS '!$A$3:$P$106,10,0),"")</f>
        <v>0</v>
      </c>
      <c r="CJ69" s="156">
        <f>IFERROR(VLOOKUP($B69,'[5]INSUMOS MARZO'!$A$2:$S$105,14,0),"")</f>
        <v>21991.2291</v>
      </c>
      <c r="CK69" s="159">
        <f t="shared" si="29"/>
        <v>0</v>
      </c>
      <c r="CL69" s="160">
        <f t="shared" si="30"/>
        <v>0</v>
      </c>
      <c r="CM69" s="14">
        <f t="shared" si="31"/>
        <v>0</v>
      </c>
      <c r="CN69" s="14">
        <f t="shared" si="32"/>
        <v>0</v>
      </c>
      <c r="CO69" s="14">
        <f t="shared" si="33"/>
        <v>0</v>
      </c>
      <c r="CQ69" s="19">
        <f t="shared" si="34"/>
        <v>0</v>
      </c>
      <c r="CR69" s="19" t="b">
        <f t="shared" si="35"/>
        <v>1</v>
      </c>
      <c r="CS69" s="19">
        <f t="shared" si="36"/>
        <v>0</v>
      </c>
    </row>
    <row r="70" spans="1:97" ht="16.5">
      <c r="A70" s="3">
        <v>65</v>
      </c>
      <c r="B70" s="151">
        <v>132</v>
      </c>
      <c r="C70" s="4" t="s">
        <v>84</v>
      </c>
      <c r="D70" s="152">
        <f>IFERROR(VLOOKUP($B70,'[4]INSUMOS FEBRERO'!$A$2:$F$105,5,0),"")</f>
        <v>7</v>
      </c>
      <c r="E70" s="152" t="str">
        <f>IFERROR(VLOOKUP($B70,'PEDIDO JULIO'!$A$10:$AG$32,33,0),"0")</f>
        <v>0</v>
      </c>
      <c r="F70" s="152">
        <f t="shared" si="1"/>
        <v>-7</v>
      </c>
      <c r="G70" s="152" t="str">
        <f>IFERROR(VLOOKUP($B70,'PEDIDO JULIO'!$A$10:$AG$200,8,0),"0")</f>
        <v>0</v>
      </c>
      <c r="H70" s="153">
        <f>IFERROR(VLOOKUP($B70,'[5]INSUMOS MARZO'!$A$2:$S$105,17,0),"")</f>
        <v>0</v>
      </c>
      <c r="I70" s="154">
        <f t="shared" ref="I70:I109" si="37">G70*H70</f>
        <v>0</v>
      </c>
      <c r="J70" s="152" t="str">
        <f>IFERROR(VLOOKUP($B70,'PEDIDO JULIO'!$A$10:$AG$200,9,0),"0")</f>
        <v>0</v>
      </c>
      <c r="K70" s="153">
        <f>IFERROR(VLOOKUP($B70,'[5]INSUMOS MARZO'!$A$2:$S$105,17,0),"")</f>
        <v>0</v>
      </c>
      <c r="L70" s="155">
        <f t="shared" si="2"/>
        <v>0</v>
      </c>
      <c r="M70" s="152" t="str">
        <f>IFERROR(VLOOKUP($B70,'PEDIDO JULIO'!$A$10:$AG$200,10,0),"0")</f>
        <v>0</v>
      </c>
      <c r="N70" s="153">
        <f>IFERROR(VLOOKUP($B70,'[5]INSUMOS MARZO'!$A$2:$S$105,17,0),"")</f>
        <v>0</v>
      </c>
      <c r="O70" s="154">
        <f t="shared" si="3"/>
        <v>0</v>
      </c>
      <c r="P70" s="152" t="str">
        <f>IFERROR(VLOOKUP($B70,'PEDIDO JULIO'!$A$10:$AG$200,11,0),"0")</f>
        <v>0</v>
      </c>
      <c r="Q70" s="153">
        <f>IFERROR(VLOOKUP($B70,'[5]INSUMOS MARZO'!$A$2:$S$105,17,0),"")</f>
        <v>0</v>
      </c>
      <c r="R70" s="154">
        <f t="shared" si="4"/>
        <v>0</v>
      </c>
      <c r="S70" s="152" t="str">
        <f>IFERROR(VLOOKUP($B70,'PEDIDO JULIO'!$A$10:$AG$200,12,0),"0")</f>
        <v>0</v>
      </c>
      <c r="T70" s="153">
        <f>IFERROR(VLOOKUP($B70,'[5]INSUMOS MARZO'!$A$2:$S$105,17,0),"")</f>
        <v>0</v>
      </c>
      <c r="U70" s="154">
        <f t="shared" si="5"/>
        <v>0</v>
      </c>
      <c r="V70" s="152" t="str">
        <f>IFERROR(VLOOKUP($B70,'PEDIDO JULIO'!$A$10:$AG$200,13,0),"0")</f>
        <v>0</v>
      </c>
      <c r="W70" s="153">
        <f>IFERROR(VLOOKUP($B70,'[5]INSUMOS MARZO'!$A$2:$S$105,17,0),"")</f>
        <v>0</v>
      </c>
      <c r="X70" s="154">
        <f t="shared" si="6"/>
        <v>0</v>
      </c>
      <c r="Y70" s="152" t="str">
        <f>IFERROR(VLOOKUP($B70,'PEDIDO JULIO'!$A$10:$AG$200,14,0),"0")</f>
        <v>0</v>
      </c>
      <c r="Z70" s="153">
        <f>IFERROR(VLOOKUP($B70,'[5]INSUMOS MARZO'!$A$2:$S$105,17,0),"")</f>
        <v>0</v>
      </c>
      <c r="AA70" s="154">
        <f t="shared" si="7"/>
        <v>0</v>
      </c>
      <c r="AB70" s="152" t="str">
        <f>IFERROR(VLOOKUP($B70,'PEDIDO JULIO'!$A$10:$AG$200,15,0),"0")</f>
        <v>0</v>
      </c>
      <c r="AC70" s="153">
        <f>IFERROR(VLOOKUP($B70,'[5]INSUMOS MARZO'!$A$2:$S$105,17,0),"")</f>
        <v>0</v>
      </c>
      <c r="AD70" s="154">
        <f t="shared" si="8"/>
        <v>0</v>
      </c>
      <c r="AE70" s="152" t="str">
        <f>IFERROR(VLOOKUP($B70,'PEDIDO JULIO'!$A$10:$AG$200,16,0),"0")</f>
        <v>0</v>
      </c>
      <c r="AF70" s="153">
        <f>IFERROR(VLOOKUP($B70,'[5]INSUMOS MARZO'!$A$2:$S$105,17,0),"")</f>
        <v>0</v>
      </c>
      <c r="AG70" s="154">
        <f t="shared" si="9"/>
        <v>0</v>
      </c>
      <c r="AH70" s="152" t="str">
        <f>IFERROR(VLOOKUP($B70,'PEDIDO JULIO'!$A$10:$AG$200,17,0),"0")</f>
        <v>0</v>
      </c>
      <c r="AI70" s="153">
        <f>IFERROR(VLOOKUP($B70,'[5]INSUMOS MARZO'!$A$2:$S$105,17,0),"")</f>
        <v>0</v>
      </c>
      <c r="AJ70" s="154">
        <f t="shared" si="10"/>
        <v>0</v>
      </c>
      <c r="AK70" s="152" t="str">
        <f>IFERROR(VLOOKUP($B70,'PEDIDO JULIO'!$A$10:$AG$200,18,0),"0")</f>
        <v>0</v>
      </c>
      <c r="AL70" s="153">
        <f>IFERROR(VLOOKUP($B70,'[5]INSUMOS MARZO'!$A$2:$S$105,17,0),"")</f>
        <v>0</v>
      </c>
      <c r="AM70" s="154">
        <f t="shared" si="11"/>
        <v>0</v>
      </c>
      <c r="AN70" s="152" t="str">
        <f>IFERROR(VLOOKUP($B70,'PEDIDO JULIO'!$A$10:$AG$200,19,0),"0")</f>
        <v>0</v>
      </c>
      <c r="AO70" s="153">
        <f>IFERROR(VLOOKUP($B70,'[5]INSUMOS MARZO'!$A$2:$S$105,17,0),"")</f>
        <v>0</v>
      </c>
      <c r="AP70" s="154">
        <f t="shared" si="12"/>
        <v>0</v>
      </c>
      <c r="AQ70" s="152" t="str">
        <f>IFERROR(VLOOKUP($B70,'PEDIDO JULIO'!$A$10:$AG$200,20,0),"0")</f>
        <v>0</v>
      </c>
      <c r="AR70" s="153">
        <f>IFERROR(VLOOKUP($B70,'[5]INSUMOS MARZO'!$A$2:$S$105,17,0),"")</f>
        <v>0</v>
      </c>
      <c r="AS70" s="154">
        <f t="shared" si="13"/>
        <v>0</v>
      </c>
      <c r="AT70" s="152" t="str">
        <f>IFERROR(VLOOKUP($B70,'PEDIDO JULIO'!$A$10:$AG$200,21,0),"0")</f>
        <v>0</v>
      </c>
      <c r="AU70" s="156">
        <f>IFERROR(VLOOKUP($B70,'[5]INSUMOS MARZO'!$A$2:$S$105,14,0),"")</f>
        <v>9503.4573</v>
      </c>
      <c r="AV70" s="154">
        <f t="shared" si="14"/>
        <v>0</v>
      </c>
      <c r="AW70" s="152" t="str">
        <f>IFERROR(VLOOKUP($B70,'PEDIDO JULIO'!$A$10:$AG$200,22,0),"0")</f>
        <v>0</v>
      </c>
      <c r="AX70" s="153">
        <f>IFERROR(VLOOKUP($B70,'[5]INSUMOS MARZO'!$A$2:$S$105,17,0),"")</f>
        <v>0</v>
      </c>
      <c r="AY70" s="154">
        <f t="shared" si="15"/>
        <v>0</v>
      </c>
      <c r="AZ70" s="152" t="str">
        <f>IFERROR(VLOOKUP($B70,'PEDIDO JULIO'!$A$10:$AG$200,23,0),"0")</f>
        <v>0</v>
      </c>
      <c r="BA70" s="153">
        <f>IFERROR(VLOOKUP($B70,'[5]INSUMOS MARZO'!$A$2:$S$105,17,0),"")</f>
        <v>0</v>
      </c>
      <c r="BB70" s="154">
        <f t="shared" si="16"/>
        <v>0</v>
      </c>
      <c r="BC70" s="152" t="str">
        <f>IFERROR(VLOOKUP($B70,'PEDIDO JULIO'!$A$10:$AG$200,24,0),"0")</f>
        <v>0</v>
      </c>
      <c r="BD70" s="153">
        <f>IFERROR(VLOOKUP($B70,'[5]INSUMOS MARZO'!$A$2:$S$105,17,0),"")</f>
        <v>0</v>
      </c>
      <c r="BE70" s="155">
        <f t="shared" si="17"/>
        <v>0</v>
      </c>
      <c r="BF70" s="152" t="str">
        <f>IFERROR(VLOOKUP($B70,'PEDIDO JULIO'!$A$10:$AG$200,25,0),"0")</f>
        <v>0</v>
      </c>
      <c r="BG70" s="153">
        <f>IFERROR(VLOOKUP($B70,'[5]INSUMOS MARZO'!$A$2:$S$105,17,0),"")</f>
        <v>0</v>
      </c>
      <c r="BH70" s="155">
        <f t="shared" si="18"/>
        <v>0</v>
      </c>
      <c r="BI70" s="152" t="str">
        <f>IFERROR(VLOOKUP($B70,'PEDIDO JULIO'!$A$10:$AG$200,26,0),"0")</f>
        <v>0</v>
      </c>
      <c r="BJ70" s="153">
        <f>IFERROR(VLOOKUP($B70,'[5]INSUMOS MARZO'!$A$2:$S$105,17,0),"")</f>
        <v>0</v>
      </c>
      <c r="BK70" s="154">
        <f t="shared" si="19"/>
        <v>0</v>
      </c>
      <c r="BL70" s="152" t="str">
        <f>IFERROR(VLOOKUP($B70,'PEDIDO JULIO'!$A$10:$AG$200,27,0),"0")</f>
        <v>0</v>
      </c>
      <c r="BM70" s="153">
        <f>IFERROR(VLOOKUP($B70,'[5]INSUMOS MARZO'!$A$2:$S$105,17,0),"")</f>
        <v>0</v>
      </c>
      <c r="BN70" s="154">
        <f t="shared" si="20"/>
        <v>0</v>
      </c>
      <c r="BO70" s="152" t="str">
        <f>IFERROR(VLOOKUP($B70,'PEDIDO JULIO'!$A$10:$AG$200,28,0),"0")</f>
        <v>0</v>
      </c>
      <c r="BP70" s="153">
        <f>IFERROR(VLOOKUP($B70,'[5]INSUMOS MARZO'!$A$2:$S$105,17,0),"")</f>
        <v>0</v>
      </c>
      <c r="BQ70" s="154">
        <f t="shared" si="21"/>
        <v>0</v>
      </c>
      <c r="BR70" s="152" t="str">
        <f>IFERROR(VLOOKUP($B70,'PEDIDO JULIO'!$A$10:$AG$200,29,0),"0")</f>
        <v>0</v>
      </c>
      <c r="BS70" s="153">
        <f>IFERROR(VLOOKUP($B70,'[5]INSUMOS MARZO'!$A$2:$S$105,17,0),"")</f>
        <v>0</v>
      </c>
      <c r="BT70" s="155">
        <f t="shared" si="22"/>
        <v>0</v>
      </c>
      <c r="BU70" s="152" t="str">
        <f>IFERROR(VLOOKUP($B70,'PEDIDO JULIO'!$A$10:$AG$200,30,0),"0")</f>
        <v>0</v>
      </c>
      <c r="BV70" s="153">
        <f>IFERROR(VLOOKUP($B70,'[5]INSUMOS MARZO'!$A$2:$S$105,17,0),"")</f>
        <v>0</v>
      </c>
      <c r="BW70" s="155">
        <f t="shared" si="23"/>
        <v>0</v>
      </c>
      <c r="BX70" s="152" t="str">
        <f>IFERROR(VLOOKUP($B70,'PEDIDO JULIO'!$A$10:$AG$200,31,0),"0")</f>
        <v>0</v>
      </c>
      <c r="BY70" s="153">
        <f>IFERROR(VLOOKUP($B70,'[5]INSUMOS MARZO'!$A$2:$S$105,17,0),"")</f>
        <v>0</v>
      </c>
      <c r="BZ70" s="155">
        <f t="shared" si="24"/>
        <v>0</v>
      </c>
      <c r="CA70" s="152" t="str">
        <f>IFERROR(VLOOKUP($B70,'PEDIDO JULIO'!$A$10:$AG$200,32,0),"0")</f>
        <v>0</v>
      </c>
      <c r="CB70" s="153">
        <f>IFERROR(VLOOKUP($B70,'[5]INSUMOS MARZO'!$A$2:$S$105,17,0),"")</f>
        <v>0</v>
      </c>
      <c r="CC70" s="155">
        <f t="shared" si="25"/>
        <v>0</v>
      </c>
      <c r="CD70" s="157">
        <f t="shared" ref="CD70:CD109" si="38">IFERROR((G70+J70+M70+P70+S70+V70+Y70+AB70+AE70+AH70+AK70+AN70+AQ70+AT70+AW70+AZ70+BC70+BF70+BI70+BL70+BO70+BR70+BU70+BX70+CA70),"")</f>
        <v>0</v>
      </c>
      <c r="CE70" s="158">
        <f t="shared" si="27"/>
        <v>0</v>
      </c>
      <c r="CF70" s="251">
        <f>IFERROR(VLOOKUP($B70,'MATRIZ INSUMOS '!$A$3:$P$106,16,0),"")</f>
        <v>0</v>
      </c>
      <c r="CG70" s="153">
        <f>IFERROR(VLOOKUP($B70,'[5]INSUMOS MARZO'!$A$2:$S$105,17,0),"")</f>
        <v>0</v>
      </c>
      <c r="CH70" s="156">
        <f t="shared" si="28"/>
        <v>0</v>
      </c>
      <c r="CI70" s="251">
        <f>IFERROR(VLOOKUP($B70,'MATRIZ INSUMOS '!$A$3:$P$106,10,0),"")</f>
        <v>0</v>
      </c>
      <c r="CJ70" s="156">
        <f>IFERROR(VLOOKUP($B70,'[5]INSUMOS MARZO'!$A$2:$S$105,14,0),"")</f>
        <v>9503.4573</v>
      </c>
      <c r="CK70" s="159">
        <f t="shared" si="29"/>
        <v>0</v>
      </c>
      <c r="CL70" s="160">
        <f t="shared" si="30"/>
        <v>0</v>
      </c>
      <c r="CM70" s="14">
        <f t="shared" si="31"/>
        <v>0</v>
      </c>
      <c r="CN70" s="14">
        <f t="shared" si="32"/>
        <v>0</v>
      </c>
      <c r="CO70" s="14">
        <f t="shared" si="33"/>
        <v>0</v>
      </c>
      <c r="CQ70" s="19">
        <f t="shared" si="34"/>
        <v>0</v>
      </c>
      <c r="CR70" s="19" t="b">
        <f t="shared" si="35"/>
        <v>1</v>
      </c>
      <c r="CS70" s="19">
        <f t="shared" si="36"/>
        <v>0</v>
      </c>
    </row>
    <row r="71" spans="1:97" ht="16.5">
      <c r="A71" s="3">
        <v>66</v>
      </c>
      <c r="B71" s="151">
        <v>134</v>
      </c>
      <c r="C71" s="4" t="s">
        <v>85</v>
      </c>
      <c r="D71" s="152">
        <f>IFERROR(VLOOKUP($B71,'[4]INSUMOS FEBRERO'!$A$2:$F$105,5,0),"")</f>
        <v>34</v>
      </c>
      <c r="E71" s="152" t="str">
        <f>IFERROR(VLOOKUP($B71,'PEDIDO JULIO'!$A$10:$AG$32,33,0),"0")</f>
        <v>0</v>
      </c>
      <c r="F71" s="152">
        <f t="shared" ref="F71:F109" si="39">+E71-D71</f>
        <v>-34</v>
      </c>
      <c r="G71" s="152" t="str">
        <f>IFERROR(VLOOKUP($B71,'PEDIDO JULIO'!$A$10:$AG$200,8,0),"0")</f>
        <v>0</v>
      </c>
      <c r="H71" s="153">
        <f>IFERROR(VLOOKUP($B71,'[5]INSUMOS MARZO'!$A$2:$S$105,17,0),"")</f>
        <v>0</v>
      </c>
      <c r="I71" s="154">
        <f t="shared" si="37"/>
        <v>0</v>
      </c>
      <c r="J71" s="152" t="str">
        <f>IFERROR(VLOOKUP($B71,'PEDIDO JULIO'!$A$10:$AG$200,9,0),"0")</f>
        <v>0</v>
      </c>
      <c r="K71" s="153">
        <f>IFERROR(VLOOKUP($B71,'[5]INSUMOS MARZO'!$A$2:$S$105,17,0),"")</f>
        <v>0</v>
      </c>
      <c r="L71" s="155">
        <f t="shared" ref="L71:L109" si="40">+J71*K71</f>
        <v>0</v>
      </c>
      <c r="M71" s="152" t="str">
        <f>IFERROR(VLOOKUP($B71,'PEDIDO JULIO'!$A$10:$AG$200,10,0),"0")</f>
        <v>0</v>
      </c>
      <c r="N71" s="153">
        <f>IFERROR(VLOOKUP($B71,'[5]INSUMOS MARZO'!$A$2:$S$105,17,0),"")</f>
        <v>0</v>
      </c>
      <c r="O71" s="154">
        <f t="shared" ref="O71:O109" si="41">M71*N71</f>
        <v>0</v>
      </c>
      <c r="P71" s="152" t="str">
        <f>IFERROR(VLOOKUP($B71,'PEDIDO JULIO'!$A$10:$AG$200,11,0),"0")</f>
        <v>0</v>
      </c>
      <c r="Q71" s="153">
        <f>IFERROR(VLOOKUP($B71,'[5]INSUMOS MARZO'!$A$2:$S$105,17,0),"")</f>
        <v>0</v>
      </c>
      <c r="R71" s="154">
        <f t="shared" ref="R71:R109" si="42">P71*Q71</f>
        <v>0</v>
      </c>
      <c r="S71" s="152" t="str">
        <f>IFERROR(VLOOKUP($B71,'PEDIDO JULIO'!$A$10:$AG$200,12,0),"0")</f>
        <v>0</v>
      </c>
      <c r="T71" s="153">
        <f>IFERROR(VLOOKUP($B71,'[5]INSUMOS MARZO'!$A$2:$S$105,17,0),"")</f>
        <v>0</v>
      </c>
      <c r="U71" s="154">
        <f t="shared" ref="U71:U109" si="43">S71*T71</f>
        <v>0</v>
      </c>
      <c r="V71" s="152" t="str">
        <f>IFERROR(VLOOKUP($B71,'PEDIDO JULIO'!$A$10:$AG$200,13,0),"0")</f>
        <v>0</v>
      </c>
      <c r="W71" s="153">
        <f>IFERROR(VLOOKUP($B71,'[5]INSUMOS MARZO'!$A$2:$S$105,17,0),"")</f>
        <v>0</v>
      </c>
      <c r="X71" s="154">
        <f t="shared" ref="X71:X109" si="44">V71*W71</f>
        <v>0</v>
      </c>
      <c r="Y71" s="152" t="str">
        <f>IFERROR(VLOOKUP($B71,'PEDIDO JULIO'!$A$10:$AG$200,14,0),"0")</f>
        <v>0</v>
      </c>
      <c r="Z71" s="153">
        <f>IFERROR(VLOOKUP($B71,'[5]INSUMOS MARZO'!$A$2:$S$105,17,0),"")</f>
        <v>0</v>
      </c>
      <c r="AA71" s="154">
        <f t="shared" ref="AA71:AA109" si="45">Y71*Z71</f>
        <v>0</v>
      </c>
      <c r="AB71" s="152" t="str">
        <f>IFERROR(VLOOKUP($B71,'PEDIDO JULIO'!$A$10:$AG$200,15,0),"0")</f>
        <v>0</v>
      </c>
      <c r="AC71" s="153">
        <f>IFERROR(VLOOKUP($B71,'[5]INSUMOS MARZO'!$A$2:$S$105,17,0),"")</f>
        <v>0</v>
      </c>
      <c r="AD71" s="154">
        <f t="shared" ref="AD71:AD109" si="46">AB71*AC71</f>
        <v>0</v>
      </c>
      <c r="AE71" s="152" t="str">
        <f>IFERROR(VLOOKUP($B71,'PEDIDO JULIO'!$A$10:$AG$200,16,0),"0")</f>
        <v>0</v>
      </c>
      <c r="AF71" s="153">
        <f>IFERROR(VLOOKUP($B71,'[5]INSUMOS MARZO'!$A$2:$S$105,17,0),"")</f>
        <v>0</v>
      </c>
      <c r="AG71" s="154">
        <f t="shared" ref="AG71:AG109" si="47">AE71*AF71</f>
        <v>0</v>
      </c>
      <c r="AH71" s="152" t="str">
        <f>IFERROR(VLOOKUP($B71,'PEDIDO JULIO'!$A$10:$AG$200,17,0),"0")</f>
        <v>0</v>
      </c>
      <c r="AI71" s="153">
        <f>IFERROR(VLOOKUP($B71,'[5]INSUMOS MARZO'!$A$2:$S$105,17,0),"")</f>
        <v>0</v>
      </c>
      <c r="AJ71" s="154">
        <f t="shared" ref="AJ71:AJ109" si="48">AH71*AI71</f>
        <v>0</v>
      </c>
      <c r="AK71" s="152" t="str">
        <f>IFERROR(VLOOKUP($B71,'PEDIDO JULIO'!$A$10:$AG$200,18,0),"0")</f>
        <v>0</v>
      </c>
      <c r="AL71" s="153">
        <f>IFERROR(VLOOKUP($B71,'[5]INSUMOS MARZO'!$A$2:$S$105,17,0),"")</f>
        <v>0</v>
      </c>
      <c r="AM71" s="154">
        <f t="shared" ref="AM71:AM109" si="49">AK71*AL71</f>
        <v>0</v>
      </c>
      <c r="AN71" s="152" t="str">
        <f>IFERROR(VLOOKUP($B71,'PEDIDO JULIO'!$A$10:$AG$200,19,0),"0")</f>
        <v>0</v>
      </c>
      <c r="AO71" s="153">
        <f>IFERROR(VLOOKUP($B71,'[5]INSUMOS MARZO'!$A$2:$S$105,17,0),"")</f>
        <v>0</v>
      </c>
      <c r="AP71" s="154">
        <f t="shared" ref="AP71:AP109" si="50">AN71*AO71</f>
        <v>0</v>
      </c>
      <c r="AQ71" s="152" t="str">
        <f>IFERROR(VLOOKUP($B71,'PEDIDO JULIO'!$A$10:$AG$200,20,0),"0")</f>
        <v>0</v>
      </c>
      <c r="AR71" s="153">
        <f>IFERROR(VLOOKUP($B71,'[5]INSUMOS MARZO'!$A$2:$S$105,17,0),"")</f>
        <v>0</v>
      </c>
      <c r="AS71" s="154">
        <f t="shared" ref="AS71:AS109" si="51">AQ71*AR71</f>
        <v>0</v>
      </c>
      <c r="AT71" s="152" t="str">
        <f>IFERROR(VLOOKUP($B71,'PEDIDO JULIO'!$A$10:$AG$200,21,0),"0")</f>
        <v>0</v>
      </c>
      <c r="AU71" s="156">
        <f>IFERROR(VLOOKUP($B71,'[5]INSUMOS MARZO'!$A$2:$S$105,14,0),"")</f>
        <v>4577.2101000000002</v>
      </c>
      <c r="AV71" s="154">
        <f t="shared" ref="AV71:AV109" si="52">AT71*AU71</f>
        <v>0</v>
      </c>
      <c r="AW71" s="152" t="str">
        <f>IFERROR(VLOOKUP($B71,'PEDIDO JULIO'!$A$10:$AG$200,22,0),"0")</f>
        <v>0</v>
      </c>
      <c r="AX71" s="153">
        <f>IFERROR(VLOOKUP($B71,'[5]INSUMOS MARZO'!$A$2:$S$105,17,0),"")</f>
        <v>0</v>
      </c>
      <c r="AY71" s="154">
        <f t="shared" ref="AY71:AY109" si="53">AW71*AX71</f>
        <v>0</v>
      </c>
      <c r="AZ71" s="152" t="str">
        <f>IFERROR(VLOOKUP($B71,'PEDIDO JULIO'!$A$10:$AG$200,23,0),"0")</f>
        <v>0</v>
      </c>
      <c r="BA71" s="153">
        <f>IFERROR(VLOOKUP($B71,'[5]INSUMOS MARZO'!$A$2:$S$105,17,0),"")</f>
        <v>0</v>
      </c>
      <c r="BB71" s="154">
        <f t="shared" ref="BB71:BB109" si="54">AZ71*BA71</f>
        <v>0</v>
      </c>
      <c r="BC71" s="152" t="str">
        <f>IFERROR(VLOOKUP($B71,'PEDIDO JULIO'!$A$10:$AG$200,24,0),"0")</f>
        <v>0</v>
      </c>
      <c r="BD71" s="153">
        <f>IFERROR(VLOOKUP($B71,'[5]INSUMOS MARZO'!$A$2:$S$105,17,0),"")</f>
        <v>0</v>
      </c>
      <c r="BE71" s="155">
        <f t="shared" ref="BE71:BE109" si="55">+BC71*BD71</f>
        <v>0</v>
      </c>
      <c r="BF71" s="152" t="str">
        <f>IFERROR(VLOOKUP($B71,'PEDIDO JULIO'!$A$10:$AG$200,25,0),"0")</f>
        <v>0</v>
      </c>
      <c r="BG71" s="153">
        <f>IFERROR(VLOOKUP($B71,'[5]INSUMOS MARZO'!$A$2:$S$105,17,0),"")</f>
        <v>0</v>
      </c>
      <c r="BH71" s="155">
        <f t="shared" ref="BH71:BH109" si="56">+BF71*BG71</f>
        <v>0</v>
      </c>
      <c r="BI71" s="152" t="str">
        <f>IFERROR(VLOOKUP($B71,'PEDIDO JULIO'!$A$10:$AG$200,26,0),"0")</f>
        <v>0</v>
      </c>
      <c r="BJ71" s="153">
        <f>IFERROR(VLOOKUP($B71,'[5]INSUMOS MARZO'!$A$2:$S$105,17,0),"")</f>
        <v>0</v>
      </c>
      <c r="BK71" s="154">
        <f t="shared" ref="BK71:BK109" si="57">BI71*BJ71</f>
        <v>0</v>
      </c>
      <c r="BL71" s="152" t="str">
        <f>IFERROR(VLOOKUP($B71,'PEDIDO JULIO'!$A$10:$AG$200,27,0),"0")</f>
        <v>0</v>
      </c>
      <c r="BM71" s="153">
        <f>IFERROR(VLOOKUP($B71,'[5]INSUMOS MARZO'!$A$2:$S$105,17,0),"")</f>
        <v>0</v>
      </c>
      <c r="BN71" s="154">
        <f t="shared" ref="BN71:BN109" si="58">BL71*BM71</f>
        <v>0</v>
      </c>
      <c r="BO71" s="152" t="str">
        <f>IFERROR(VLOOKUP($B71,'PEDIDO JULIO'!$A$10:$AG$200,28,0),"0")</f>
        <v>0</v>
      </c>
      <c r="BP71" s="153">
        <f>IFERROR(VLOOKUP($B71,'[5]INSUMOS MARZO'!$A$2:$S$105,17,0),"")</f>
        <v>0</v>
      </c>
      <c r="BQ71" s="154">
        <f t="shared" ref="BQ71:BQ109" si="59">BO71*BP71</f>
        <v>0</v>
      </c>
      <c r="BR71" s="152" t="str">
        <f>IFERROR(VLOOKUP($B71,'PEDIDO JULIO'!$A$10:$AG$200,29,0),"0")</f>
        <v>0</v>
      </c>
      <c r="BS71" s="153">
        <f>IFERROR(VLOOKUP($B71,'[5]INSUMOS MARZO'!$A$2:$S$105,17,0),"")</f>
        <v>0</v>
      </c>
      <c r="BT71" s="155">
        <f t="shared" ref="BT71:BT109" si="60">+BR71*BS71</f>
        <v>0</v>
      </c>
      <c r="BU71" s="152" t="str">
        <f>IFERROR(VLOOKUP($B71,'PEDIDO JULIO'!$A$10:$AG$200,30,0),"0")</f>
        <v>0</v>
      </c>
      <c r="BV71" s="153">
        <f>IFERROR(VLOOKUP($B71,'[5]INSUMOS MARZO'!$A$2:$S$105,17,0),"")</f>
        <v>0</v>
      </c>
      <c r="BW71" s="155">
        <f t="shared" ref="BW71:BW109" si="61">+BU71*BV71</f>
        <v>0</v>
      </c>
      <c r="BX71" s="152" t="str">
        <f>IFERROR(VLOOKUP($B71,'PEDIDO JULIO'!$A$10:$AG$200,31,0),"0")</f>
        <v>0</v>
      </c>
      <c r="BY71" s="153">
        <f>IFERROR(VLOOKUP($B71,'[5]INSUMOS MARZO'!$A$2:$S$105,17,0),"")</f>
        <v>0</v>
      </c>
      <c r="BZ71" s="155">
        <f t="shared" ref="BZ71:BZ109" si="62">+BX71*BY71</f>
        <v>0</v>
      </c>
      <c r="CA71" s="152" t="str">
        <f>IFERROR(VLOOKUP($B71,'PEDIDO JULIO'!$A$10:$AG$200,32,0),"0")</f>
        <v>0</v>
      </c>
      <c r="CB71" s="153">
        <f>IFERROR(VLOOKUP($B71,'[5]INSUMOS MARZO'!$A$2:$S$105,17,0),"")</f>
        <v>0</v>
      </c>
      <c r="CC71" s="155">
        <f t="shared" ref="CC71:CC109" si="63">+CA71*CB71</f>
        <v>0</v>
      </c>
      <c r="CD71" s="157">
        <f t="shared" si="38"/>
        <v>0</v>
      </c>
      <c r="CE71" s="158">
        <f t="shared" ref="CE71:CE109" si="64">+CD71-E71</f>
        <v>0</v>
      </c>
      <c r="CF71" s="251">
        <f>IFERROR(VLOOKUP($B71,'MATRIZ INSUMOS '!$A$3:$P$106,16,0),"")</f>
        <v>0</v>
      </c>
      <c r="CG71" s="153">
        <f>IFERROR(VLOOKUP($B71,'[5]INSUMOS MARZO'!$A$2:$S$105,17,0),"")</f>
        <v>0</v>
      </c>
      <c r="CH71" s="156">
        <f t="shared" ref="CH71:CH109" si="65">CF71*CG71</f>
        <v>0</v>
      </c>
      <c r="CI71" s="251">
        <f>IFERROR(VLOOKUP($B71,'MATRIZ INSUMOS '!$A$3:$P$106,10,0),"")</f>
        <v>0</v>
      </c>
      <c r="CJ71" s="156">
        <f>IFERROR(VLOOKUP($B71,'[5]INSUMOS MARZO'!$A$2:$S$105,14,0),"")</f>
        <v>4577.2101000000002</v>
      </c>
      <c r="CK71" s="159">
        <f t="shared" ref="CK71:CK109" si="66">+CI71*CJ71</f>
        <v>0</v>
      </c>
      <c r="CL71" s="160">
        <f t="shared" ref="CL71:CL109" si="67">+L71+BE71+BH71+BT71+BW71+BZ71+CC71+I71+O71+R71+U71+X71+AA71+AD71+AG71+AJ71+AM71+AP71+AS71+AV71+AY71+BB71+BK71+BN71+BQ71</f>
        <v>0</v>
      </c>
      <c r="CM71" s="14">
        <f t="shared" ref="CM71:CM109" si="68">+CL71*10%</f>
        <v>0</v>
      </c>
      <c r="CN71" s="14">
        <f t="shared" ref="CN71:CN109" si="69">+CM71*19%</f>
        <v>0</v>
      </c>
      <c r="CO71" s="14">
        <f t="shared" ref="CO71:CO109" si="70">SUM(CL71:CN71)</f>
        <v>0</v>
      </c>
      <c r="CQ71" s="19">
        <f t="shared" ref="CQ71:CQ109" si="71">+CH71+CK71</f>
        <v>0</v>
      </c>
      <c r="CR71" s="19" t="b">
        <f t="shared" ref="CR71:CR109" si="72">CQ71=CL71</f>
        <v>1</v>
      </c>
      <c r="CS71" s="19">
        <f t="shared" ref="CS71:CS109" si="73">+CQ71-CL71</f>
        <v>0</v>
      </c>
    </row>
    <row r="72" spans="1:97" ht="16.5">
      <c r="A72" s="3">
        <v>67</v>
      </c>
      <c r="B72" s="151">
        <v>135</v>
      </c>
      <c r="C72" s="4" t="s">
        <v>86</v>
      </c>
      <c r="D72" s="152">
        <f>IFERROR(VLOOKUP($B72,'[4]INSUMOS FEBRERO'!$A$2:$F$105,5,0),"")</f>
        <v>6</v>
      </c>
      <c r="E72" s="152" t="str">
        <f>IFERROR(VLOOKUP($B72,'PEDIDO JULIO'!$A$10:$AG$32,33,0),"0")</f>
        <v>0</v>
      </c>
      <c r="F72" s="152">
        <f t="shared" si="39"/>
        <v>-6</v>
      </c>
      <c r="G72" s="152">
        <f>IFERROR(VLOOKUP($B72,'PEDIDO JULIO'!$A$10:$AG$200,8,0),"0")</f>
        <v>0</v>
      </c>
      <c r="H72" s="153">
        <f>IFERROR(VLOOKUP($B72,'[5]INSUMOS MARZO'!$A$2:$S$105,17,0),"")</f>
        <v>6229.277</v>
      </c>
      <c r="I72" s="154">
        <f t="shared" si="37"/>
        <v>0</v>
      </c>
      <c r="J72" s="152">
        <f>IFERROR(VLOOKUP($B72,'PEDIDO JULIO'!$A$10:$AG$200,9,0),"0")</f>
        <v>0</v>
      </c>
      <c r="K72" s="153">
        <f>IFERROR(VLOOKUP($B72,'[5]INSUMOS MARZO'!$A$2:$S$105,17,0),"")</f>
        <v>6229.277</v>
      </c>
      <c r="L72" s="155">
        <f t="shared" si="40"/>
        <v>0</v>
      </c>
      <c r="M72" s="152">
        <f>IFERROR(VLOOKUP($B72,'PEDIDO JULIO'!$A$10:$AG$200,10,0),"0")</f>
        <v>0</v>
      </c>
      <c r="N72" s="153">
        <f>IFERROR(VLOOKUP($B72,'[5]INSUMOS MARZO'!$A$2:$S$105,17,0),"")</f>
        <v>6229.277</v>
      </c>
      <c r="O72" s="154">
        <f t="shared" si="41"/>
        <v>0</v>
      </c>
      <c r="P72" s="152">
        <f>IFERROR(VLOOKUP($B72,'PEDIDO JULIO'!$A$10:$AG$200,11,0),"0")</f>
        <v>0</v>
      </c>
      <c r="Q72" s="153">
        <f>IFERROR(VLOOKUP($B72,'[5]INSUMOS MARZO'!$A$2:$S$105,17,0),"")</f>
        <v>6229.277</v>
      </c>
      <c r="R72" s="154">
        <f t="shared" si="42"/>
        <v>0</v>
      </c>
      <c r="S72" s="152">
        <f>IFERROR(VLOOKUP($B72,'PEDIDO JULIO'!$A$10:$AG$200,12,0),"0")</f>
        <v>0</v>
      </c>
      <c r="T72" s="153">
        <f>IFERROR(VLOOKUP($B72,'[5]INSUMOS MARZO'!$A$2:$S$105,17,0),"")</f>
        <v>6229.277</v>
      </c>
      <c r="U72" s="154">
        <f t="shared" si="43"/>
        <v>0</v>
      </c>
      <c r="V72" s="152">
        <f>IFERROR(VLOOKUP($B72,'PEDIDO JULIO'!$A$10:$AG$200,13,0),"0")</f>
        <v>0</v>
      </c>
      <c r="W72" s="153">
        <f>IFERROR(VLOOKUP($B72,'[5]INSUMOS MARZO'!$A$2:$S$105,17,0),"")</f>
        <v>6229.277</v>
      </c>
      <c r="X72" s="154">
        <f t="shared" si="44"/>
        <v>0</v>
      </c>
      <c r="Y72" s="152">
        <f>IFERROR(VLOOKUP($B72,'PEDIDO JULIO'!$A$10:$AG$200,14,0),"0")</f>
        <v>9</v>
      </c>
      <c r="Z72" s="156">
        <f>IFERROR(VLOOKUP($B72,'[5]INSUMOS MARZO'!$A$2:$S$105,14,0),"")</f>
        <v>17215.38</v>
      </c>
      <c r="AA72" s="154">
        <f t="shared" si="45"/>
        <v>154938.42000000001</v>
      </c>
      <c r="AB72" s="152">
        <f>IFERROR(VLOOKUP($B72,'PEDIDO JULIO'!$A$10:$AG$200,15,0),"0")</f>
        <v>0</v>
      </c>
      <c r="AC72" s="153">
        <f>IFERROR(VLOOKUP($B72,'[5]INSUMOS MARZO'!$A$2:$S$105,17,0),"")</f>
        <v>6229.277</v>
      </c>
      <c r="AD72" s="154">
        <f t="shared" si="46"/>
        <v>0</v>
      </c>
      <c r="AE72" s="152">
        <f>IFERROR(VLOOKUP($B72,'PEDIDO JULIO'!$A$10:$AG$200,16,0),"0")</f>
        <v>0</v>
      </c>
      <c r="AF72" s="153">
        <f>IFERROR(VLOOKUP($B72,'[5]INSUMOS MARZO'!$A$2:$S$105,17,0),"")</f>
        <v>6229.277</v>
      </c>
      <c r="AG72" s="154">
        <f t="shared" si="47"/>
        <v>0</v>
      </c>
      <c r="AH72" s="152">
        <f>IFERROR(VLOOKUP($B72,'PEDIDO JULIO'!$A$10:$AG$200,17,0),"0")</f>
        <v>0</v>
      </c>
      <c r="AI72" s="153">
        <f>IFERROR(VLOOKUP($B72,'[5]INSUMOS MARZO'!$A$2:$S$105,17,0),"")</f>
        <v>6229.277</v>
      </c>
      <c r="AJ72" s="154">
        <f t="shared" si="48"/>
        <v>0</v>
      </c>
      <c r="AK72" s="152">
        <f>IFERROR(VLOOKUP($B72,'PEDIDO JULIO'!$A$10:$AG$200,18,0),"0")</f>
        <v>0</v>
      </c>
      <c r="AL72" s="153">
        <f>IFERROR(VLOOKUP($B72,'[5]INSUMOS MARZO'!$A$2:$S$105,17,0),"")</f>
        <v>6229.277</v>
      </c>
      <c r="AM72" s="154">
        <f t="shared" si="49"/>
        <v>0</v>
      </c>
      <c r="AN72" s="152">
        <f>IFERROR(VLOOKUP($B72,'PEDIDO JULIO'!$A$10:$AG$200,19,0),"0")</f>
        <v>0</v>
      </c>
      <c r="AO72" s="153">
        <f>IFERROR(VLOOKUP($B72,'[5]INSUMOS MARZO'!$A$2:$S$105,17,0),"")</f>
        <v>6229.277</v>
      </c>
      <c r="AP72" s="154">
        <f t="shared" si="50"/>
        <v>0</v>
      </c>
      <c r="AQ72" s="152">
        <f>IFERROR(VLOOKUP($B72,'PEDIDO JULIO'!$A$10:$AG$200,20,0),"0")</f>
        <v>0</v>
      </c>
      <c r="AR72" s="153">
        <f>IFERROR(VLOOKUP($B72,'[5]INSUMOS MARZO'!$A$2:$S$105,17,0),"")</f>
        <v>6229.277</v>
      </c>
      <c r="AS72" s="154">
        <f t="shared" si="51"/>
        <v>0</v>
      </c>
      <c r="AT72" s="152">
        <f>IFERROR(VLOOKUP($B72,'PEDIDO JULIO'!$A$10:$AG$200,21,0),"0")</f>
        <v>0</v>
      </c>
      <c r="AU72" s="156">
        <f>IFERROR(VLOOKUP($B72,'[5]INSUMOS MARZO'!$A$2:$S$105,14,0),"")</f>
        <v>17215.38</v>
      </c>
      <c r="AV72" s="154">
        <f t="shared" si="52"/>
        <v>0</v>
      </c>
      <c r="AW72" s="152">
        <f>IFERROR(VLOOKUP($B72,'PEDIDO JULIO'!$A$10:$AG$200,22,0),"0")</f>
        <v>0</v>
      </c>
      <c r="AX72" s="153">
        <f>IFERROR(VLOOKUP($B72,'[5]INSUMOS MARZO'!$A$2:$S$105,17,0),"")</f>
        <v>6229.277</v>
      </c>
      <c r="AY72" s="154">
        <f t="shared" si="53"/>
        <v>0</v>
      </c>
      <c r="AZ72" s="152">
        <f>IFERROR(VLOOKUP($B72,'PEDIDO JULIO'!$A$10:$AG$200,23,0),"0")</f>
        <v>0</v>
      </c>
      <c r="BA72" s="153">
        <f>IFERROR(VLOOKUP($B72,'[5]INSUMOS MARZO'!$A$2:$S$105,17,0),"")</f>
        <v>6229.277</v>
      </c>
      <c r="BB72" s="154">
        <f t="shared" si="54"/>
        <v>0</v>
      </c>
      <c r="BC72" s="152">
        <f>IFERROR(VLOOKUP($B72,'PEDIDO JULIO'!$A$10:$AG$200,24,0),"0")</f>
        <v>0</v>
      </c>
      <c r="BD72" s="153">
        <f>IFERROR(VLOOKUP($B72,'[5]INSUMOS MARZO'!$A$2:$S$105,17,0),"")</f>
        <v>6229.277</v>
      </c>
      <c r="BE72" s="155">
        <f t="shared" si="55"/>
        <v>0</v>
      </c>
      <c r="BF72" s="152">
        <f>IFERROR(VLOOKUP($B72,'PEDIDO JULIO'!$A$10:$AG$200,25,0),"0")</f>
        <v>0</v>
      </c>
      <c r="BG72" s="153">
        <f>IFERROR(VLOOKUP($B72,'[5]INSUMOS MARZO'!$A$2:$S$105,17,0),"")</f>
        <v>6229.277</v>
      </c>
      <c r="BH72" s="155">
        <f t="shared" si="56"/>
        <v>0</v>
      </c>
      <c r="BI72" s="152">
        <f>IFERROR(VLOOKUP($B72,'PEDIDO JULIO'!$A$10:$AG$200,26,0),"0")</f>
        <v>0</v>
      </c>
      <c r="BJ72" s="153">
        <f>IFERROR(VLOOKUP($B72,'[5]INSUMOS MARZO'!$A$2:$S$105,17,0),"")</f>
        <v>6229.277</v>
      </c>
      <c r="BK72" s="154">
        <f t="shared" si="57"/>
        <v>0</v>
      </c>
      <c r="BL72" s="152">
        <f>IFERROR(VLOOKUP($B72,'PEDIDO JULIO'!$A$10:$AG$200,27,0),"0")</f>
        <v>0</v>
      </c>
      <c r="BM72" s="153">
        <f>IFERROR(VLOOKUP($B72,'[5]INSUMOS MARZO'!$A$2:$S$105,17,0),"")</f>
        <v>6229.277</v>
      </c>
      <c r="BN72" s="154">
        <f t="shared" si="58"/>
        <v>0</v>
      </c>
      <c r="BO72" s="152">
        <f>IFERROR(VLOOKUP($B72,'PEDIDO JULIO'!$A$10:$AG$200,28,0),"0")</f>
        <v>0</v>
      </c>
      <c r="BP72" s="153">
        <f>IFERROR(VLOOKUP($B72,'[5]INSUMOS MARZO'!$A$2:$S$105,17,0),"")</f>
        <v>6229.277</v>
      </c>
      <c r="BQ72" s="154">
        <f t="shared" si="59"/>
        <v>0</v>
      </c>
      <c r="BR72" s="152">
        <f>IFERROR(VLOOKUP($B72,'PEDIDO JULIO'!$A$10:$AG$200,29,0),"0")</f>
        <v>0</v>
      </c>
      <c r="BS72" s="153">
        <f>IFERROR(VLOOKUP($B72,'[5]INSUMOS MARZO'!$A$2:$S$105,17,0),"")</f>
        <v>6229.277</v>
      </c>
      <c r="BT72" s="155">
        <f t="shared" si="60"/>
        <v>0</v>
      </c>
      <c r="BU72" s="152">
        <f>IFERROR(VLOOKUP($B72,'PEDIDO JULIO'!$A$10:$AG$200,30,0),"0")</f>
        <v>0</v>
      </c>
      <c r="BV72" s="153">
        <f>IFERROR(VLOOKUP($B72,'[5]INSUMOS MARZO'!$A$2:$S$105,17,0),"")</f>
        <v>6229.277</v>
      </c>
      <c r="BW72" s="155">
        <f t="shared" si="61"/>
        <v>0</v>
      </c>
      <c r="BX72" s="152">
        <f>IFERROR(VLOOKUP($B72,'PEDIDO JULIO'!$A$10:$AG$200,31,0),"0")</f>
        <v>0</v>
      </c>
      <c r="BY72" s="153">
        <f>IFERROR(VLOOKUP($B72,'[5]INSUMOS MARZO'!$A$2:$S$105,17,0),"")</f>
        <v>6229.277</v>
      </c>
      <c r="BZ72" s="155">
        <f t="shared" si="62"/>
        <v>0</v>
      </c>
      <c r="CA72" s="152">
        <f>IFERROR(VLOOKUP($B72,'PEDIDO JULIO'!$A$10:$AG$200,32,0),"0")</f>
        <v>0</v>
      </c>
      <c r="CB72" s="153">
        <f>IFERROR(VLOOKUP($B72,'[5]INSUMOS MARZO'!$A$2:$S$105,17,0),"")</f>
        <v>6229.277</v>
      </c>
      <c r="CC72" s="155">
        <f t="shared" si="63"/>
        <v>0</v>
      </c>
      <c r="CD72" s="157">
        <f t="shared" si="38"/>
        <v>9</v>
      </c>
      <c r="CE72" s="158">
        <f t="shared" si="64"/>
        <v>9</v>
      </c>
      <c r="CF72" s="251">
        <v>0</v>
      </c>
      <c r="CG72" s="153">
        <f>IFERROR(VLOOKUP($B72,'[5]INSUMOS MARZO'!$A$2:$S$105,17,0),"")</f>
        <v>6229.277</v>
      </c>
      <c r="CH72" s="156">
        <f t="shared" si="65"/>
        <v>0</v>
      </c>
      <c r="CI72" s="251">
        <v>9</v>
      </c>
      <c r="CJ72" s="156">
        <f>IFERROR(VLOOKUP($B72,'[5]INSUMOS MARZO'!$A$2:$S$105,14,0),"")</f>
        <v>17215.38</v>
      </c>
      <c r="CK72" s="159">
        <f t="shared" si="66"/>
        <v>154938.42000000001</v>
      </c>
      <c r="CL72" s="160">
        <f t="shared" si="67"/>
        <v>154938.42000000001</v>
      </c>
      <c r="CM72" s="14">
        <f t="shared" si="68"/>
        <v>15493.842000000002</v>
      </c>
      <c r="CN72" s="14">
        <f t="shared" si="69"/>
        <v>2943.8299800000004</v>
      </c>
      <c r="CO72" s="14">
        <f t="shared" si="70"/>
        <v>173376.09198000003</v>
      </c>
      <c r="CQ72" s="19">
        <f t="shared" si="71"/>
        <v>154938.42000000001</v>
      </c>
      <c r="CR72" s="19" t="b">
        <f t="shared" si="72"/>
        <v>1</v>
      </c>
      <c r="CS72" s="19">
        <f t="shared" si="73"/>
        <v>0</v>
      </c>
    </row>
    <row r="73" spans="1:97" ht="16.5">
      <c r="A73" s="3">
        <v>68</v>
      </c>
      <c r="B73" s="151">
        <v>137</v>
      </c>
      <c r="C73" s="4" t="s">
        <v>88</v>
      </c>
      <c r="D73" s="152">
        <f>IFERROR(VLOOKUP($B73,'[4]INSUMOS FEBRERO'!$A$2:$F$105,5,0),"")</f>
        <v>10</v>
      </c>
      <c r="E73" s="152" t="str">
        <f>IFERROR(VLOOKUP($B73,'PEDIDO JULIO'!$A$10:$AG$32,33,0),"0")</f>
        <v>0</v>
      </c>
      <c r="F73" s="152">
        <f t="shared" si="39"/>
        <v>-10</v>
      </c>
      <c r="G73" s="152" t="str">
        <f>IFERROR(VLOOKUP($B73,'PEDIDO JULIO'!$A$10:$AG$200,8,0),"0")</f>
        <v>0</v>
      </c>
      <c r="H73" s="153">
        <f>IFERROR(VLOOKUP($B73,'[5]INSUMOS MARZO'!$A$2:$S$105,17,0),"")</f>
        <v>1245.4349999999999</v>
      </c>
      <c r="I73" s="154">
        <f t="shared" si="37"/>
        <v>0</v>
      </c>
      <c r="J73" s="152" t="str">
        <f>IFERROR(VLOOKUP($B73,'PEDIDO JULIO'!$A$10:$AG$200,9,0),"0")</f>
        <v>0</v>
      </c>
      <c r="K73" s="153"/>
      <c r="L73" s="155">
        <f t="shared" si="40"/>
        <v>0</v>
      </c>
      <c r="M73" s="152" t="str">
        <f>IFERROR(VLOOKUP($B73,'PEDIDO JULIO'!$A$10:$AG$200,10,0),"0")</f>
        <v>0</v>
      </c>
      <c r="N73" s="153">
        <f>IFERROR(VLOOKUP($B73,'[5]INSUMOS MARZO'!$A$2:$S$105,17,0),"")</f>
        <v>1245.4349999999999</v>
      </c>
      <c r="O73" s="154">
        <f t="shared" si="41"/>
        <v>0</v>
      </c>
      <c r="P73" s="152" t="str">
        <f>IFERROR(VLOOKUP($B73,'PEDIDO JULIO'!$A$10:$AG$200,11,0),"0")</f>
        <v>0</v>
      </c>
      <c r="Q73" s="153">
        <f>IFERROR(VLOOKUP($B73,'[5]INSUMOS MARZO'!$A$2:$S$105,17,0),"")</f>
        <v>1245.4349999999999</v>
      </c>
      <c r="R73" s="154">
        <f t="shared" si="42"/>
        <v>0</v>
      </c>
      <c r="S73" s="152" t="str">
        <f>IFERROR(VLOOKUP($B73,'PEDIDO JULIO'!$A$10:$AG$200,12,0),"0")</f>
        <v>0</v>
      </c>
      <c r="T73" s="153">
        <f>IFERROR(VLOOKUP($B73,'[5]INSUMOS MARZO'!$A$2:$S$105,17,0),"")</f>
        <v>1245.4349999999999</v>
      </c>
      <c r="U73" s="154">
        <f t="shared" si="43"/>
        <v>0</v>
      </c>
      <c r="V73" s="152" t="str">
        <f>IFERROR(VLOOKUP($B73,'PEDIDO JULIO'!$A$10:$AG$200,13,0),"0")</f>
        <v>0</v>
      </c>
      <c r="W73" s="153">
        <f>IFERROR(VLOOKUP($B73,'[5]INSUMOS MARZO'!$A$2:$S$105,17,0),"")</f>
        <v>1245.4349999999999</v>
      </c>
      <c r="X73" s="154">
        <f t="shared" si="44"/>
        <v>0</v>
      </c>
      <c r="Y73" s="152" t="str">
        <f>IFERROR(VLOOKUP($B73,'PEDIDO JULIO'!$A$10:$AG$200,14,0),"0")</f>
        <v>0</v>
      </c>
      <c r="Z73" s="153">
        <f>IFERROR(VLOOKUP($B73,'[5]INSUMOS MARZO'!$A$2:$S$105,17,0),"")</f>
        <v>1245.4349999999999</v>
      </c>
      <c r="AA73" s="154">
        <f t="shared" si="45"/>
        <v>0</v>
      </c>
      <c r="AB73" s="152" t="str">
        <f>IFERROR(VLOOKUP($B73,'PEDIDO JULIO'!$A$10:$AG$200,15,0),"0")</f>
        <v>0</v>
      </c>
      <c r="AC73" s="153">
        <f>IFERROR(VLOOKUP($B73,'[5]INSUMOS MARZO'!$A$2:$S$105,17,0),"")</f>
        <v>1245.4349999999999</v>
      </c>
      <c r="AD73" s="154">
        <f t="shared" si="46"/>
        <v>0</v>
      </c>
      <c r="AE73" s="152" t="str">
        <f>IFERROR(VLOOKUP($B73,'PEDIDO JULIO'!$A$10:$AG$200,16,0),"0")</f>
        <v>0</v>
      </c>
      <c r="AF73" s="153">
        <f>IFERROR(VLOOKUP($B73,'[5]INSUMOS MARZO'!$A$2:$S$105,17,0),"")</f>
        <v>1245.4349999999999</v>
      </c>
      <c r="AG73" s="154">
        <f t="shared" si="47"/>
        <v>0</v>
      </c>
      <c r="AH73" s="152" t="str">
        <f>IFERROR(VLOOKUP($B73,'PEDIDO JULIO'!$A$10:$AG$200,17,0),"0")</f>
        <v>0</v>
      </c>
      <c r="AI73" s="153">
        <f>IFERROR(VLOOKUP($B73,'[5]INSUMOS MARZO'!$A$2:$S$105,17,0),"")</f>
        <v>1245.4349999999999</v>
      </c>
      <c r="AJ73" s="154">
        <f t="shared" si="48"/>
        <v>0</v>
      </c>
      <c r="AK73" s="152" t="str">
        <f>IFERROR(VLOOKUP($B73,'PEDIDO JULIO'!$A$10:$AG$200,18,0),"0")</f>
        <v>0</v>
      </c>
      <c r="AL73" s="153">
        <f>IFERROR(VLOOKUP($B73,'[5]INSUMOS MARZO'!$A$2:$S$105,17,0),"")</f>
        <v>1245.4349999999999</v>
      </c>
      <c r="AM73" s="154">
        <f t="shared" si="49"/>
        <v>0</v>
      </c>
      <c r="AN73" s="152" t="str">
        <f>IFERROR(VLOOKUP($B73,'PEDIDO JULIO'!$A$10:$AG$200,19,0),"0")</f>
        <v>0</v>
      </c>
      <c r="AO73" s="153">
        <f>IFERROR(VLOOKUP($B73,'[5]INSUMOS MARZO'!$A$2:$S$105,17,0),"")</f>
        <v>1245.4349999999999</v>
      </c>
      <c r="AP73" s="154">
        <f t="shared" si="50"/>
        <v>0</v>
      </c>
      <c r="AQ73" s="152" t="str">
        <f>IFERROR(VLOOKUP($B73,'PEDIDO JULIO'!$A$10:$AG$200,20,0),"0")</f>
        <v>0</v>
      </c>
      <c r="AR73" s="153">
        <f>IFERROR(VLOOKUP($B73,'[5]INSUMOS MARZO'!$A$2:$S$105,17,0),"")</f>
        <v>1245.4349999999999</v>
      </c>
      <c r="AS73" s="154">
        <f t="shared" si="51"/>
        <v>0</v>
      </c>
      <c r="AT73" s="152" t="str">
        <f>IFERROR(VLOOKUP($B73,'PEDIDO JULIO'!$A$10:$AG$200,21,0),"0")</f>
        <v>0</v>
      </c>
      <c r="AU73" s="156">
        <f>IFERROR(VLOOKUP($B73,'[5]INSUMOS MARZO'!$A$2:$S$105,14,0),"")</f>
        <v>1542.7628999999999</v>
      </c>
      <c r="AV73" s="154">
        <f t="shared" si="52"/>
        <v>0</v>
      </c>
      <c r="AW73" s="152" t="str">
        <f>IFERROR(VLOOKUP($B73,'PEDIDO JULIO'!$A$10:$AG$200,22,0),"0")</f>
        <v>0</v>
      </c>
      <c r="AX73" s="153">
        <f>IFERROR(VLOOKUP($B73,'[5]INSUMOS MARZO'!$A$2:$S$105,17,0),"")</f>
        <v>1245.4349999999999</v>
      </c>
      <c r="AY73" s="154">
        <f t="shared" si="53"/>
        <v>0</v>
      </c>
      <c r="AZ73" s="152" t="str">
        <f>IFERROR(VLOOKUP($B73,'PEDIDO JULIO'!$A$10:$AG$200,23,0),"0")</f>
        <v>0</v>
      </c>
      <c r="BA73" s="153">
        <f>IFERROR(VLOOKUP($B73,'[5]INSUMOS MARZO'!$A$2:$S$105,17,0),"")</f>
        <v>1245.4349999999999</v>
      </c>
      <c r="BB73" s="154">
        <f t="shared" si="54"/>
        <v>0</v>
      </c>
      <c r="BC73" s="152" t="str">
        <f>IFERROR(VLOOKUP($B73,'PEDIDO JULIO'!$A$10:$AG$200,24,0),"0")</f>
        <v>0</v>
      </c>
      <c r="BD73" s="153">
        <f>IFERROR(VLOOKUP($B73,'[5]INSUMOS MARZO'!$A$2:$S$105,17,0),"")</f>
        <v>1245.4349999999999</v>
      </c>
      <c r="BE73" s="155">
        <f t="shared" si="55"/>
        <v>0</v>
      </c>
      <c r="BF73" s="152" t="str">
        <f>IFERROR(VLOOKUP($B73,'PEDIDO JULIO'!$A$10:$AG$200,25,0),"0")</f>
        <v>0</v>
      </c>
      <c r="BG73" s="153">
        <f>IFERROR(VLOOKUP($B73,'[5]INSUMOS MARZO'!$A$2:$S$105,17,0),"")</f>
        <v>1245.4349999999999</v>
      </c>
      <c r="BH73" s="155">
        <f t="shared" si="56"/>
        <v>0</v>
      </c>
      <c r="BI73" s="152" t="str">
        <f>IFERROR(VLOOKUP($B73,'PEDIDO JULIO'!$A$10:$AG$200,26,0),"0")</f>
        <v>0</v>
      </c>
      <c r="BJ73" s="153">
        <f>IFERROR(VLOOKUP($B73,'[5]INSUMOS MARZO'!$A$2:$S$105,17,0),"")</f>
        <v>1245.4349999999999</v>
      </c>
      <c r="BK73" s="154">
        <f t="shared" si="57"/>
        <v>0</v>
      </c>
      <c r="BL73" s="152" t="str">
        <f>IFERROR(VLOOKUP($B73,'PEDIDO JULIO'!$A$10:$AG$200,27,0),"0")</f>
        <v>0</v>
      </c>
      <c r="BM73" s="153">
        <f>IFERROR(VLOOKUP($B73,'[5]INSUMOS MARZO'!$A$2:$S$105,17,0),"")</f>
        <v>1245.4349999999999</v>
      </c>
      <c r="BN73" s="154">
        <f t="shared" si="58"/>
        <v>0</v>
      </c>
      <c r="BO73" s="152" t="str">
        <f>IFERROR(VLOOKUP($B73,'PEDIDO JULIO'!$A$10:$AG$200,28,0),"0")</f>
        <v>0</v>
      </c>
      <c r="BP73" s="153">
        <f>IFERROR(VLOOKUP($B73,'[5]INSUMOS MARZO'!$A$2:$S$105,17,0),"")</f>
        <v>1245.4349999999999</v>
      </c>
      <c r="BQ73" s="154">
        <f t="shared" si="59"/>
        <v>0</v>
      </c>
      <c r="BR73" s="152" t="str">
        <f>IFERROR(VLOOKUP($B73,'PEDIDO JULIO'!$A$10:$AG$200,29,0),"0")</f>
        <v>0</v>
      </c>
      <c r="BS73" s="153">
        <f>IFERROR(VLOOKUP($B73,'[5]INSUMOS MARZO'!$A$2:$S$105,17,0),"")</f>
        <v>1245.4349999999999</v>
      </c>
      <c r="BT73" s="155">
        <f t="shared" si="60"/>
        <v>0</v>
      </c>
      <c r="BU73" s="152" t="str">
        <f>IFERROR(VLOOKUP($B73,'PEDIDO JULIO'!$A$10:$AG$200,30,0),"0")</f>
        <v>0</v>
      </c>
      <c r="BV73" s="153">
        <f>IFERROR(VLOOKUP($B73,'[5]INSUMOS MARZO'!$A$2:$S$105,17,0),"")</f>
        <v>1245.4349999999999</v>
      </c>
      <c r="BW73" s="155">
        <f t="shared" si="61"/>
        <v>0</v>
      </c>
      <c r="BX73" s="152" t="str">
        <f>IFERROR(VLOOKUP($B73,'PEDIDO JULIO'!$A$10:$AG$200,31,0),"0")</f>
        <v>0</v>
      </c>
      <c r="BY73" s="153">
        <f>IFERROR(VLOOKUP($B73,'[5]INSUMOS MARZO'!$A$2:$S$105,17,0),"")</f>
        <v>1245.4349999999999</v>
      </c>
      <c r="BZ73" s="155">
        <f t="shared" si="62"/>
        <v>0</v>
      </c>
      <c r="CA73" s="152" t="str">
        <f>IFERROR(VLOOKUP($B73,'PEDIDO JULIO'!$A$10:$AG$200,32,0),"0")</f>
        <v>0</v>
      </c>
      <c r="CB73" s="153">
        <f>IFERROR(VLOOKUP($B73,'[5]INSUMOS MARZO'!$A$2:$S$105,17,0),"")</f>
        <v>1245.4349999999999</v>
      </c>
      <c r="CC73" s="155">
        <f t="shared" si="63"/>
        <v>0</v>
      </c>
      <c r="CD73" s="157">
        <f t="shared" si="38"/>
        <v>0</v>
      </c>
      <c r="CE73" s="158">
        <f t="shared" si="64"/>
        <v>0</v>
      </c>
      <c r="CF73" s="251">
        <f>IFERROR(VLOOKUP($B73,'MATRIZ INSUMOS '!$A$3:$P$106,16,0),"")</f>
        <v>0</v>
      </c>
      <c r="CG73" s="153">
        <f>IFERROR(VLOOKUP($B73,'[5]INSUMOS MARZO'!$A$2:$S$105,17,0),"")</f>
        <v>1245.4349999999999</v>
      </c>
      <c r="CH73" s="156">
        <f t="shared" si="65"/>
        <v>0</v>
      </c>
      <c r="CI73" s="251">
        <f>IFERROR(VLOOKUP($B73,'MATRIZ INSUMOS '!$A$3:$P$106,10,0),"")</f>
        <v>0</v>
      </c>
      <c r="CJ73" s="156">
        <f>IFERROR(VLOOKUP($B73,'[5]INSUMOS MARZO'!$A$2:$S$105,14,0),"")</f>
        <v>1542.7628999999999</v>
      </c>
      <c r="CK73" s="159">
        <f t="shared" si="66"/>
        <v>0</v>
      </c>
      <c r="CL73" s="160">
        <f t="shared" si="67"/>
        <v>0</v>
      </c>
      <c r="CM73" s="14">
        <f t="shared" si="68"/>
        <v>0</v>
      </c>
      <c r="CN73" s="14">
        <f t="shared" si="69"/>
        <v>0</v>
      </c>
      <c r="CO73" s="14">
        <f t="shared" si="70"/>
        <v>0</v>
      </c>
      <c r="CQ73" s="19">
        <f t="shared" si="71"/>
        <v>0</v>
      </c>
      <c r="CR73" s="19" t="b">
        <f t="shared" si="72"/>
        <v>1</v>
      </c>
      <c r="CS73" s="19">
        <f t="shared" si="73"/>
        <v>0</v>
      </c>
    </row>
    <row r="74" spans="1:97" ht="16.5">
      <c r="A74" s="3">
        <v>69</v>
      </c>
      <c r="B74" s="151">
        <v>139</v>
      </c>
      <c r="C74" s="4" t="s">
        <v>89</v>
      </c>
      <c r="D74" s="152">
        <f>IFERROR(VLOOKUP($B74,'[4]INSUMOS FEBRERO'!$A$2:$F$105,5,0),"")</f>
        <v>71</v>
      </c>
      <c r="E74" s="152" t="str">
        <f>IFERROR(VLOOKUP($B74,'PEDIDO JULIO'!$A$10:$AG$32,33,0),"0")</f>
        <v>0</v>
      </c>
      <c r="F74" s="152">
        <f t="shared" si="39"/>
        <v>-71</v>
      </c>
      <c r="G74" s="152">
        <f>IFERROR(VLOOKUP($B74,'PEDIDO JULIO'!$A$10:$AG$200,8,0),"0")</f>
        <v>0</v>
      </c>
      <c r="H74" s="156">
        <f>IFERROR(VLOOKUP($B74,'[5]INSUMOS MARZO'!$A$2:$S$105,14,0),"")</f>
        <v>51246.970200000003</v>
      </c>
      <c r="I74" s="154">
        <f t="shared" si="37"/>
        <v>0</v>
      </c>
      <c r="J74" s="152">
        <f>IFERROR(VLOOKUP($B74,'PEDIDO JULIO'!$A$10:$AG$200,9,0),"0")</f>
        <v>0</v>
      </c>
      <c r="K74" s="153">
        <f>IFERROR(VLOOKUP($B74,'[5]INSUMOS MARZO'!$A$2:$S$105,17,0),"")</f>
        <v>25429.996000000003</v>
      </c>
      <c r="L74" s="155">
        <f t="shared" si="40"/>
        <v>0</v>
      </c>
      <c r="M74" s="152">
        <f>IFERROR(VLOOKUP($B74,'PEDIDO JULIO'!$A$10:$AG$200,10,0),"0")</f>
        <v>0</v>
      </c>
      <c r="N74" s="153">
        <f>IFERROR(VLOOKUP($B74,'[5]INSUMOS MARZO'!$A$2:$S$105,17,0),"")</f>
        <v>25429.996000000003</v>
      </c>
      <c r="O74" s="154">
        <f t="shared" si="41"/>
        <v>0</v>
      </c>
      <c r="P74" s="152">
        <f>IFERROR(VLOOKUP($B74,'PEDIDO JULIO'!$A$10:$AG$200,11,0),"0")</f>
        <v>0</v>
      </c>
      <c r="Q74" s="153">
        <f>IFERROR(VLOOKUP($B74,'[5]INSUMOS MARZO'!$A$2:$S$105,17,0),"")</f>
        <v>25429.996000000003</v>
      </c>
      <c r="R74" s="154">
        <f t="shared" si="42"/>
        <v>0</v>
      </c>
      <c r="S74" s="152">
        <f>IFERROR(VLOOKUP($B74,'PEDIDO JULIO'!$A$10:$AG$200,12,0),"0")</f>
        <v>0</v>
      </c>
      <c r="T74" s="153">
        <f>IFERROR(VLOOKUP($B74,'[5]INSUMOS MARZO'!$A$2:$S$105,17,0),"")</f>
        <v>25429.996000000003</v>
      </c>
      <c r="U74" s="154">
        <f t="shared" si="43"/>
        <v>0</v>
      </c>
      <c r="V74" s="152">
        <f>IFERROR(VLOOKUP($B74,'PEDIDO JULIO'!$A$10:$AG$200,13,0),"0")</f>
        <v>0</v>
      </c>
      <c r="W74" s="153">
        <f>IFERROR(VLOOKUP($B74,'[5]INSUMOS MARZO'!$A$2:$S$105,17,0),"")</f>
        <v>25429.996000000003</v>
      </c>
      <c r="X74" s="154">
        <f t="shared" si="44"/>
        <v>0</v>
      </c>
      <c r="Y74" s="152">
        <f>IFERROR(VLOOKUP($B74,'PEDIDO JULIO'!$A$10:$AG$200,14,0),"0")</f>
        <v>0</v>
      </c>
      <c r="Z74" s="153">
        <f>IFERROR(VLOOKUP($B74,'[5]INSUMOS MARZO'!$A$2:$S$105,17,0),"")</f>
        <v>25429.996000000003</v>
      </c>
      <c r="AA74" s="154">
        <f t="shared" si="45"/>
        <v>0</v>
      </c>
      <c r="AB74" s="152">
        <f>IFERROR(VLOOKUP($B74,'PEDIDO JULIO'!$A$10:$AG$200,15,0),"0")</f>
        <v>0</v>
      </c>
      <c r="AC74" s="153">
        <f>IFERROR(VLOOKUP($B74,'[5]INSUMOS MARZO'!$A$2:$S$105,17,0),"")</f>
        <v>25429.996000000003</v>
      </c>
      <c r="AD74" s="154">
        <f t="shared" si="46"/>
        <v>0</v>
      </c>
      <c r="AE74" s="152">
        <f>IFERROR(VLOOKUP($B74,'PEDIDO JULIO'!$A$10:$AG$200,16,0),"0")</f>
        <v>0</v>
      </c>
      <c r="AF74" s="153">
        <f>IFERROR(VLOOKUP($B74,'[5]INSUMOS MARZO'!$A$2:$S$105,17,0),"")</f>
        <v>25429.996000000003</v>
      </c>
      <c r="AG74" s="154">
        <f t="shared" si="47"/>
        <v>0</v>
      </c>
      <c r="AH74" s="152">
        <f>IFERROR(VLOOKUP($B74,'PEDIDO JULIO'!$A$10:$AG$200,17,0),"0")</f>
        <v>0</v>
      </c>
      <c r="AI74" s="153">
        <f>IFERROR(VLOOKUP($B74,'[5]INSUMOS MARZO'!$A$2:$S$105,17,0),"")</f>
        <v>25429.996000000003</v>
      </c>
      <c r="AJ74" s="154">
        <f t="shared" si="48"/>
        <v>0</v>
      </c>
      <c r="AK74" s="152">
        <f>IFERROR(VLOOKUP($B74,'PEDIDO JULIO'!$A$10:$AG$200,18,0),"0")</f>
        <v>0</v>
      </c>
      <c r="AL74" s="153">
        <f>IFERROR(VLOOKUP($B74,'[5]INSUMOS MARZO'!$A$2:$S$105,17,0),"")</f>
        <v>25429.996000000003</v>
      </c>
      <c r="AM74" s="154">
        <f t="shared" si="49"/>
        <v>0</v>
      </c>
      <c r="AN74" s="152">
        <f>IFERROR(VLOOKUP($B74,'PEDIDO JULIO'!$A$10:$AG$200,19,0),"0")</f>
        <v>0</v>
      </c>
      <c r="AO74" s="153">
        <f>IFERROR(VLOOKUP($B74,'[5]INSUMOS MARZO'!$A$2:$S$105,17,0),"")</f>
        <v>25429.996000000003</v>
      </c>
      <c r="AP74" s="154">
        <f t="shared" si="50"/>
        <v>0</v>
      </c>
      <c r="AQ74" s="152">
        <f>IFERROR(VLOOKUP($B74,'PEDIDO JULIO'!$A$10:$AG$200,20,0),"0")</f>
        <v>0</v>
      </c>
      <c r="AR74" s="153">
        <f>IFERROR(VLOOKUP($B74,'[5]INSUMOS MARZO'!$A$2:$S$105,17,0),"")</f>
        <v>25429.996000000003</v>
      </c>
      <c r="AS74" s="154">
        <f t="shared" si="51"/>
        <v>0</v>
      </c>
      <c r="AT74" s="152">
        <f>IFERROR(VLOOKUP($B74,'PEDIDO JULIO'!$A$10:$AG$200,21,0),"0")</f>
        <v>6</v>
      </c>
      <c r="AU74" s="153">
        <f>IFERROR(VLOOKUP($B74,'[5]INSUMOS MARZO'!$A$2:$S$105,17,0),"")</f>
        <v>25429.996000000003</v>
      </c>
      <c r="AV74" s="154">
        <f t="shared" si="52"/>
        <v>152579.97600000002</v>
      </c>
      <c r="AW74" s="152">
        <f>IFERROR(VLOOKUP($B74,'PEDIDO JULIO'!$A$10:$AG$200,22,0),"0")</f>
        <v>0</v>
      </c>
      <c r="AX74" s="153">
        <f>IFERROR(VLOOKUP($B74,'[5]INSUMOS MARZO'!$A$2:$S$105,17,0),"")</f>
        <v>25429.996000000003</v>
      </c>
      <c r="AY74" s="154">
        <f t="shared" si="53"/>
        <v>0</v>
      </c>
      <c r="AZ74" s="152">
        <f>IFERROR(VLOOKUP($B74,'PEDIDO JULIO'!$A$10:$AG$200,23,0),"0")</f>
        <v>0</v>
      </c>
      <c r="BA74" s="153">
        <f>IFERROR(VLOOKUP($B74,'[5]INSUMOS MARZO'!$A$2:$S$105,17,0),"")</f>
        <v>25429.996000000003</v>
      </c>
      <c r="BB74" s="154">
        <f t="shared" si="54"/>
        <v>0</v>
      </c>
      <c r="BC74" s="152">
        <f>IFERROR(VLOOKUP($B74,'PEDIDO JULIO'!$A$10:$AG$200,24,0),"0")</f>
        <v>0</v>
      </c>
      <c r="BD74" s="153">
        <f>IFERROR(VLOOKUP($B74,'[5]INSUMOS MARZO'!$A$2:$S$105,17,0),"")</f>
        <v>25429.996000000003</v>
      </c>
      <c r="BE74" s="155">
        <f t="shared" si="55"/>
        <v>0</v>
      </c>
      <c r="BF74" s="152">
        <f>IFERROR(VLOOKUP($B74,'PEDIDO JULIO'!$A$10:$AG$200,25,0),"0")</f>
        <v>0</v>
      </c>
      <c r="BG74" s="153">
        <f>IFERROR(VLOOKUP($B74,'[5]INSUMOS MARZO'!$A$2:$S$105,17,0),"")</f>
        <v>25429.996000000003</v>
      </c>
      <c r="BH74" s="155">
        <f t="shared" si="56"/>
        <v>0</v>
      </c>
      <c r="BI74" s="152">
        <f>IFERROR(VLOOKUP($B74,'PEDIDO JULIO'!$A$10:$AG$200,26,0),"0")</f>
        <v>0</v>
      </c>
      <c r="BJ74" s="153">
        <f>IFERROR(VLOOKUP($B74,'[5]INSUMOS MARZO'!$A$2:$S$105,17,0),"")</f>
        <v>25429.996000000003</v>
      </c>
      <c r="BK74" s="154">
        <f t="shared" si="57"/>
        <v>0</v>
      </c>
      <c r="BL74" s="152">
        <f>IFERROR(VLOOKUP($B74,'PEDIDO JULIO'!$A$10:$AG$200,27,0),"0")</f>
        <v>0</v>
      </c>
      <c r="BM74" s="153">
        <f>IFERROR(VLOOKUP($B74,'[5]INSUMOS MARZO'!$A$2:$S$105,17,0),"")</f>
        <v>25429.996000000003</v>
      </c>
      <c r="BN74" s="154">
        <f t="shared" si="58"/>
        <v>0</v>
      </c>
      <c r="BO74" s="152">
        <f>IFERROR(VLOOKUP($B74,'PEDIDO JULIO'!$A$10:$AG$200,28,0),"0")</f>
        <v>0</v>
      </c>
      <c r="BP74" s="153">
        <f>IFERROR(VLOOKUP($B74,'[5]INSUMOS MARZO'!$A$2:$S$105,17,0),"")</f>
        <v>25429.996000000003</v>
      </c>
      <c r="BQ74" s="154">
        <f t="shared" si="59"/>
        <v>0</v>
      </c>
      <c r="BR74" s="152">
        <f>IFERROR(VLOOKUP($B74,'PEDIDO JULIO'!$A$10:$AG$200,29,0),"0")</f>
        <v>0</v>
      </c>
      <c r="BS74" s="153">
        <f>IFERROR(VLOOKUP($B74,'[5]INSUMOS MARZO'!$A$2:$S$105,17,0),"")</f>
        <v>25429.996000000003</v>
      </c>
      <c r="BT74" s="155">
        <f t="shared" si="60"/>
        <v>0</v>
      </c>
      <c r="BU74" s="152">
        <f>IFERROR(VLOOKUP($B74,'PEDIDO JULIO'!$A$10:$AG$200,30,0),"0")</f>
        <v>0</v>
      </c>
      <c r="BV74" s="153">
        <f>IFERROR(VLOOKUP($B74,'[5]INSUMOS MARZO'!$A$2:$S$105,17,0),"")</f>
        <v>25429.996000000003</v>
      </c>
      <c r="BW74" s="155">
        <f t="shared" si="61"/>
        <v>0</v>
      </c>
      <c r="BX74" s="152">
        <f>IFERROR(VLOOKUP($B74,'PEDIDO JULIO'!$A$10:$AG$200,31,0),"0")</f>
        <v>0</v>
      </c>
      <c r="BY74" s="153">
        <f>IFERROR(VLOOKUP($B74,'[5]INSUMOS MARZO'!$A$2:$S$105,17,0),"")</f>
        <v>25429.996000000003</v>
      </c>
      <c r="BZ74" s="155">
        <f t="shared" si="62"/>
        <v>0</v>
      </c>
      <c r="CA74" s="152">
        <f>IFERROR(VLOOKUP($B74,'PEDIDO JULIO'!$A$10:$AG$200,32,0),"0")</f>
        <v>0</v>
      </c>
      <c r="CB74" s="153">
        <f>IFERROR(VLOOKUP($B74,'[5]INSUMOS MARZO'!$A$2:$S$105,17,0),"")</f>
        <v>25429.996000000003</v>
      </c>
      <c r="CC74" s="155">
        <f t="shared" si="63"/>
        <v>0</v>
      </c>
      <c r="CD74" s="164">
        <f t="shared" si="38"/>
        <v>6</v>
      </c>
      <c r="CE74" s="158">
        <f t="shared" si="64"/>
        <v>6</v>
      </c>
      <c r="CF74" s="251">
        <f>IFERROR(VLOOKUP($B74,'MATRIZ INSUMOS '!$A$3:$P$106,16,0),"")</f>
        <v>6</v>
      </c>
      <c r="CG74" s="153">
        <f>IFERROR(VLOOKUP($B74,'[5]INSUMOS MARZO'!$A$2:$S$105,17,0),"")</f>
        <v>25429.996000000003</v>
      </c>
      <c r="CH74" s="156">
        <f t="shared" si="65"/>
        <v>152579.97600000002</v>
      </c>
      <c r="CI74" s="251">
        <f>IFERROR(VLOOKUP($B74,'MATRIZ INSUMOS '!$A$3:$P$106,10,0),"")</f>
        <v>0</v>
      </c>
      <c r="CJ74" s="156">
        <f>IFERROR(VLOOKUP($B74,'[5]INSUMOS MARZO'!$A$2:$S$105,14,0),"")</f>
        <v>51246.970200000003</v>
      </c>
      <c r="CK74" s="159">
        <f t="shared" si="66"/>
        <v>0</v>
      </c>
      <c r="CL74" s="160">
        <f t="shared" si="67"/>
        <v>152579.97600000002</v>
      </c>
      <c r="CM74" s="14">
        <f t="shared" si="68"/>
        <v>15257.997600000002</v>
      </c>
      <c r="CN74" s="14">
        <f t="shared" si="69"/>
        <v>2899.0195440000007</v>
      </c>
      <c r="CO74" s="14">
        <f t="shared" si="70"/>
        <v>170736.99314400004</v>
      </c>
      <c r="CP74" s="1">
        <f>+CF74+CI74-CD74</f>
        <v>0</v>
      </c>
      <c r="CQ74" s="19">
        <f t="shared" si="71"/>
        <v>152579.97600000002</v>
      </c>
      <c r="CR74" s="19" t="b">
        <f t="shared" si="72"/>
        <v>1</v>
      </c>
      <c r="CS74" s="19">
        <f t="shared" si="73"/>
        <v>0</v>
      </c>
    </row>
    <row r="75" spans="1:97" ht="16.5">
      <c r="A75" s="3">
        <v>70</v>
      </c>
      <c r="B75" s="151">
        <v>151</v>
      </c>
      <c r="C75" s="4" t="s">
        <v>91</v>
      </c>
      <c r="D75" s="152">
        <f>IFERROR(VLOOKUP($B75,'[4]INSUMOS FEBRERO'!$A$2:$F$105,5,0),"")</f>
        <v>310</v>
      </c>
      <c r="E75" s="152" t="str">
        <f>IFERROR(VLOOKUP($B75,'PEDIDO JULIO'!$A$10:$AG$32,33,0),"0")</f>
        <v>0</v>
      </c>
      <c r="F75" s="152">
        <f t="shared" si="39"/>
        <v>-310</v>
      </c>
      <c r="G75" s="152">
        <f>IFERROR(VLOOKUP($B75,'PEDIDO JULIO'!$A$10:$AG$200,8,0),"0")</f>
        <v>3120</v>
      </c>
      <c r="H75" s="156">
        <f>IFERROR(VLOOKUP($B75,'[5]INSUMOS MARZO'!$A$2:$S$105,14,0),"")</f>
        <v>7960.6944000000003</v>
      </c>
      <c r="I75" s="154">
        <f t="shared" si="37"/>
        <v>24837366.528000001</v>
      </c>
      <c r="J75" s="152">
        <f>IFERROR(VLOOKUP($B75,'PEDIDO JULIO'!$A$10:$AG$200,9,0),"0")</f>
        <v>0</v>
      </c>
      <c r="K75" s="153">
        <f>IFERROR(VLOOKUP($B75,'[5]INSUMOS MARZO'!$A$2:$S$105,17,0),"")</f>
        <v>4422.6080000000002</v>
      </c>
      <c r="L75" s="155">
        <f t="shared" si="40"/>
        <v>0</v>
      </c>
      <c r="M75" s="152">
        <f>IFERROR(VLOOKUP($B75,'PEDIDO JULIO'!$A$10:$AG$200,10,0),"0")</f>
        <v>0</v>
      </c>
      <c r="N75" s="153">
        <f>IFERROR(VLOOKUP($B75,'[5]INSUMOS MARZO'!$A$2:$S$105,17,0),"")</f>
        <v>4422.6080000000002</v>
      </c>
      <c r="O75" s="154">
        <f t="shared" si="41"/>
        <v>0</v>
      </c>
      <c r="P75" s="152">
        <f>IFERROR(VLOOKUP($B75,'PEDIDO JULIO'!$A$10:$AG$200,11,0),"0")</f>
        <v>0</v>
      </c>
      <c r="Q75" s="153">
        <f>IFERROR(VLOOKUP($B75,'[5]INSUMOS MARZO'!$A$2:$S$105,17,0),"")</f>
        <v>4422.6080000000002</v>
      </c>
      <c r="R75" s="154">
        <f t="shared" si="42"/>
        <v>0</v>
      </c>
      <c r="S75" s="252">
        <f>IFERROR(VLOOKUP($B75,'PEDIDO JULIO'!$A$10:$AG$200,12,0),"0")</f>
        <v>50</v>
      </c>
      <c r="T75" s="153">
        <f>IFERROR(VLOOKUP($B75,'[5]INSUMOS MARZO'!$A$2:$S$105,17,0),"")</f>
        <v>4422.6080000000002</v>
      </c>
      <c r="U75" s="154">
        <f t="shared" si="43"/>
        <v>221130.40000000002</v>
      </c>
      <c r="V75" s="252">
        <f>IFERROR(VLOOKUP($B75,'PEDIDO JULIO'!$A$10:$AG$200,13,0),"0")</f>
        <v>30</v>
      </c>
      <c r="W75" s="153">
        <f>IFERROR(VLOOKUP($B75,'[5]INSUMOS MARZO'!$A$2:$S$105,17,0),"")</f>
        <v>4422.6080000000002</v>
      </c>
      <c r="X75" s="154">
        <f t="shared" si="44"/>
        <v>132678.24</v>
      </c>
      <c r="Y75" s="252">
        <f>IFERROR(VLOOKUP($B75,'PEDIDO JULIO'!$A$10:$AG$200,14,0),"0")</f>
        <v>50</v>
      </c>
      <c r="Z75" s="153">
        <f>IFERROR(VLOOKUP($B75,'[5]INSUMOS MARZO'!$A$2:$S$105,17,0),"")</f>
        <v>4422.6080000000002</v>
      </c>
      <c r="AA75" s="154">
        <f t="shared" si="45"/>
        <v>221130.40000000002</v>
      </c>
      <c r="AB75" s="252">
        <f>IFERROR(VLOOKUP($B75,'PEDIDO JULIO'!$A$10:$AG$200,15,0),"0")</f>
        <v>25</v>
      </c>
      <c r="AC75" s="153">
        <f>IFERROR(VLOOKUP($B75,'[5]INSUMOS MARZO'!$A$2:$S$105,17,0),"")</f>
        <v>4422.6080000000002</v>
      </c>
      <c r="AD75" s="154">
        <f t="shared" si="46"/>
        <v>110565.20000000001</v>
      </c>
      <c r="AE75" s="252">
        <f>IFERROR(VLOOKUP($B75,'PEDIDO JULIO'!$A$10:$AG$200,16,0),"0")</f>
        <v>72</v>
      </c>
      <c r="AF75" s="153">
        <f>IFERROR(VLOOKUP($B75,'[5]INSUMOS MARZO'!$A$2:$S$105,17,0),"")</f>
        <v>4422.6080000000002</v>
      </c>
      <c r="AG75" s="154">
        <f t="shared" si="47"/>
        <v>318427.77600000001</v>
      </c>
      <c r="AH75" s="152">
        <f>IFERROR(VLOOKUP($B75,'PEDIDO JULIO'!$A$10:$AG$200,17,0),"0")</f>
        <v>0</v>
      </c>
      <c r="AI75" s="156">
        <f>IFERROR(VLOOKUP($B75,'[5]INSUMOS MARZO'!$A$2:$S$105,14,0),"")</f>
        <v>7960.6944000000003</v>
      </c>
      <c r="AJ75" s="154">
        <f t="shared" si="48"/>
        <v>0</v>
      </c>
      <c r="AK75" s="152">
        <f>IFERROR(VLOOKUP($B75,'PEDIDO JULIO'!$A$10:$AG$200,18,0),"0")</f>
        <v>0</v>
      </c>
      <c r="AL75" s="156">
        <f>IFERROR(VLOOKUP($B75,'[5]INSUMOS MARZO'!$A$2:$S$105,14,0),"")</f>
        <v>7960.6944000000003</v>
      </c>
      <c r="AM75" s="154">
        <f t="shared" si="49"/>
        <v>0</v>
      </c>
      <c r="AN75" s="152">
        <f>IFERROR(VLOOKUP($B75,'PEDIDO JULIO'!$A$10:$AG$200,19,0),"0")</f>
        <v>0</v>
      </c>
      <c r="AO75" s="156">
        <f>IFERROR(VLOOKUP($B75,'[5]INSUMOS MARZO'!$A$2:$S$105,14,0),"")</f>
        <v>7960.6944000000003</v>
      </c>
      <c r="AP75" s="154">
        <f t="shared" si="50"/>
        <v>0</v>
      </c>
      <c r="AQ75" s="152">
        <f>IFERROR(VLOOKUP($B75,'PEDIDO JULIO'!$A$10:$AG$200,20,0),"0")</f>
        <v>15</v>
      </c>
      <c r="AR75" s="153">
        <f>IFERROR(VLOOKUP($B75,'[5]INSUMOS MARZO'!$A$2:$S$105,17,0),"")</f>
        <v>4422.6080000000002</v>
      </c>
      <c r="AS75" s="154">
        <f t="shared" si="51"/>
        <v>66339.12</v>
      </c>
      <c r="AT75" s="252">
        <f>IFERROR(VLOOKUP($B75,'PEDIDO JULIO'!$A$10:$AG$200,21,0),"0")</f>
        <v>23</v>
      </c>
      <c r="AU75" s="153">
        <f>IFERROR(VLOOKUP($B75,'[5]INSUMOS MARZO'!$A$2:$S$105,17,0),"")</f>
        <v>4422.6080000000002</v>
      </c>
      <c r="AV75" s="154">
        <f t="shared" si="52"/>
        <v>101719.984</v>
      </c>
      <c r="AW75" s="152">
        <f>IFERROR(VLOOKUP($B75,'PEDIDO JULIO'!$A$10:$AG$200,22,0),"0")</f>
        <v>0</v>
      </c>
      <c r="AX75" s="153">
        <f>IFERROR(VLOOKUP($B75,'[5]INSUMOS MARZO'!$A$2:$S$105,17,0),"")</f>
        <v>4422.6080000000002</v>
      </c>
      <c r="AY75" s="154">
        <f t="shared" si="53"/>
        <v>0</v>
      </c>
      <c r="AZ75" s="152">
        <f>IFERROR(VLOOKUP($B75,'PEDIDO JULIO'!$A$10:$AG$200,23,0),"0")</f>
        <v>0</v>
      </c>
      <c r="BA75" s="153">
        <f>IFERROR(VLOOKUP($B75,'[5]INSUMOS MARZO'!$A$2:$S$105,17,0),"")</f>
        <v>4422.6080000000002</v>
      </c>
      <c r="BB75" s="154">
        <f t="shared" si="54"/>
        <v>0</v>
      </c>
      <c r="BC75" s="152">
        <f>IFERROR(VLOOKUP($B75,'PEDIDO JULIO'!$A$10:$AG$200,24,0),"0")</f>
        <v>0</v>
      </c>
      <c r="BD75" s="153">
        <f>IFERROR(VLOOKUP($B75,'[5]INSUMOS MARZO'!$A$2:$S$105,17,0),"")</f>
        <v>4422.6080000000002</v>
      </c>
      <c r="BE75" s="155">
        <f t="shared" si="55"/>
        <v>0</v>
      </c>
      <c r="BF75" s="252">
        <f>IFERROR(VLOOKUP($B75,'PEDIDO JULIO'!$A$10:$AG$200,25,0),"0")</f>
        <v>80</v>
      </c>
      <c r="BG75" s="153">
        <f>IFERROR(VLOOKUP($B75,'[5]INSUMOS MARZO'!$A$2:$S$105,17,0),"")</f>
        <v>4422.6080000000002</v>
      </c>
      <c r="BH75" s="155">
        <f t="shared" si="56"/>
        <v>353808.64000000001</v>
      </c>
      <c r="BI75" s="252">
        <f>IFERROR(VLOOKUP($B75,'PEDIDO JULIO'!$A$10:$AG$200,26,0),"0")</f>
        <v>20</v>
      </c>
      <c r="BJ75" s="153">
        <f>IFERROR(VLOOKUP($B75,'[5]INSUMOS MARZO'!$A$2:$S$105,17,0),"")</f>
        <v>4422.6080000000002</v>
      </c>
      <c r="BK75" s="154">
        <f t="shared" si="57"/>
        <v>88452.160000000003</v>
      </c>
      <c r="BL75" s="152">
        <f>IFERROR(VLOOKUP($B75,'PEDIDO JULIO'!$A$10:$AG$200,27,0),"0")</f>
        <v>0</v>
      </c>
      <c r="BM75" s="153">
        <f>IFERROR(VLOOKUP($B75,'[5]INSUMOS MARZO'!$A$2:$S$105,17,0),"")</f>
        <v>4422.6080000000002</v>
      </c>
      <c r="BN75" s="154">
        <f t="shared" si="58"/>
        <v>0</v>
      </c>
      <c r="BO75" s="252">
        <f>IFERROR(VLOOKUP($B75,'PEDIDO JULIO'!$A$10:$AG$200,28,0),"0")</f>
        <v>30</v>
      </c>
      <c r="BP75" s="153">
        <f>IFERROR(VLOOKUP($B75,'[5]INSUMOS MARZO'!$A$2:$S$105,17,0),"")</f>
        <v>4422.6080000000002</v>
      </c>
      <c r="BQ75" s="154">
        <f t="shared" si="59"/>
        <v>132678.24</v>
      </c>
      <c r="BR75" s="252">
        <f>IFERROR(VLOOKUP($B75,'PEDIDO JULIO'!$A$10:$AG$200,29,0),"0")</f>
        <v>20</v>
      </c>
      <c r="BS75" s="153">
        <f>IFERROR(VLOOKUP($B75,'[5]INSUMOS MARZO'!$A$2:$S$105,17,0),"")</f>
        <v>4422.6080000000002</v>
      </c>
      <c r="BT75" s="155">
        <f t="shared" si="60"/>
        <v>88452.160000000003</v>
      </c>
      <c r="BU75" s="252">
        <f>IFERROR(VLOOKUP($B75,'PEDIDO JULIO'!$A$10:$AG$200,30,0),"0")</f>
        <v>30</v>
      </c>
      <c r="BV75" s="153">
        <f>IFERROR(VLOOKUP($B75,'[5]INSUMOS MARZO'!$A$2:$S$105,17,0),"")</f>
        <v>4422.6080000000002</v>
      </c>
      <c r="BW75" s="155">
        <f t="shared" si="61"/>
        <v>132678.24</v>
      </c>
      <c r="BX75" s="152">
        <f>IFERROR(VLOOKUP($B75,'PEDIDO JULIO'!$A$10:$AG$200,31,0),"0")</f>
        <v>0</v>
      </c>
      <c r="BY75" s="156">
        <f>IFERROR(VLOOKUP($B75,'[5]INSUMOS MARZO'!$A$2:$S$105,14,0),"")</f>
        <v>7960.6944000000003</v>
      </c>
      <c r="BZ75" s="155">
        <f t="shared" si="62"/>
        <v>0</v>
      </c>
      <c r="CA75" s="252">
        <f>IFERROR(VLOOKUP($B75,'PEDIDO JULIO'!$A$10:$AG$200,32,0),"0")</f>
        <v>24</v>
      </c>
      <c r="CB75" s="153">
        <f>IFERROR(VLOOKUP($B75,'[5]INSUMOS MARZO'!$A$2:$S$105,17,0),"")</f>
        <v>4422.6080000000002</v>
      </c>
      <c r="CC75" s="155">
        <f t="shared" si="63"/>
        <v>106142.592</v>
      </c>
      <c r="CD75" s="157">
        <f>IFERROR((G75+J75+M75+P75+S75+V75+Y75+AB75+AE75+AH75+AK75+AN75+AQ75+AT75+AW75+AZ75+BC75+BF75+BI75+BL75+BO75+BR75+BU75+BX75+CA75),"")</f>
        <v>3589</v>
      </c>
      <c r="CE75" s="158">
        <f t="shared" si="64"/>
        <v>3589</v>
      </c>
      <c r="CF75" s="251">
        <v>469</v>
      </c>
      <c r="CG75" s="153">
        <f>IFERROR(VLOOKUP($B75,'[5]INSUMOS MARZO'!$A$2:$S$105,17,0),"")</f>
        <v>4422.6080000000002</v>
      </c>
      <c r="CH75" s="156">
        <f t="shared" si="65"/>
        <v>2074203.152</v>
      </c>
      <c r="CI75" s="251">
        <v>3120</v>
      </c>
      <c r="CJ75" s="156">
        <f>IFERROR(VLOOKUP($B75,'[5]INSUMOS MARZO'!$A$2:$S$105,14,0),"")</f>
        <v>7960.6944000000003</v>
      </c>
      <c r="CK75" s="159">
        <f t="shared" si="66"/>
        <v>24837366.528000001</v>
      </c>
      <c r="CL75" s="160">
        <f t="shared" si="67"/>
        <v>26911569.679999996</v>
      </c>
      <c r="CM75" s="14">
        <f t="shared" si="68"/>
        <v>2691156.9679999999</v>
      </c>
      <c r="CN75" s="14">
        <f t="shared" si="69"/>
        <v>511319.82392</v>
      </c>
      <c r="CO75" s="14">
        <f t="shared" si="70"/>
        <v>30114046.471919995</v>
      </c>
      <c r="CP75" s="1">
        <f>+CF75+CI75-CD75</f>
        <v>0</v>
      </c>
      <c r="CQ75" s="19">
        <f t="shared" si="71"/>
        <v>26911569.68</v>
      </c>
      <c r="CR75" s="19" t="b">
        <f t="shared" si="72"/>
        <v>1</v>
      </c>
      <c r="CS75" s="19">
        <f t="shared" si="73"/>
        <v>0</v>
      </c>
    </row>
    <row r="76" spans="1:97" ht="16.5">
      <c r="A76" s="3">
        <v>71</v>
      </c>
      <c r="B76" s="151">
        <v>152</v>
      </c>
      <c r="C76" s="4" t="s">
        <v>92</v>
      </c>
      <c r="D76" s="152">
        <f>IFERROR(VLOOKUP($B76,'[4]INSUMOS FEBRERO'!$A$2:$F$105,5,0),"")</f>
        <v>25</v>
      </c>
      <c r="E76" s="152" t="str">
        <f>IFERROR(VLOOKUP($B76,'PEDIDO JULIO'!$A$10:$AG$32,33,0),"0")</f>
        <v>0</v>
      </c>
      <c r="F76" s="152">
        <f t="shared" si="39"/>
        <v>-25</v>
      </c>
      <c r="G76" s="152" t="str">
        <f>IFERROR(VLOOKUP($B76,'PEDIDO JULIO'!$A$10:$AG$200,8,0),"0")</f>
        <v>0</v>
      </c>
      <c r="H76" s="153"/>
      <c r="I76" s="154">
        <f t="shared" si="37"/>
        <v>0</v>
      </c>
      <c r="J76" s="152" t="str">
        <f>IFERROR(VLOOKUP($B76,'PEDIDO JULIO'!$A$10:$AG$200,9,0),"0")</f>
        <v>0</v>
      </c>
      <c r="K76" s="153"/>
      <c r="L76" s="155">
        <f t="shared" si="40"/>
        <v>0</v>
      </c>
      <c r="M76" s="152" t="str">
        <f>IFERROR(VLOOKUP($B76,'PEDIDO JULIO'!$A$10:$AG$200,10,0),"0")</f>
        <v>0</v>
      </c>
      <c r="N76" s="153">
        <f>IFERROR(VLOOKUP($B76,'[5]INSUMOS MARZO'!$A$2:$S$105,17,0),"")</f>
        <v>0</v>
      </c>
      <c r="O76" s="154">
        <f t="shared" si="41"/>
        <v>0</v>
      </c>
      <c r="P76" s="152" t="str">
        <f>IFERROR(VLOOKUP($B76,'PEDIDO JULIO'!$A$10:$AG$200,11,0),"0")</f>
        <v>0</v>
      </c>
      <c r="Q76" s="153">
        <f>IFERROR(VLOOKUP($B76,'[5]INSUMOS MARZO'!$A$2:$S$105,17,0),"")</f>
        <v>0</v>
      </c>
      <c r="R76" s="154">
        <f t="shared" si="42"/>
        <v>0</v>
      </c>
      <c r="S76" s="152" t="str">
        <f>IFERROR(VLOOKUP($B76,'PEDIDO JULIO'!$A$10:$AG$200,12,0),"0")</f>
        <v>0</v>
      </c>
      <c r="T76" s="153">
        <f>IFERROR(VLOOKUP($B76,'[5]INSUMOS MARZO'!$A$2:$S$105,17,0),"")</f>
        <v>0</v>
      </c>
      <c r="U76" s="154">
        <f t="shared" si="43"/>
        <v>0</v>
      </c>
      <c r="V76" s="152" t="str">
        <f>IFERROR(VLOOKUP($B76,'PEDIDO JULIO'!$A$10:$AG$200,13,0),"0")</f>
        <v>0</v>
      </c>
      <c r="W76" s="153">
        <f>IFERROR(VLOOKUP($B76,'[5]INSUMOS MARZO'!$A$2:$S$105,17,0),"")</f>
        <v>0</v>
      </c>
      <c r="X76" s="154">
        <f t="shared" si="44"/>
        <v>0</v>
      </c>
      <c r="Y76" s="152" t="str">
        <f>IFERROR(VLOOKUP($B76,'PEDIDO JULIO'!$A$10:$AG$200,14,0),"0")</f>
        <v>0</v>
      </c>
      <c r="Z76" s="153">
        <f>IFERROR(VLOOKUP($B76,'[5]INSUMOS MARZO'!$A$2:$S$105,17,0),"")</f>
        <v>0</v>
      </c>
      <c r="AA76" s="154">
        <f t="shared" si="45"/>
        <v>0</v>
      </c>
      <c r="AB76" s="152" t="str">
        <f>IFERROR(VLOOKUP($B76,'PEDIDO JULIO'!$A$10:$AG$200,15,0),"0")</f>
        <v>0</v>
      </c>
      <c r="AC76" s="153">
        <f>IFERROR(VLOOKUP($B76,'[5]INSUMOS MARZO'!$A$2:$S$105,17,0),"")</f>
        <v>0</v>
      </c>
      <c r="AD76" s="154">
        <f t="shared" si="46"/>
        <v>0</v>
      </c>
      <c r="AE76" s="152" t="str">
        <f>IFERROR(VLOOKUP($B76,'PEDIDO JULIO'!$A$10:$AG$200,16,0),"0")</f>
        <v>0</v>
      </c>
      <c r="AF76" s="153">
        <f>IFERROR(VLOOKUP($B76,'[5]INSUMOS MARZO'!$A$2:$S$105,17,0),"")</f>
        <v>0</v>
      </c>
      <c r="AG76" s="154">
        <f t="shared" si="47"/>
        <v>0</v>
      </c>
      <c r="AH76" s="152" t="str">
        <f>IFERROR(VLOOKUP($B76,'PEDIDO JULIO'!$A$10:$AG$200,17,0),"0")</f>
        <v>0</v>
      </c>
      <c r="AI76" s="153">
        <f>IFERROR(VLOOKUP($B76,'[5]INSUMOS MARZO'!$A$2:$S$105,17,0),"")</f>
        <v>0</v>
      </c>
      <c r="AJ76" s="154">
        <f t="shared" si="48"/>
        <v>0</v>
      </c>
      <c r="AK76" s="152" t="str">
        <f>IFERROR(VLOOKUP($B76,'PEDIDO JULIO'!$A$10:$AG$200,18,0),"0")</f>
        <v>0</v>
      </c>
      <c r="AL76" s="153">
        <f>IFERROR(VLOOKUP($B76,'[5]INSUMOS MARZO'!$A$2:$S$105,17,0),"")</f>
        <v>0</v>
      </c>
      <c r="AM76" s="154">
        <f t="shared" si="49"/>
        <v>0</v>
      </c>
      <c r="AN76" s="152" t="str">
        <f>IFERROR(VLOOKUP($B76,'PEDIDO JULIO'!$A$10:$AG$200,19,0),"0")</f>
        <v>0</v>
      </c>
      <c r="AO76" s="153">
        <f>IFERROR(VLOOKUP($B76,'[5]INSUMOS MARZO'!$A$2:$S$105,17,0),"")</f>
        <v>0</v>
      </c>
      <c r="AP76" s="154">
        <f t="shared" si="50"/>
        <v>0</v>
      </c>
      <c r="AQ76" s="152" t="str">
        <f>IFERROR(VLOOKUP($B76,'PEDIDO JULIO'!$A$10:$AG$200,20,0),"0")</f>
        <v>0</v>
      </c>
      <c r="AR76" s="153">
        <f>IFERROR(VLOOKUP($B76,'[5]INSUMOS MARZO'!$A$2:$S$105,17,0),"")</f>
        <v>0</v>
      </c>
      <c r="AS76" s="154">
        <f t="shared" si="51"/>
        <v>0</v>
      </c>
      <c r="AT76" s="152" t="str">
        <f>IFERROR(VLOOKUP($B76,'PEDIDO JULIO'!$A$10:$AG$200,21,0),"0")</f>
        <v>0</v>
      </c>
      <c r="AU76" s="156">
        <f>IFERROR(VLOOKUP($B76,'[5]INSUMOS MARZO'!$A$2:$S$105,14,0),"")</f>
        <v>19802.416499999999</v>
      </c>
      <c r="AV76" s="154">
        <f t="shared" si="52"/>
        <v>0</v>
      </c>
      <c r="AW76" s="152" t="str">
        <f>IFERROR(VLOOKUP($B76,'PEDIDO JULIO'!$A$10:$AG$200,22,0),"0")</f>
        <v>0</v>
      </c>
      <c r="AX76" s="153">
        <f>IFERROR(VLOOKUP($B76,'[5]INSUMOS MARZO'!$A$2:$S$105,17,0),"")</f>
        <v>0</v>
      </c>
      <c r="AY76" s="154">
        <f t="shared" si="53"/>
        <v>0</v>
      </c>
      <c r="AZ76" s="152" t="str">
        <f>IFERROR(VLOOKUP($B76,'PEDIDO JULIO'!$A$10:$AG$200,23,0),"0")</f>
        <v>0</v>
      </c>
      <c r="BA76" s="153">
        <f>IFERROR(VLOOKUP($B76,'[5]INSUMOS MARZO'!$A$2:$S$105,17,0),"")</f>
        <v>0</v>
      </c>
      <c r="BB76" s="154">
        <f t="shared" si="54"/>
        <v>0</v>
      </c>
      <c r="BC76" s="152" t="str">
        <f>IFERROR(VLOOKUP($B76,'PEDIDO JULIO'!$A$10:$AG$200,24,0),"0")</f>
        <v>0</v>
      </c>
      <c r="BD76" s="153">
        <f>IFERROR(VLOOKUP($B76,'[5]INSUMOS MARZO'!$A$2:$S$105,17,0),"")</f>
        <v>0</v>
      </c>
      <c r="BE76" s="155">
        <f t="shared" si="55"/>
        <v>0</v>
      </c>
      <c r="BF76" s="152" t="str">
        <f>IFERROR(VLOOKUP($B76,'PEDIDO JULIO'!$A$10:$AG$200,25,0),"0")</f>
        <v>0</v>
      </c>
      <c r="BG76" s="153">
        <f>IFERROR(VLOOKUP($B76,'[5]INSUMOS MARZO'!$A$2:$S$105,17,0),"")</f>
        <v>0</v>
      </c>
      <c r="BH76" s="155">
        <f t="shared" si="56"/>
        <v>0</v>
      </c>
      <c r="BI76" s="152" t="str">
        <f>IFERROR(VLOOKUP($B76,'PEDIDO JULIO'!$A$10:$AG$200,26,0),"0")</f>
        <v>0</v>
      </c>
      <c r="BJ76" s="153">
        <f>IFERROR(VLOOKUP($B76,'[5]INSUMOS MARZO'!$A$2:$S$105,17,0),"")</f>
        <v>0</v>
      </c>
      <c r="BK76" s="154">
        <f t="shared" si="57"/>
        <v>0</v>
      </c>
      <c r="BL76" s="152" t="str">
        <f>IFERROR(VLOOKUP($B76,'PEDIDO JULIO'!$A$10:$AG$200,27,0),"0")</f>
        <v>0</v>
      </c>
      <c r="BM76" s="153">
        <f>IFERROR(VLOOKUP($B76,'[5]INSUMOS MARZO'!$A$2:$S$105,17,0),"")</f>
        <v>0</v>
      </c>
      <c r="BN76" s="154">
        <f t="shared" si="58"/>
        <v>0</v>
      </c>
      <c r="BO76" s="152" t="str">
        <f>IFERROR(VLOOKUP($B76,'PEDIDO JULIO'!$A$10:$AG$200,28,0),"0")</f>
        <v>0</v>
      </c>
      <c r="BP76" s="153">
        <f>IFERROR(VLOOKUP($B76,'[5]INSUMOS MARZO'!$A$2:$S$105,17,0),"")</f>
        <v>0</v>
      </c>
      <c r="BQ76" s="154">
        <f t="shared" si="59"/>
        <v>0</v>
      </c>
      <c r="BR76" s="152" t="str">
        <f>IFERROR(VLOOKUP($B76,'PEDIDO JULIO'!$A$10:$AG$200,29,0),"0")</f>
        <v>0</v>
      </c>
      <c r="BS76" s="153">
        <f>IFERROR(VLOOKUP($B76,'[5]INSUMOS MARZO'!$A$2:$S$105,17,0),"")</f>
        <v>0</v>
      </c>
      <c r="BT76" s="155">
        <f t="shared" si="60"/>
        <v>0</v>
      </c>
      <c r="BU76" s="152" t="str">
        <f>IFERROR(VLOOKUP($B76,'PEDIDO JULIO'!$A$10:$AG$200,30,0),"0")</f>
        <v>0</v>
      </c>
      <c r="BV76" s="153">
        <f>IFERROR(VLOOKUP($B76,'[5]INSUMOS MARZO'!$A$2:$S$105,17,0),"")</f>
        <v>0</v>
      </c>
      <c r="BW76" s="155">
        <f t="shared" si="61"/>
        <v>0</v>
      </c>
      <c r="BX76" s="152" t="str">
        <f>IFERROR(VLOOKUP($B76,'PEDIDO JULIO'!$A$10:$AG$200,31,0),"0")</f>
        <v>0</v>
      </c>
      <c r="BY76" s="153">
        <f>IFERROR(VLOOKUP($B76,'[5]INSUMOS MARZO'!$A$2:$S$105,17,0),"")</f>
        <v>0</v>
      </c>
      <c r="BZ76" s="155">
        <f t="shared" si="62"/>
        <v>0</v>
      </c>
      <c r="CA76" s="152" t="str">
        <f>IFERROR(VLOOKUP($B76,'PEDIDO JULIO'!$A$10:$AG$200,32,0),"0")</f>
        <v>0</v>
      </c>
      <c r="CB76" s="153">
        <f>IFERROR(VLOOKUP($B76,'[5]INSUMOS MARZO'!$A$2:$S$105,17,0),"")</f>
        <v>0</v>
      </c>
      <c r="CC76" s="155">
        <f t="shared" si="63"/>
        <v>0</v>
      </c>
      <c r="CD76" s="157">
        <f t="shared" si="38"/>
        <v>0</v>
      </c>
      <c r="CE76" s="158">
        <f t="shared" si="64"/>
        <v>0</v>
      </c>
      <c r="CF76" s="251">
        <f>IFERROR(VLOOKUP($B76,'MATRIZ INSUMOS '!$A$3:$P$106,16,0),"")</f>
        <v>0</v>
      </c>
      <c r="CG76" s="153">
        <f>IFERROR(VLOOKUP($B76,'[5]INSUMOS MARZO'!$A$2:$S$105,17,0),"")</f>
        <v>0</v>
      </c>
      <c r="CH76" s="156">
        <f t="shared" si="65"/>
        <v>0</v>
      </c>
      <c r="CI76" s="251">
        <f>IFERROR(VLOOKUP($B76,'MATRIZ INSUMOS '!$A$3:$P$106,10,0),"")</f>
        <v>0</v>
      </c>
      <c r="CJ76" s="156">
        <f>IFERROR(VLOOKUP($B76,'[5]INSUMOS MARZO'!$A$2:$S$105,14,0),"")</f>
        <v>19802.416499999999</v>
      </c>
      <c r="CK76" s="159">
        <f t="shared" si="66"/>
        <v>0</v>
      </c>
      <c r="CL76" s="160">
        <f t="shared" si="67"/>
        <v>0</v>
      </c>
      <c r="CM76" s="14">
        <f t="shared" si="68"/>
        <v>0</v>
      </c>
      <c r="CN76" s="14">
        <f t="shared" si="69"/>
        <v>0</v>
      </c>
      <c r="CO76" s="14">
        <f t="shared" si="70"/>
        <v>0</v>
      </c>
      <c r="CQ76" s="19">
        <f t="shared" si="71"/>
        <v>0</v>
      </c>
      <c r="CR76" s="19" t="b">
        <f t="shared" si="72"/>
        <v>1</v>
      </c>
      <c r="CS76" s="19">
        <f t="shared" si="73"/>
        <v>0</v>
      </c>
    </row>
    <row r="77" spans="1:97" ht="16.5">
      <c r="A77" s="3">
        <v>72</v>
      </c>
      <c r="B77" s="151">
        <v>154</v>
      </c>
      <c r="C77" s="4" t="s">
        <v>94</v>
      </c>
      <c r="D77" s="152">
        <f>IFERROR(VLOOKUP($B77,'[4]INSUMOS FEBRERO'!$A$2:$F$105,5,0),"")</f>
        <v>5</v>
      </c>
      <c r="E77" s="152" t="str">
        <f>IFERROR(VLOOKUP($B77,'PEDIDO JULIO'!$A$10:$AG$32,33,0),"0")</f>
        <v>0</v>
      </c>
      <c r="F77" s="152">
        <f t="shared" si="39"/>
        <v>-5</v>
      </c>
      <c r="G77" s="152" t="str">
        <f>IFERROR(VLOOKUP($B77,'PEDIDO JULIO'!$A$10:$AG$200,8,0),"0")</f>
        <v>0</v>
      </c>
      <c r="H77" s="156">
        <f>IFERROR(VLOOKUP($B77,'[5]INSUMOS MARZO'!$A$2:$S$105,14,0),"")</f>
        <v>5005.7028</v>
      </c>
      <c r="I77" s="154">
        <f t="shared" si="37"/>
        <v>0</v>
      </c>
      <c r="J77" s="152" t="str">
        <f>IFERROR(VLOOKUP($B77,'PEDIDO JULIO'!$A$10:$AG$200,9,0),"0")</f>
        <v>0</v>
      </c>
      <c r="K77" s="153"/>
      <c r="L77" s="155">
        <f t="shared" si="40"/>
        <v>0</v>
      </c>
      <c r="M77" s="152" t="str">
        <f>IFERROR(VLOOKUP($B77,'PEDIDO JULIO'!$A$10:$AG$200,10,0),"0")</f>
        <v>0</v>
      </c>
      <c r="N77" s="153">
        <f>IFERROR(VLOOKUP($B77,'[5]INSUMOS MARZO'!$A$2:$S$105,17,0),"")</f>
        <v>0</v>
      </c>
      <c r="O77" s="154">
        <f t="shared" si="41"/>
        <v>0</v>
      </c>
      <c r="P77" s="152" t="str">
        <f>IFERROR(VLOOKUP($B77,'PEDIDO JULIO'!$A$10:$AG$200,11,0),"0")</f>
        <v>0</v>
      </c>
      <c r="Q77" s="153">
        <f>IFERROR(VLOOKUP($B77,'[5]INSUMOS MARZO'!$A$2:$S$105,17,0),"")</f>
        <v>0</v>
      </c>
      <c r="R77" s="154">
        <f t="shared" si="42"/>
        <v>0</v>
      </c>
      <c r="S77" s="152" t="str">
        <f>IFERROR(VLOOKUP($B77,'PEDIDO JULIO'!$A$10:$AG$200,12,0),"0")</f>
        <v>0</v>
      </c>
      <c r="T77" s="153">
        <f>IFERROR(VLOOKUP($B77,'[5]INSUMOS MARZO'!$A$2:$S$105,17,0),"")</f>
        <v>0</v>
      </c>
      <c r="U77" s="154">
        <f t="shared" si="43"/>
        <v>0</v>
      </c>
      <c r="V77" s="152" t="str">
        <f>IFERROR(VLOOKUP($B77,'PEDIDO JULIO'!$A$10:$AG$200,13,0),"0")</f>
        <v>0</v>
      </c>
      <c r="W77" s="153">
        <f>IFERROR(VLOOKUP($B77,'[5]INSUMOS MARZO'!$A$2:$S$105,17,0),"")</f>
        <v>0</v>
      </c>
      <c r="X77" s="154">
        <f t="shared" si="44"/>
        <v>0</v>
      </c>
      <c r="Y77" s="152" t="str">
        <f>IFERROR(VLOOKUP($B77,'PEDIDO JULIO'!$A$10:$AG$200,14,0),"0")</f>
        <v>0</v>
      </c>
      <c r="Z77" s="153">
        <f>IFERROR(VLOOKUP($B77,'[5]INSUMOS MARZO'!$A$2:$S$105,17,0),"")</f>
        <v>0</v>
      </c>
      <c r="AA77" s="154">
        <f t="shared" si="45"/>
        <v>0</v>
      </c>
      <c r="AB77" s="152" t="str">
        <f>IFERROR(VLOOKUP($B77,'PEDIDO JULIO'!$A$10:$AG$200,15,0),"0")</f>
        <v>0</v>
      </c>
      <c r="AC77" s="153">
        <f>IFERROR(VLOOKUP($B77,'[5]INSUMOS MARZO'!$A$2:$S$105,17,0),"")</f>
        <v>0</v>
      </c>
      <c r="AD77" s="154">
        <f t="shared" si="46"/>
        <v>0</v>
      </c>
      <c r="AE77" s="152" t="str">
        <f>IFERROR(VLOOKUP($B77,'PEDIDO JULIO'!$A$10:$AG$200,16,0),"0")</f>
        <v>0</v>
      </c>
      <c r="AF77" s="153">
        <f>IFERROR(VLOOKUP($B77,'[5]INSUMOS MARZO'!$A$2:$S$105,17,0),"")</f>
        <v>0</v>
      </c>
      <c r="AG77" s="154">
        <f t="shared" si="47"/>
        <v>0</v>
      </c>
      <c r="AH77" s="152" t="str">
        <f>IFERROR(VLOOKUP($B77,'PEDIDO JULIO'!$A$10:$AG$200,17,0),"0")</f>
        <v>0</v>
      </c>
      <c r="AI77" s="153">
        <f>IFERROR(VLOOKUP($B77,'[5]INSUMOS MARZO'!$A$2:$S$105,17,0),"")</f>
        <v>0</v>
      </c>
      <c r="AJ77" s="154">
        <f t="shared" si="48"/>
        <v>0</v>
      </c>
      <c r="AK77" s="152" t="str">
        <f>IFERROR(VLOOKUP($B77,'PEDIDO JULIO'!$A$10:$AG$200,18,0),"0")</f>
        <v>0</v>
      </c>
      <c r="AL77" s="153">
        <f>IFERROR(VLOOKUP($B77,'[5]INSUMOS MARZO'!$A$2:$S$105,17,0),"")</f>
        <v>0</v>
      </c>
      <c r="AM77" s="154">
        <f t="shared" si="49"/>
        <v>0</v>
      </c>
      <c r="AN77" s="152" t="str">
        <f>IFERROR(VLOOKUP($B77,'PEDIDO JULIO'!$A$10:$AG$200,19,0),"0")</f>
        <v>0</v>
      </c>
      <c r="AO77" s="153">
        <f>IFERROR(VLOOKUP($B77,'[5]INSUMOS MARZO'!$A$2:$S$105,17,0),"")</f>
        <v>0</v>
      </c>
      <c r="AP77" s="154">
        <f t="shared" si="50"/>
        <v>0</v>
      </c>
      <c r="AQ77" s="152" t="str">
        <f>IFERROR(VLOOKUP($B77,'PEDIDO JULIO'!$A$10:$AG$200,20,0),"0")</f>
        <v>0</v>
      </c>
      <c r="AR77" s="153">
        <f>IFERROR(VLOOKUP($B77,'[5]INSUMOS MARZO'!$A$2:$S$105,17,0),"")</f>
        <v>0</v>
      </c>
      <c r="AS77" s="154">
        <f t="shared" si="51"/>
        <v>0</v>
      </c>
      <c r="AT77" s="152" t="str">
        <f>IFERROR(VLOOKUP($B77,'PEDIDO JULIO'!$A$10:$AG$200,21,0),"0")</f>
        <v>0</v>
      </c>
      <c r="AU77" s="156">
        <f>IFERROR(VLOOKUP($B77,'[5]INSUMOS MARZO'!$A$2:$S$105,14,0),"")</f>
        <v>5005.7028</v>
      </c>
      <c r="AV77" s="154">
        <f t="shared" si="52"/>
        <v>0</v>
      </c>
      <c r="AW77" s="152" t="str">
        <f>IFERROR(VLOOKUP($B77,'PEDIDO JULIO'!$A$10:$AG$200,22,0),"0")</f>
        <v>0</v>
      </c>
      <c r="AX77" s="153">
        <f>IFERROR(VLOOKUP($B77,'[5]INSUMOS MARZO'!$A$2:$S$105,17,0),"")</f>
        <v>0</v>
      </c>
      <c r="AY77" s="154">
        <f t="shared" si="53"/>
        <v>0</v>
      </c>
      <c r="AZ77" s="152" t="str">
        <f>IFERROR(VLOOKUP($B77,'PEDIDO JULIO'!$A$10:$AG$200,23,0),"0")</f>
        <v>0</v>
      </c>
      <c r="BA77" s="153">
        <f>IFERROR(VLOOKUP($B77,'[5]INSUMOS MARZO'!$A$2:$S$105,17,0),"")</f>
        <v>0</v>
      </c>
      <c r="BB77" s="154">
        <f t="shared" si="54"/>
        <v>0</v>
      </c>
      <c r="BC77" s="152" t="str">
        <f>IFERROR(VLOOKUP($B77,'PEDIDO JULIO'!$A$10:$AG$200,24,0),"0")</f>
        <v>0</v>
      </c>
      <c r="BD77" s="153">
        <f>IFERROR(VLOOKUP($B77,'[5]INSUMOS MARZO'!$A$2:$S$105,17,0),"")</f>
        <v>0</v>
      </c>
      <c r="BE77" s="155">
        <f t="shared" si="55"/>
        <v>0</v>
      </c>
      <c r="BF77" s="152" t="str">
        <f>IFERROR(VLOOKUP($B77,'PEDIDO JULIO'!$A$10:$AG$200,25,0),"0")</f>
        <v>0</v>
      </c>
      <c r="BG77" s="153">
        <f>IFERROR(VLOOKUP($B77,'[5]INSUMOS MARZO'!$A$2:$S$105,17,0),"")</f>
        <v>0</v>
      </c>
      <c r="BH77" s="155">
        <f t="shared" si="56"/>
        <v>0</v>
      </c>
      <c r="BI77" s="152" t="str">
        <f>IFERROR(VLOOKUP($B77,'PEDIDO JULIO'!$A$10:$AG$200,26,0),"0")</f>
        <v>0</v>
      </c>
      <c r="BJ77" s="153">
        <f>IFERROR(VLOOKUP($B77,'[5]INSUMOS MARZO'!$A$2:$S$105,17,0),"")</f>
        <v>0</v>
      </c>
      <c r="BK77" s="154">
        <f t="shared" si="57"/>
        <v>0</v>
      </c>
      <c r="BL77" s="152" t="str">
        <f>IFERROR(VLOOKUP($B77,'PEDIDO JULIO'!$A$10:$AG$200,27,0),"0")</f>
        <v>0</v>
      </c>
      <c r="BM77" s="153">
        <f>IFERROR(VLOOKUP($B77,'[5]INSUMOS MARZO'!$A$2:$S$105,17,0),"")</f>
        <v>0</v>
      </c>
      <c r="BN77" s="154">
        <f t="shared" si="58"/>
        <v>0</v>
      </c>
      <c r="BO77" s="152" t="str">
        <f>IFERROR(VLOOKUP($B77,'PEDIDO JULIO'!$A$10:$AG$200,28,0),"0")</f>
        <v>0</v>
      </c>
      <c r="BP77" s="153">
        <f>IFERROR(VLOOKUP($B77,'[5]INSUMOS MARZO'!$A$2:$S$105,17,0),"")</f>
        <v>0</v>
      </c>
      <c r="BQ77" s="154">
        <f t="shared" si="59"/>
        <v>0</v>
      </c>
      <c r="BR77" s="152" t="str">
        <f>IFERROR(VLOOKUP($B77,'PEDIDO JULIO'!$A$10:$AG$200,29,0),"0")</f>
        <v>0</v>
      </c>
      <c r="BS77" s="153">
        <f>IFERROR(VLOOKUP($B77,'[5]INSUMOS MARZO'!$A$2:$S$105,17,0),"")</f>
        <v>0</v>
      </c>
      <c r="BT77" s="155">
        <f t="shared" si="60"/>
        <v>0</v>
      </c>
      <c r="BU77" s="152" t="str">
        <f>IFERROR(VLOOKUP($B77,'PEDIDO JULIO'!$A$10:$AG$200,30,0),"0")</f>
        <v>0</v>
      </c>
      <c r="BV77" s="153">
        <f>IFERROR(VLOOKUP($B77,'[5]INSUMOS MARZO'!$A$2:$S$105,17,0),"")</f>
        <v>0</v>
      </c>
      <c r="BW77" s="155">
        <f t="shared" si="61"/>
        <v>0</v>
      </c>
      <c r="BX77" s="152" t="str">
        <f>IFERROR(VLOOKUP($B77,'PEDIDO JULIO'!$A$10:$AG$200,31,0),"0")</f>
        <v>0</v>
      </c>
      <c r="BY77" s="153">
        <f>IFERROR(VLOOKUP($B77,'[5]INSUMOS MARZO'!$A$2:$S$105,17,0),"")</f>
        <v>0</v>
      </c>
      <c r="BZ77" s="155">
        <f t="shared" si="62"/>
        <v>0</v>
      </c>
      <c r="CA77" s="152" t="str">
        <f>IFERROR(VLOOKUP($B77,'PEDIDO JULIO'!$A$10:$AG$200,32,0),"0")</f>
        <v>0</v>
      </c>
      <c r="CB77" s="153">
        <f>IFERROR(VLOOKUP($B77,'[5]INSUMOS MARZO'!$A$2:$S$105,17,0),"")</f>
        <v>0</v>
      </c>
      <c r="CC77" s="155">
        <f t="shared" si="63"/>
        <v>0</v>
      </c>
      <c r="CD77" s="157">
        <f t="shared" si="38"/>
        <v>0</v>
      </c>
      <c r="CE77" s="158">
        <f t="shared" si="64"/>
        <v>0</v>
      </c>
      <c r="CF77" s="251">
        <f>IFERROR(VLOOKUP($B77,'MATRIZ INSUMOS '!$A$3:$P$106,16,0),"")</f>
        <v>0</v>
      </c>
      <c r="CG77" s="153">
        <f>IFERROR(VLOOKUP($B77,'[5]INSUMOS MARZO'!$A$2:$S$105,17,0),"")</f>
        <v>0</v>
      </c>
      <c r="CH77" s="156">
        <f t="shared" si="65"/>
        <v>0</v>
      </c>
      <c r="CI77" s="251">
        <f>IFERROR(VLOOKUP($B77,'MATRIZ INSUMOS '!$A$3:$P$106,10,0),"")</f>
        <v>0</v>
      </c>
      <c r="CJ77" s="156">
        <f>IFERROR(VLOOKUP($B77,'[5]INSUMOS MARZO'!$A$2:$S$105,14,0),"")</f>
        <v>5005.7028</v>
      </c>
      <c r="CK77" s="159">
        <f t="shared" si="66"/>
        <v>0</v>
      </c>
      <c r="CL77" s="160">
        <f t="shared" si="67"/>
        <v>0</v>
      </c>
      <c r="CM77" s="14">
        <f t="shared" si="68"/>
        <v>0</v>
      </c>
      <c r="CN77" s="14">
        <f t="shared" si="69"/>
        <v>0</v>
      </c>
      <c r="CO77" s="14">
        <f t="shared" si="70"/>
        <v>0</v>
      </c>
      <c r="CQ77" s="19">
        <f t="shared" si="71"/>
        <v>0</v>
      </c>
      <c r="CR77" s="19" t="b">
        <f>CQ77=CL77</f>
        <v>1</v>
      </c>
      <c r="CS77" s="19">
        <f t="shared" si="73"/>
        <v>0</v>
      </c>
    </row>
    <row r="78" spans="1:97" ht="16.5">
      <c r="A78" s="3">
        <v>73</v>
      </c>
      <c r="B78" s="151">
        <v>155</v>
      </c>
      <c r="C78" s="4" t="s">
        <v>95</v>
      </c>
      <c r="D78" s="152">
        <f>IFERROR(VLOOKUP($B78,'[4]INSUMOS FEBRERO'!$A$2:$F$105,5,0),"")</f>
        <v>96</v>
      </c>
      <c r="E78" s="152" t="str">
        <f>IFERROR(VLOOKUP($B78,'PEDIDO JULIO'!$A$10:$AG$32,33,0),"0")</f>
        <v>0</v>
      </c>
      <c r="F78" s="152">
        <f t="shared" si="39"/>
        <v>-96</v>
      </c>
      <c r="G78" s="152">
        <f>IFERROR(VLOOKUP($B78,'PEDIDO JULIO'!$A$10:$AG$200,8,0),"0")</f>
        <v>0</v>
      </c>
      <c r="H78" s="156">
        <f>IFERROR(VLOOKUP($B78,'[5]INSUMOS MARZO'!$A$2:$S$105,14,0),"")</f>
        <v>5005.7028</v>
      </c>
      <c r="I78" s="154">
        <f t="shared" si="37"/>
        <v>0</v>
      </c>
      <c r="J78" s="152">
        <f>IFERROR(VLOOKUP($B78,'PEDIDO JULIO'!$A$10:$AG$200,9,0),"0")</f>
        <v>0</v>
      </c>
      <c r="K78" s="156">
        <f>IFERROR(VLOOKUP($B78,'[5]INSUMOS MARZO'!$A$2:$S$105,14,0),"")</f>
        <v>5005.7028</v>
      </c>
      <c r="L78" s="155">
        <f t="shared" si="40"/>
        <v>0</v>
      </c>
      <c r="M78" s="152">
        <f>IFERROR(VLOOKUP($B78,'PEDIDO JULIO'!$A$10:$AG$200,10,0),"0")</f>
        <v>0</v>
      </c>
      <c r="N78" s="153">
        <f>IFERROR(VLOOKUP($B78,'[5]INSUMOS MARZO'!$A$2:$S$105,17,0),"")</f>
        <v>3703.7239999999997</v>
      </c>
      <c r="O78" s="154">
        <f t="shared" si="41"/>
        <v>0</v>
      </c>
      <c r="P78" s="152">
        <f>IFERROR(VLOOKUP($B78,'PEDIDO JULIO'!$A$10:$AG$200,11,0),"0")</f>
        <v>0</v>
      </c>
      <c r="Q78" s="153">
        <f>IFERROR(VLOOKUP($B78,'[5]INSUMOS MARZO'!$A$2:$S$105,17,0),"")</f>
        <v>3703.7239999999997</v>
      </c>
      <c r="R78" s="154">
        <f t="shared" si="42"/>
        <v>0</v>
      </c>
      <c r="S78" s="152">
        <f>IFERROR(VLOOKUP($B78,'PEDIDO JULIO'!$A$10:$AG$200,12,0),"0")</f>
        <v>0</v>
      </c>
      <c r="T78" s="153">
        <f>IFERROR(VLOOKUP($B78,'[5]INSUMOS MARZO'!$A$2:$S$105,17,0),"")</f>
        <v>3703.7239999999997</v>
      </c>
      <c r="U78" s="154">
        <f t="shared" si="43"/>
        <v>0</v>
      </c>
      <c r="V78" s="152">
        <f>IFERROR(VLOOKUP($B78,'PEDIDO JULIO'!$A$10:$AG$200,13,0),"0")</f>
        <v>0</v>
      </c>
      <c r="W78" s="153">
        <f>IFERROR(VLOOKUP($B78,'[5]INSUMOS MARZO'!$A$2:$S$105,17,0),"")</f>
        <v>3703.7239999999997</v>
      </c>
      <c r="X78" s="154">
        <f t="shared" si="44"/>
        <v>0</v>
      </c>
      <c r="Y78" s="152">
        <f>IFERROR(VLOOKUP($B78,'PEDIDO JULIO'!$A$10:$AG$200,14,0),"0")</f>
        <v>0</v>
      </c>
      <c r="Z78" s="153">
        <f>IFERROR(VLOOKUP($B78,'[5]INSUMOS MARZO'!$A$2:$S$105,17,0),"")</f>
        <v>3703.7239999999997</v>
      </c>
      <c r="AA78" s="154">
        <f t="shared" si="45"/>
        <v>0</v>
      </c>
      <c r="AB78" s="152">
        <f>IFERROR(VLOOKUP($B78,'PEDIDO JULIO'!$A$10:$AG$200,15,0),"0")</f>
        <v>0</v>
      </c>
      <c r="AC78" s="153">
        <f>IFERROR(VLOOKUP($B78,'[5]INSUMOS MARZO'!$A$2:$S$105,17,0),"")</f>
        <v>3703.7239999999997</v>
      </c>
      <c r="AD78" s="154">
        <f t="shared" si="46"/>
        <v>0</v>
      </c>
      <c r="AE78" s="152">
        <f>IFERROR(VLOOKUP($B78,'PEDIDO JULIO'!$A$10:$AG$200,16,0),"0")</f>
        <v>0</v>
      </c>
      <c r="AF78" s="153">
        <f>IFERROR(VLOOKUP($B78,'[5]INSUMOS MARZO'!$A$2:$S$105,17,0),"")</f>
        <v>3703.7239999999997</v>
      </c>
      <c r="AG78" s="154">
        <f t="shared" si="47"/>
        <v>0</v>
      </c>
      <c r="AH78" s="152">
        <f>IFERROR(VLOOKUP($B78,'PEDIDO JULIO'!$A$10:$AG$200,17,0),"0")</f>
        <v>0</v>
      </c>
      <c r="AI78" s="153">
        <f>IFERROR(VLOOKUP($B78,'[5]INSUMOS MARZO'!$A$2:$S$105,17,0),"")</f>
        <v>3703.7239999999997</v>
      </c>
      <c r="AJ78" s="154">
        <f t="shared" si="48"/>
        <v>0</v>
      </c>
      <c r="AK78" s="152">
        <f>IFERROR(VLOOKUP($B78,'PEDIDO JULIO'!$A$10:$AG$200,18,0),"0")</f>
        <v>0</v>
      </c>
      <c r="AL78" s="153">
        <f>IFERROR(VLOOKUP($B78,'[5]INSUMOS MARZO'!$A$2:$S$105,17,0),"")</f>
        <v>3703.7239999999997</v>
      </c>
      <c r="AM78" s="154">
        <f t="shared" si="49"/>
        <v>0</v>
      </c>
      <c r="AN78" s="152">
        <f>IFERROR(VLOOKUP($B78,'PEDIDO JULIO'!$A$10:$AG$200,19,0),"0")</f>
        <v>0</v>
      </c>
      <c r="AO78" s="153">
        <f>IFERROR(VLOOKUP($B78,'[5]INSUMOS MARZO'!$A$2:$S$105,17,0),"")</f>
        <v>3703.7239999999997</v>
      </c>
      <c r="AP78" s="154">
        <f t="shared" si="50"/>
        <v>0</v>
      </c>
      <c r="AQ78" s="152">
        <f>IFERROR(VLOOKUP($B78,'PEDIDO JULIO'!$A$10:$AG$200,20,0),"0")</f>
        <v>0</v>
      </c>
      <c r="AR78" s="153">
        <f>IFERROR(VLOOKUP($B78,'[5]INSUMOS MARZO'!$A$2:$S$105,17,0),"")</f>
        <v>3703.7239999999997</v>
      </c>
      <c r="AS78" s="154">
        <f t="shared" si="51"/>
        <v>0</v>
      </c>
      <c r="AT78" s="152">
        <f>IFERROR(VLOOKUP($B78,'PEDIDO JULIO'!$A$10:$AG$200,21,0),"0")</f>
        <v>0</v>
      </c>
      <c r="AU78" s="153">
        <f>IFERROR(VLOOKUP($B78,'[5]INSUMOS MARZO'!$A$2:$S$105,17,0),"")</f>
        <v>3703.7239999999997</v>
      </c>
      <c r="AV78" s="154">
        <f t="shared" si="52"/>
        <v>0</v>
      </c>
      <c r="AW78" s="152">
        <f>IFERROR(VLOOKUP($B78,'PEDIDO JULIO'!$A$10:$AG$200,22,0),"0")</f>
        <v>0</v>
      </c>
      <c r="AX78" s="153">
        <f>IFERROR(VLOOKUP($B78,'[5]INSUMOS MARZO'!$A$2:$S$105,17,0),"")</f>
        <v>3703.7239999999997</v>
      </c>
      <c r="AY78" s="154">
        <f t="shared" si="53"/>
        <v>0</v>
      </c>
      <c r="AZ78" s="152">
        <f>IFERROR(VLOOKUP($B78,'PEDIDO JULIO'!$A$10:$AG$200,23,0),"0")</f>
        <v>0</v>
      </c>
      <c r="BA78" s="153">
        <f>IFERROR(VLOOKUP($B78,'[5]INSUMOS MARZO'!$A$2:$S$105,17,0),"")</f>
        <v>3703.7239999999997</v>
      </c>
      <c r="BB78" s="154">
        <f t="shared" si="54"/>
        <v>0</v>
      </c>
      <c r="BC78" s="152">
        <f>IFERROR(VLOOKUP($B78,'PEDIDO JULIO'!$A$10:$AG$200,24,0),"0")</f>
        <v>0</v>
      </c>
      <c r="BD78" s="153">
        <f>IFERROR(VLOOKUP($B78,'[5]INSUMOS MARZO'!$A$2:$S$105,17,0),"")</f>
        <v>3703.7239999999997</v>
      </c>
      <c r="BE78" s="155">
        <f t="shared" si="55"/>
        <v>0</v>
      </c>
      <c r="BF78" s="152">
        <f>IFERROR(VLOOKUP($B78,'PEDIDO JULIO'!$A$10:$AG$200,25,0),"0")</f>
        <v>0</v>
      </c>
      <c r="BG78" s="153">
        <f>IFERROR(VLOOKUP($B78,'[5]INSUMOS MARZO'!$A$2:$S$105,17,0),"")</f>
        <v>3703.7239999999997</v>
      </c>
      <c r="BH78" s="155">
        <f t="shared" si="56"/>
        <v>0</v>
      </c>
      <c r="BI78" s="152">
        <f>IFERROR(VLOOKUP($B78,'PEDIDO JULIO'!$A$10:$AG$200,26,0),"0")</f>
        <v>80</v>
      </c>
      <c r="BJ78" s="156">
        <f>IFERROR(VLOOKUP($B78,'[5]INSUMOS MARZO'!$A$2:$S$105,14,0),"")</f>
        <v>5005.7028</v>
      </c>
      <c r="BK78" s="154">
        <f t="shared" si="57"/>
        <v>400456.22399999999</v>
      </c>
      <c r="BL78" s="152">
        <f>IFERROR(VLOOKUP($B78,'PEDIDO JULIO'!$A$10:$AG$200,27,0),"0")</f>
        <v>0</v>
      </c>
      <c r="BM78" s="153">
        <f>IFERROR(VLOOKUP($B78,'[5]INSUMOS MARZO'!$A$2:$S$105,17,0),"")</f>
        <v>3703.7239999999997</v>
      </c>
      <c r="BN78" s="154">
        <f t="shared" si="58"/>
        <v>0</v>
      </c>
      <c r="BO78" s="152">
        <f>IFERROR(VLOOKUP($B78,'PEDIDO JULIO'!$A$10:$AG$200,28,0),"0")</f>
        <v>0</v>
      </c>
      <c r="BP78" s="153">
        <f>IFERROR(VLOOKUP($B78,'[5]INSUMOS MARZO'!$A$2:$S$105,17,0),"")</f>
        <v>3703.7239999999997</v>
      </c>
      <c r="BQ78" s="154">
        <f t="shared" si="59"/>
        <v>0</v>
      </c>
      <c r="BR78" s="152">
        <f>IFERROR(VLOOKUP($B78,'PEDIDO JULIO'!$A$10:$AG$200,29,0),"0")</f>
        <v>50</v>
      </c>
      <c r="BS78" s="156">
        <f>IFERROR(VLOOKUP($B78,'[5]INSUMOS MARZO'!$A$2:$S$105,14,0),"")</f>
        <v>5005.7028</v>
      </c>
      <c r="BT78" s="155">
        <f t="shared" si="60"/>
        <v>250285.14</v>
      </c>
      <c r="BU78" s="152">
        <f>IFERROR(VLOOKUP($B78,'PEDIDO JULIO'!$A$10:$AG$200,30,0),"0")</f>
        <v>0</v>
      </c>
      <c r="BV78" s="153">
        <f>IFERROR(VLOOKUP($B78,'[5]INSUMOS MARZO'!$A$2:$S$105,17,0),"")</f>
        <v>3703.7239999999997</v>
      </c>
      <c r="BW78" s="155">
        <f t="shared" si="61"/>
        <v>0</v>
      </c>
      <c r="BX78" s="152">
        <f>IFERROR(VLOOKUP($B78,'PEDIDO JULIO'!$A$10:$AG$200,31,0),"0")</f>
        <v>0</v>
      </c>
      <c r="BY78" s="153">
        <f>IFERROR(VLOOKUP($B78,'[5]INSUMOS MARZO'!$A$2:$S$105,17,0),"")</f>
        <v>3703.7239999999997</v>
      </c>
      <c r="BZ78" s="155">
        <f t="shared" si="62"/>
        <v>0</v>
      </c>
      <c r="CA78" s="152">
        <f>IFERROR(VLOOKUP($B78,'PEDIDO JULIO'!$A$10:$AG$200,32,0),"0")</f>
        <v>0</v>
      </c>
      <c r="CB78" s="153">
        <f>IFERROR(VLOOKUP($B78,'[5]INSUMOS MARZO'!$A$2:$S$105,17,0),"")</f>
        <v>3703.7239999999997</v>
      </c>
      <c r="CC78" s="155">
        <f t="shared" si="63"/>
        <v>0</v>
      </c>
      <c r="CD78" s="164">
        <f t="shared" si="38"/>
        <v>130</v>
      </c>
      <c r="CE78" s="158">
        <f t="shared" si="64"/>
        <v>130</v>
      </c>
      <c r="CF78" s="251">
        <v>0</v>
      </c>
      <c r="CG78" s="153">
        <f>IFERROR(VLOOKUP($B78,'[5]INSUMOS MARZO'!$A$2:$S$105,17,0),"")</f>
        <v>3703.7239999999997</v>
      </c>
      <c r="CH78" s="156">
        <f t="shared" si="65"/>
        <v>0</v>
      </c>
      <c r="CI78" s="251">
        <v>130</v>
      </c>
      <c r="CJ78" s="156">
        <f>IFERROR(VLOOKUP($B78,'[5]INSUMOS MARZO'!$A$2:$S$105,14,0),"")</f>
        <v>5005.7028</v>
      </c>
      <c r="CK78" s="159">
        <f t="shared" si="66"/>
        <v>650741.36400000006</v>
      </c>
      <c r="CL78" s="160">
        <f t="shared" si="67"/>
        <v>650741.36400000006</v>
      </c>
      <c r="CM78" s="14">
        <f t="shared" si="68"/>
        <v>65074.13640000001</v>
      </c>
      <c r="CN78" s="14">
        <f t="shared" si="69"/>
        <v>12364.085916000002</v>
      </c>
      <c r="CO78" s="14">
        <f t="shared" si="70"/>
        <v>728179.58631599997</v>
      </c>
      <c r="CQ78" s="19">
        <f t="shared" si="71"/>
        <v>650741.36400000006</v>
      </c>
      <c r="CR78" s="19" t="b">
        <f t="shared" si="72"/>
        <v>1</v>
      </c>
      <c r="CS78" s="19">
        <f t="shared" si="73"/>
        <v>0</v>
      </c>
    </row>
    <row r="79" spans="1:97" ht="16.5">
      <c r="A79" s="3">
        <v>74</v>
      </c>
      <c r="B79" s="151">
        <v>156</v>
      </c>
      <c r="C79" s="4" t="s">
        <v>96</v>
      </c>
      <c r="D79" s="152">
        <f>IFERROR(VLOOKUP($B79,'[4]INSUMOS FEBRERO'!$A$2:$F$105,5,0),"")</f>
        <v>70</v>
      </c>
      <c r="E79" s="152" t="str">
        <f>IFERROR(VLOOKUP($B79,'PEDIDO JULIO'!$A$10:$AG$32,33,0),"0")</f>
        <v>0</v>
      </c>
      <c r="F79" s="152">
        <f t="shared" si="39"/>
        <v>-70</v>
      </c>
      <c r="G79" s="152" t="str">
        <f>IFERROR(VLOOKUP($B79,'PEDIDO JULIO'!$A$10:$AG$200,8,0),"0")</f>
        <v>0</v>
      </c>
      <c r="H79" s="153">
        <f>IFERROR(VLOOKUP($B79,'[5]INSUMOS MARZO'!$A$2:$S$105,17,0),"")</f>
        <v>4422.6080000000002</v>
      </c>
      <c r="I79" s="154">
        <f t="shared" si="37"/>
        <v>0</v>
      </c>
      <c r="J79" s="152" t="str">
        <f>IFERROR(VLOOKUP($B79,'PEDIDO JULIO'!$A$10:$AG$200,9,0),"0")</f>
        <v>0</v>
      </c>
      <c r="K79" s="153">
        <f>IFERROR(VLOOKUP($B79,'[5]INSUMOS MARZO'!$A$2:$S$105,17,0),"")</f>
        <v>4422.6080000000002</v>
      </c>
      <c r="L79" s="155">
        <f t="shared" si="40"/>
        <v>0</v>
      </c>
      <c r="M79" s="152" t="str">
        <f>IFERROR(VLOOKUP($B79,'PEDIDO JULIO'!$A$10:$AG$200,10,0),"0")</f>
        <v>0</v>
      </c>
      <c r="N79" s="153">
        <f>IFERROR(VLOOKUP($B79,'[5]INSUMOS MARZO'!$A$2:$S$105,17,0),"")</f>
        <v>4422.6080000000002</v>
      </c>
      <c r="O79" s="154">
        <f t="shared" si="41"/>
        <v>0</v>
      </c>
      <c r="P79" s="152" t="str">
        <f>IFERROR(VLOOKUP($B79,'PEDIDO JULIO'!$A$10:$AG$200,11,0),"0")</f>
        <v>0</v>
      </c>
      <c r="Q79" s="153">
        <f>IFERROR(VLOOKUP($B79,'[5]INSUMOS MARZO'!$A$2:$S$105,17,0),"")</f>
        <v>4422.6080000000002</v>
      </c>
      <c r="R79" s="154">
        <f t="shared" si="42"/>
        <v>0</v>
      </c>
      <c r="S79" s="152" t="str">
        <f>IFERROR(VLOOKUP($B79,'PEDIDO JULIO'!$A$10:$AG$200,12,0),"0")</f>
        <v>0</v>
      </c>
      <c r="T79" s="153">
        <f>IFERROR(VLOOKUP($B79,'[5]INSUMOS MARZO'!$A$2:$S$105,17,0),"")</f>
        <v>4422.6080000000002</v>
      </c>
      <c r="U79" s="154">
        <f t="shared" si="43"/>
        <v>0</v>
      </c>
      <c r="V79" s="152" t="str">
        <f>IFERROR(VLOOKUP($B79,'PEDIDO JULIO'!$A$10:$AG$200,13,0),"0")</f>
        <v>0</v>
      </c>
      <c r="W79" s="153">
        <f>IFERROR(VLOOKUP($B79,'[5]INSUMOS MARZO'!$A$2:$S$105,17,0),"")</f>
        <v>4422.6080000000002</v>
      </c>
      <c r="X79" s="154">
        <f t="shared" si="44"/>
        <v>0</v>
      </c>
      <c r="Y79" s="152" t="str">
        <f>IFERROR(VLOOKUP($B79,'PEDIDO JULIO'!$A$10:$AG$200,14,0),"0")</f>
        <v>0</v>
      </c>
      <c r="Z79" s="153">
        <f>IFERROR(VLOOKUP($B79,'[5]INSUMOS MARZO'!$A$2:$S$105,17,0),"")</f>
        <v>4422.6080000000002</v>
      </c>
      <c r="AA79" s="154">
        <f t="shared" si="45"/>
        <v>0</v>
      </c>
      <c r="AB79" s="152" t="str">
        <f>IFERROR(VLOOKUP($B79,'PEDIDO JULIO'!$A$10:$AG$200,15,0),"0")</f>
        <v>0</v>
      </c>
      <c r="AC79" s="153">
        <f>IFERROR(VLOOKUP($B79,'[5]INSUMOS MARZO'!$A$2:$S$105,17,0),"")</f>
        <v>4422.6080000000002</v>
      </c>
      <c r="AD79" s="154">
        <f t="shared" si="46"/>
        <v>0</v>
      </c>
      <c r="AE79" s="152" t="str">
        <f>IFERROR(VLOOKUP($B79,'PEDIDO JULIO'!$A$10:$AG$200,16,0),"0")</f>
        <v>0</v>
      </c>
      <c r="AF79" s="153">
        <f>IFERROR(VLOOKUP($B79,'[5]INSUMOS MARZO'!$A$2:$S$105,17,0),"")</f>
        <v>4422.6080000000002</v>
      </c>
      <c r="AG79" s="154">
        <f t="shared" si="47"/>
        <v>0</v>
      </c>
      <c r="AH79" s="152" t="str">
        <f>IFERROR(VLOOKUP($B79,'PEDIDO JULIO'!$A$10:$AG$200,17,0),"0")</f>
        <v>0</v>
      </c>
      <c r="AI79" s="153">
        <f>IFERROR(VLOOKUP($B79,'[5]INSUMOS MARZO'!$A$2:$S$105,17,0),"")</f>
        <v>4422.6080000000002</v>
      </c>
      <c r="AJ79" s="154">
        <f t="shared" si="48"/>
        <v>0</v>
      </c>
      <c r="AK79" s="152" t="str">
        <f>IFERROR(VLOOKUP($B79,'PEDIDO JULIO'!$A$10:$AG$200,18,0),"0")</f>
        <v>0</v>
      </c>
      <c r="AL79" s="153">
        <f>IFERROR(VLOOKUP($B79,'[5]INSUMOS MARZO'!$A$2:$S$105,17,0),"")</f>
        <v>4422.6080000000002</v>
      </c>
      <c r="AM79" s="154">
        <f t="shared" si="49"/>
        <v>0</v>
      </c>
      <c r="AN79" s="152" t="str">
        <f>IFERROR(VLOOKUP($B79,'PEDIDO JULIO'!$A$10:$AG$200,19,0),"0")</f>
        <v>0</v>
      </c>
      <c r="AO79" s="153">
        <f>IFERROR(VLOOKUP($B79,'[5]INSUMOS MARZO'!$A$2:$S$105,17,0),"")</f>
        <v>4422.6080000000002</v>
      </c>
      <c r="AP79" s="154">
        <f t="shared" si="50"/>
        <v>0</v>
      </c>
      <c r="AQ79" s="152" t="str">
        <f>IFERROR(VLOOKUP($B79,'PEDIDO JULIO'!$A$10:$AG$200,20,0),"0")</f>
        <v>0</v>
      </c>
      <c r="AR79" s="153">
        <f>IFERROR(VLOOKUP($B79,'[5]INSUMOS MARZO'!$A$2:$S$105,17,0),"")</f>
        <v>4422.6080000000002</v>
      </c>
      <c r="AS79" s="154">
        <f t="shared" si="51"/>
        <v>0</v>
      </c>
      <c r="AT79" s="152" t="str">
        <f>IFERROR(VLOOKUP($B79,'PEDIDO JULIO'!$A$10:$AG$200,21,0),"0")</f>
        <v>0</v>
      </c>
      <c r="AU79" s="156">
        <f>IFERROR(VLOOKUP($B79,'[5]INSUMOS MARZO'!$A$2:$S$105,14,0),"")</f>
        <v>7711.9227000000001</v>
      </c>
      <c r="AV79" s="154">
        <f t="shared" si="52"/>
        <v>0</v>
      </c>
      <c r="AW79" s="152" t="str">
        <f>IFERROR(VLOOKUP($B79,'PEDIDO JULIO'!$A$10:$AG$200,22,0),"0")</f>
        <v>0</v>
      </c>
      <c r="AX79" s="153">
        <f>IFERROR(VLOOKUP($B79,'[5]INSUMOS MARZO'!$A$2:$S$105,17,0),"")</f>
        <v>4422.6080000000002</v>
      </c>
      <c r="AY79" s="154">
        <f t="shared" si="53"/>
        <v>0</v>
      </c>
      <c r="AZ79" s="152" t="str">
        <f>IFERROR(VLOOKUP($B79,'PEDIDO JULIO'!$A$10:$AG$200,23,0),"0")</f>
        <v>0</v>
      </c>
      <c r="BA79" s="153">
        <f>IFERROR(VLOOKUP($B79,'[5]INSUMOS MARZO'!$A$2:$S$105,17,0),"")</f>
        <v>4422.6080000000002</v>
      </c>
      <c r="BB79" s="154">
        <f t="shared" si="54"/>
        <v>0</v>
      </c>
      <c r="BC79" s="152" t="str">
        <f>IFERROR(VLOOKUP($B79,'PEDIDO JULIO'!$A$10:$AG$200,24,0),"0")</f>
        <v>0</v>
      </c>
      <c r="BD79" s="153">
        <f>IFERROR(VLOOKUP($B79,'[5]INSUMOS MARZO'!$A$2:$S$105,17,0),"")</f>
        <v>4422.6080000000002</v>
      </c>
      <c r="BE79" s="155">
        <f t="shared" si="55"/>
        <v>0</v>
      </c>
      <c r="BF79" s="152" t="str">
        <f>IFERROR(VLOOKUP($B79,'PEDIDO JULIO'!$A$10:$AG$200,25,0),"0")</f>
        <v>0</v>
      </c>
      <c r="BG79" s="153">
        <f>IFERROR(VLOOKUP($B79,'[5]INSUMOS MARZO'!$A$2:$S$105,17,0),"")</f>
        <v>4422.6080000000002</v>
      </c>
      <c r="BH79" s="155">
        <f t="shared" si="56"/>
        <v>0</v>
      </c>
      <c r="BI79" s="152" t="str">
        <f>IFERROR(VLOOKUP($B79,'PEDIDO JULIO'!$A$10:$AG$200,26,0),"0")</f>
        <v>0</v>
      </c>
      <c r="BJ79" s="153">
        <f>IFERROR(VLOOKUP($B79,'[5]INSUMOS MARZO'!$A$2:$S$105,17,0),"")</f>
        <v>4422.6080000000002</v>
      </c>
      <c r="BK79" s="154">
        <f t="shared" si="57"/>
        <v>0</v>
      </c>
      <c r="BL79" s="152" t="str">
        <f>IFERROR(VLOOKUP($B79,'PEDIDO JULIO'!$A$10:$AG$200,27,0),"0")</f>
        <v>0</v>
      </c>
      <c r="BM79" s="153">
        <f>IFERROR(VLOOKUP($B79,'[5]INSUMOS MARZO'!$A$2:$S$105,17,0),"")</f>
        <v>4422.6080000000002</v>
      </c>
      <c r="BN79" s="154">
        <f t="shared" si="58"/>
        <v>0</v>
      </c>
      <c r="BO79" s="152" t="str">
        <f>IFERROR(VLOOKUP($B79,'PEDIDO JULIO'!$A$10:$AG$200,28,0),"0")</f>
        <v>0</v>
      </c>
      <c r="BP79" s="153">
        <f>IFERROR(VLOOKUP($B79,'[5]INSUMOS MARZO'!$A$2:$S$105,17,0),"")</f>
        <v>4422.6080000000002</v>
      </c>
      <c r="BQ79" s="154">
        <f t="shared" si="59"/>
        <v>0</v>
      </c>
      <c r="BR79" s="152" t="str">
        <f>IFERROR(VLOOKUP($B79,'PEDIDO JULIO'!$A$10:$AG$200,29,0),"0")</f>
        <v>0</v>
      </c>
      <c r="BS79" s="153">
        <f>IFERROR(VLOOKUP($B79,'[5]INSUMOS MARZO'!$A$2:$S$105,17,0),"")</f>
        <v>4422.6080000000002</v>
      </c>
      <c r="BT79" s="155">
        <f t="shared" si="60"/>
        <v>0</v>
      </c>
      <c r="BU79" s="152" t="str">
        <f>IFERROR(VLOOKUP($B79,'PEDIDO JULIO'!$A$10:$AG$200,30,0),"0")</f>
        <v>0</v>
      </c>
      <c r="BV79" s="153">
        <f>IFERROR(VLOOKUP($B79,'[5]INSUMOS MARZO'!$A$2:$S$105,17,0),"")</f>
        <v>4422.6080000000002</v>
      </c>
      <c r="BW79" s="155">
        <f t="shared" si="61"/>
        <v>0</v>
      </c>
      <c r="BX79" s="152" t="str">
        <f>IFERROR(VLOOKUP($B79,'PEDIDO JULIO'!$A$10:$AG$200,31,0),"0")</f>
        <v>0</v>
      </c>
      <c r="BY79" s="153">
        <f>IFERROR(VLOOKUP($B79,'[5]INSUMOS MARZO'!$A$2:$S$105,17,0),"")</f>
        <v>4422.6080000000002</v>
      </c>
      <c r="BZ79" s="155">
        <f t="shared" si="62"/>
        <v>0</v>
      </c>
      <c r="CA79" s="152" t="str">
        <f>IFERROR(VLOOKUP($B79,'PEDIDO JULIO'!$A$10:$AG$200,32,0),"0")</f>
        <v>0</v>
      </c>
      <c r="CB79" s="153">
        <f>IFERROR(VLOOKUP($B79,'[5]INSUMOS MARZO'!$A$2:$S$105,17,0),"")</f>
        <v>4422.6080000000002</v>
      </c>
      <c r="CC79" s="155">
        <f t="shared" si="63"/>
        <v>0</v>
      </c>
      <c r="CD79" s="157">
        <f t="shared" si="38"/>
        <v>0</v>
      </c>
      <c r="CE79" s="158">
        <f t="shared" si="64"/>
        <v>0</v>
      </c>
      <c r="CF79" s="251">
        <f>IFERROR(VLOOKUP($B79,'MATRIZ INSUMOS '!$A$3:$P$106,16,0),"")</f>
        <v>0</v>
      </c>
      <c r="CG79" s="153">
        <f>IFERROR(VLOOKUP($B79,'[5]INSUMOS MARZO'!$A$2:$S$105,17,0),"")</f>
        <v>4422.6080000000002</v>
      </c>
      <c r="CH79" s="156">
        <f t="shared" si="65"/>
        <v>0</v>
      </c>
      <c r="CI79" s="251">
        <f>IFERROR(VLOOKUP($B79,'MATRIZ INSUMOS '!$A$3:$P$106,10,0),"")</f>
        <v>0</v>
      </c>
      <c r="CJ79" s="156">
        <f>IFERROR(VLOOKUP($B79,'[5]INSUMOS MARZO'!$A$2:$S$105,14,0),"")</f>
        <v>7711.9227000000001</v>
      </c>
      <c r="CK79" s="159">
        <f t="shared" si="66"/>
        <v>0</v>
      </c>
      <c r="CL79" s="160">
        <f t="shared" si="67"/>
        <v>0</v>
      </c>
      <c r="CM79" s="14">
        <f t="shared" si="68"/>
        <v>0</v>
      </c>
      <c r="CN79" s="14">
        <f t="shared" si="69"/>
        <v>0</v>
      </c>
      <c r="CO79" s="14">
        <f t="shared" si="70"/>
        <v>0</v>
      </c>
      <c r="CQ79" s="19">
        <f t="shared" si="71"/>
        <v>0</v>
      </c>
      <c r="CR79" s="19" t="b">
        <f t="shared" si="72"/>
        <v>1</v>
      </c>
      <c r="CS79" s="19">
        <f t="shared" si="73"/>
        <v>0</v>
      </c>
    </row>
    <row r="80" spans="1:97" ht="16.5">
      <c r="A80" s="3">
        <v>75</v>
      </c>
      <c r="B80" s="151">
        <v>157</v>
      </c>
      <c r="C80" s="4" t="s">
        <v>97</v>
      </c>
      <c r="D80" s="152">
        <f>IFERROR(VLOOKUP($B80,'[4]INSUMOS FEBRERO'!$A$2:$F$105,5,0),"")</f>
        <v>96</v>
      </c>
      <c r="E80" s="152" t="str">
        <f>IFERROR(VLOOKUP($B80,'PEDIDO JULIO'!$A$10:$AG$32,33,0),"0")</f>
        <v>0</v>
      </c>
      <c r="F80" s="152">
        <f t="shared" si="39"/>
        <v>-96</v>
      </c>
      <c r="G80" s="152">
        <f>IFERROR(VLOOKUP($B80,'PEDIDO JULIO'!$A$10:$AG$200,8,0),"0")</f>
        <v>300</v>
      </c>
      <c r="H80" s="156">
        <f>IFERROR(VLOOKUP($B80,'[5]INSUMOS MARZO'!$A$2:$S$105,14,0),"")</f>
        <v>8955.7812000000013</v>
      </c>
      <c r="I80" s="154">
        <f t="shared" si="37"/>
        <v>2686734.3600000003</v>
      </c>
      <c r="J80" s="152">
        <f>IFERROR(VLOOKUP($B80,'PEDIDO JULIO'!$A$10:$AG$200,9,0),"0")</f>
        <v>0</v>
      </c>
      <c r="K80" s="153">
        <f>IFERROR(VLOOKUP($B80,'[5]INSUMOS MARZO'!$A$2:$S$105,17,0),"")</f>
        <v>5970.7309999999998</v>
      </c>
      <c r="L80" s="155">
        <f t="shared" si="40"/>
        <v>0</v>
      </c>
      <c r="M80" s="152">
        <f>IFERROR(VLOOKUP($B80,'PEDIDO JULIO'!$A$10:$AG$200,10,0),"0")</f>
        <v>0</v>
      </c>
      <c r="N80" s="153">
        <f>IFERROR(VLOOKUP($B80,'[5]INSUMOS MARZO'!$A$2:$S$105,17,0),"")</f>
        <v>5970.7309999999998</v>
      </c>
      <c r="O80" s="154">
        <f t="shared" si="41"/>
        <v>0</v>
      </c>
      <c r="P80" s="152">
        <f>IFERROR(VLOOKUP($B80,'PEDIDO JULIO'!$A$10:$AG$200,11,0),"0")</f>
        <v>0</v>
      </c>
      <c r="Q80" s="153">
        <f>IFERROR(VLOOKUP($B80,'[5]INSUMOS MARZO'!$A$2:$S$105,17,0),"")</f>
        <v>5970.7309999999998</v>
      </c>
      <c r="R80" s="154">
        <f t="shared" si="42"/>
        <v>0</v>
      </c>
      <c r="S80" s="152">
        <f>IFERROR(VLOOKUP($B80,'PEDIDO JULIO'!$A$10:$AG$200,12,0),"0")</f>
        <v>0</v>
      </c>
      <c r="T80" s="153">
        <f>IFERROR(VLOOKUP($B80,'[5]INSUMOS MARZO'!$A$2:$S$105,17,0),"")</f>
        <v>5970.7309999999998</v>
      </c>
      <c r="U80" s="154">
        <f t="shared" si="43"/>
        <v>0</v>
      </c>
      <c r="V80" s="152">
        <f>IFERROR(VLOOKUP($B80,'PEDIDO JULIO'!$A$10:$AG$200,13,0),"0")</f>
        <v>0</v>
      </c>
      <c r="W80" s="153">
        <f>IFERROR(VLOOKUP($B80,'[5]INSUMOS MARZO'!$A$2:$S$105,17,0),"")</f>
        <v>5970.7309999999998</v>
      </c>
      <c r="X80" s="154">
        <f t="shared" si="44"/>
        <v>0</v>
      </c>
      <c r="Y80" s="152">
        <f>IFERROR(VLOOKUP($B80,'PEDIDO JULIO'!$A$10:$AG$200,14,0),"0")</f>
        <v>0</v>
      </c>
      <c r="Z80" s="153">
        <f>IFERROR(VLOOKUP($B80,'[5]INSUMOS MARZO'!$A$2:$S$105,17,0),"")</f>
        <v>5970.7309999999998</v>
      </c>
      <c r="AA80" s="154">
        <f t="shared" si="45"/>
        <v>0</v>
      </c>
      <c r="AB80" s="152">
        <f>IFERROR(VLOOKUP($B80,'PEDIDO JULIO'!$A$10:$AG$200,15,0),"0")</f>
        <v>0</v>
      </c>
      <c r="AC80" s="153">
        <f>IFERROR(VLOOKUP($B80,'[5]INSUMOS MARZO'!$A$2:$S$105,17,0),"")</f>
        <v>5970.7309999999998</v>
      </c>
      <c r="AD80" s="154">
        <f t="shared" si="46"/>
        <v>0</v>
      </c>
      <c r="AE80" s="152">
        <f>IFERROR(VLOOKUP($B80,'PEDIDO JULIO'!$A$10:$AG$200,16,0),"0")</f>
        <v>0</v>
      </c>
      <c r="AF80" s="153">
        <f>IFERROR(VLOOKUP($B80,'[5]INSUMOS MARZO'!$A$2:$S$105,17,0),"")</f>
        <v>5970.7309999999998</v>
      </c>
      <c r="AG80" s="154">
        <f t="shared" si="47"/>
        <v>0</v>
      </c>
      <c r="AH80" s="152">
        <f>IFERROR(VLOOKUP($B80,'PEDIDO JULIO'!$A$10:$AG$200,17,0),"0")</f>
        <v>0</v>
      </c>
      <c r="AI80" s="153">
        <f>IFERROR(VLOOKUP($B80,'[5]INSUMOS MARZO'!$A$2:$S$105,17,0),"")</f>
        <v>5970.7309999999998</v>
      </c>
      <c r="AJ80" s="154">
        <f t="shared" si="48"/>
        <v>0</v>
      </c>
      <c r="AK80" s="152">
        <f>IFERROR(VLOOKUP($B80,'PEDIDO JULIO'!$A$10:$AG$200,18,0),"0")</f>
        <v>0</v>
      </c>
      <c r="AL80" s="153">
        <f>IFERROR(VLOOKUP($B80,'[5]INSUMOS MARZO'!$A$2:$S$105,17,0),"")</f>
        <v>5970.7309999999998</v>
      </c>
      <c r="AM80" s="154">
        <f t="shared" si="49"/>
        <v>0</v>
      </c>
      <c r="AN80" s="152">
        <f>IFERROR(VLOOKUP($B80,'PEDIDO JULIO'!$A$10:$AG$200,19,0),"0")</f>
        <v>0</v>
      </c>
      <c r="AO80" s="153">
        <f>IFERROR(VLOOKUP($B80,'[5]INSUMOS MARZO'!$A$2:$S$105,17,0),"")</f>
        <v>5970.7309999999998</v>
      </c>
      <c r="AP80" s="154">
        <f t="shared" si="50"/>
        <v>0</v>
      </c>
      <c r="AQ80" s="152">
        <f>IFERROR(VLOOKUP($B80,'PEDIDO JULIO'!$A$10:$AG$200,20,0),"0")</f>
        <v>0</v>
      </c>
      <c r="AR80" s="153">
        <f>IFERROR(VLOOKUP($B80,'[5]INSUMOS MARZO'!$A$2:$S$105,17,0),"")</f>
        <v>5970.7309999999998</v>
      </c>
      <c r="AS80" s="154">
        <f t="shared" si="51"/>
        <v>0</v>
      </c>
      <c r="AT80" s="152">
        <f>IFERROR(VLOOKUP($B80,'PEDIDO JULIO'!$A$10:$AG$200,21,0),"0")</f>
        <v>0</v>
      </c>
      <c r="AU80" s="153">
        <f>IFERROR(VLOOKUP($B80,'[5]INSUMOS MARZO'!$A$2:$S$105,17,0),"")</f>
        <v>5970.7309999999998</v>
      </c>
      <c r="AV80" s="154">
        <f t="shared" si="52"/>
        <v>0</v>
      </c>
      <c r="AW80" s="152">
        <f>IFERROR(VLOOKUP($B80,'PEDIDO JULIO'!$A$10:$AG$200,22,0),"0")</f>
        <v>0</v>
      </c>
      <c r="AX80" s="153">
        <f>IFERROR(VLOOKUP($B80,'[5]INSUMOS MARZO'!$A$2:$S$105,17,0),"")</f>
        <v>5970.7309999999998</v>
      </c>
      <c r="AY80" s="154">
        <f t="shared" si="53"/>
        <v>0</v>
      </c>
      <c r="AZ80" s="152">
        <f>IFERROR(VLOOKUP($B80,'PEDIDO JULIO'!$A$10:$AG$200,23,0),"0")</f>
        <v>0</v>
      </c>
      <c r="BA80" s="153">
        <f>IFERROR(VLOOKUP($B80,'[5]INSUMOS MARZO'!$A$2:$S$105,17,0),"")</f>
        <v>5970.7309999999998</v>
      </c>
      <c r="BB80" s="154">
        <f t="shared" si="54"/>
        <v>0</v>
      </c>
      <c r="BC80" s="152">
        <f>IFERROR(VLOOKUP($B80,'PEDIDO JULIO'!$A$10:$AG$200,24,0),"0")</f>
        <v>0</v>
      </c>
      <c r="BD80" s="153">
        <f>IFERROR(VLOOKUP($B80,'[5]INSUMOS MARZO'!$A$2:$S$105,17,0),"")</f>
        <v>5970.7309999999998</v>
      </c>
      <c r="BE80" s="155">
        <f t="shared" si="55"/>
        <v>0</v>
      </c>
      <c r="BF80" s="152">
        <f>IFERROR(VLOOKUP($B80,'PEDIDO JULIO'!$A$10:$AG$200,25,0),"0")</f>
        <v>0</v>
      </c>
      <c r="BG80" s="153">
        <f>IFERROR(VLOOKUP($B80,'[5]INSUMOS MARZO'!$A$2:$S$105,17,0),"")</f>
        <v>5970.7309999999998</v>
      </c>
      <c r="BH80" s="155">
        <f t="shared" si="56"/>
        <v>0</v>
      </c>
      <c r="BI80" s="152">
        <f>IFERROR(VLOOKUP($B80,'PEDIDO JULIO'!$A$10:$AG$200,26,0),"0")</f>
        <v>0</v>
      </c>
      <c r="BJ80" s="153">
        <f>IFERROR(VLOOKUP($B80,'[5]INSUMOS MARZO'!$A$2:$S$105,17,0),"")</f>
        <v>5970.7309999999998</v>
      </c>
      <c r="BK80" s="154">
        <f t="shared" si="57"/>
        <v>0</v>
      </c>
      <c r="BL80" s="152">
        <f>IFERROR(VLOOKUP($B80,'PEDIDO JULIO'!$A$10:$AG$200,27,0),"0")</f>
        <v>0</v>
      </c>
      <c r="BM80" s="153">
        <f>IFERROR(VLOOKUP($B80,'[5]INSUMOS MARZO'!$A$2:$S$105,17,0),"")</f>
        <v>5970.7309999999998</v>
      </c>
      <c r="BN80" s="154">
        <f t="shared" si="58"/>
        <v>0</v>
      </c>
      <c r="BO80" s="152">
        <f>IFERROR(VLOOKUP($B80,'PEDIDO JULIO'!$A$10:$AG$200,28,0),"0")</f>
        <v>0</v>
      </c>
      <c r="BP80" s="153">
        <f>IFERROR(VLOOKUP($B80,'[5]INSUMOS MARZO'!$A$2:$S$105,17,0),"")</f>
        <v>5970.7309999999998</v>
      </c>
      <c r="BQ80" s="154">
        <f t="shared" si="59"/>
        <v>0</v>
      </c>
      <c r="BR80" s="152">
        <f>IFERROR(VLOOKUP($B80,'PEDIDO JULIO'!$A$10:$AG$200,29,0),"0")</f>
        <v>0</v>
      </c>
      <c r="BS80" s="153">
        <f>IFERROR(VLOOKUP($B80,'[5]INSUMOS MARZO'!$A$2:$S$105,17,0),"")</f>
        <v>5970.7309999999998</v>
      </c>
      <c r="BT80" s="155">
        <f t="shared" si="60"/>
        <v>0</v>
      </c>
      <c r="BU80" s="152">
        <f>IFERROR(VLOOKUP($B80,'PEDIDO JULIO'!$A$10:$AG$200,30,0),"0")</f>
        <v>0</v>
      </c>
      <c r="BV80" s="153">
        <f>IFERROR(VLOOKUP($B80,'[5]INSUMOS MARZO'!$A$2:$S$105,17,0),"")</f>
        <v>5970.7309999999998</v>
      </c>
      <c r="BW80" s="155">
        <f t="shared" si="61"/>
        <v>0</v>
      </c>
      <c r="BX80" s="152">
        <f>IFERROR(VLOOKUP($B80,'PEDIDO JULIO'!$A$10:$AG$200,31,0),"0")</f>
        <v>0</v>
      </c>
      <c r="BY80" s="153">
        <f>IFERROR(VLOOKUP($B80,'[5]INSUMOS MARZO'!$A$2:$S$105,17,0),"")</f>
        <v>5970.7309999999998</v>
      </c>
      <c r="BZ80" s="155">
        <f t="shared" si="62"/>
        <v>0</v>
      </c>
      <c r="CA80" s="152">
        <f>IFERROR(VLOOKUP($B80,'PEDIDO JULIO'!$A$10:$AG$200,32,0),"0")</f>
        <v>0</v>
      </c>
      <c r="CB80" s="153">
        <f>IFERROR(VLOOKUP($B80,'[5]INSUMOS MARZO'!$A$2:$S$105,17,0),"")</f>
        <v>5970.7309999999998</v>
      </c>
      <c r="CC80" s="155">
        <f t="shared" si="63"/>
        <v>0</v>
      </c>
      <c r="CD80" s="157">
        <f t="shared" si="38"/>
        <v>300</v>
      </c>
      <c r="CE80" s="158">
        <f t="shared" si="64"/>
        <v>300</v>
      </c>
      <c r="CF80" s="251">
        <v>0</v>
      </c>
      <c r="CG80" s="153">
        <f>IFERROR(VLOOKUP($B80,'[5]INSUMOS MARZO'!$A$2:$S$105,17,0),"")</f>
        <v>5970.7309999999998</v>
      </c>
      <c r="CH80" s="156">
        <f t="shared" si="65"/>
        <v>0</v>
      </c>
      <c r="CI80" s="251">
        <v>300</v>
      </c>
      <c r="CJ80" s="156">
        <f>IFERROR(VLOOKUP($B80,'[5]INSUMOS MARZO'!$A$2:$S$105,14,0),"")</f>
        <v>8955.7812000000013</v>
      </c>
      <c r="CK80" s="159">
        <f t="shared" si="66"/>
        <v>2686734.3600000003</v>
      </c>
      <c r="CL80" s="160">
        <f t="shared" si="67"/>
        <v>2686734.3600000003</v>
      </c>
      <c r="CM80" s="14">
        <f t="shared" si="68"/>
        <v>268673.43600000005</v>
      </c>
      <c r="CN80" s="14">
        <f t="shared" si="69"/>
        <v>51047.952840000013</v>
      </c>
      <c r="CO80" s="14">
        <f t="shared" si="70"/>
        <v>3006455.7488400005</v>
      </c>
      <c r="CQ80" s="19">
        <f t="shared" si="71"/>
        <v>2686734.3600000003</v>
      </c>
      <c r="CR80" s="19" t="b">
        <f t="shared" si="72"/>
        <v>1</v>
      </c>
      <c r="CS80" s="19">
        <f t="shared" si="73"/>
        <v>0</v>
      </c>
    </row>
    <row r="81" spans="1:97" ht="16.5">
      <c r="A81" s="3">
        <v>76</v>
      </c>
      <c r="B81" s="151">
        <v>159</v>
      </c>
      <c r="C81" s="4" t="s">
        <v>98</v>
      </c>
      <c r="D81" s="152">
        <f>IFERROR(VLOOKUP($B81,'[4]INSUMOS FEBRERO'!$A$2:$F$105,5,0),"")</f>
        <v>96</v>
      </c>
      <c r="E81" s="152" t="str">
        <f>IFERROR(VLOOKUP($B81,'PEDIDO JULIO'!$A$10:$AG$32,33,0),"0")</f>
        <v>0</v>
      </c>
      <c r="F81" s="152">
        <f t="shared" si="39"/>
        <v>-96</v>
      </c>
      <c r="G81" s="152" t="str">
        <f>IFERROR(VLOOKUP($B81,'PEDIDO JULIO'!$A$10:$AG$200,8,0),"0")</f>
        <v>0</v>
      </c>
      <c r="H81" s="156">
        <f>IFERROR(VLOOKUP($B81,'[5]INSUMOS MARZO'!$A$2:$S$105,14,0),"")</f>
        <v>6716.8359</v>
      </c>
      <c r="I81" s="154">
        <f t="shared" si="37"/>
        <v>0</v>
      </c>
      <c r="J81" s="152" t="str">
        <f>IFERROR(VLOOKUP($B81,'PEDIDO JULIO'!$A$10:$AG$200,9,0),"0")</f>
        <v>0</v>
      </c>
      <c r="K81" s="156">
        <f>IFERROR(VLOOKUP($B81,'[5]INSUMOS MARZO'!$A$2:$S$105,14,0),"")</f>
        <v>6716.8359</v>
      </c>
      <c r="L81" s="155">
        <f t="shared" si="40"/>
        <v>0</v>
      </c>
      <c r="M81" s="152" t="str">
        <f>IFERROR(VLOOKUP($B81,'PEDIDO JULIO'!$A$10:$AG$200,10,0),"0")</f>
        <v>0</v>
      </c>
      <c r="N81" s="153">
        <f>IFERROR(VLOOKUP($B81,'[5]INSUMOS MARZO'!$A$2:$S$105,17,0),"")</f>
        <v>0</v>
      </c>
      <c r="O81" s="154">
        <f t="shared" si="41"/>
        <v>0</v>
      </c>
      <c r="P81" s="152" t="str">
        <f>IFERROR(VLOOKUP($B81,'PEDIDO JULIO'!$A$10:$AG$200,11,0),"0")</f>
        <v>0</v>
      </c>
      <c r="Q81" s="153">
        <f>IFERROR(VLOOKUP($B81,'[5]INSUMOS MARZO'!$A$2:$S$105,17,0),"")</f>
        <v>0</v>
      </c>
      <c r="R81" s="154">
        <f t="shared" si="42"/>
        <v>0</v>
      </c>
      <c r="S81" s="152" t="str">
        <f>IFERROR(VLOOKUP($B81,'PEDIDO JULIO'!$A$10:$AG$200,12,0),"0")</f>
        <v>0</v>
      </c>
      <c r="T81" s="165">
        <f>IFERROR(VLOOKUP($B81,'[5]INSUMOS MARZO'!$A$2:$S$105,14,0),"")</f>
        <v>6716.8359</v>
      </c>
      <c r="U81" s="154">
        <f t="shared" si="43"/>
        <v>0</v>
      </c>
      <c r="V81" s="152" t="str">
        <f>IFERROR(VLOOKUP($B81,'PEDIDO JULIO'!$A$10:$AG$200,13,0),"0")</f>
        <v>0</v>
      </c>
      <c r="W81" s="153">
        <f>IFERROR(VLOOKUP($B81,'[5]INSUMOS MARZO'!$A$2:$S$105,17,0),"")</f>
        <v>0</v>
      </c>
      <c r="X81" s="154">
        <f t="shared" si="44"/>
        <v>0</v>
      </c>
      <c r="Y81" s="152" t="str">
        <f>IFERROR(VLOOKUP($B81,'PEDIDO JULIO'!$A$10:$AG$200,14,0),"0")</f>
        <v>0</v>
      </c>
      <c r="Z81" s="153">
        <f>IFERROR(VLOOKUP($B81,'[5]INSUMOS MARZO'!$A$2:$S$105,17,0),"")</f>
        <v>0</v>
      </c>
      <c r="AA81" s="154">
        <f t="shared" si="45"/>
        <v>0</v>
      </c>
      <c r="AB81" s="152" t="str">
        <f>IFERROR(VLOOKUP($B81,'PEDIDO JULIO'!$A$10:$AG$200,15,0),"0")</f>
        <v>0</v>
      </c>
      <c r="AC81" s="153">
        <f>IFERROR(VLOOKUP($B81,'[5]INSUMOS MARZO'!$A$2:$S$105,17,0),"")</f>
        <v>0</v>
      </c>
      <c r="AD81" s="154">
        <f t="shared" si="46"/>
        <v>0</v>
      </c>
      <c r="AE81" s="152" t="str">
        <f>IFERROR(VLOOKUP($B81,'PEDIDO JULIO'!$A$10:$AG$200,16,0),"0")</f>
        <v>0</v>
      </c>
      <c r="AF81" s="153">
        <f>IFERROR(VLOOKUP($B81,'[5]INSUMOS MARZO'!$A$2:$S$105,17,0),"")</f>
        <v>0</v>
      </c>
      <c r="AG81" s="154">
        <f t="shared" si="47"/>
        <v>0</v>
      </c>
      <c r="AH81" s="152" t="str">
        <f>IFERROR(VLOOKUP($B81,'PEDIDO JULIO'!$A$10:$AG$200,17,0),"0")</f>
        <v>0</v>
      </c>
      <c r="AI81" s="153">
        <f>IFERROR(VLOOKUP($B81,'[5]INSUMOS MARZO'!$A$2:$S$105,17,0),"")</f>
        <v>0</v>
      </c>
      <c r="AJ81" s="154">
        <f t="shared" si="48"/>
        <v>0</v>
      </c>
      <c r="AK81" s="152" t="str">
        <f>IFERROR(VLOOKUP($B81,'PEDIDO JULIO'!$A$10:$AG$200,18,0),"0")</f>
        <v>0</v>
      </c>
      <c r="AL81" s="165">
        <f>IFERROR(VLOOKUP($B81,'[5]INSUMOS MARZO'!$A$2:$S$105,14,0),"")</f>
        <v>6716.8359</v>
      </c>
      <c r="AM81" s="154">
        <f t="shared" si="49"/>
        <v>0</v>
      </c>
      <c r="AN81" s="152" t="str">
        <f>IFERROR(VLOOKUP($B81,'PEDIDO JULIO'!$A$10:$AG$200,19,0),"0")</f>
        <v>0</v>
      </c>
      <c r="AO81" s="153">
        <f>IFERROR(VLOOKUP($B81,'[5]INSUMOS MARZO'!$A$2:$S$105,17,0),"")</f>
        <v>0</v>
      </c>
      <c r="AP81" s="154">
        <f t="shared" si="50"/>
        <v>0</v>
      </c>
      <c r="AQ81" s="152" t="str">
        <f>IFERROR(VLOOKUP($B81,'PEDIDO JULIO'!$A$10:$AG$200,20,0),"0")</f>
        <v>0</v>
      </c>
      <c r="AR81" s="153">
        <f>IFERROR(VLOOKUP($B81,'[5]INSUMOS MARZO'!$A$2:$S$105,17,0),"")</f>
        <v>0</v>
      </c>
      <c r="AS81" s="154">
        <f t="shared" si="51"/>
        <v>0</v>
      </c>
      <c r="AT81" s="152" t="str">
        <f>IFERROR(VLOOKUP($B81,'PEDIDO JULIO'!$A$10:$AG$200,21,0),"0")</f>
        <v>0</v>
      </c>
      <c r="AU81" s="165">
        <f>IFERROR(VLOOKUP($B81,'[5]INSUMOS MARZO'!$A$2:$S$105,14,0),"")</f>
        <v>6716.8359</v>
      </c>
      <c r="AV81" s="154">
        <f t="shared" si="52"/>
        <v>0</v>
      </c>
      <c r="AW81" s="152" t="str">
        <f>IFERROR(VLOOKUP($B81,'PEDIDO JULIO'!$A$10:$AG$200,22,0),"0")</f>
        <v>0</v>
      </c>
      <c r="AX81" s="153">
        <f>IFERROR(VLOOKUP($B81,'[5]INSUMOS MARZO'!$A$2:$S$105,17,0),"")</f>
        <v>0</v>
      </c>
      <c r="AY81" s="154">
        <f t="shared" si="53"/>
        <v>0</v>
      </c>
      <c r="AZ81" s="152" t="str">
        <f>IFERROR(VLOOKUP($B81,'PEDIDO JULIO'!$A$10:$AG$200,23,0),"0")</f>
        <v>0</v>
      </c>
      <c r="BA81" s="153">
        <f>IFERROR(VLOOKUP($B81,'[5]INSUMOS MARZO'!$A$2:$S$105,17,0),"")</f>
        <v>0</v>
      </c>
      <c r="BB81" s="154">
        <f t="shared" si="54"/>
        <v>0</v>
      </c>
      <c r="BC81" s="152" t="str">
        <f>IFERROR(VLOOKUP($B81,'PEDIDO JULIO'!$A$10:$AG$200,24,0),"0")</f>
        <v>0</v>
      </c>
      <c r="BD81" s="165">
        <f>IFERROR(VLOOKUP($B81,'[5]INSUMOS MARZO'!$A$2:$S$105,14,0),"")</f>
        <v>6716.8359</v>
      </c>
      <c r="BE81" s="155">
        <f t="shared" si="55"/>
        <v>0</v>
      </c>
      <c r="BF81" s="152" t="str">
        <f>IFERROR(VLOOKUP($B81,'PEDIDO JULIO'!$A$10:$AG$200,25,0),"0")</f>
        <v>0</v>
      </c>
      <c r="BG81" s="153">
        <f>IFERROR(VLOOKUP($B81,'[5]INSUMOS MARZO'!$A$2:$S$105,17,0),"")</f>
        <v>0</v>
      </c>
      <c r="BH81" s="155">
        <f t="shared" si="56"/>
        <v>0</v>
      </c>
      <c r="BI81" s="152" t="str">
        <f>IFERROR(VLOOKUP($B81,'PEDIDO JULIO'!$A$10:$AG$200,26,0),"0")</f>
        <v>0</v>
      </c>
      <c r="BJ81" s="153">
        <f>IFERROR(VLOOKUP($B81,'[5]INSUMOS MARZO'!$A$2:$S$105,17,0),"")</f>
        <v>0</v>
      </c>
      <c r="BK81" s="154">
        <f t="shared" si="57"/>
        <v>0</v>
      </c>
      <c r="BL81" s="152" t="str">
        <f>IFERROR(VLOOKUP($B81,'PEDIDO JULIO'!$A$10:$AG$200,27,0),"0")</f>
        <v>0</v>
      </c>
      <c r="BM81" s="153">
        <f>IFERROR(VLOOKUP($B81,'[5]INSUMOS MARZO'!$A$2:$S$105,17,0),"")</f>
        <v>0</v>
      </c>
      <c r="BN81" s="154">
        <f t="shared" si="58"/>
        <v>0</v>
      </c>
      <c r="BO81" s="152" t="str">
        <f>IFERROR(VLOOKUP($B81,'PEDIDO JULIO'!$A$10:$AG$200,28,0),"0")</f>
        <v>0</v>
      </c>
      <c r="BP81" s="153">
        <f>IFERROR(VLOOKUP($B81,'[5]INSUMOS MARZO'!$A$2:$S$105,17,0),"")</f>
        <v>0</v>
      </c>
      <c r="BQ81" s="154">
        <f t="shared" si="59"/>
        <v>0</v>
      </c>
      <c r="BR81" s="152" t="str">
        <f>IFERROR(VLOOKUP($B81,'PEDIDO JULIO'!$A$10:$AG$200,29,0),"0")</f>
        <v>0</v>
      </c>
      <c r="BS81" s="153">
        <f>IFERROR(VLOOKUP($B81,'[5]INSUMOS MARZO'!$A$2:$S$105,17,0),"")</f>
        <v>0</v>
      </c>
      <c r="BT81" s="155">
        <f t="shared" si="60"/>
        <v>0</v>
      </c>
      <c r="BU81" s="152" t="str">
        <f>IFERROR(VLOOKUP($B81,'PEDIDO JULIO'!$A$10:$AG$200,30,0),"0")</f>
        <v>0</v>
      </c>
      <c r="BV81" s="153">
        <f>IFERROR(VLOOKUP($B81,'[5]INSUMOS MARZO'!$A$2:$S$105,17,0),"")</f>
        <v>0</v>
      </c>
      <c r="BW81" s="155">
        <f t="shared" si="61"/>
        <v>0</v>
      </c>
      <c r="BX81" s="152" t="str">
        <f>IFERROR(VLOOKUP($B81,'PEDIDO JULIO'!$A$10:$AG$200,31,0),"0")</f>
        <v>0</v>
      </c>
      <c r="BY81" s="153">
        <f>IFERROR(VLOOKUP($B81,'[5]INSUMOS MARZO'!$A$2:$S$105,17,0),"")</f>
        <v>0</v>
      </c>
      <c r="BZ81" s="155">
        <f t="shared" si="62"/>
        <v>0</v>
      </c>
      <c r="CA81" s="152" t="str">
        <f>IFERROR(VLOOKUP($B81,'PEDIDO JULIO'!$A$10:$AG$200,32,0),"0")</f>
        <v>0</v>
      </c>
      <c r="CB81" s="153">
        <f>IFERROR(VLOOKUP($B81,'[5]INSUMOS MARZO'!$A$2:$S$105,17,0),"")</f>
        <v>0</v>
      </c>
      <c r="CC81" s="155">
        <f t="shared" si="63"/>
        <v>0</v>
      </c>
      <c r="CD81" s="157">
        <f t="shared" si="38"/>
        <v>0</v>
      </c>
      <c r="CE81" s="158">
        <f t="shared" si="64"/>
        <v>0</v>
      </c>
      <c r="CF81" s="251">
        <f>IFERROR(VLOOKUP($B81,'MATRIZ INSUMOS '!$A$3:$P$106,16,0),"")</f>
        <v>0</v>
      </c>
      <c r="CG81" s="153">
        <v>6716.8359</v>
      </c>
      <c r="CH81" s="156">
        <f t="shared" si="65"/>
        <v>0</v>
      </c>
      <c r="CI81" s="251">
        <f>IFERROR(VLOOKUP($B81,'MATRIZ INSUMOS '!$A$3:$P$106,10,0),"")</f>
        <v>0</v>
      </c>
      <c r="CJ81" s="165">
        <f>IFERROR(VLOOKUP($B81,'[5]INSUMOS MARZO'!$A$2:$S$105,14,0),"")</f>
        <v>6716.8359</v>
      </c>
      <c r="CK81" s="159">
        <f t="shared" si="66"/>
        <v>0</v>
      </c>
      <c r="CL81" s="160">
        <f t="shared" si="67"/>
        <v>0</v>
      </c>
      <c r="CM81" s="14">
        <f t="shared" si="68"/>
        <v>0</v>
      </c>
      <c r="CN81" s="14">
        <f t="shared" si="69"/>
        <v>0</v>
      </c>
      <c r="CO81" s="14">
        <f t="shared" si="70"/>
        <v>0</v>
      </c>
      <c r="CQ81" s="19">
        <f t="shared" si="71"/>
        <v>0</v>
      </c>
      <c r="CR81" s="19" t="b">
        <f t="shared" si="72"/>
        <v>1</v>
      </c>
      <c r="CS81" s="19">
        <f t="shared" si="73"/>
        <v>0</v>
      </c>
    </row>
    <row r="82" spans="1:97" ht="16.5">
      <c r="A82" s="3">
        <v>77</v>
      </c>
      <c r="B82" s="151">
        <v>160</v>
      </c>
      <c r="C82" s="4" t="s">
        <v>99</v>
      </c>
      <c r="D82" s="152">
        <f>IFERROR(VLOOKUP($B82,'[4]INSUMOS FEBRERO'!$A$2:$F$105,5,0),"")</f>
        <v>15</v>
      </c>
      <c r="E82" s="152" t="str">
        <f>IFERROR(VLOOKUP($B82,'PEDIDO JULIO'!$A$10:$AG$32,33,0),"0")</f>
        <v>0</v>
      </c>
      <c r="F82" s="152">
        <f t="shared" si="39"/>
        <v>-15</v>
      </c>
      <c r="G82" s="152" t="str">
        <f>IFERROR(VLOOKUP($B82,'PEDIDO JULIO'!$A$10:$AG$200,8,0),"0")</f>
        <v>0</v>
      </c>
      <c r="H82" s="156">
        <f>IFERROR(VLOOKUP($B82,'[5]INSUMOS MARZO'!$A$2:$S$105,14,0),"")</f>
        <v>3035.3931000000002</v>
      </c>
      <c r="I82" s="154">
        <f t="shared" si="37"/>
        <v>0</v>
      </c>
      <c r="J82" s="152" t="str">
        <f>IFERROR(VLOOKUP($B82,'PEDIDO JULIO'!$A$10:$AG$200,9,0),"0")</f>
        <v>0</v>
      </c>
      <c r="K82" s="156">
        <f>IFERROR(VLOOKUP($B82,'[5]INSUMOS MARZO'!$A$2:$S$105,14,0),"")</f>
        <v>3035.3931000000002</v>
      </c>
      <c r="L82" s="155">
        <f t="shared" si="40"/>
        <v>0</v>
      </c>
      <c r="M82" s="152" t="str">
        <f>IFERROR(VLOOKUP($B82,'PEDIDO JULIO'!$A$10:$AG$200,10,0),"0")</f>
        <v>0</v>
      </c>
      <c r="N82" s="153">
        <f>IFERROR(VLOOKUP($B82,'[5]INSUMOS MARZO'!$A$2:$S$105,17,0),"")</f>
        <v>2276.4660000000003</v>
      </c>
      <c r="O82" s="154">
        <f t="shared" si="41"/>
        <v>0</v>
      </c>
      <c r="P82" s="152" t="str">
        <f>IFERROR(VLOOKUP($B82,'PEDIDO JULIO'!$A$10:$AG$200,11,0),"0")</f>
        <v>0</v>
      </c>
      <c r="Q82" s="153">
        <f>IFERROR(VLOOKUP($B82,'[5]INSUMOS MARZO'!$A$2:$S$105,17,0),"")</f>
        <v>2276.4660000000003</v>
      </c>
      <c r="R82" s="154">
        <f t="shared" si="42"/>
        <v>0</v>
      </c>
      <c r="S82" s="152" t="str">
        <f>IFERROR(VLOOKUP($B82,'PEDIDO JULIO'!$A$10:$AG$200,12,0),"0")</f>
        <v>0</v>
      </c>
      <c r="T82" s="153">
        <f>IFERROR(VLOOKUP($B82,'[5]INSUMOS MARZO'!$A$2:$S$105,17,0),"")</f>
        <v>2276.4660000000003</v>
      </c>
      <c r="U82" s="154">
        <f t="shared" si="43"/>
        <v>0</v>
      </c>
      <c r="V82" s="152" t="str">
        <f>IFERROR(VLOOKUP($B82,'PEDIDO JULIO'!$A$10:$AG$200,13,0),"0")</f>
        <v>0</v>
      </c>
      <c r="W82" s="153">
        <f>IFERROR(VLOOKUP($B82,'[5]INSUMOS MARZO'!$A$2:$S$105,17,0),"")</f>
        <v>2276.4660000000003</v>
      </c>
      <c r="X82" s="154">
        <f t="shared" si="44"/>
        <v>0</v>
      </c>
      <c r="Y82" s="152" t="str">
        <f>IFERROR(VLOOKUP($B82,'PEDIDO JULIO'!$A$10:$AG$200,14,0),"0")</f>
        <v>0</v>
      </c>
      <c r="Z82" s="153">
        <f>IFERROR(VLOOKUP($B82,'[5]INSUMOS MARZO'!$A$2:$S$105,17,0),"")</f>
        <v>2276.4660000000003</v>
      </c>
      <c r="AA82" s="154">
        <f t="shared" si="45"/>
        <v>0</v>
      </c>
      <c r="AB82" s="152" t="str">
        <f>IFERROR(VLOOKUP($B82,'PEDIDO JULIO'!$A$10:$AG$200,15,0),"0")</f>
        <v>0</v>
      </c>
      <c r="AC82" s="153">
        <f>IFERROR(VLOOKUP($B82,'[5]INSUMOS MARZO'!$A$2:$S$105,17,0),"")</f>
        <v>2276.4660000000003</v>
      </c>
      <c r="AD82" s="154">
        <f t="shared" si="46"/>
        <v>0</v>
      </c>
      <c r="AE82" s="152" t="str">
        <f>IFERROR(VLOOKUP($B82,'PEDIDO JULIO'!$A$10:$AG$200,16,0),"0")</f>
        <v>0</v>
      </c>
      <c r="AF82" s="153">
        <f>IFERROR(VLOOKUP($B82,'[5]INSUMOS MARZO'!$A$2:$S$105,17,0),"")</f>
        <v>2276.4660000000003</v>
      </c>
      <c r="AG82" s="154">
        <f t="shared" si="47"/>
        <v>0</v>
      </c>
      <c r="AH82" s="152" t="str">
        <f>IFERROR(VLOOKUP($B82,'PEDIDO JULIO'!$A$10:$AG$200,17,0),"0")</f>
        <v>0</v>
      </c>
      <c r="AI82" s="153">
        <f>IFERROR(VLOOKUP($B82,'[5]INSUMOS MARZO'!$A$2:$S$105,17,0),"")</f>
        <v>2276.4660000000003</v>
      </c>
      <c r="AJ82" s="154">
        <f t="shared" si="48"/>
        <v>0</v>
      </c>
      <c r="AK82" s="152" t="str">
        <f>IFERROR(VLOOKUP($B82,'PEDIDO JULIO'!$A$10:$AG$200,18,0),"0")</f>
        <v>0</v>
      </c>
      <c r="AL82" s="156">
        <f>IFERROR(VLOOKUP($B82,'[5]INSUMOS MARZO'!$A$2:$S$105,14,0),"")</f>
        <v>3035.3931000000002</v>
      </c>
      <c r="AM82" s="154">
        <f t="shared" si="49"/>
        <v>0</v>
      </c>
      <c r="AN82" s="152" t="str">
        <f>IFERROR(VLOOKUP($B82,'PEDIDO JULIO'!$A$10:$AG$200,19,0),"0")</f>
        <v>0</v>
      </c>
      <c r="AO82" s="153">
        <f>IFERROR(VLOOKUP($B82,'[5]INSUMOS MARZO'!$A$2:$S$105,17,0),"")</f>
        <v>2276.4660000000003</v>
      </c>
      <c r="AP82" s="154">
        <f t="shared" si="50"/>
        <v>0</v>
      </c>
      <c r="AQ82" s="152" t="str">
        <f>IFERROR(VLOOKUP($B82,'PEDIDO JULIO'!$A$10:$AG$200,20,0),"0")</f>
        <v>0</v>
      </c>
      <c r="AR82" s="153">
        <f>IFERROR(VLOOKUP($B82,'[5]INSUMOS MARZO'!$A$2:$S$105,17,0),"")</f>
        <v>2276.4660000000003</v>
      </c>
      <c r="AS82" s="154">
        <f t="shared" si="51"/>
        <v>0</v>
      </c>
      <c r="AT82" s="152" t="str">
        <f>IFERROR(VLOOKUP($B82,'PEDIDO JULIO'!$A$10:$AG$200,21,0),"0")</f>
        <v>0</v>
      </c>
      <c r="AU82" s="156">
        <f>IFERROR(VLOOKUP($B82,'[5]INSUMOS MARZO'!$A$2:$S$105,14,0),"")</f>
        <v>3035.3931000000002</v>
      </c>
      <c r="AV82" s="154">
        <f t="shared" si="52"/>
        <v>0</v>
      </c>
      <c r="AW82" s="152" t="str">
        <f>IFERROR(VLOOKUP($B82,'PEDIDO JULIO'!$A$10:$AG$200,22,0),"0")</f>
        <v>0</v>
      </c>
      <c r="AX82" s="153">
        <f>IFERROR(VLOOKUP($B82,'[5]INSUMOS MARZO'!$A$2:$S$105,17,0),"")</f>
        <v>2276.4660000000003</v>
      </c>
      <c r="AY82" s="154">
        <f t="shared" si="53"/>
        <v>0</v>
      </c>
      <c r="AZ82" s="152" t="str">
        <f>IFERROR(VLOOKUP($B82,'PEDIDO JULIO'!$A$10:$AG$200,23,0),"0")</f>
        <v>0</v>
      </c>
      <c r="BA82" s="153">
        <f>IFERROR(VLOOKUP($B82,'[5]INSUMOS MARZO'!$A$2:$S$105,17,0),"")</f>
        <v>2276.4660000000003</v>
      </c>
      <c r="BB82" s="154">
        <f t="shared" si="54"/>
        <v>0</v>
      </c>
      <c r="BC82" s="152" t="str">
        <f>IFERROR(VLOOKUP($B82,'PEDIDO JULIO'!$A$10:$AG$200,24,0),"0")</f>
        <v>0</v>
      </c>
      <c r="BD82" s="153">
        <f>IFERROR(VLOOKUP($B82,'[5]INSUMOS MARZO'!$A$2:$S$105,17,0),"")</f>
        <v>2276.4660000000003</v>
      </c>
      <c r="BE82" s="155">
        <f t="shared" si="55"/>
        <v>0</v>
      </c>
      <c r="BF82" s="152" t="str">
        <f>IFERROR(VLOOKUP($B82,'PEDIDO JULIO'!$A$10:$AG$200,25,0),"0")</f>
        <v>0</v>
      </c>
      <c r="BG82" s="153">
        <f>IFERROR(VLOOKUP($B82,'[5]INSUMOS MARZO'!$A$2:$S$105,17,0),"")</f>
        <v>2276.4660000000003</v>
      </c>
      <c r="BH82" s="155">
        <f t="shared" si="56"/>
        <v>0</v>
      </c>
      <c r="BI82" s="152" t="str">
        <f>IFERROR(VLOOKUP($B82,'PEDIDO JULIO'!$A$10:$AG$200,26,0),"0")</f>
        <v>0</v>
      </c>
      <c r="BJ82" s="153">
        <f>IFERROR(VLOOKUP($B82,'[5]INSUMOS MARZO'!$A$2:$S$105,17,0),"")</f>
        <v>2276.4660000000003</v>
      </c>
      <c r="BK82" s="154">
        <f t="shared" si="57"/>
        <v>0</v>
      </c>
      <c r="BL82" s="152" t="str">
        <f>IFERROR(VLOOKUP($B82,'PEDIDO JULIO'!$A$10:$AG$200,27,0),"0")</f>
        <v>0</v>
      </c>
      <c r="BM82" s="153">
        <f>IFERROR(VLOOKUP($B82,'[5]INSUMOS MARZO'!$A$2:$S$105,17,0),"")</f>
        <v>2276.4660000000003</v>
      </c>
      <c r="BN82" s="154">
        <f t="shared" si="58"/>
        <v>0</v>
      </c>
      <c r="BO82" s="152" t="str">
        <f>IFERROR(VLOOKUP($B82,'PEDIDO JULIO'!$A$10:$AG$200,28,0),"0")</f>
        <v>0</v>
      </c>
      <c r="BP82" s="153">
        <f>IFERROR(VLOOKUP($B82,'[5]INSUMOS MARZO'!$A$2:$S$105,17,0),"")</f>
        <v>2276.4660000000003</v>
      </c>
      <c r="BQ82" s="154">
        <f t="shared" si="59"/>
        <v>0</v>
      </c>
      <c r="BR82" s="152" t="str">
        <f>IFERROR(VLOOKUP($B82,'PEDIDO JULIO'!$A$10:$AG$200,29,0),"0")</f>
        <v>0</v>
      </c>
      <c r="BS82" s="153">
        <f>IFERROR(VLOOKUP($B82,'[5]INSUMOS MARZO'!$A$2:$S$105,17,0),"")</f>
        <v>2276.4660000000003</v>
      </c>
      <c r="BT82" s="155">
        <f t="shared" si="60"/>
        <v>0</v>
      </c>
      <c r="BU82" s="152" t="str">
        <f>IFERROR(VLOOKUP($B82,'PEDIDO JULIO'!$A$10:$AG$200,30,0),"0")</f>
        <v>0</v>
      </c>
      <c r="BV82" s="153">
        <f>IFERROR(VLOOKUP($B82,'[5]INSUMOS MARZO'!$A$2:$S$105,17,0),"")</f>
        <v>2276.4660000000003</v>
      </c>
      <c r="BW82" s="155">
        <f t="shared" si="61"/>
        <v>0</v>
      </c>
      <c r="BX82" s="152" t="str">
        <f>IFERROR(VLOOKUP($B82,'PEDIDO JULIO'!$A$10:$AG$200,31,0),"0")</f>
        <v>0</v>
      </c>
      <c r="BY82" s="153">
        <f>IFERROR(VLOOKUP($B82,'[5]INSUMOS MARZO'!$A$2:$S$105,17,0),"")</f>
        <v>2276.4660000000003</v>
      </c>
      <c r="BZ82" s="155">
        <f t="shared" si="62"/>
        <v>0</v>
      </c>
      <c r="CA82" s="152" t="str">
        <f>IFERROR(VLOOKUP($B82,'PEDIDO JULIO'!$A$10:$AG$200,32,0),"0")</f>
        <v>0</v>
      </c>
      <c r="CB82" s="153">
        <f>IFERROR(VLOOKUP($B82,'[5]INSUMOS MARZO'!$A$2:$S$105,17,0),"")</f>
        <v>2276.4660000000003</v>
      </c>
      <c r="CC82" s="155">
        <f t="shared" si="63"/>
        <v>0</v>
      </c>
      <c r="CD82" s="157">
        <f t="shared" si="38"/>
        <v>0</v>
      </c>
      <c r="CE82" s="158">
        <f t="shared" si="64"/>
        <v>0</v>
      </c>
      <c r="CF82" s="251">
        <f>IFERROR(VLOOKUP($B82,'MATRIZ INSUMOS '!$A$3:$P$106,16,0),"")</f>
        <v>0</v>
      </c>
      <c r="CG82" s="153">
        <f>IFERROR(VLOOKUP($B82,'[5]INSUMOS MARZO'!$A$2:$S$105,17,0),"")</f>
        <v>2276.4660000000003</v>
      </c>
      <c r="CH82" s="156">
        <f t="shared" si="65"/>
        <v>0</v>
      </c>
      <c r="CI82" s="251">
        <f>IFERROR(VLOOKUP($B82,'MATRIZ INSUMOS '!$A$3:$P$106,10,0),"")</f>
        <v>0</v>
      </c>
      <c r="CJ82" s="156">
        <f>IFERROR(VLOOKUP($B82,'[5]INSUMOS MARZO'!$A$2:$S$105,14,0),"")</f>
        <v>3035.3931000000002</v>
      </c>
      <c r="CK82" s="159">
        <f t="shared" si="66"/>
        <v>0</v>
      </c>
      <c r="CL82" s="160">
        <f t="shared" si="67"/>
        <v>0</v>
      </c>
      <c r="CM82" s="14">
        <f t="shared" si="68"/>
        <v>0</v>
      </c>
      <c r="CN82" s="14">
        <f t="shared" si="69"/>
        <v>0</v>
      </c>
      <c r="CO82" s="14">
        <f t="shared" si="70"/>
        <v>0</v>
      </c>
      <c r="CP82" s="1">
        <f>+CF82+CI82-CD82</f>
        <v>0</v>
      </c>
      <c r="CQ82" s="19">
        <f t="shared" si="71"/>
        <v>0</v>
      </c>
      <c r="CR82" s="19" t="b">
        <f t="shared" si="72"/>
        <v>1</v>
      </c>
      <c r="CS82" s="19">
        <f t="shared" si="73"/>
        <v>0</v>
      </c>
    </row>
    <row r="83" spans="1:97" ht="16.5">
      <c r="A83" s="3">
        <v>78</v>
      </c>
      <c r="B83" s="151">
        <v>161</v>
      </c>
      <c r="C83" s="4" t="s">
        <v>100</v>
      </c>
      <c r="D83" s="152">
        <f>IFERROR(VLOOKUP($B83,'[4]INSUMOS FEBRERO'!$A$2:$F$105,5,0),"")</f>
        <v>18</v>
      </c>
      <c r="E83" s="152" t="str">
        <f>IFERROR(VLOOKUP($B83,'PEDIDO JULIO'!$A$10:$AG$32,33,0),"0")</f>
        <v>0</v>
      </c>
      <c r="F83" s="152">
        <f t="shared" si="39"/>
        <v>-18</v>
      </c>
      <c r="G83" s="152" t="str">
        <f>IFERROR(VLOOKUP($B83,'PEDIDO JULIO'!$A$10:$AG$200,8,0),"0")</f>
        <v>0</v>
      </c>
      <c r="H83" s="153">
        <f>IFERROR(VLOOKUP($B83,'[5]INSUMOS MARZO'!$A$2:$S$105,17,0),"")</f>
        <v>2236.5280000000002</v>
      </c>
      <c r="I83" s="154">
        <f t="shared" si="37"/>
        <v>0</v>
      </c>
      <c r="J83" s="152" t="str">
        <f>IFERROR(VLOOKUP($B83,'PEDIDO JULIO'!$A$10:$AG$200,9,0),"0")</f>
        <v>0</v>
      </c>
      <c r="K83" s="153">
        <f>IFERROR(VLOOKUP($B83,'[5]INSUMOS MARZO'!$A$2:$S$105,17,0),"")</f>
        <v>2236.5280000000002</v>
      </c>
      <c r="L83" s="155">
        <f t="shared" si="40"/>
        <v>0</v>
      </c>
      <c r="M83" s="152" t="str">
        <f>IFERROR(VLOOKUP($B83,'PEDIDO JULIO'!$A$10:$AG$200,10,0),"0")</f>
        <v>0</v>
      </c>
      <c r="N83" s="153">
        <f>IFERROR(VLOOKUP($B83,'[5]INSUMOS MARZO'!$A$2:$S$105,17,0),"")</f>
        <v>2236.5280000000002</v>
      </c>
      <c r="O83" s="154">
        <f t="shared" si="41"/>
        <v>0</v>
      </c>
      <c r="P83" s="152" t="str">
        <f>IFERROR(VLOOKUP($B83,'PEDIDO JULIO'!$A$10:$AG$200,11,0),"0")</f>
        <v>0</v>
      </c>
      <c r="Q83" s="153">
        <f>IFERROR(VLOOKUP($B83,'[5]INSUMOS MARZO'!$A$2:$S$105,17,0),"")</f>
        <v>2236.5280000000002</v>
      </c>
      <c r="R83" s="154">
        <f t="shared" si="42"/>
        <v>0</v>
      </c>
      <c r="S83" s="152" t="str">
        <f>IFERROR(VLOOKUP($B83,'PEDIDO JULIO'!$A$10:$AG$200,12,0),"0")</f>
        <v>0</v>
      </c>
      <c r="T83" s="153">
        <f>IFERROR(VLOOKUP($B83,'[5]INSUMOS MARZO'!$A$2:$S$105,17,0),"")</f>
        <v>2236.5280000000002</v>
      </c>
      <c r="U83" s="154">
        <f t="shared" si="43"/>
        <v>0</v>
      </c>
      <c r="V83" s="152" t="str">
        <f>IFERROR(VLOOKUP($B83,'PEDIDO JULIO'!$A$10:$AG$200,13,0),"0")</f>
        <v>0</v>
      </c>
      <c r="W83" s="153">
        <f>IFERROR(VLOOKUP($B83,'[5]INSUMOS MARZO'!$A$2:$S$105,17,0),"")</f>
        <v>2236.5280000000002</v>
      </c>
      <c r="X83" s="154">
        <f t="shared" si="44"/>
        <v>0</v>
      </c>
      <c r="Y83" s="152" t="str">
        <f>IFERROR(VLOOKUP($B83,'PEDIDO JULIO'!$A$10:$AG$200,14,0),"0")</f>
        <v>0</v>
      </c>
      <c r="Z83" s="153">
        <f>IFERROR(VLOOKUP($B83,'[5]INSUMOS MARZO'!$A$2:$S$105,17,0),"")</f>
        <v>2236.5280000000002</v>
      </c>
      <c r="AA83" s="154">
        <f t="shared" si="45"/>
        <v>0</v>
      </c>
      <c r="AB83" s="152" t="str">
        <f>IFERROR(VLOOKUP($B83,'PEDIDO JULIO'!$A$10:$AG$200,15,0),"0")</f>
        <v>0</v>
      </c>
      <c r="AC83" s="153">
        <f>IFERROR(VLOOKUP($B83,'[5]INSUMOS MARZO'!$A$2:$S$105,17,0),"")</f>
        <v>2236.5280000000002</v>
      </c>
      <c r="AD83" s="154">
        <f t="shared" si="46"/>
        <v>0</v>
      </c>
      <c r="AE83" s="152" t="str">
        <f>IFERROR(VLOOKUP($B83,'PEDIDO JULIO'!$A$10:$AG$200,16,0),"0")</f>
        <v>0</v>
      </c>
      <c r="AF83" s="153">
        <f>IFERROR(VLOOKUP($B83,'[5]INSUMOS MARZO'!$A$2:$S$105,17,0),"")</f>
        <v>2236.5280000000002</v>
      </c>
      <c r="AG83" s="154">
        <f t="shared" si="47"/>
        <v>0</v>
      </c>
      <c r="AH83" s="152" t="str">
        <f>IFERROR(VLOOKUP($B83,'PEDIDO JULIO'!$A$10:$AG$200,17,0),"0")</f>
        <v>0</v>
      </c>
      <c r="AI83" s="153">
        <f>IFERROR(VLOOKUP($B83,'[5]INSUMOS MARZO'!$A$2:$S$105,17,0),"")</f>
        <v>2236.5280000000002</v>
      </c>
      <c r="AJ83" s="154">
        <f t="shared" si="48"/>
        <v>0</v>
      </c>
      <c r="AK83" s="152" t="str">
        <f>IFERROR(VLOOKUP($B83,'PEDIDO JULIO'!$A$10:$AG$200,18,0),"0")</f>
        <v>0</v>
      </c>
      <c r="AL83" s="153">
        <f>IFERROR(VLOOKUP($B83,'[5]INSUMOS MARZO'!$A$2:$S$105,17,0),"")</f>
        <v>2236.5280000000002</v>
      </c>
      <c r="AM83" s="154">
        <f t="shared" si="49"/>
        <v>0</v>
      </c>
      <c r="AN83" s="152" t="str">
        <f>IFERROR(VLOOKUP($B83,'PEDIDO JULIO'!$A$10:$AG$200,19,0),"0")</f>
        <v>0</v>
      </c>
      <c r="AO83" s="153">
        <f>IFERROR(VLOOKUP($B83,'[5]INSUMOS MARZO'!$A$2:$S$105,17,0),"")</f>
        <v>2236.5280000000002</v>
      </c>
      <c r="AP83" s="154">
        <f t="shared" si="50"/>
        <v>0</v>
      </c>
      <c r="AQ83" s="152" t="str">
        <f>IFERROR(VLOOKUP($B83,'PEDIDO JULIO'!$A$10:$AG$200,20,0),"0")</f>
        <v>0</v>
      </c>
      <c r="AR83" s="153">
        <f>IFERROR(VLOOKUP($B83,'[5]INSUMOS MARZO'!$A$2:$S$105,17,0),"")</f>
        <v>2236.5280000000002</v>
      </c>
      <c r="AS83" s="154">
        <f t="shared" si="51"/>
        <v>0</v>
      </c>
      <c r="AT83" s="152" t="str">
        <f>IFERROR(VLOOKUP($B83,'PEDIDO JULIO'!$A$10:$AG$200,21,0),"0")</f>
        <v>0</v>
      </c>
      <c r="AU83" s="156">
        <f>IFERROR(VLOOKUP($B83,'[5]INSUMOS MARZO'!$A$2:$S$105,14,0),"")</f>
        <v>3333.3516</v>
      </c>
      <c r="AV83" s="154">
        <f t="shared" si="52"/>
        <v>0</v>
      </c>
      <c r="AW83" s="152" t="str">
        <f>IFERROR(VLOOKUP($B83,'PEDIDO JULIO'!$A$10:$AG$200,22,0),"0")</f>
        <v>0</v>
      </c>
      <c r="AX83" s="153">
        <f>IFERROR(VLOOKUP($B83,'[5]INSUMOS MARZO'!$A$2:$S$105,17,0),"")</f>
        <v>2236.5280000000002</v>
      </c>
      <c r="AY83" s="154">
        <f t="shared" si="53"/>
        <v>0</v>
      </c>
      <c r="AZ83" s="152" t="str">
        <f>IFERROR(VLOOKUP($B83,'PEDIDO JULIO'!$A$10:$AG$200,23,0),"0")</f>
        <v>0</v>
      </c>
      <c r="BA83" s="153">
        <f>IFERROR(VLOOKUP($B83,'[5]INSUMOS MARZO'!$A$2:$S$105,17,0),"")</f>
        <v>2236.5280000000002</v>
      </c>
      <c r="BB83" s="154">
        <f t="shared" si="54"/>
        <v>0</v>
      </c>
      <c r="BC83" s="152" t="str">
        <f>IFERROR(VLOOKUP($B83,'PEDIDO JULIO'!$A$10:$AG$200,24,0),"0")</f>
        <v>0</v>
      </c>
      <c r="BD83" s="153">
        <f>IFERROR(VLOOKUP($B83,'[5]INSUMOS MARZO'!$A$2:$S$105,17,0),"")</f>
        <v>2236.5280000000002</v>
      </c>
      <c r="BE83" s="155">
        <f t="shared" si="55"/>
        <v>0</v>
      </c>
      <c r="BF83" s="152" t="str">
        <f>IFERROR(VLOOKUP($B83,'PEDIDO JULIO'!$A$10:$AG$200,25,0),"0")</f>
        <v>0</v>
      </c>
      <c r="BG83" s="153">
        <f>IFERROR(VLOOKUP($B83,'[5]INSUMOS MARZO'!$A$2:$S$105,17,0),"")</f>
        <v>2236.5280000000002</v>
      </c>
      <c r="BH83" s="155">
        <f t="shared" si="56"/>
        <v>0</v>
      </c>
      <c r="BI83" s="152" t="str">
        <f>IFERROR(VLOOKUP($B83,'PEDIDO JULIO'!$A$10:$AG$200,26,0),"0")</f>
        <v>0</v>
      </c>
      <c r="BJ83" s="153">
        <f>IFERROR(VLOOKUP($B83,'[5]INSUMOS MARZO'!$A$2:$S$105,17,0),"")</f>
        <v>2236.5280000000002</v>
      </c>
      <c r="BK83" s="154">
        <f t="shared" si="57"/>
        <v>0</v>
      </c>
      <c r="BL83" s="152" t="str">
        <f>IFERROR(VLOOKUP($B83,'PEDIDO JULIO'!$A$10:$AG$200,27,0),"0")</f>
        <v>0</v>
      </c>
      <c r="BM83" s="153">
        <f>IFERROR(VLOOKUP($B83,'[5]INSUMOS MARZO'!$A$2:$S$105,17,0),"")</f>
        <v>2236.5280000000002</v>
      </c>
      <c r="BN83" s="154">
        <f t="shared" si="58"/>
        <v>0</v>
      </c>
      <c r="BO83" s="152" t="str">
        <f>IFERROR(VLOOKUP($B83,'PEDIDO JULIO'!$A$10:$AG$200,28,0),"0")</f>
        <v>0</v>
      </c>
      <c r="BP83" s="153">
        <f>IFERROR(VLOOKUP($B83,'[5]INSUMOS MARZO'!$A$2:$S$105,17,0),"")</f>
        <v>2236.5280000000002</v>
      </c>
      <c r="BQ83" s="154">
        <f t="shared" si="59"/>
        <v>0</v>
      </c>
      <c r="BR83" s="152" t="str">
        <f>IFERROR(VLOOKUP($B83,'PEDIDO JULIO'!$A$10:$AG$200,29,0),"0")</f>
        <v>0</v>
      </c>
      <c r="BS83" s="153">
        <f>IFERROR(VLOOKUP($B83,'[5]INSUMOS MARZO'!$A$2:$S$105,17,0),"")</f>
        <v>2236.5280000000002</v>
      </c>
      <c r="BT83" s="155">
        <f t="shared" si="60"/>
        <v>0</v>
      </c>
      <c r="BU83" s="152" t="str">
        <f>IFERROR(VLOOKUP($B83,'PEDIDO JULIO'!$A$10:$AG$200,30,0),"0")</f>
        <v>0</v>
      </c>
      <c r="BV83" s="153">
        <f>IFERROR(VLOOKUP($B83,'[5]INSUMOS MARZO'!$A$2:$S$105,17,0),"")</f>
        <v>2236.5280000000002</v>
      </c>
      <c r="BW83" s="155">
        <f t="shared" si="61"/>
        <v>0</v>
      </c>
      <c r="BX83" s="152" t="str">
        <f>IFERROR(VLOOKUP($B83,'PEDIDO JULIO'!$A$10:$AG$200,31,0),"0")</f>
        <v>0</v>
      </c>
      <c r="BY83" s="153">
        <f>IFERROR(VLOOKUP($B83,'[5]INSUMOS MARZO'!$A$2:$S$105,17,0),"")</f>
        <v>2236.5280000000002</v>
      </c>
      <c r="BZ83" s="155">
        <f t="shared" si="62"/>
        <v>0</v>
      </c>
      <c r="CA83" s="152" t="str">
        <f>IFERROR(VLOOKUP($B83,'PEDIDO JULIO'!$A$10:$AG$200,32,0),"0")</f>
        <v>0</v>
      </c>
      <c r="CB83" s="153">
        <f>IFERROR(VLOOKUP($B83,'[5]INSUMOS MARZO'!$A$2:$S$105,17,0),"")</f>
        <v>2236.5280000000002</v>
      </c>
      <c r="CC83" s="155">
        <f t="shared" si="63"/>
        <v>0</v>
      </c>
      <c r="CD83" s="157">
        <f t="shared" si="38"/>
        <v>0</v>
      </c>
      <c r="CE83" s="158">
        <f t="shared" si="64"/>
        <v>0</v>
      </c>
      <c r="CF83" s="251">
        <f>IFERROR(VLOOKUP($B83,'MATRIZ INSUMOS '!$A$3:$P$106,16,0),"")</f>
        <v>0</v>
      </c>
      <c r="CG83" s="153">
        <f>IFERROR(VLOOKUP($B83,'[5]INSUMOS MARZO'!$A$2:$S$105,17,0),"")</f>
        <v>2236.5280000000002</v>
      </c>
      <c r="CH83" s="156">
        <f t="shared" si="65"/>
        <v>0</v>
      </c>
      <c r="CI83" s="251">
        <f>IFERROR(VLOOKUP($B83,'MATRIZ INSUMOS '!$A$3:$P$106,10,0),"")</f>
        <v>0</v>
      </c>
      <c r="CJ83" s="156">
        <f>IFERROR(VLOOKUP($B83,'[5]INSUMOS MARZO'!$A$2:$S$105,14,0),"")</f>
        <v>3333.3516</v>
      </c>
      <c r="CK83" s="159">
        <f t="shared" si="66"/>
        <v>0</v>
      </c>
      <c r="CL83" s="160">
        <f t="shared" si="67"/>
        <v>0</v>
      </c>
      <c r="CM83" s="14">
        <f t="shared" si="68"/>
        <v>0</v>
      </c>
      <c r="CN83" s="14">
        <f t="shared" si="69"/>
        <v>0</v>
      </c>
      <c r="CO83" s="14">
        <f t="shared" si="70"/>
        <v>0</v>
      </c>
      <c r="CQ83" s="19">
        <f t="shared" si="71"/>
        <v>0</v>
      </c>
      <c r="CR83" s="19" t="b">
        <f t="shared" si="72"/>
        <v>1</v>
      </c>
      <c r="CS83" s="19">
        <f t="shared" si="73"/>
        <v>0</v>
      </c>
    </row>
    <row r="84" spans="1:97" ht="16.5">
      <c r="A84" s="3">
        <v>79</v>
      </c>
      <c r="B84" s="151">
        <v>162</v>
      </c>
      <c r="C84" s="4" t="s">
        <v>101</v>
      </c>
      <c r="D84" s="152">
        <f>IFERROR(VLOOKUP($B84,'[4]INSUMOS FEBRERO'!$A$2:$F$105,5,0),"")</f>
        <v>27</v>
      </c>
      <c r="E84" s="152" t="str">
        <f>IFERROR(VLOOKUP($B84,'PEDIDO JULIO'!$A$10:$AG$32,33,0),"0")</f>
        <v>0</v>
      </c>
      <c r="F84" s="152">
        <f t="shared" si="39"/>
        <v>-27</v>
      </c>
      <c r="G84" s="152">
        <f>IFERROR(VLOOKUP($B84,'PEDIDO JULIO'!$A$10:$AG$200,8,0),"0")</f>
        <v>0</v>
      </c>
      <c r="H84" s="153">
        <f>IFERROR(VLOOKUP($B84,'[5]INSUMOS MARZO'!$A$2:$S$105,17,0),"")</f>
        <v>2684.2539999999999</v>
      </c>
      <c r="I84" s="154">
        <f t="shared" si="37"/>
        <v>0</v>
      </c>
      <c r="J84" s="152">
        <f>IFERROR(VLOOKUP($B84,'PEDIDO JULIO'!$A$10:$AG$200,9,0),"0")</f>
        <v>0</v>
      </c>
      <c r="K84" s="153">
        <f>IFERROR(VLOOKUP($B84,'[5]INSUMOS MARZO'!$A$2:$S$105,17,0),"")</f>
        <v>2684.2539999999999</v>
      </c>
      <c r="L84" s="155">
        <f t="shared" si="40"/>
        <v>0</v>
      </c>
      <c r="M84" s="152">
        <f>IFERROR(VLOOKUP($B84,'PEDIDO JULIO'!$A$10:$AG$200,10,0),"0")</f>
        <v>0</v>
      </c>
      <c r="N84" s="153">
        <f>IFERROR(VLOOKUP($B84,'[5]INSUMOS MARZO'!$A$2:$S$105,17,0),"")</f>
        <v>2684.2539999999999</v>
      </c>
      <c r="O84" s="154">
        <f t="shared" si="41"/>
        <v>0</v>
      </c>
      <c r="P84" s="152">
        <f>IFERROR(VLOOKUP($B84,'PEDIDO JULIO'!$A$10:$AG$200,11,0),"0")</f>
        <v>0</v>
      </c>
      <c r="Q84" s="153">
        <f>IFERROR(VLOOKUP($B84,'[5]INSUMOS MARZO'!$A$2:$S$105,17,0),"")</f>
        <v>2684.2539999999999</v>
      </c>
      <c r="R84" s="154">
        <f t="shared" si="42"/>
        <v>0</v>
      </c>
      <c r="S84" s="152">
        <f>IFERROR(VLOOKUP($B84,'PEDIDO JULIO'!$A$10:$AG$200,12,0),"0")</f>
        <v>0</v>
      </c>
      <c r="T84" s="153">
        <f>IFERROR(VLOOKUP($B84,'[5]INSUMOS MARZO'!$A$2:$S$105,17,0),"")</f>
        <v>2684.2539999999999</v>
      </c>
      <c r="U84" s="154">
        <f t="shared" si="43"/>
        <v>0</v>
      </c>
      <c r="V84" s="152">
        <f>IFERROR(VLOOKUP($B84,'PEDIDO JULIO'!$A$10:$AG$200,13,0),"0")</f>
        <v>0</v>
      </c>
      <c r="W84" s="153">
        <f>IFERROR(VLOOKUP($B84,'[5]INSUMOS MARZO'!$A$2:$S$105,17,0),"")</f>
        <v>2684.2539999999999</v>
      </c>
      <c r="X84" s="154">
        <f t="shared" si="44"/>
        <v>0</v>
      </c>
      <c r="Y84" s="152">
        <f>IFERROR(VLOOKUP($B84,'PEDIDO JULIO'!$A$10:$AG$200,14,0),"0")</f>
        <v>0</v>
      </c>
      <c r="Z84" s="153">
        <f>IFERROR(VLOOKUP($B84,'[5]INSUMOS MARZO'!$A$2:$S$105,17,0),"")</f>
        <v>2684.2539999999999</v>
      </c>
      <c r="AA84" s="154">
        <f t="shared" si="45"/>
        <v>0</v>
      </c>
      <c r="AB84" s="152">
        <f>IFERROR(VLOOKUP($B84,'PEDIDO JULIO'!$A$10:$AG$200,15,0),"0")</f>
        <v>0</v>
      </c>
      <c r="AC84" s="153">
        <f>IFERROR(VLOOKUP($B84,'[5]INSUMOS MARZO'!$A$2:$S$105,17,0),"")</f>
        <v>2684.2539999999999</v>
      </c>
      <c r="AD84" s="154">
        <f t="shared" si="46"/>
        <v>0</v>
      </c>
      <c r="AE84" s="152">
        <f>IFERROR(VLOOKUP($B84,'PEDIDO JULIO'!$A$10:$AG$200,16,0),"0")</f>
        <v>0</v>
      </c>
      <c r="AF84" s="153">
        <f>IFERROR(VLOOKUP($B84,'[5]INSUMOS MARZO'!$A$2:$S$105,17,0),"")</f>
        <v>2684.2539999999999</v>
      </c>
      <c r="AG84" s="154">
        <f t="shared" si="47"/>
        <v>0</v>
      </c>
      <c r="AH84" s="152">
        <f>IFERROR(VLOOKUP($B84,'PEDIDO JULIO'!$A$10:$AG$200,17,0),"0")</f>
        <v>0</v>
      </c>
      <c r="AI84" s="153">
        <f>IFERROR(VLOOKUP($B84,'[5]INSUMOS MARZO'!$A$2:$S$105,17,0),"")</f>
        <v>2684.2539999999999</v>
      </c>
      <c r="AJ84" s="154">
        <f t="shared" si="48"/>
        <v>0</v>
      </c>
      <c r="AK84" s="152">
        <f>IFERROR(VLOOKUP($B84,'PEDIDO JULIO'!$A$10:$AG$200,18,0),"0")</f>
        <v>0</v>
      </c>
      <c r="AL84" s="153">
        <f>IFERROR(VLOOKUP($B84,'[5]INSUMOS MARZO'!$A$2:$S$105,17,0),"")</f>
        <v>2684.2539999999999</v>
      </c>
      <c r="AM84" s="154">
        <f t="shared" si="49"/>
        <v>0</v>
      </c>
      <c r="AN84" s="152">
        <f>IFERROR(VLOOKUP($B84,'PEDIDO JULIO'!$A$10:$AG$200,19,0),"0")</f>
        <v>0</v>
      </c>
      <c r="AO84" s="153">
        <f>IFERROR(VLOOKUP($B84,'[5]INSUMOS MARZO'!$A$2:$S$105,17,0),"")</f>
        <v>2684.2539999999999</v>
      </c>
      <c r="AP84" s="154">
        <f t="shared" si="50"/>
        <v>0</v>
      </c>
      <c r="AQ84" s="152">
        <f>IFERROR(VLOOKUP($B84,'PEDIDO JULIO'!$A$10:$AG$200,20,0),"0")</f>
        <v>0</v>
      </c>
      <c r="AR84" s="153">
        <f>IFERROR(VLOOKUP($B84,'[5]INSUMOS MARZO'!$A$2:$S$105,17,0),"")</f>
        <v>2684.2539999999999</v>
      </c>
      <c r="AS84" s="154">
        <f t="shared" si="51"/>
        <v>0</v>
      </c>
      <c r="AT84" s="152">
        <f>IFERROR(VLOOKUP($B84,'PEDIDO JULIO'!$A$10:$AG$200,21,0),"0")</f>
        <v>0</v>
      </c>
      <c r="AU84" s="156">
        <f>IFERROR(VLOOKUP($B84,'[5]INSUMOS MARZO'!$A$2:$S$105,14,0),"")</f>
        <v>4030.4798999999998</v>
      </c>
      <c r="AV84" s="154">
        <f t="shared" si="52"/>
        <v>0</v>
      </c>
      <c r="AW84" s="152">
        <f>IFERROR(VLOOKUP($B84,'PEDIDO JULIO'!$A$10:$AG$200,22,0),"0")</f>
        <v>0</v>
      </c>
      <c r="AX84" s="153">
        <f>IFERROR(VLOOKUP($B84,'[5]INSUMOS MARZO'!$A$2:$S$105,17,0),"")</f>
        <v>2684.2539999999999</v>
      </c>
      <c r="AY84" s="154">
        <f t="shared" si="53"/>
        <v>0</v>
      </c>
      <c r="AZ84" s="152">
        <f>IFERROR(VLOOKUP($B84,'PEDIDO JULIO'!$A$10:$AG$200,23,0),"0")</f>
        <v>0</v>
      </c>
      <c r="BA84" s="153">
        <f>IFERROR(VLOOKUP($B84,'[5]INSUMOS MARZO'!$A$2:$S$105,17,0),"")</f>
        <v>2684.2539999999999</v>
      </c>
      <c r="BB84" s="154">
        <f t="shared" si="54"/>
        <v>0</v>
      </c>
      <c r="BC84" s="152">
        <f>IFERROR(VLOOKUP($B84,'PEDIDO JULIO'!$A$10:$AG$200,24,0),"0")</f>
        <v>0</v>
      </c>
      <c r="BD84" s="153">
        <f>IFERROR(VLOOKUP($B84,'[5]INSUMOS MARZO'!$A$2:$S$105,17,0),"")</f>
        <v>2684.2539999999999</v>
      </c>
      <c r="BE84" s="155">
        <f t="shared" si="55"/>
        <v>0</v>
      </c>
      <c r="BF84" s="152">
        <f>IFERROR(VLOOKUP($B84,'PEDIDO JULIO'!$A$10:$AG$200,25,0),"0")</f>
        <v>0</v>
      </c>
      <c r="BG84" s="153">
        <f>IFERROR(VLOOKUP($B84,'[5]INSUMOS MARZO'!$A$2:$S$105,17,0),"")</f>
        <v>2684.2539999999999</v>
      </c>
      <c r="BH84" s="155">
        <f t="shared" si="56"/>
        <v>0</v>
      </c>
      <c r="BI84" s="152">
        <f>IFERROR(VLOOKUP($B84,'PEDIDO JULIO'!$A$10:$AG$200,26,0),"0")</f>
        <v>0</v>
      </c>
      <c r="BJ84" s="153">
        <f>IFERROR(VLOOKUP($B84,'[5]INSUMOS MARZO'!$A$2:$S$105,17,0),"")</f>
        <v>2684.2539999999999</v>
      </c>
      <c r="BK84" s="154">
        <f t="shared" si="57"/>
        <v>0</v>
      </c>
      <c r="BL84" s="152">
        <f>IFERROR(VLOOKUP($B84,'PEDIDO JULIO'!$A$10:$AG$200,27,0),"0")</f>
        <v>0</v>
      </c>
      <c r="BM84" s="153">
        <f>IFERROR(VLOOKUP($B84,'[5]INSUMOS MARZO'!$A$2:$S$105,17,0),"")</f>
        <v>2684.2539999999999</v>
      </c>
      <c r="BN84" s="154">
        <f t="shared" si="58"/>
        <v>0</v>
      </c>
      <c r="BO84" s="152">
        <f>IFERROR(VLOOKUP($B84,'PEDIDO JULIO'!$A$10:$AG$200,28,0),"0")</f>
        <v>0</v>
      </c>
      <c r="BP84" s="153">
        <f>IFERROR(VLOOKUP($B84,'[5]INSUMOS MARZO'!$A$2:$S$105,17,0),"")</f>
        <v>2684.2539999999999</v>
      </c>
      <c r="BQ84" s="154">
        <f t="shared" si="59"/>
        <v>0</v>
      </c>
      <c r="BR84" s="152">
        <f>IFERROR(VLOOKUP($B84,'PEDIDO JULIO'!$A$10:$AG$200,29,0),"0")</f>
        <v>6</v>
      </c>
      <c r="BS84" s="153">
        <f>IFERROR(VLOOKUP($B84,'[5]INSUMOS MARZO'!$A$2:$S$105,17,0),"")</f>
        <v>2684.2539999999999</v>
      </c>
      <c r="BT84" s="155">
        <f t="shared" si="60"/>
        <v>16105.523999999999</v>
      </c>
      <c r="BU84" s="152">
        <f>IFERROR(VLOOKUP($B84,'PEDIDO JULIO'!$A$10:$AG$200,30,0),"0")</f>
        <v>0</v>
      </c>
      <c r="BV84" s="153">
        <f>IFERROR(VLOOKUP($B84,'[5]INSUMOS MARZO'!$A$2:$S$105,17,0),"")</f>
        <v>2684.2539999999999</v>
      </c>
      <c r="BW84" s="155">
        <f t="shared" si="61"/>
        <v>0</v>
      </c>
      <c r="BX84" s="152">
        <f>IFERROR(VLOOKUP($B84,'PEDIDO JULIO'!$A$10:$AG$200,31,0),"0")</f>
        <v>0</v>
      </c>
      <c r="BY84" s="153">
        <f>IFERROR(VLOOKUP($B84,'[5]INSUMOS MARZO'!$A$2:$S$105,17,0),"")</f>
        <v>2684.2539999999999</v>
      </c>
      <c r="BZ84" s="155">
        <f t="shared" si="62"/>
        <v>0</v>
      </c>
      <c r="CA84" s="152">
        <f>IFERROR(VLOOKUP($B84,'PEDIDO JULIO'!$A$10:$AG$200,32,0),"0")</f>
        <v>0</v>
      </c>
      <c r="CB84" s="153">
        <f>IFERROR(VLOOKUP($B84,'[5]INSUMOS MARZO'!$A$2:$S$105,17,0),"")</f>
        <v>2684.2539999999999</v>
      </c>
      <c r="CC84" s="155">
        <f t="shared" si="63"/>
        <v>0</v>
      </c>
      <c r="CD84" s="157">
        <f t="shared" si="38"/>
        <v>6</v>
      </c>
      <c r="CE84" s="158">
        <f t="shared" si="64"/>
        <v>6</v>
      </c>
      <c r="CF84" s="251">
        <f>IFERROR(VLOOKUP($B84,'MATRIZ INSUMOS '!$A$3:$P$106,16,0),"")</f>
        <v>6</v>
      </c>
      <c r="CG84" s="153">
        <f>IFERROR(VLOOKUP($B84,'[5]INSUMOS MARZO'!$A$2:$S$105,17,0),"")</f>
        <v>2684.2539999999999</v>
      </c>
      <c r="CH84" s="156">
        <f t="shared" si="65"/>
        <v>16105.523999999999</v>
      </c>
      <c r="CI84" s="251">
        <f>IFERROR(VLOOKUP($B84,'MATRIZ INSUMOS '!$A$3:$P$106,10,0),"")</f>
        <v>0</v>
      </c>
      <c r="CJ84" s="156">
        <f>IFERROR(VLOOKUP($B84,'[5]INSUMOS MARZO'!$A$2:$S$105,14,0),"")</f>
        <v>4030.4798999999998</v>
      </c>
      <c r="CK84" s="159">
        <f t="shared" si="66"/>
        <v>0</v>
      </c>
      <c r="CL84" s="160">
        <f t="shared" si="67"/>
        <v>16105.523999999999</v>
      </c>
      <c r="CM84" s="14">
        <f t="shared" si="68"/>
        <v>1610.5524</v>
      </c>
      <c r="CN84" s="14">
        <f t="shared" si="69"/>
        <v>306.00495599999999</v>
      </c>
      <c r="CO84" s="14">
        <f t="shared" si="70"/>
        <v>18022.081355999999</v>
      </c>
      <c r="CQ84" s="19">
        <f t="shared" si="71"/>
        <v>16105.523999999999</v>
      </c>
      <c r="CR84" s="19" t="b">
        <f t="shared" si="72"/>
        <v>1</v>
      </c>
      <c r="CS84" s="19">
        <f t="shared" si="73"/>
        <v>0</v>
      </c>
    </row>
    <row r="85" spans="1:97" ht="16.5">
      <c r="A85" s="3">
        <v>80</v>
      </c>
      <c r="B85" s="151">
        <v>164</v>
      </c>
      <c r="C85" s="4" t="s">
        <v>102</v>
      </c>
      <c r="D85" s="152">
        <f>IFERROR(VLOOKUP($B85,'[4]INSUMOS FEBRERO'!$A$2:$F$105,5,0),"")</f>
        <v>30</v>
      </c>
      <c r="E85" s="152" t="str">
        <f>IFERROR(VLOOKUP($B85,'PEDIDO JULIO'!$A$10:$AG$32,33,0),"0")</f>
        <v>0</v>
      </c>
      <c r="F85" s="152">
        <f t="shared" si="39"/>
        <v>-30</v>
      </c>
      <c r="G85" s="152" t="str">
        <f>IFERROR(VLOOKUP($B85,'PEDIDO JULIO'!$A$10:$AG$200,8,0),"0")</f>
        <v>0</v>
      </c>
      <c r="H85" s="153">
        <f>IFERROR(VLOOKUP($B85,'[5]INSUMOS MARZO'!$A$2:$S$105,17,0),"")</f>
        <v>1658.4780000000001</v>
      </c>
      <c r="I85" s="154">
        <f t="shared" si="37"/>
        <v>0</v>
      </c>
      <c r="J85" s="152" t="str">
        <f>IFERROR(VLOOKUP($B85,'PEDIDO JULIO'!$A$10:$AG$200,9,0),"0")</f>
        <v>0</v>
      </c>
      <c r="K85" s="153">
        <f>IFERROR(VLOOKUP($B85,'[5]INSUMOS MARZO'!$A$2:$S$105,17,0),"")</f>
        <v>1658.4780000000001</v>
      </c>
      <c r="L85" s="155">
        <f t="shared" si="40"/>
        <v>0</v>
      </c>
      <c r="M85" s="152" t="str">
        <f>IFERROR(VLOOKUP($B85,'PEDIDO JULIO'!$A$10:$AG$200,10,0),"0")</f>
        <v>0</v>
      </c>
      <c r="N85" s="153">
        <f>IFERROR(VLOOKUP($B85,'[5]INSUMOS MARZO'!$A$2:$S$105,17,0),"")</f>
        <v>1658.4780000000001</v>
      </c>
      <c r="O85" s="154">
        <f t="shared" si="41"/>
        <v>0</v>
      </c>
      <c r="P85" s="152" t="str">
        <f>IFERROR(VLOOKUP($B85,'PEDIDO JULIO'!$A$10:$AG$200,11,0),"0")</f>
        <v>0</v>
      </c>
      <c r="Q85" s="153">
        <f>IFERROR(VLOOKUP($B85,'[5]INSUMOS MARZO'!$A$2:$S$105,17,0),"")</f>
        <v>1658.4780000000001</v>
      </c>
      <c r="R85" s="154">
        <f t="shared" si="42"/>
        <v>0</v>
      </c>
      <c r="S85" s="152" t="str">
        <f>IFERROR(VLOOKUP($B85,'PEDIDO JULIO'!$A$10:$AG$200,12,0),"0")</f>
        <v>0</v>
      </c>
      <c r="T85" s="153">
        <f>IFERROR(VLOOKUP($B85,'[5]INSUMOS MARZO'!$A$2:$S$105,17,0),"")</f>
        <v>1658.4780000000001</v>
      </c>
      <c r="U85" s="154">
        <f t="shared" si="43"/>
        <v>0</v>
      </c>
      <c r="V85" s="152" t="str">
        <f>IFERROR(VLOOKUP($B85,'PEDIDO JULIO'!$A$10:$AG$200,13,0),"0")</f>
        <v>0</v>
      </c>
      <c r="W85" s="153">
        <f>IFERROR(VLOOKUP($B85,'[5]INSUMOS MARZO'!$A$2:$S$105,17,0),"")</f>
        <v>1658.4780000000001</v>
      </c>
      <c r="X85" s="154">
        <f t="shared" si="44"/>
        <v>0</v>
      </c>
      <c r="Y85" s="152" t="str">
        <f>IFERROR(VLOOKUP($B85,'PEDIDO JULIO'!$A$10:$AG$200,14,0),"0")</f>
        <v>0</v>
      </c>
      <c r="Z85" s="153">
        <f>IFERROR(VLOOKUP($B85,'[5]INSUMOS MARZO'!$A$2:$S$105,17,0),"")</f>
        <v>1658.4780000000001</v>
      </c>
      <c r="AA85" s="154">
        <f t="shared" si="45"/>
        <v>0</v>
      </c>
      <c r="AB85" s="152" t="str">
        <f>IFERROR(VLOOKUP($B85,'PEDIDO JULIO'!$A$10:$AG$200,15,0),"0")</f>
        <v>0</v>
      </c>
      <c r="AC85" s="153">
        <f>IFERROR(VLOOKUP($B85,'[5]INSUMOS MARZO'!$A$2:$S$105,17,0),"")</f>
        <v>1658.4780000000001</v>
      </c>
      <c r="AD85" s="154">
        <f t="shared" si="46"/>
        <v>0</v>
      </c>
      <c r="AE85" s="152" t="str">
        <f>IFERROR(VLOOKUP($B85,'PEDIDO JULIO'!$A$10:$AG$200,16,0),"0")</f>
        <v>0</v>
      </c>
      <c r="AF85" s="153">
        <f>IFERROR(VLOOKUP($B85,'[5]INSUMOS MARZO'!$A$2:$S$105,17,0),"")</f>
        <v>1658.4780000000001</v>
      </c>
      <c r="AG85" s="154">
        <f t="shared" si="47"/>
        <v>0</v>
      </c>
      <c r="AH85" s="152" t="str">
        <f>IFERROR(VLOOKUP($B85,'PEDIDO JULIO'!$A$10:$AG$200,17,0),"0")</f>
        <v>0</v>
      </c>
      <c r="AI85" s="153">
        <f>IFERROR(VLOOKUP($B85,'[5]INSUMOS MARZO'!$A$2:$S$105,17,0),"")</f>
        <v>1658.4780000000001</v>
      </c>
      <c r="AJ85" s="154">
        <f t="shared" si="48"/>
        <v>0</v>
      </c>
      <c r="AK85" s="152" t="str">
        <f>IFERROR(VLOOKUP($B85,'PEDIDO JULIO'!$A$10:$AG$200,18,0),"0")</f>
        <v>0</v>
      </c>
      <c r="AL85" s="153">
        <f>IFERROR(VLOOKUP($B85,'[5]INSUMOS MARZO'!$A$2:$S$105,17,0),"")</f>
        <v>1658.4780000000001</v>
      </c>
      <c r="AM85" s="154">
        <f t="shared" si="49"/>
        <v>0</v>
      </c>
      <c r="AN85" s="152" t="str">
        <f>IFERROR(VLOOKUP($B85,'PEDIDO JULIO'!$A$10:$AG$200,19,0),"0")</f>
        <v>0</v>
      </c>
      <c r="AO85" s="153">
        <f>IFERROR(VLOOKUP($B85,'[5]INSUMOS MARZO'!$A$2:$S$105,17,0),"")</f>
        <v>1658.4780000000001</v>
      </c>
      <c r="AP85" s="154">
        <f t="shared" si="50"/>
        <v>0</v>
      </c>
      <c r="AQ85" s="152" t="str">
        <f>IFERROR(VLOOKUP($B85,'PEDIDO JULIO'!$A$10:$AG$200,20,0),"0")</f>
        <v>0</v>
      </c>
      <c r="AR85" s="153">
        <f>IFERROR(VLOOKUP($B85,'[5]INSUMOS MARZO'!$A$2:$S$105,17,0),"")</f>
        <v>1658.4780000000001</v>
      </c>
      <c r="AS85" s="154">
        <f t="shared" si="51"/>
        <v>0</v>
      </c>
      <c r="AT85" s="152" t="str">
        <f>IFERROR(VLOOKUP($B85,'PEDIDO JULIO'!$A$10:$AG$200,21,0),"0")</f>
        <v>0</v>
      </c>
      <c r="AU85" s="156">
        <f>IFERROR(VLOOKUP($B85,'[5]INSUMOS MARZO'!$A$2:$S$105,14,0),"")</f>
        <v>6518.1968999999999</v>
      </c>
      <c r="AV85" s="154">
        <f t="shared" si="52"/>
        <v>0</v>
      </c>
      <c r="AW85" s="152" t="str">
        <f>IFERROR(VLOOKUP($B85,'PEDIDO JULIO'!$A$10:$AG$200,22,0),"0")</f>
        <v>0</v>
      </c>
      <c r="AX85" s="153">
        <f>IFERROR(VLOOKUP($B85,'[5]INSUMOS MARZO'!$A$2:$S$105,17,0),"")</f>
        <v>1658.4780000000001</v>
      </c>
      <c r="AY85" s="154">
        <f t="shared" si="53"/>
        <v>0</v>
      </c>
      <c r="AZ85" s="152" t="str">
        <f>IFERROR(VLOOKUP($B85,'PEDIDO JULIO'!$A$10:$AG$200,23,0),"0")</f>
        <v>0</v>
      </c>
      <c r="BA85" s="153">
        <f>IFERROR(VLOOKUP($B85,'[5]INSUMOS MARZO'!$A$2:$S$105,17,0),"")</f>
        <v>1658.4780000000001</v>
      </c>
      <c r="BB85" s="154">
        <f t="shared" si="54"/>
        <v>0</v>
      </c>
      <c r="BC85" s="152" t="str">
        <f>IFERROR(VLOOKUP($B85,'PEDIDO JULIO'!$A$10:$AG$200,24,0),"0")</f>
        <v>0</v>
      </c>
      <c r="BD85" s="153">
        <f>IFERROR(VLOOKUP($B85,'[5]INSUMOS MARZO'!$A$2:$S$105,17,0),"")</f>
        <v>1658.4780000000001</v>
      </c>
      <c r="BE85" s="155">
        <f t="shared" si="55"/>
        <v>0</v>
      </c>
      <c r="BF85" s="152" t="str">
        <f>IFERROR(VLOOKUP($B85,'PEDIDO JULIO'!$A$10:$AG$200,25,0),"0")</f>
        <v>0</v>
      </c>
      <c r="BG85" s="153">
        <f>IFERROR(VLOOKUP($B85,'[5]INSUMOS MARZO'!$A$2:$S$105,17,0),"")</f>
        <v>1658.4780000000001</v>
      </c>
      <c r="BH85" s="155">
        <f t="shared" si="56"/>
        <v>0</v>
      </c>
      <c r="BI85" s="152" t="str">
        <f>IFERROR(VLOOKUP($B85,'PEDIDO JULIO'!$A$10:$AG$200,26,0),"0")</f>
        <v>0</v>
      </c>
      <c r="BJ85" s="153">
        <f>IFERROR(VLOOKUP($B85,'[5]INSUMOS MARZO'!$A$2:$S$105,17,0),"")</f>
        <v>1658.4780000000001</v>
      </c>
      <c r="BK85" s="154">
        <f t="shared" si="57"/>
        <v>0</v>
      </c>
      <c r="BL85" s="152" t="str">
        <f>IFERROR(VLOOKUP($B85,'PEDIDO JULIO'!$A$10:$AG$200,27,0),"0")</f>
        <v>0</v>
      </c>
      <c r="BM85" s="153">
        <f>IFERROR(VLOOKUP($B85,'[5]INSUMOS MARZO'!$A$2:$S$105,17,0),"")</f>
        <v>1658.4780000000001</v>
      </c>
      <c r="BN85" s="154">
        <f t="shared" si="58"/>
        <v>0</v>
      </c>
      <c r="BO85" s="152" t="str">
        <f>IFERROR(VLOOKUP($B85,'PEDIDO JULIO'!$A$10:$AG$200,28,0),"0")</f>
        <v>0</v>
      </c>
      <c r="BP85" s="153">
        <f>IFERROR(VLOOKUP($B85,'[5]INSUMOS MARZO'!$A$2:$S$105,17,0),"")</f>
        <v>1658.4780000000001</v>
      </c>
      <c r="BQ85" s="154">
        <f t="shared" si="59"/>
        <v>0</v>
      </c>
      <c r="BR85" s="152" t="str">
        <f>IFERROR(VLOOKUP($B85,'PEDIDO JULIO'!$A$10:$AG$200,29,0),"0")</f>
        <v>0</v>
      </c>
      <c r="BS85" s="153">
        <f>IFERROR(VLOOKUP($B85,'[5]INSUMOS MARZO'!$A$2:$S$105,17,0),"")</f>
        <v>1658.4780000000001</v>
      </c>
      <c r="BT85" s="155">
        <f t="shared" si="60"/>
        <v>0</v>
      </c>
      <c r="BU85" s="152" t="str">
        <f>IFERROR(VLOOKUP($B85,'PEDIDO JULIO'!$A$10:$AG$200,30,0),"0")</f>
        <v>0</v>
      </c>
      <c r="BV85" s="153">
        <f>IFERROR(VLOOKUP($B85,'[5]INSUMOS MARZO'!$A$2:$S$105,17,0),"")</f>
        <v>1658.4780000000001</v>
      </c>
      <c r="BW85" s="155">
        <f t="shared" si="61"/>
        <v>0</v>
      </c>
      <c r="BX85" s="152" t="str">
        <f>IFERROR(VLOOKUP($B85,'PEDIDO JULIO'!$A$10:$AG$200,31,0),"0")</f>
        <v>0</v>
      </c>
      <c r="BY85" s="153">
        <f>IFERROR(VLOOKUP($B85,'[5]INSUMOS MARZO'!$A$2:$S$105,17,0),"")</f>
        <v>1658.4780000000001</v>
      </c>
      <c r="BZ85" s="155">
        <f t="shared" si="62"/>
        <v>0</v>
      </c>
      <c r="CA85" s="152" t="str">
        <f>IFERROR(VLOOKUP($B85,'PEDIDO JULIO'!$A$10:$AG$200,32,0),"0")</f>
        <v>0</v>
      </c>
      <c r="CB85" s="153">
        <f>IFERROR(VLOOKUP($B85,'[5]INSUMOS MARZO'!$A$2:$S$105,17,0),"")</f>
        <v>1658.4780000000001</v>
      </c>
      <c r="CC85" s="155">
        <f t="shared" si="63"/>
        <v>0</v>
      </c>
      <c r="CD85" s="157">
        <f t="shared" si="38"/>
        <v>0</v>
      </c>
      <c r="CE85" s="158">
        <f t="shared" si="64"/>
        <v>0</v>
      </c>
      <c r="CF85" s="251">
        <f>IFERROR(VLOOKUP($B85,'MATRIZ INSUMOS '!$A$3:$P$106,16,0),"")</f>
        <v>0</v>
      </c>
      <c r="CG85" s="153">
        <f>IFERROR(VLOOKUP($B85,'[5]INSUMOS MARZO'!$A$2:$S$105,17,0),"")</f>
        <v>1658.4780000000001</v>
      </c>
      <c r="CH85" s="156">
        <f t="shared" si="65"/>
        <v>0</v>
      </c>
      <c r="CI85" s="251">
        <f>IFERROR(VLOOKUP($B85,'MATRIZ INSUMOS '!$A$3:$P$106,10,0),"")</f>
        <v>0</v>
      </c>
      <c r="CJ85" s="156">
        <f>IFERROR(VLOOKUP($B85,'[5]INSUMOS MARZO'!$A$2:$S$105,14,0),"")</f>
        <v>6518.1968999999999</v>
      </c>
      <c r="CK85" s="159">
        <f t="shared" si="66"/>
        <v>0</v>
      </c>
      <c r="CL85" s="160">
        <f t="shared" si="67"/>
        <v>0</v>
      </c>
      <c r="CM85" s="14">
        <f t="shared" si="68"/>
        <v>0</v>
      </c>
      <c r="CN85" s="14">
        <f t="shared" si="69"/>
        <v>0</v>
      </c>
      <c r="CO85" s="14">
        <f t="shared" si="70"/>
        <v>0</v>
      </c>
      <c r="CQ85" s="19">
        <f t="shared" si="71"/>
        <v>0</v>
      </c>
      <c r="CR85" s="19" t="b">
        <f t="shared" si="72"/>
        <v>1</v>
      </c>
      <c r="CS85" s="19">
        <f t="shared" si="73"/>
        <v>0</v>
      </c>
    </row>
    <row r="86" spans="1:97" ht="16.5">
      <c r="A86" s="3">
        <v>81</v>
      </c>
      <c r="B86" s="151">
        <v>169</v>
      </c>
      <c r="C86" s="4" t="s">
        <v>104</v>
      </c>
      <c r="D86" s="152">
        <f>IFERROR(VLOOKUP($B86,'[4]INSUMOS FEBRERO'!$A$2:$F$105,5,0),"")</f>
        <v>13</v>
      </c>
      <c r="E86" s="152" t="str">
        <f>IFERROR(VLOOKUP($B86,'PEDIDO JULIO'!$A$10:$AG$32,33,0),"0")</f>
        <v>0</v>
      </c>
      <c r="F86" s="152">
        <f t="shared" si="39"/>
        <v>-13</v>
      </c>
      <c r="G86" s="152" t="str">
        <f>IFERROR(VLOOKUP($B86,'PEDIDO JULIO'!$A$10:$AG$200,8,0),"0")</f>
        <v>0</v>
      </c>
      <c r="H86" s="153">
        <f>IFERROR(VLOOKUP($B86,'[5]INSUMOS MARZO'!$A$2:$S$105,17,0),"")</f>
        <v>85897.178999999989</v>
      </c>
      <c r="I86" s="154">
        <f t="shared" si="37"/>
        <v>0</v>
      </c>
      <c r="J86" s="152" t="str">
        <f>IFERROR(VLOOKUP($B86,'PEDIDO JULIO'!$A$10:$AG$200,9,0),"0")</f>
        <v>0</v>
      </c>
      <c r="K86" s="156">
        <f>IFERROR(VLOOKUP($B86,'[5]INSUMOS MARZO'!$A$2:$S$105,14,0),"")</f>
        <v>156626.85149999999</v>
      </c>
      <c r="L86" s="155">
        <f t="shared" si="40"/>
        <v>0</v>
      </c>
      <c r="M86" s="152" t="str">
        <f>IFERROR(VLOOKUP($B86,'PEDIDO JULIO'!$A$10:$AG$200,10,0),"0")</f>
        <v>0</v>
      </c>
      <c r="N86" s="153">
        <f>IFERROR(VLOOKUP($B86,'[5]INSUMOS MARZO'!$A$2:$S$105,17,0),"")</f>
        <v>85897.178999999989</v>
      </c>
      <c r="O86" s="154">
        <f t="shared" si="41"/>
        <v>0</v>
      </c>
      <c r="P86" s="152" t="str">
        <f>IFERROR(VLOOKUP($B86,'PEDIDO JULIO'!$A$10:$AG$200,11,0),"0")</f>
        <v>0</v>
      </c>
      <c r="Q86" s="153">
        <f>IFERROR(VLOOKUP($B86,'[5]INSUMOS MARZO'!$A$2:$S$105,17,0),"")</f>
        <v>85897.178999999989</v>
      </c>
      <c r="R86" s="154">
        <f t="shared" si="42"/>
        <v>0</v>
      </c>
      <c r="S86" s="152" t="str">
        <f>IFERROR(VLOOKUP($B86,'PEDIDO JULIO'!$A$10:$AG$200,12,0),"0")</f>
        <v>0</v>
      </c>
      <c r="T86" s="153">
        <f>IFERROR(VLOOKUP($B86,'[5]INSUMOS MARZO'!$A$2:$S$105,17,0),"")</f>
        <v>85897.178999999989</v>
      </c>
      <c r="U86" s="154">
        <f t="shared" si="43"/>
        <v>0</v>
      </c>
      <c r="V86" s="152" t="str">
        <f>IFERROR(VLOOKUP($B86,'PEDIDO JULIO'!$A$10:$AG$200,13,0),"0")</f>
        <v>0</v>
      </c>
      <c r="W86" s="153">
        <f>IFERROR(VLOOKUP($B86,'[5]INSUMOS MARZO'!$A$2:$S$105,17,0),"")</f>
        <v>85897.178999999989</v>
      </c>
      <c r="X86" s="154">
        <f t="shared" si="44"/>
        <v>0</v>
      </c>
      <c r="Y86" s="152" t="str">
        <f>IFERROR(VLOOKUP($B86,'PEDIDO JULIO'!$A$10:$AG$200,14,0),"0")</f>
        <v>0</v>
      </c>
      <c r="Z86" s="153">
        <f>IFERROR(VLOOKUP($B86,'[5]INSUMOS MARZO'!$A$2:$S$105,17,0),"")</f>
        <v>85897.178999999989</v>
      </c>
      <c r="AA86" s="154">
        <f t="shared" si="45"/>
        <v>0</v>
      </c>
      <c r="AB86" s="152" t="str">
        <f>IFERROR(VLOOKUP($B86,'PEDIDO JULIO'!$A$10:$AG$200,15,0),"0")</f>
        <v>0</v>
      </c>
      <c r="AC86" s="153">
        <f>IFERROR(VLOOKUP($B86,'[5]INSUMOS MARZO'!$A$2:$S$105,17,0),"")</f>
        <v>85897.178999999989</v>
      </c>
      <c r="AD86" s="154">
        <f t="shared" si="46"/>
        <v>0</v>
      </c>
      <c r="AE86" s="152" t="str">
        <f>IFERROR(VLOOKUP($B86,'PEDIDO JULIO'!$A$10:$AG$200,16,0),"0")</f>
        <v>0</v>
      </c>
      <c r="AF86" s="153">
        <f>IFERROR(VLOOKUP($B86,'[5]INSUMOS MARZO'!$A$2:$S$105,17,0),"")</f>
        <v>85897.178999999989</v>
      </c>
      <c r="AG86" s="154">
        <f t="shared" si="47"/>
        <v>0</v>
      </c>
      <c r="AH86" s="152" t="str">
        <f>IFERROR(VLOOKUP($B86,'PEDIDO JULIO'!$A$10:$AG$200,17,0),"0")</f>
        <v>0</v>
      </c>
      <c r="AI86" s="153">
        <f>IFERROR(VLOOKUP($B86,'[5]INSUMOS MARZO'!$A$2:$S$105,17,0),"")</f>
        <v>85897.178999999989</v>
      </c>
      <c r="AJ86" s="154">
        <f t="shared" si="48"/>
        <v>0</v>
      </c>
      <c r="AK86" s="152" t="str">
        <f>IFERROR(VLOOKUP($B86,'PEDIDO JULIO'!$A$10:$AG$200,18,0),"0")</f>
        <v>0</v>
      </c>
      <c r="AL86" s="153">
        <f>IFERROR(VLOOKUP($B86,'[5]INSUMOS MARZO'!$A$2:$S$105,17,0),"")</f>
        <v>85897.178999999989</v>
      </c>
      <c r="AM86" s="154">
        <f t="shared" si="49"/>
        <v>0</v>
      </c>
      <c r="AN86" s="152" t="str">
        <f>IFERROR(VLOOKUP($B86,'PEDIDO JULIO'!$A$10:$AG$200,19,0),"0")</f>
        <v>0</v>
      </c>
      <c r="AO86" s="153">
        <f>IFERROR(VLOOKUP($B86,'[5]INSUMOS MARZO'!$A$2:$S$105,17,0),"")</f>
        <v>85897.178999999989</v>
      </c>
      <c r="AP86" s="154">
        <f t="shared" si="50"/>
        <v>0</v>
      </c>
      <c r="AQ86" s="152" t="str">
        <f>IFERROR(VLOOKUP($B86,'PEDIDO JULIO'!$A$10:$AG$200,20,0),"0")</f>
        <v>0</v>
      </c>
      <c r="AR86" s="153">
        <f>IFERROR(VLOOKUP($B86,'[5]INSUMOS MARZO'!$A$2:$S$105,17,0),"")</f>
        <v>85897.178999999989</v>
      </c>
      <c r="AS86" s="154">
        <f t="shared" si="51"/>
        <v>0</v>
      </c>
      <c r="AT86" s="152" t="str">
        <f>IFERROR(VLOOKUP($B86,'PEDIDO JULIO'!$A$10:$AG$200,21,0),"0")</f>
        <v>0</v>
      </c>
      <c r="AU86" s="156">
        <f>IFERROR(VLOOKUP($B86,'[5]INSUMOS MARZO'!$A$2:$S$105,14,0),"")</f>
        <v>156626.85149999999</v>
      </c>
      <c r="AV86" s="154">
        <f t="shared" si="52"/>
        <v>0</v>
      </c>
      <c r="AW86" s="152" t="str">
        <f>IFERROR(VLOOKUP($B86,'PEDIDO JULIO'!$A$10:$AG$200,22,0),"0")</f>
        <v>0</v>
      </c>
      <c r="AX86" s="153">
        <f>IFERROR(VLOOKUP($B86,'[5]INSUMOS MARZO'!$A$2:$S$105,17,0),"")</f>
        <v>85897.178999999989</v>
      </c>
      <c r="AY86" s="154">
        <f t="shared" si="53"/>
        <v>0</v>
      </c>
      <c r="AZ86" s="152" t="str">
        <f>IFERROR(VLOOKUP($B86,'PEDIDO JULIO'!$A$10:$AG$200,23,0),"0")</f>
        <v>0</v>
      </c>
      <c r="BA86" s="153">
        <f>IFERROR(VLOOKUP($B86,'[5]INSUMOS MARZO'!$A$2:$S$105,17,0),"")</f>
        <v>85897.178999999989</v>
      </c>
      <c r="BB86" s="154">
        <f t="shared" si="54"/>
        <v>0</v>
      </c>
      <c r="BC86" s="152" t="str">
        <f>IFERROR(VLOOKUP($B86,'PEDIDO JULIO'!$A$10:$AG$200,24,0),"0")</f>
        <v>0</v>
      </c>
      <c r="BD86" s="153">
        <f>IFERROR(VLOOKUP($B86,'[5]INSUMOS MARZO'!$A$2:$S$105,17,0),"")</f>
        <v>85897.178999999989</v>
      </c>
      <c r="BE86" s="155">
        <f t="shared" si="55"/>
        <v>0</v>
      </c>
      <c r="BF86" s="152" t="str">
        <f>IFERROR(VLOOKUP($B86,'PEDIDO JULIO'!$A$10:$AG$200,25,0),"0")</f>
        <v>0</v>
      </c>
      <c r="BG86" s="153">
        <f>IFERROR(VLOOKUP($B86,'[5]INSUMOS MARZO'!$A$2:$S$105,17,0),"")</f>
        <v>85897.178999999989</v>
      </c>
      <c r="BH86" s="155">
        <f t="shared" si="56"/>
        <v>0</v>
      </c>
      <c r="BI86" s="152" t="str">
        <f>IFERROR(VLOOKUP($B86,'PEDIDO JULIO'!$A$10:$AG$200,26,0),"0")</f>
        <v>0</v>
      </c>
      <c r="BJ86" s="153">
        <f>IFERROR(VLOOKUP($B86,'[5]INSUMOS MARZO'!$A$2:$S$105,17,0),"")</f>
        <v>85897.178999999989</v>
      </c>
      <c r="BK86" s="154">
        <f t="shared" si="57"/>
        <v>0</v>
      </c>
      <c r="BL86" s="152" t="str">
        <f>IFERROR(VLOOKUP($B86,'PEDIDO JULIO'!$A$10:$AG$200,27,0),"0")</f>
        <v>0</v>
      </c>
      <c r="BM86" s="153">
        <f>IFERROR(VLOOKUP($B86,'[5]INSUMOS MARZO'!$A$2:$S$105,17,0),"")</f>
        <v>85897.178999999989</v>
      </c>
      <c r="BN86" s="154">
        <f t="shared" si="58"/>
        <v>0</v>
      </c>
      <c r="BO86" s="152" t="str">
        <f>IFERROR(VLOOKUP($B86,'PEDIDO JULIO'!$A$10:$AG$200,28,0),"0")</f>
        <v>0</v>
      </c>
      <c r="BP86" s="153">
        <f>IFERROR(VLOOKUP($B86,'[5]INSUMOS MARZO'!$A$2:$S$105,17,0),"")</f>
        <v>85897.178999999989</v>
      </c>
      <c r="BQ86" s="154">
        <f t="shared" si="59"/>
        <v>0</v>
      </c>
      <c r="BR86" s="152" t="str">
        <f>IFERROR(VLOOKUP($B86,'PEDIDO JULIO'!$A$10:$AG$200,29,0),"0")</f>
        <v>0</v>
      </c>
      <c r="BS86" s="153">
        <f>IFERROR(VLOOKUP($B86,'[5]INSUMOS MARZO'!$A$2:$S$105,17,0),"")</f>
        <v>85897.178999999989</v>
      </c>
      <c r="BT86" s="155">
        <f t="shared" si="60"/>
        <v>0</v>
      </c>
      <c r="BU86" s="152" t="str">
        <f>IFERROR(VLOOKUP($B86,'PEDIDO JULIO'!$A$10:$AG$200,30,0),"0")</f>
        <v>0</v>
      </c>
      <c r="BV86" s="153">
        <f>IFERROR(VLOOKUP($B86,'[5]INSUMOS MARZO'!$A$2:$S$105,17,0),"")</f>
        <v>85897.178999999989</v>
      </c>
      <c r="BW86" s="155">
        <f t="shared" si="61"/>
        <v>0</v>
      </c>
      <c r="BX86" s="152" t="str">
        <f>IFERROR(VLOOKUP($B86,'PEDIDO JULIO'!$A$10:$AG$200,31,0),"0")</f>
        <v>0</v>
      </c>
      <c r="BY86" s="153">
        <f>IFERROR(VLOOKUP($B86,'[5]INSUMOS MARZO'!$A$2:$S$105,17,0),"")</f>
        <v>85897.178999999989</v>
      </c>
      <c r="BZ86" s="155">
        <f t="shared" si="62"/>
        <v>0</v>
      </c>
      <c r="CA86" s="152" t="str">
        <f>IFERROR(VLOOKUP($B86,'PEDIDO JULIO'!$A$10:$AG$200,32,0),"0")</f>
        <v>0</v>
      </c>
      <c r="CB86" s="153">
        <f>IFERROR(VLOOKUP($B86,'[5]INSUMOS MARZO'!$A$2:$S$105,17,0),"")</f>
        <v>85897.178999999989</v>
      </c>
      <c r="CC86" s="155">
        <f t="shared" si="63"/>
        <v>0</v>
      </c>
      <c r="CD86" s="157">
        <f t="shared" si="38"/>
        <v>0</v>
      </c>
      <c r="CE86" s="158">
        <f t="shared" si="64"/>
        <v>0</v>
      </c>
      <c r="CF86" s="251">
        <f>IFERROR(VLOOKUP($B86,'MATRIZ INSUMOS '!$A$3:$P$106,16,0),"")</f>
        <v>0</v>
      </c>
      <c r="CG86" s="153">
        <f>IFERROR(VLOOKUP($B86,'[5]INSUMOS MARZO'!$A$2:$S$105,17,0),"")</f>
        <v>85897.178999999989</v>
      </c>
      <c r="CH86" s="156">
        <f t="shared" si="65"/>
        <v>0</v>
      </c>
      <c r="CI86" s="251">
        <f>IFERROR(VLOOKUP($B86,'MATRIZ INSUMOS '!$A$3:$P$106,10,0),"")</f>
        <v>0</v>
      </c>
      <c r="CJ86" s="156">
        <f>IFERROR(VLOOKUP($B86,'[5]INSUMOS MARZO'!$A$2:$S$105,14,0),"")</f>
        <v>156626.85149999999</v>
      </c>
      <c r="CK86" s="159">
        <f t="shared" si="66"/>
        <v>0</v>
      </c>
      <c r="CL86" s="160">
        <f t="shared" si="67"/>
        <v>0</v>
      </c>
      <c r="CM86" s="14">
        <f t="shared" si="68"/>
        <v>0</v>
      </c>
      <c r="CN86" s="14">
        <f t="shared" si="69"/>
        <v>0</v>
      </c>
      <c r="CO86" s="14">
        <f t="shared" si="70"/>
        <v>0</v>
      </c>
      <c r="CQ86" s="19">
        <f t="shared" si="71"/>
        <v>0</v>
      </c>
      <c r="CR86" s="19" t="b">
        <f t="shared" si="72"/>
        <v>1</v>
      </c>
      <c r="CS86" s="19">
        <f t="shared" si="73"/>
        <v>0</v>
      </c>
    </row>
    <row r="87" spans="1:97" ht="16.5">
      <c r="A87" s="3">
        <v>82</v>
      </c>
      <c r="B87" s="151">
        <v>170</v>
      </c>
      <c r="C87" s="4" t="s">
        <v>106</v>
      </c>
      <c r="D87" s="152">
        <f>IFERROR(VLOOKUP($B87,'[4]INSUMOS FEBRERO'!$A$2:$F$105,5,0),"")</f>
        <v>283</v>
      </c>
      <c r="E87" s="152" t="str">
        <f>IFERROR(VLOOKUP($B87,'PEDIDO JULIO'!$A$10:$AG$32,33,0),"0")</f>
        <v>0</v>
      </c>
      <c r="F87" s="152">
        <f t="shared" si="39"/>
        <v>-283</v>
      </c>
      <c r="G87" s="152">
        <f>IFERROR(VLOOKUP($B87,'PEDIDO JULIO'!$A$10:$AG$200,8,0),"0")</f>
        <v>500</v>
      </c>
      <c r="H87" s="153">
        <f>IFERROR(VLOOKUP($B87,'[5]INSUMOS MARZO'!$A$2:$S$105,17,0),"")</f>
        <v>19405.664000000001</v>
      </c>
      <c r="I87" s="154">
        <f t="shared" si="37"/>
        <v>9702832</v>
      </c>
      <c r="J87" s="152">
        <f>IFERROR(VLOOKUP($B87,'PEDIDO JULIO'!$A$10:$AG$200,9,0),"0")</f>
        <v>0</v>
      </c>
      <c r="K87" s="153">
        <f>IFERROR(VLOOKUP($B87,'[5]INSUMOS MARZO'!$A$2:$S$105,17,0),"")</f>
        <v>19405.664000000001</v>
      </c>
      <c r="L87" s="155">
        <f t="shared" si="40"/>
        <v>0</v>
      </c>
      <c r="M87" s="152">
        <f>IFERROR(VLOOKUP($B87,'PEDIDO JULIO'!$A$10:$AG$200,10,0),"0")</f>
        <v>0</v>
      </c>
      <c r="N87" s="153">
        <f>IFERROR(VLOOKUP($B87,'[5]INSUMOS MARZO'!$A$2:$S$105,17,0),"")</f>
        <v>19405.664000000001</v>
      </c>
      <c r="O87" s="154">
        <f t="shared" si="41"/>
        <v>0</v>
      </c>
      <c r="P87" s="152">
        <f>IFERROR(VLOOKUP($B87,'PEDIDO JULIO'!$A$10:$AG$200,11,0),"0")</f>
        <v>0</v>
      </c>
      <c r="Q87" s="153">
        <f>IFERROR(VLOOKUP($B87,'[5]INSUMOS MARZO'!$A$2:$S$105,17,0),"")</f>
        <v>19405.664000000001</v>
      </c>
      <c r="R87" s="154">
        <f t="shared" si="42"/>
        <v>0</v>
      </c>
      <c r="S87" s="152">
        <f>IFERROR(VLOOKUP($B87,'PEDIDO JULIO'!$A$10:$AG$200,12,0),"0")</f>
        <v>0</v>
      </c>
      <c r="T87" s="153">
        <f>IFERROR(VLOOKUP($B87,'[5]INSUMOS MARZO'!$A$2:$S$105,17,0),"")</f>
        <v>19405.664000000001</v>
      </c>
      <c r="U87" s="154">
        <f t="shared" si="43"/>
        <v>0</v>
      </c>
      <c r="V87" s="152">
        <f>IFERROR(VLOOKUP($B87,'PEDIDO JULIO'!$A$10:$AG$200,13,0),"0")</f>
        <v>0</v>
      </c>
      <c r="W87" s="153">
        <f>IFERROR(VLOOKUP($B87,'[5]INSUMOS MARZO'!$A$2:$S$105,17,0),"")</f>
        <v>19405.664000000001</v>
      </c>
      <c r="X87" s="154">
        <f t="shared" si="44"/>
        <v>0</v>
      </c>
      <c r="Y87" s="152">
        <f>IFERROR(VLOOKUP($B87,'PEDIDO JULIO'!$A$10:$AG$200,14,0),"0")</f>
        <v>0</v>
      </c>
      <c r="Z87" s="153">
        <f>IFERROR(VLOOKUP($B87,'[5]INSUMOS MARZO'!$A$2:$S$105,17,0),"")</f>
        <v>19405.664000000001</v>
      </c>
      <c r="AA87" s="154">
        <f t="shared" si="45"/>
        <v>0</v>
      </c>
      <c r="AB87" s="152">
        <f>IFERROR(VLOOKUP($B87,'PEDIDO JULIO'!$A$10:$AG$200,15,0),"0")</f>
        <v>0</v>
      </c>
      <c r="AC87" s="153">
        <f>IFERROR(VLOOKUP($B87,'[5]INSUMOS MARZO'!$A$2:$S$105,17,0),"")</f>
        <v>19405.664000000001</v>
      </c>
      <c r="AD87" s="154">
        <f t="shared" si="46"/>
        <v>0</v>
      </c>
      <c r="AE87" s="152">
        <f>IFERROR(VLOOKUP($B87,'PEDIDO JULIO'!$A$10:$AG$200,16,0),"0")</f>
        <v>0</v>
      </c>
      <c r="AF87" s="153">
        <f>IFERROR(VLOOKUP($B87,'[5]INSUMOS MARZO'!$A$2:$S$105,17,0),"")</f>
        <v>19405.664000000001</v>
      </c>
      <c r="AG87" s="154">
        <f t="shared" si="47"/>
        <v>0</v>
      </c>
      <c r="AH87" s="152">
        <f>IFERROR(VLOOKUP($B87,'PEDIDO JULIO'!$A$10:$AG$200,17,0),"0")</f>
        <v>0</v>
      </c>
      <c r="AI87" s="153">
        <f>IFERROR(VLOOKUP($B87,'[5]INSUMOS MARZO'!$A$2:$S$105,17,0),"")</f>
        <v>19405.664000000001</v>
      </c>
      <c r="AJ87" s="154">
        <f t="shared" si="48"/>
        <v>0</v>
      </c>
      <c r="AK87" s="152">
        <f>IFERROR(VLOOKUP($B87,'PEDIDO JULIO'!$A$10:$AG$200,18,0),"0")</f>
        <v>0</v>
      </c>
      <c r="AL87" s="153">
        <f>IFERROR(VLOOKUP($B87,'[5]INSUMOS MARZO'!$A$2:$S$105,17,0),"")</f>
        <v>19405.664000000001</v>
      </c>
      <c r="AM87" s="154">
        <f t="shared" si="49"/>
        <v>0</v>
      </c>
      <c r="AN87" s="152">
        <f>IFERROR(VLOOKUP($B87,'PEDIDO JULIO'!$A$10:$AG$200,19,0),"0")</f>
        <v>0</v>
      </c>
      <c r="AO87" s="153">
        <f>IFERROR(VLOOKUP($B87,'[5]INSUMOS MARZO'!$A$2:$S$105,17,0),"")</f>
        <v>19405.664000000001</v>
      </c>
      <c r="AP87" s="154">
        <f t="shared" si="50"/>
        <v>0</v>
      </c>
      <c r="AQ87" s="152">
        <f>IFERROR(VLOOKUP($B87,'PEDIDO JULIO'!$A$10:$AG$200,20,0),"0")</f>
        <v>0</v>
      </c>
      <c r="AR87" s="153">
        <f>IFERROR(VLOOKUP($B87,'[5]INSUMOS MARZO'!$A$2:$S$105,17,0),"")</f>
        <v>19405.664000000001</v>
      </c>
      <c r="AS87" s="154">
        <f t="shared" si="51"/>
        <v>0</v>
      </c>
      <c r="AT87" s="152">
        <f>IFERROR(VLOOKUP($B87,'PEDIDO JULIO'!$A$10:$AG$200,21,0),"0")</f>
        <v>0</v>
      </c>
      <c r="AU87" s="153">
        <f>IFERROR(VLOOKUP($B87,'[5]INSUMOS MARZO'!$A$2:$S$105,17,0),"")</f>
        <v>19405.664000000001</v>
      </c>
      <c r="AV87" s="154">
        <f t="shared" si="52"/>
        <v>0</v>
      </c>
      <c r="AW87" s="152">
        <f>IFERROR(VLOOKUP($B87,'PEDIDO JULIO'!$A$10:$AG$200,22,0),"0")</f>
        <v>0</v>
      </c>
      <c r="AX87" s="153">
        <f>IFERROR(VLOOKUP($B87,'[5]INSUMOS MARZO'!$A$2:$S$105,17,0),"")</f>
        <v>19405.664000000001</v>
      </c>
      <c r="AY87" s="154">
        <f t="shared" si="53"/>
        <v>0</v>
      </c>
      <c r="AZ87" s="152">
        <f>IFERROR(VLOOKUP($B87,'PEDIDO JULIO'!$A$10:$AG$200,23,0),"0")</f>
        <v>0</v>
      </c>
      <c r="BA87" s="153">
        <f>IFERROR(VLOOKUP($B87,'[5]INSUMOS MARZO'!$A$2:$S$105,17,0),"")</f>
        <v>19405.664000000001</v>
      </c>
      <c r="BB87" s="154">
        <f t="shared" si="54"/>
        <v>0</v>
      </c>
      <c r="BC87" s="152">
        <f>IFERROR(VLOOKUP($B87,'PEDIDO JULIO'!$A$10:$AG$200,24,0),"0")</f>
        <v>0</v>
      </c>
      <c r="BD87" s="153">
        <f>IFERROR(VLOOKUP($B87,'[5]INSUMOS MARZO'!$A$2:$S$105,17,0),"")</f>
        <v>19405.664000000001</v>
      </c>
      <c r="BE87" s="155">
        <f t="shared" si="55"/>
        <v>0</v>
      </c>
      <c r="BF87" s="152">
        <f>IFERROR(VLOOKUP($B87,'PEDIDO JULIO'!$A$10:$AG$200,25,0),"0")</f>
        <v>0</v>
      </c>
      <c r="BG87" s="153">
        <f>IFERROR(VLOOKUP($B87,'[5]INSUMOS MARZO'!$A$2:$S$105,17,0),"")</f>
        <v>19405.664000000001</v>
      </c>
      <c r="BH87" s="155">
        <f t="shared" si="56"/>
        <v>0</v>
      </c>
      <c r="BI87" s="152">
        <f>IFERROR(VLOOKUP($B87,'PEDIDO JULIO'!$A$10:$AG$200,26,0),"0")</f>
        <v>0</v>
      </c>
      <c r="BJ87" s="153">
        <f>IFERROR(VLOOKUP($B87,'[5]INSUMOS MARZO'!$A$2:$S$105,17,0),"")</f>
        <v>19405.664000000001</v>
      </c>
      <c r="BK87" s="154">
        <f t="shared" si="57"/>
        <v>0</v>
      </c>
      <c r="BL87" s="152">
        <f>IFERROR(VLOOKUP($B87,'PEDIDO JULIO'!$A$10:$AG$200,27,0),"0")</f>
        <v>0</v>
      </c>
      <c r="BM87" s="153">
        <f>IFERROR(VLOOKUP($B87,'[5]INSUMOS MARZO'!$A$2:$S$105,17,0),"")</f>
        <v>19405.664000000001</v>
      </c>
      <c r="BN87" s="154">
        <f t="shared" si="58"/>
        <v>0</v>
      </c>
      <c r="BO87" s="152">
        <f>IFERROR(VLOOKUP($B87,'PEDIDO JULIO'!$A$10:$AG$200,28,0),"0")</f>
        <v>0</v>
      </c>
      <c r="BP87" s="153">
        <f>IFERROR(VLOOKUP($B87,'[5]INSUMOS MARZO'!$A$2:$S$105,17,0),"")</f>
        <v>19405.664000000001</v>
      </c>
      <c r="BQ87" s="154">
        <f t="shared" si="59"/>
        <v>0</v>
      </c>
      <c r="BR87" s="152">
        <f>IFERROR(VLOOKUP($B87,'PEDIDO JULIO'!$A$10:$AG$200,29,0),"0")</f>
        <v>0</v>
      </c>
      <c r="BS87" s="153">
        <f>IFERROR(VLOOKUP($B87,'[5]INSUMOS MARZO'!$A$2:$S$105,17,0),"")</f>
        <v>19405.664000000001</v>
      </c>
      <c r="BT87" s="155">
        <f t="shared" si="60"/>
        <v>0</v>
      </c>
      <c r="BU87" s="152">
        <f>IFERROR(VLOOKUP($B87,'PEDIDO JULIO'!$A$10:$AG$200,30,0),"0")</f>
        <v>0</v>
      </c>
      <c r="BV87" s="153">
        <f>IFERROR(VLOOKUP($B87,'[5]INSUMOS MARZO'!$A$2:$S$105,17,0),"")</f>
        <v>19405.664000000001</v>
      </c>
      <c r="BW87" s="155">
        <f t="shared" si="61"/>
        <v>0</v>
      </c>
      <c r="BX87" s="152">
        <f>IFERROR(VLOOKUP($B87,'PEDIDO JULIO'!$A$10:$AG$200,31,0),"0")</f>
        <v>0</v>
      </c>
      <c r="BY87" s="153">
        <f>IFERROR(VLOOKUP($B87,'[5]INSUMOS MARZO'!$A$2:$S$105,17,0),"")</f>
        <v>19405.664000000001</v>
      </c>
      <c r="BZ87" s="155">
        <f t="shared" si="62"/>
        <v>0</v>
      </c>
      <c r="CA87" s="152">
        <f>IFERROR(VLOOKUP($B87,'PEDIDO JULIO'!$A$10:$AG$200,32,0),"0")</f>
        <v>0</v>
      </c>
      <c r="CB87" s="153">
        <f>IFERROR(VLOOKUP($B87,'[5]INSUMOS MARZO'!$A$2:$S$105,17,0),"")</f>
        <v>19405.664000000001</v>
      </c>
      <c r="CC87" s="155">
        <f t="shared" si="63"/>
        <v>0</v>
      </c>
      <c r="CD87" s="164">
        <f t="shared" si="38"/>
        <v>500</v>
      </c>
      <c r="CE87" s="158">
        <f t="shared" si="64"/>
        <v>500</v>
      </c>
      <c r="CF87" s="251">
        <f>IFERROR(VLOOKUP($B87,'MATRIZ INSUMOS '!$A$3:$P$106,16,0),"")</f>
        <v>54.25</v>
      </c>
      <c r="CG87" s="153">
        <f>IFERROR(VLOOKUP($B87,'[5]INSUMOS MARZO'!$A$2:$S$105,17,0),"")</f>
        <v>19405.664000000001</v>
      </c>
      <c r="CH87" s="156">
        <f t="shared" si="65"/>
        <v>1052757.2720000001</v>
      </c>
      <c r="CI87" s="251">
        <f>IFERROR(VLOOKUP($B87,'MATRIZ INSUMOS '!$A$3:$P$106,10,0),"")</f>
        <v>445.75</v>
      </c>
      <c r="CJ87" s="156">
        <f>IFERROR(VLOOKUP($B87,'[5]INSUMOS MARZO'!$A$2:$S$105,14,0),"")</f>
        <v>45575.353799999997</v>
      </c>
      <c r="CK87" s="159">
        <f t="shared" si="66"/>
        <v>20315213.956349999</v>
      </c>
      <c r="CL87" s="160">
        <f t="shared" si="67"/>
        <v>9702832</v>
      </c>
      <c r="CM87" s="14">
        <f t="shared" si="68"/>
        <v>970283.20000000007</v>
      </c>
      <c r="CN87" s="14">
        <f t="shared" si="69"/>
        <v>184353.80800000002</v>
      </c>
      <c r="CO87" s="14">
        <f t="shared" si="70"/>
        <v>10857469.007999999</v>
      </c>
      <c r="CQ87" s="19">
        <f t="shared" si="71"/>
        <v>21367971.228349999</v>
      </c>
      <c r="CR87" s="19" t="b">
        <f t="shared" si="72"/>
        <v>0</v>
      </c>
      <c r="CS87" s="19">
        <f t="shared" si="73"/>
        <v>11665139.228349999</v>
      </c>
    </row>
    <row r="88" spans="1:97" ht="16.5">
      <c r="A88" s="3">
        <v>83</v>
      </c>
      <c r="B88" s="151">
        <v>173</v>
      </c>
      <c r="C88" s="4" t="s">
        <v>107</v>
      </c>
      <c r="D88" s="152">
        <f>IFERROR(VLOOKUP($B88,'[4]INSUMOS FEBRERO'!$A$2:$F$105,5,0),"")</f>
        <v>10</v>
      </c>
      <c r="E88" s="152" t="str">
        <f>IFERROR(VLOOKUP($B88,'PEDIDO JULIO'!$A$10:$AG$32,33,0),"0")</f>
        <v>0</v>
      </c>
      <c r="F88" s="152">
        <f t="shared" si="39"/>
        <v>-10</v>
      </c>
      <c r="G88" s="152" t="str">
        <f>IFERROR(VLOOKUP($B88,'PEDIDO JULIO'!$A$10:$AG$200,8,0),"0")</f>
        <v>0</v>
      </c>
      <c r="H88" s="156">
        <f>IFERROR(VLOOKUP($B88,'[5]INSUMOS MARZO'!$A$2:$S$105,14,0),"")</f>
        <v>21394.3662</v>
      </c>
      <c r="I88" s="154">
        <f t="shared" si="37"/>
        <v>0</v>
      </c>
      <c r="J88" s="152" t="str">
        <f>IFERROR(VLOOKUP($B88,'PEDIDO JULIO'!$A$10:$AG$200,9,0),"0")</f>
        <v>0</v>
      </c>
      <c r="K88" s="156">
        <f>IFERROR(VLOOKUP($B88,'[5]INSUMOS MARZO'!$A$2:$S$105,14,0),"")</f>
        <v>21394.3662</v>
      </c>
      <c r="L88" s="155">
        <f t="shared" si="40"/>
        <v>0</v>
      </c>
      <c r="M88" s="152" t="str">
        <f>IFERROR(VLOOKUP($B88,'PEDIDO JULIO'!$A$10:$AG$200,10,0),"0")</f>
        <v>0</v>
      </c>
      <c r="N88" s="153">
        <f>IFERROR(VLOOKUP($B88,'[5]INSUMOS MARZO'!$A$2:$S$105,17,0),"")</f>
        <v>0</v>
      </c>
      <c r="O88" s="154">
        <f t="shared" si="41"/>
        <v>0</v>
      </c>
      <c r="P88" s="152" t="str">
        <f>IFERROR(VLOOKUP($B88,'PEDIDO JULIO'!$A$10:$AG$200,11,0),"0")</f>
        <v>0</v>
      </c>
      <c r="Q88" s="153">
        <f>IFERROR(VLOOKUP($B88,'[5]INSUMOS MARZO'!$A$2:$S$105,17,0),"")</f>
        <v>0</v>
      </c>
      <c r="R88" s="154">
        <f t="shared" si="42"/>
        <v>0</v>
      </c>
      <c r="S88" s="152" t="str">
        <f>IFERROR(VLOOKUP($B88,'PEDIDO JULIO'!$A$10:$AG$200,12,0),"0")</f>
        <v>0</v>
      </c>
      <c r="T88" s="153">
        <f>IFERROR(VLOOKUP($B88,'[5]INSUMOS MARZO'!$A$2:$S$105,17,0),"")</f>
        <v>0</v>
      </c>
      <c r="U88" s="154">
        <f t="shared" si="43"/>
        <v>0</v>
      </c>
      <c r="V88" s="152" t="str">
        <f>IFERROR(VLOOKUP($B88,'PEDIDO JULIO'!$A$10:$AG$200,13,0),"0")</f>
        <v>0</v>
      </c>
      <c r="W88" s="153">
        <f>IFERROR(VLOOKUP($B88,'[5]INSUMOS MARZO'!$A$2:$S$105,17,0),"")</f>
        <v>0</v>
      </c>
      <c r="X88" s="154">
        <f t="shared" si="44"/>
        <v>0</v>
      </c>
      <c r="Y88" s="152" t="str">
        <f>IFERROR(VLOOKUP($B88,'PEDIDO JULIO'!$A$10:$AG$200,14,0),"0")</f>
        <v>0</v>
      </c>
      <c r="Z88" s="153">
        <f>IFERROR(VLOOKUP($B88,'[5]INSUMOS MARZO'!$A$2:$S$105,17,0),"")</f>
        <v>0</v>
      </c>
      <c r="AA88" s="154">
        <f t="shared" si="45"/>
        <v>0</v>
      </c>
      <c r="AB88" s="152" t="str">
        <f>IFERROR(VLOOKUP($B88,'PEDIDO JULIO'!$A$10:$AG$200,15,0),"0")</f>
        <v>0</v>
      </c>
      <c r="AC88" s="153">
        <f>IFERROR(VLOOKUP($B88,'[5]INSUMOS MARZO'!$A$2:$S$105,17,0),"")</f>
        <v>0</v>
      </c>
      <c r="AD88" s="154">
        <f t="shared" si="46"/>
        <v>0</v>
      </c>
      <c r="AE88" s="152" t="str">
        <f>IFERROR(VLOOKUP($B88,'PEDIDO JULIO'!$A$10:$AG$200,16,0),"0")</f>
        <v>0</v>
      </c>
      <c r="AF88" s="153">
        <f>IFERROR(VLOOKUP($B88,'[5]INSUMOS MARZO'!$A$2:$S$105,17,0),"")</f>
        <v>0</v>
      </c>
      <c r="AG88" s="154">
        <f t="shared" si="47"/>
        <v>0</v>
      </c>
      <c r="AH88" s="152" t="str">
        <f>IFERROR(VLOOKUP($B88,'PEDIDO JULIO'!$A$10:$AG$200,17,0),"0")</f>
        <v>0</v>
      </c>
      <c r="AI88" s="153">
        <f>IFERROR(VLOOKUP($B88,'[5]INSUMOS MARZO'!$A$2:$S$105,17,0),"")</f>
        <v>0</v>
      </c>
      <c r="AJ88" s="154">
        <f t="shared" si="48"/>
        <v>0</v>
      </c>
      <c r="AK88" s="152" t="str">
        <f>IFERROR(VLOOKUP($B88,'PEDIDO JULIO'!$A$10:$AG$200,18,0),"0")</f>
        <v>0</v>
      </c>
      <c r="AL88" s="153">
        <f>IFERROR(VLOOKUP($B88,'[5]INSUMOS MARZO'!$A$2:$S$105,17,0),"")</f>
        <v>0</v>
      </c>
      <c r="AM88" s="154">
        <f t="shared" si="49"/>
        <v>0</v>
      </c>
      <c r="AN88" s="152" t="str">
        <f>IFERROR(VLOOKUP($B88,'PEDIDO JULIO'!$A$10:$AG$200,19,0),"0")</f>
        <v>0</v>
      </c>
      <c r="AO88" s="153">
        <f>IFERROR(VLOOKUP($B88,'[5]INSUMOS MARZO'!$A$2:$S$105,17,0),"")</f>
        <v>0</v>
      </c>
      <c r="AP88" s="154">
        <f t="shared" si="50"/>
        <v>0</v>
      </c>
      <c r="AQ88" s="152" t="str">
        <f>IFERROR(VLOOKUP($B88,'PEDIDO JULIO'!$A$10:$AG$200,20,0),"0")</f>
        <v>0</v>
      </c>
      <c r="AR88" s="153">
        <f>IFERROR(VLOOKUP($B88,'[5]INSUMOS MARZO'!$A$2:$S$105,17,0),"")</f>
        <v>0</v>
      </c>
      <c r="AS88" s="154">
        <f t="shared" si="51"/>
        <v>0</v>
      </c>
      <c r="AT88" s="152" t="str">
        <f>IFERROR(VLOOKUP($B88,'PEDIDO JULIO'!$A$10:$AG$200,21,0),"0")</f>
        <v>0</v>
      </c>
      <c r="AU88" s="156">
        <f>IFERROR(VLOOKUP($B88,'[5]INSUMOS MARZO'!$A$2:$S$105,14,0),"")</f>
        <v>21394.3662</v>
      </c>
      <c r="AV88" s="154">
        <f t="shared" si="52"/>
        <v>0</v>
      </c>
      <c r="AW88" s="152" t="str">
        <f>IFERROR(VLOOKUP($B88,'PEDIDO JULIO'!$A$10:$AG$200,22,0),"0")</f>
        <v>0</v>
      </c>
      <c r="AX88" s="153">
        <f>IFERROR(VLOOKUP($B88,'[5]INSUMOS MARZO'!$A$2:$S$105,17,0),"")</f>
        <v>0</v>
      </c>
      <c r="AY88" s="154">
        <f t="shared" si="53"/>
        <v>0</v>
      </c>
      <c r="AZ88" s="152" t="str">
        <f>IFERROR(VLOOKUP($B88,'PEDIDO JULIO'!$A$10:$AG$200,23,0),"0")</f>
        <v>0</v>
      </c>
      <c r="BA88" s="153">
        <f>IFERROR(VLOOKUP($B88,'[5]INSUMOS MARZO'!$A$2:$S$105,17,0),"")</f>
        <v>0</v>
      </c>
      <c r="BB88" s="154">
        <f t="shared" si="54"/>
        <v>0</v>
      </c>
      <c r="BC88" s="152" t="str">
        <f>IFERROR(VLOOKUP($B88,'PEDIDO JULIO'!$A$10:$AG$200,24,0),"0")</f>
        <v>0</v>
      </c>
      <c r="BD88" s="153">
        <f>IFERROR(VLOOKUP($B88,'[5]INSUMOS MARZO'!$A$2:$S$105,17,0),"")</f>
        <v>0</v>
      </c>
      <c r="BE88" s="155">
        <f t="shared" si="55"/>
        <v>0</v>
      </c>
      <c r="BF88" s="152" t="str">
        <f>IFERROR(VLOOKUP($B88,'PEDIDO JULIO'!$A$10:$AG$200,25,0),"0")</f>
        <v>0</v>
      </c>
      <c r="BG88" s="153">
        <f>IFERROR(VLOOKUP($B88,'[5]INSUMOS MARZO'!$A$2:$S$105,17,0),"")</f>
        <v>0</v>
      </c>
      <c r="BH88" s="155">
        <f t="shared" si="56"/>
        <v>0</v>
      </c>
      <c r="BI88" s="152" t="str">
        <f>IFERROR(VLOOKUP($B88,'PEDIDO JULIO'!$A$10:$AG$200,26,0),"0")</f>
        <v>0</v>
      </c>
      <c r="BJ88" s="153">
        <f>IFERROR(VLOOKUP($B88,'[5]INSUMOS MARZO'!$A$2:$S$105,17,0),"")</f>
        <v>0</v>
      </c>
      <c r="BK88" s="154">
        <f t="shared" si="57"/>
        <v>0</v>
      </c>
      <c r="BL88" s="152" t="str">
        <f>IFERROR(VLOOKUP($B88,'PEDIDO JULIO'!$A$10:$AG$200,27,0),"0")</f>
        <v>0</v>
      </c>
      <c r="BM88" s="153">
        <f>IFERROR(VLOOKUP($B88,'[5]INSUMOS MARZO'!$A$2:$S$105,17,0),"")</f>
        <v>0</v>
      </c>
      <c r="BN88" s="154">
        <f t="shared" si="58"/>
        <v>0</v>
      </c>
      <c r="BO88" s="152" t="str">
        <f>IFERROR(VLOOKUP($B88,'PEDIDO JULIO'!$A$10:$AG$200,28,0),"0")</f>
        <v>0</v>
      </c>
      <c r="BP88" s="153">
        <f>IFERROR(VLOOKUP($B88,'[5]INSUMOS MARZO'!$A$2:$S$105,17,0),"")</f>
        <v>0</v>
      </c>
      <c r="BQ88" s="154">
        <f t="shared" si="59"/>
        <v>0</v>
      </c>
      <c r="BR88" s="152" t="str">
        <f>IFERROR(VLOOKUP($B88,'PEDIDO JULIO'!$A$10:$AG$200,29,0),"0")</f>
        <v>0</v>
      </c>
      <c r="BS88" s="153">
        <f>IFERROR(VLOOKUP($B88,'[5]INSUMOS MARZO'!$A$2:$S$105,17,0),"")</f>
        <v>0</v>
      </c>
      <c r="BT88" s="155">
        <f t="shared" si="60"/>
        <v>0</v>
      </c>
      <c r="BU88" s="152" t="str">
        <f>IFERROR(VLOOKUP($B88,'PEDIDO JULIO'!$A$10:$AG$200,30,0),"0")</f>
        <v>0</v>
      </c>
      <c r="BV88" s="153">
        <f>IFERROR(VLOOKUP($B88,'[5]INSUMOS MARZO'!$A$2:$S$105,17,0),"")</f>
        <v>0</v>
      </c>
      <c r="BW88" s="155">
        <f t="shared" si="61"/>
        <v>0</v>
      </c>
      <c r="BX88" s="152" t="str">
        <f>IFERROR(VLOOKUP($B88,'PEDIDO JULIO'!$A$10:$AG$200,31,0),"0")</f>
        <v>0</v>
      </c>
      <c r="BY88" s="153">
        <f>IFERROR(VLOOKUP($B88,'[5]INSUMOS MARZO'!$A$2:$S$105,17,0),"")</f>
        <v>0</v>
      </c>
      <c r="BZ88" s="155">
        <f t="shared" si="62"/>
        <v>0</v>
      </c>
      <c r="CA88" s="152" t="str">
        <f>IFERROR(VLOOKUP($B88,'PEDIDO JULIO'!$A$10:$AG$200,32,0),"0")</f>
        <v>0</v>
      </c>
      <c r="CB88" s="153">
        <f>IFERROR(VLOOKUP($B88,'[5]INSUMOS MARZO'!$A$2:$S$105,17,0),"")</f>
        <v>0</v>
      </c>
      <c r="CC88" s="155">
        <f t="shared" si="63"/>
        <v>0</v>
      </c>
      <c r="CD88" s="157">
        <f t="shared" si="38"/>
        <v>0</v>
      </c>
      <c r="CE88" s="158">
        <f t="shared" si="64"/>
        <v>0</v>
      </c>
      <c r="CF88" s="251">
        <f>IFERROR(VLOOKUP($B88,'MATRIZ INSUMOS '!$A$3:$P$106,16,0),"")</f>
        <v>0</v>
      </c>
      <c r="CG88" s="153">
        <f>IFERROR(VLOOKUP($B88,'[5]INSUMOS MARZO'!$A$2:$S$105,17,0),"")</f>
        <v>0</v>
      </c>
      <c r="CH88" s="156">
        <f t="shared" si="65"/>
        <v>0</v>
      </c>
      <c r="CI88" s="251">
        <f>IFERROR(VLOOKUP($B88,'MATRIZ INSUMOS '!$A$3:$P$106,10,0),"")</f>
        <v>0</v>
      </c>
      <c r="CJ88" s="156">
        <f>IFERROR(VLOOKUP($B88,'[5]INSUMOS MARZO'!$A$2:$S$105,14,0),"")</f>
        <v>21394.3662</v>
      </c>
      <c r="CK88" s="159">
        <f t="shared" si="66"/>
        <v>0</v>
      </c>
      <c r="CL88" s="160">
        <f t="shared" si="67"/>
        <v>0</v>
      </c>
      <c r="CM88" s="14">
        <f t="shared" si="68"/>
        <v>0</v>
      </c>
      <c r="CN88" s="14">
        <f t="shared" si="69"/>
        <v>0</v>
      </c>
      <c r="CO88" s="14">
        <f t="shared" si="70"/>
        <v>0</v>
      </c>
      <c r="CQ88" s="19">
        <f t="shared" si="71"/>
        <v>0</v>
      </c>
      <c r="CR88" s="19" t="b">
        <f t="shared" si="72"/>
        <v>1</v>
      </c>
      <c r="CS88" s="19">
        <f t="shared" si="73"/>
        <v>0</v>
      </c>
    </row>
    <row r="89" spans="1:97" ht="16.5">
      <c r="A89" s="3">
        <v>84</v>
      </c>
      <c r="B89" s="151">
        <v>174</v>
      </c>
      <c r="C89" s="4" t="s">
        <v>109</v>
      </c>
      <c r="D89" s="152">
        <f>IFERROR(VLOOKUP($B89,'[4]INSUMOS FEBRERO'!$A$2:$F$105,5,0),"")</f>
        <v>96</v>
      </c>
      <c r="E89" s="152" t="str">
        <f>IFERROR(VLOOKUP($B89,'PEDIDO JULIO'!$A$10:$AG$32,33,0),"0")</f>
        <v>0</v>
      </c>
      <c r="F89" s="152">
        <f t="shared" si="39"/>
        <v>-96</v>
      </c>
      <c r="G89" s="152" t="str">
        <f>IFERROR(VLOOKUP($B89,'PEDIDO JULIO'!$A$10:$AG$200,8,0),"0")</f>
        <v>0</v>
      </c>
      <c r="H89" s="153">
        <f>IFERROR(VLOOKUP($B89,'[5]INSUMOS MARZO'!$A$2:$S$105,17,0),"")</f>
        <v>6081.0860000000002</v>
      </c>
      <c r="I89" s="154">
        <f t="shared" si="37"/>
        <v>0</v>
      </c>
      <c r="J89" s="152" t="str">
        <f>IFERROR(VLOOKUP($B89,'PEDIDO JULIO'!$A$10:$AG$200,9,0),"0")</f>
        <v>0</v>
      </c>
      <c r="K89" s="153">
        <f>IFERROR(VLOOKUP($B89,'[5]INSUMOS MARZO'!$A$2:$S$105,17,0),"")</f>
        <v>6081.0860000000002</v>
      </c>
      <c r="L89" s="155">
        <f t="shared" si="40"/>
        <v>0</v>
      </c>
      <c r="M89" s="152" t="str">
        <f>IFERROR(VLOOKUP($B89,'PEDIDO JULIO'!$A$10:$AG$200,10,0),"0")</f>
        <v>0</v>
      </c>
      <c r="N89" s="153">
        <f>IFERROR(VLOOKUP($B89,'[5]INSUMOS MARZO'!$A$2:$S$105,17,0),"")</f>
        <v>6081.0860000000002</v>
      </c>
      <c r="O89" s="154">
        <f t="shared" si="41"/>
        <v>0</v>
      </c>
      <c r="P89" s="152" t="str">
        <f>IFERROR(VLOOKUP($B89,'PEDIDO JULIO'!$A$10:$AG$200,11,0),"0")</f>
        <v>0</v>
      </c>
      <c r="Q89" s="153">
        <f>IFERROR(VLOOKUP($B89,'[5]INSUMOS MARZO'!$A$2:$S$105,17,0),"")</f>
        <v>6081.0860000000002</v>
      </c>
      <c r="R89" s="154">
        <f t="shared" si="42"/>
        <v>0</v>
      </c>
      <c r="S89" s="152" t="str">
        <f>IFERROR(VLOOKUP($B89,'PEDIDO JULIO'!$A$10:$AG$200,12,0),"0")</f>
        <v>0</v>
      </c>
      <c r="T89" s="153">
        <f>IFERROR(VLOOKUP($B89,'[5]INSUMOS MARZO'!$A$2:$S$105,17,0),"")</f>
        <v>6081.0860000000002</v>
      </c>
      <c r="U89" s="154">
        <f t="shared" si="43"/>
        <v>0</v>
      </c>
      <c r="V89" s="152" t="str">
        <f>IFERROR(VLOOKUP($B89,'PEDIDO JULIO'!$A$10:$AG$200,13,0),"0")</f>
        <v>0</v>
      </c>
      <c r="W89" s="153">
        <f>IFERROR(VLOOKUP($B89,'[5]INSUMOS MARZO'!$A$2:$S$105,17,0),"")</f>
        <v>6081.0860000000002</v>
      </c>
      <c r="X89" s="154">
        <f t="shared" si="44"/>
        <v>0</v>
      </c>
      <c r="Y89" s="152" t="str">
        <f>IFERROR(VLOOKUP($B89,'PEDIDO JULIO'!$A$10:$AG$200,14,0),"0")</f>
        <v>0</v>
      </c>
      <c r="Z89" s="153">
        <f>IFERROR(VLOOKUP($B89,'[5]INSUMOS MARZO'!$A$2:$S$105,17,0),"")</f>
        <v>6081.0860000000002</v>
      </c>
      <c r="AA89" s="154">
        <f t="shared" si="45"/>
        <v>0</v>
      </c>
      <c r="AB89" s="152" t="str">
        <f>IFERROR(VLOOKUP($B89,'PEDIDO JULIO'!$A$10:$AG$200,15,0),"0")</f>
        <v>0</v>
      </c>
      <c r="AC89" s="153">
        <f>IFERROR(VLOOKUP($B89,'[5]INSUMOS MARZO'!$A$2:$S$105,17,0),"")</f>
        <v>6081.0860000000002</v>
      </c>
      <c r="AD89" s="154">
        <f t="shared" si="46"/>
        <v>0</v>
      </c>
      <c r="AE89" s="152" t="str">
        <f>IFERROR(VLOOKUP($B89,'PEDIDO JULIO'!$A$10:$AG$200,16,0),"0")</f>
        <v>0</v>
      </c>
      <c r="AF89" s="153">
        <f>IFERROR(VLOOKUP($B89,'[5]INSUMOS MARZO'!$A$2:$S$105,17,0),"")</f>
        <v>6081.0860000000002</v>
      </c>
      <c r="AG89" s="154">
        <f t="shared" si="47"/>
        <v>0</v>
      </c>
      <c r="AH89" s="152" t="str">
        <f>IFERROR(VLOOKUP($B89,'PEDIDO JULIO'!$A$10:$AG$200,17,0),"0")</f>
        <v>0</v>
      </c>
      <c r="AI89" s="153">
        <f>IFERROR(VLOOKUP($B89,'[5]INSUMOS MARZO'!$A$2:$S$105,17,0),"")</f>
        <v>6081.0860000000002</v>
      </c>
      <c r="AJ89" s="154">
        <f t="shared" si="48"/>
        <v>0</v>
      </c>
      <c r="AK89" s="152" t="str">
        <f>IFERROR(VLOOKUP($B89,'PEDIDO JULIO'!$A$10:$AG$200,18,0),"0")</f>
        <v>0</v>
      </c>
      <c r="AL89" s="153">
        <f>IFERROR(VLOOKUP($B89,'[5]INSUMOS MARZO'!$A$2:$S$105,17,0),"")</f>
        <v>6081.0860000000002</v>
      </c>
      <c r="AM89" s="154">
        <f t="shared" si="49"/>
        <v>0</v>
      </c>
      <c r="AN89" s="152" t="str">
        <f>IFERROR(VLOOKUP($B89,'PEDIDO JULIO'!$A$10:$AG$200,19,0),"0")</f>
        <v>0</v>
      </c>
      <c r="AO89" s="153">
        <f>IFERROR(VLOOKUP($B89,'[5]INSUMOS MARZO'!$A$2:$S$105,17,0),"")</f>
        <v>6081.0860000000002</v>
      </c>
      <c r="AP89" s="154">
        <f t="shared" si="50"/>
        <v>0</v>
      </c>
      <c r="AQ89" s="152" t="str">
        <f>IFERROR(VLOOKUP($B89,'PEDIDO JULIO'!$A$10:$AG$200,20,0),"0")</f>
        <v>0</v>
      </c>
      <c r="AR89" s="153">
        <f>IFERROR(VLOOKUP($B89,'[5]INSUMOS MARZO'!$A$2:$S$105,17,0),"")</f>
        <v>6081.0860000000002</v>
      </c>
      <c r="AS89" s="154">
        <f t="shared" si="51"/>
        <v>0</v>
      </c>
      <c r="AT89" s="152" t="str">
        <f>IFERROR(VLOOKUP($B89,'PEDIDO JULIO'!$A$10:$AG$200,21,0),"0")</f>
        <v>0</v>
      </c>
      <c r="AU89" s="153">
        <f>IFERROR(VLOOKUP($B89,'[5]INSUMOS MARZO'!$A$2:$S$105,17,0),"")</f>
        <v>6081.0860000000002</v>
      </c>
      <c r="AV89" s="154">
        <f t="shared" si="52"/>
        <v>0</v>
      </c>
      <c r="AW89" s="152" t="str">
        <f>IFERROR(VLOOKUP($B89,'PEDIDO JULIO'!$A$10:$AG$200,22,0),"0")</f>
        <v>0</v>
      </c>
      <c r="AX89" s="153">
        <f>IFERROR(VLOOKUP($B89,'[5]INSUMOS MARZO'!$A$2:$S$105,17,0),"")</f>
        <v>6081.0860000000002</v>
      </c>
      <c r="AY89" s="154">
        <f t="shared" si="53"/>
        <v>0</v>
      </c>
      <c r="AZ89" s="152" t="str">
        <f>IFERROR(VLOOKUP($B89,'PEDIDO JULIO'!$A$10:$AG$200,23,0),"0")</f>
        <v>0</v>
      </c>
      <c r="BA89" s="153">
        <f>IFERROR(VLOOKUP($B89,'[5]INSUMOS MARZO'!$A$2:$S$105,17,0),"")</f>
        <v>6081.0860000000002</v>
      </c>
      <c r="BB89" s="154">
        <f t="shared" si="54"/>
        <v>0</v>
      </c>
      <c r="BC89" s="152" t="str">
        <f>IFERROR(VLOOKUP($B89,'PEDIDO JULIO'!$A$10:$AG$200,24,0),"0")</f>
        <v>0</v>
      </c>
      <c r="BD89" s="153">
        <f>IFERROR(VLOOKUP($B89,'[5]INSUMOS MARZO'!$A$2:$S$105,17,0),"")</f>
        <v>6081.0860000000002</v>
      </c>
      <c r="BE89" s="155">
        <f t="shared" si="55"/>
        <v>0</v>
      </c>
      <c r="BF89" s="152" t="str">
        <f>IFERROR(VLOOKUP($B89,'PEDIDO JULIO'!$A$10:$AG$200,25,0),"0")</f>
        <v>0</v>
      </c>
      <c r="BG89" s="153">
        <f>IFERROR(VLOOKUP($B89,'[5]INSUMOS MARZO'!$A$2:$S$105,17,0),"")</f>
        <v>6081.0860000000002</v>
      </c>
      <c r="BH89" s="155">
        <f t="shared" si="56"/>
        <v>0</v>
      </c>
      <c r="BI89" s="152" t="str">
        <f>IFERROR(VLOOKUP($B89,'PEDIDO JULIO'!$A$10:$AG$200,26,0),"0")</f>
        <v>0</v>
      </c>
      <c r="BJ89" s="153">
        <f>IFERROR(VLOOKUP($B89,'[5]INSUMOS MARZO'!$A$2:$S$105,17,0),"")</f>
        <v>6081.0860000000002</v>
      </c>
      <c r="BK89" s="154">
        <f t="shared" si="57"/>
        <v>0</v>
      </c>
      <c r="BL89" s="152" t="str">
        <f>IFERROR(VLOOKUP($B89,'PEDIDO JULIO'!$A$10:$AG$200,27,0),"0")</f>
        <v>0</v>
      </c>
      <c r="BM89" s="153">
        <f>IFERROR(VLOOKUP($B89,'[5]INSUMOS MARZO'!$A$2:$S$105,17,0),"")</f>
        <v>6081.0860000000002</v>
      </c>
      <c r="BN89" s="154">
        <f t="shared" si="58"/>
        <v>0</v>
      </c>
      <c r="BO89" s="152" t="str">
        <f>IFERROR(VLOOKUP($B89,'PEDIDO JULIO'!$A$10:$AG$200,28,0),"0")</f>
        <v>0</v>
      </c>
      <c r="BP89" s="153">
        <f>IFERROR(VLOOKUP($B89,'[5]INSUMOS MARZO'!$A$2:$S$105,17,0),"")</f>
        <v>6081.0860000000002</v>
      </c>
      <c r="BQ89" s="154">
        <f t="shared" si="59"/>
        <v>0</v>
      </c>
      <c r="BR89" s="152" t="str">
        <f>IFERROR(VLOOKUP($B89,'PEDIDO JULIO'!$A$10:$AG$200,29,0),"0")</f>
        <v>0</v>
      </c>
      <c r="BS89" s="153">
        <f>IFERROR(VLOOKUP($B89,'[5]INSUMOS MARZO'!$A$2:$S$105,17,0),"")</f>
        <v>6081.0860000000002</v>
      </c>
      <c r="BT89" s="155">
        <f t="shared" si="60"/>
        <v>0</v>
      </c>
      <c r="BU89" s="152" t="str">
        <f>IFERROR(VLOOKUP($B89,'PEDIDO JULIO'!$A$10:$AG$200,30,0),"0")</f>
        <v>0</v>
      </c>
      <c r="BV89" s="153">
        <f>IFERROR(VLOOKUP($B89,'[5]INSUMOS MARZO'!$A$2:$S$105,17,0),"")</f>
        <v>6081.0860000000002</v>
      </c>
      <c r="BW89" s="155">
        <f t="shared" si="61"/>
        <v>0</v>
      </c>
      <c r="BX89" s="152" t="str">
        <f>IFERROR(VLOOKUP($B89,'PEDIDO JULIO'!$A$10:$AG$200,31,0),"0")</f>
        <v>0</v>
      </c>
      <c r="BY89" s="153">
        <f>IFERROR(VLOOKUP($B89,'[5]INSUMOS MARZO'!$A$2:$S$105,17,0),"")</f>
        <v>6081.0860000000002</v>
      </c>
      <c r="BZ89" s="155">
        <f t="shared" si="62"/>
        <v>0</v>
      </c>
      <c r="CA89" s="152" t="str">
        <f>IFERROR(VLOOKUP($B89,'PEDIDO JULIO'!$A$10:$AG$200,32,0),"0")</f>
        <v>0</v>
      </c>
      <c r="CB89" s="153">
        <f>IFERROR(VLOOKUP($B89,'[5]INSUMOS MARZO'!$A$2:$S$105,17,0),"")</f>
        <v>6081.0860000000002</v>
      </c>
      <c r="CC89" s="155">
        <f t="shared" si="63"/>
        <v>0</v>
      </c>
      <c r="CD89" s="157">
        <f t="shared" si="38"/>
        <v>0</v>
      </c>
      <c r="CE89" s="158">
        <f t="shared" si="64"/>
        <v>0</v>
      </c>
      <c r="CF89" s="251">
        <f>IFERROR(VLOOKUP($B89,'MATRIZ INSUMOS '!$A$3:$P$106,16,0),"")</f>
        <v>0</v>
      </c>
      <c r="CG89" s="153">
        <f>IFERROR(VLOOKUP($B89,'[5]INSUMOS MARZO'!$A$2:$S$105,17,0),"")</f>
        <v>6081.0860000000002</v>
      </c>
      <c r="CH89" s="156">
        <f t="shared" si="65"/>
        <v>0</v>
      </c>
      <c r="CI89" s="251">
        <f>IFERROR(VLOOKUP($B89,'MATRIZ INSUMOS '!$A$3:$P$106,10,0),"")</f>
        <v>0</v>
      </c>
      <c r="CJ89" s="156">
        <f>IFERROR(VLOOKUP($B89,'[5]INSUMOS MARZO'!$A$2:$S$105,14,0),"")</f>
        <v>10050.1875</v>
      </c>
      <c r="CK89" s="159">
        <f t="shared" si="66"/>
        <v>0</v>
      </c>
      <c r="CL89" s="160">
        <f t="shared" si="67"/>
        <v>0</v>
      </c>
      <c r="CM89" s="14">
        <f t="shared" si="68"/>
        <v>0</v>
      </c>
      <c r="CN89" s="14">
        <f t="shared" si="69"/>
        <v>0</v>
      </c>
      <c r="CO89" s="14">
        <f t="shared" si="70"/>
        <v>0</v>
      </c>
      <c r="CQ89" s="19">
        <f t="shared" si="71"/>
        <v>0</v>
      </c>
      <c r="CR89" s="19" t="b">
        <f t="shared" si="72"/>
        <v>1</v>
      </c>
      <c r="CS89" s="19">
        <f t="shared" si="73"/>
        <v>0</v>
      </c>
    </row>
    <row r="90" spans="1:97" ht="16.5">
      <c r="A90" s="3">
        <v>85</v>
      </c>
      <c r="B90" s="151">
        <v>176</v>
      </c>
      <c r="C90" s="4" t="s">
        <v>110</v>
      </c>
      <c r="D90" s="152">
        <f>IFERROR(VLOOKUP($B90,'[4]INSUMOS FEBRERO'!$A$2:$F$105,5,0),"")</f>
        <v>3</v>
      </c>
      <c r="E90" s="152" t="str">
        <f>IFERROR(VLOOKUP($B90,'PEDIDO JULIO'!$A$10:$AG$32,33,0),"0")</f>
        <v>0</v>
      </c>
      <c r="F90" s="152">
        <f t="shared" si="39"/>
        <v>-3</v>
      </c>
      <c r="G90" s="152" t="str">
        <f>IFERROR(VLOOKUP($B90,'PEDIDO JULIO'!$A$10:$AG$200,8,0),"0")</f>
        <v>0</v>
      </c>
      <c r="H90" s="156">
        <f>IFERROR(VLOOKUP($B90,'[5]INSUMOS MARZO'!$A$2:$S$105,14,0),"")</f>
        <v>3781.7082</v>
      </c>
      <c r="I90" s="154">
        <f t="shared" si="37"/>
        <v>0</v>
      </c>
      <c r="J90" s="152" t="str">
        <f>IFERROR(VLOOKUP($B90,'PEDIDO JULIO'!$A$10:$AG$200,9,0),"0")</f>
        <v>0</v>
      </c>
      <c r="K90" s="153"/>
      <c r="L90" s="155">
        <f t="shared" si="40"/>
        <v>0</v>
      </c>
      <c r="M90" s="152" t="str">
        <f>IFERROR(VLOOKUP($B90,'PEDIDO JULIO'!$A$10:$AG$200,10,0),"0")</f>
        <v>0</v>
      </c>
      <c r="N90" s="153">
        <f>IFERROR(VLOOKUP($B90,'[5]INSUMOS MARZO'!$A$2:$S$105,17,0),"")</f>
        <v>2749.4160000000002</v>
      </c>
      <c r="O90" s="154">
        <f t="shared" si="41"/>
        <v>0</v>
      </c>
      <c r="P90" s="152" t="str">
        <f>IFERROR(VLOOKUP($B90,'PEDIDO JULIO'!$A$10:$AG$200,11,0),"0")</f>
        <v>0</v>
      </c>
      <c r="Q90" s="153">
        <f>IFERROR(VLOOKUP($B90,'[5]INSUMOS MARZO'!$A$2:$S$105,17,0),"")</f>
        <v>2749.4160000000002</v>
      </c>
      <c r="R90" s="154">
        <f t="shared" si="42"/>
        <v>0</v>
      </c>
      <c r="S90" s="152" t="str">
        <f>IFERROR(VLOOKUP($B90,'PEDIDO JULIO'!$A$10:$AG$200,12,0),"0")</f>
        <v>0</v>
      </c>
      <c r="T90" s="153">
        <f>IFERROR(VLOOKUP($B90,'[5]INSUMOS MARZO'!$A$2:$S$105,17,0),"")</f>
        <v>2749.4160000000002</v>
      </c>
      <c r="U90" s="154">
        <f t="shared" si="43"/>
        <v>0</v>
      </c>
      <c r="V90" s="152" t="str">
        <f>IFERROR(VLOOKUP($B90,'PEDIDO JULIO'!$A$10:$AG$200,13,0),"0")</f>
        <v>0</v>
      </c>
      <c r="W90" s="153">
        <f>IFERROR(VLOOKUP($B90,'[5]INSUMOS MARZO'!$A$2:$S$105,17,0),"")</f>
        <v>2749.4160000000002</v>
      </c>
      <c r="X90" s="154">
        <f t="shared" si="44"/>
        <v>0</v>
      </c>
      <c r="Y90" s="152" t="str">
        <f>IFERROR(VLOOKUP($B90,'PEDIDO JULIO'!$A$10:$AG$200,14,0),"0")</f>
        <v>0</v>
      </c>
      <c r="Z90" s="153">
        <f>IFERROR(VLOOKUP($B90,'[5]INSUMOS MARZO'!$A$2:$S$105,17,0),"")</f>
        <v>2749.4160000000002</v>
      </c>
      <c r="AA90" s="154">
        <f t="shared" si="45"/>
        <v>0</v>
      </c>
      <c r="AB90" s="152" t="str">
        <f>IFERROR(VLOOKUP($B90,'PEDIDO JULIO'!$A$10:$AG$200,15,0),"0")</f>
        <v>0</v>
      </c>
      <c r="AC90" s="153">
        <f>IFERROR(VLOOKUP($B90,'[5]INSUMOS MARZO'!$A$2:$S$105,17,0),"")</f>
        <v>2749.4160000000002</v>
      </c>
      <c r="AD90" s="154">
        <f t="shared" si="46"/>
        <v>0</v>
      </c>
      <c r="AE90" s="152" t="str">
        <f>IFERROR(VLOOKUP($B90,'PEDIDO JULIO'!$A$10:$AG$200,16,0),"0")</f>
        <v>0</v>
      </c>
      <c r="AF90" s="153">
        <f>IFERROR(VLOOKUP($B90,'[5]INSUMOS MARZO'!$A$2:$S$105,17,0),"")</f>
        <v>2749.4160000000002</v>
      </c>
      <c r="AG90" s="154">
        <f t="shared" si="47"/>
        <v>0</v>
      </c>
      <c r="AH90" s="152" t="str">
        <f>IFERROR(VLOOKUP($B90,'PEDIDO JULIO'!$A$10:$AG$200,17,0),"0")</f>
        <v>0</v>
      </c>
      <c r="AI90" s="153">
        <f>IFERROR(VLOOKUP($B90,'[5]INSUMOS MARZO'!$A$2:$S$105,17,0),"")</f>
        <v>2749.4160000000002</v>
      </c>
      <c r="AJ90" s="154">
        <f t="shared" si="48"/>
        <v>0</v>
      </c>
      <c r="AK90" s="152" t="str">
        <f>IFERROR(VLOOKUP($B90,'PEDIDO JULIO'!$A$10:$AG$200,18,0),"0")</f>
        <v>0</v>
      </c>
      <c r="AL90" s="153">
        <f>IFERROR(VLOOKUP($B90,'[5]INSUMOS MARZO'!$A$2:$S$105,17,0),"")</f>
        <v>2749.4160000000002</v>
      </c>
      <c r="AM90" s="154">
        <f t="shared" si="49"/>
        <v>0</v>
      </c>
      <c r="AN90" s="152" t="str">
        <f>IFERROR(VLOOKUP($B90,'PEDIDO JULIO'!$A$10:$AG$200,19,0),"0")</f>
        <v>0</v>
      </c>
      <c r="AO90" s="153">
        <f>IFERROR(VLOOKUP($B90,'[5]INSUMOS MARZO'!$A$2:$S$105,17,0),"")</f>
        <v>2749.4160000000002</v>
      </c>
      <c r="AP90" s="154">
        <f t="shared" si="50"/>
        <v>0</v>
      </c>
      <c r="AQ90" s="152" t="str">
        <f>IFERROR(VLOOKUP($B90,'PEDIDO JULIO'!$A$10:$AG$200,20,0),"0")</f>
        <v>0</v>
      </c>
      <c r="AR90" s="153">
        <f>IFERROR(VLOOKUP($B90,'[5]INSUMOS MARZO'!$A$2:$S$105,17,0),"")</f>
        <v>2749.4160000000002</v>
      </c>
      <c r="AS90" s="154">
        <f t="shared" si="51"/>
        <v>0</v>
      </c>
      <c r="AT90" s="152" t="str">
        <f>IFERROR(VLOOKUP($B90,'PEDIDO JULIO'!$A$10:$AG$200,21,0),"0")</f>
        <v>0</v>
      </c>
      <c r="AU90" s="156">
        <f>IFERROR(VLOOKUP($B90,'[5]INSUMOS MARZO'!$A$2:$S$105,14,0),"")</f>
        <v>3781.7082</v>
      </c>
      <c r="AV90" s="154">
        <f t="shared" si="52"/>
        <v>0</v>
      </c>
      <c r="AW90" s="152" t="str">
        <f>IFERROR(VLOOKUP($B90,'PEDIDO JULIO'!$A$10:$AG$200,22,0),"0")</f>
        <v>0</v>
      </c>
      <c r="AX90" s="153">
        <f>IFERROR(VLOOKUP($B90,'[5]INSUMOS MARZO'!$A$2:$S$105,17,0),"")</f>
        <v>2749.4160000000002</v>
      </c>
      <c r="AY90" s="154">
        <f t="shared" si="53"/>
        <v>0</v>
      </c>
      <c r="AZ90" s="152" t="str">
        <f>IFERROR(VLOOKUP($B90,'PEDIDO JULIO'!$A$10:$AG$200,23,0),"0")</f>
        <v>0</v>
      </c>
      <c r="BA90" s="153">
        <f>IFERROR(VLOOKUP($B90,'[5]INSUMOS MARZO'!$A$2:$S$105,17,0),"")</f>
        <v>2749.4160000000002</v>
      </c>
      <c r="BB90" s="154">
        <f t="shared" si="54"/>
        <v>0</v>
      </c>
      <c r="BC90" s="152" t="str">
        <f>IFERROR(VLOOKUP($B90,'PEDIDO JULIO'!$A$10:$AG$200,24,0),"0")</f>
        <v>0</v>
      </c>
      <c r="BD90" s="153">
        <f>IFERROR(VLOOKUP($B90,'[5]INSUMOS MARZO'!$A$2:$S$105,17,0),"")</f>
        <v>2749.4160000000002</v>
      </c>
      <c r="BE90" s="155">
        <f t="shared" si="55"/>
        <v>0</v>
      </c>
      <c r="BF90" s="152" t="str">
        <f>IFERROR(VLOOKUP($B90,'PEDIDO JULIO'!$A$10:$AG$200,25,0),"0")</f>
        <v>0</v>
      </c>
      <c r="BG90" s="153">
        <f>IFERROR(VLOOKUP($B90,'[5]INSUMOS MARZO'!$A$2:$S$105,17,0),"")</f>
        <v>2749.4160000000002</v>
      </c>
      <c r="BH90" s="155">
        <f t="shared" si="56"/>
        <v>0</v>
      </c>
      <c r="BI90" s="152" t="str">
        <f>IFERROR(VLOOKUP($B90,'PEDIDO JULIO'!$A$10:$AG$200,26,0),"0")</f>
        <v>0</v>
      </c>
      <c r="BJ90" s="153">
        <f>IFERROR(VLOOKUP($B90,'[5]INSUMOS MARZO'!$A$2:$S$105,17,0),"")</f>
        <v>2749.4160000000002</v>
      </c>
      <c r="BK90" s="154">
        <f t="shared" si="57"/>
        <v>0</v>
      </c>
      <c r="BL90" s="152" t="str">
        <f>IFERROR(VLOOKUP($B90,'PEDIDO JULIO'!$A$10:$AG$200,27,0),"0")</f>
        <v>0</v>
      </c>
      <c r="BM90" s="153">
        <f>IFERROR(VLOOKUP($B90,'[5]INSUMOS MARZO'!$A$2:$S$105,17,0),"")</f>
        <v>2749.4160000000002</v>
      </c>
      <c r="BN90" s="154">
        <f t="shared" si="58"/>
        <v>0</v>
      </c>
      <c r="BO90" s="152" t="str">
        <f>IFERROR(VLOOKUP($B90,'PEDIDO JULIO'!$A$10:$AG$200,28,0),"0")</f>
        <v>0</v>
      </c>
      <c r="BP90" s="153">
        <f>IFERROR(VLOOKUP($B90,'[5]INSUMOS MARZO'!$A$2:$S$105,17,0),"")</f>
        <v>2749.4160000000002</v>
      </c>
      <c r="BQ90" s="154">
        <f t="shared" si="59"/>
        <v>0</v>
      </c>
      <c r="BR90" s="152" t="str">
        <f>IFERROR(VLOOKUP($B90,'PEDIDO JULIO'!$A$10:$AG$200,29,0),"0")</f>
        <v>0</v>
      </c>
      <c r="BS90" s="153">
        <f>IFERROR(VLOOKUP($B90,'[5]INSUMOS MARZO'!$A$2:$S$105,17,0),"")</f>
        <v>2749.4160000000002</v>
      </c>
      <c r="BT90" s="155">
        <f t="shared" si="60"/>
        <v>0</v>
      </c>
      <c r="BU90" s="152" t="str">
        <f>IFERROR(VLOOKUP($B90,'PEDIDO JULIO'!$A$10:$AG$200,30,0),"0")</f>
        <v>0</v>
      </c>
      <c r="BV90" s="153">
        <f>IFERROR(VLOOKUP($B90,'[5]INSUMOS MARZO'!$A$2:$S$105,17,0),"")</f>
        <v>2749.4160000000002</v>
      </c>
      <c r="BW90" s="155">
        <f t="shared" si="61"/>
        <v>0</v>
      </c>
      <c r="BX90" s="152" t="str">
        <f>IFERROR(VLOOKUP($B90,'PEDIDO JULIO'!$A$10:$AG$200,31,0),"0")</f>
        <v>0</v>
      </c>
      <c r="BY90" s="153">
        <f>IFERROR(VLOOKUP($B90,'[5]INSUMOS MARZO'!$A$2:$S$105,17,0),"")</f>
        <v>2749.4160000000002</v>
      </c>
      <c r="BZ90" s="155">
        <f t="shared" si="62"/>
        <v>0</v>
      </c>
      <c r="CA90" s="152" t="str">
        <f>IFERROR(VLOOKUP($B90,'PEDIDO JULIO'!$A$10:$AG$200,32,0),"0")</f>
        <v>0</v>
      </c>
      <c r="CB90" s="153">
        <f>IFERROR(VLOOKUP($B90,'[5]INSUMOS MARZO'!$A$2:$S$105,17,0),"")</f>
        <v>2749.4160000000002</v>
      </c>
      <c r="CC90" s="155">
        <f t="shared" si="63"/>
        <v>0</v>
      </c>
      <c r="CD90" s="157">
        <f t="shared" si="38"/>
        <v>0</v>
      </c>
      <c r="CE90" s="158">
        <f t="shared" si="64"/>
        <v>0</v>
      </c>
      <c r="CF90" s="251">
        <f>IFERROR(VLOOKUP($B90,'MATRIZ INSUMOS '!$A$3:$P$106,16,0),"")</f>
        <v>0</v>
      </c>
      <c r="CG90" s="153">
        <f>IFERROR(VLOOKUP($B90,'[5]INSUMOS MARZO'!$A$2:$S$105,17,0),"")</f>
        <v>2749.4160000000002</v>
      </c>
      <c r="CH90" s="156">
        <f t="shared" si="65"/>
        <v>0</v>
      </c>
      <c r="CI90" s="251">
        <f>IFERROR(VLOOKUP($B90,'MATRIZ INSUMOS '!$A$3:$P$106,10,0),"")</f>
        <v>0</v>
      </c>
      <c r="CJ90" s="156">
        <f>IFERROR(VLOOKUP($B90,'[5]INSUMOS MARZO'!$A$2:$S$105,14,0),"")</f>
        <v>3781.7082</v>
      </c>
      <c r="CK90" s="159">
        <f t="shared" si="66"/>
        <v>0</v>
      </c>
      <c r="CL90" s="160">
        <f t="shared" si="67"/>
        <v>0</v>
      </c>
      <c r="CM90" s="14">
        <f t="shared" si="68"/>
        <v>0</v>
      </c>
      <c r="CN90" s="14">
        <f t="shared" si="69"/>
        <v>0</v>
      </c>
      <c r="CO90" s="14">
        <f t="shared" si="70"/>
        <v>0</v>
      </c>
      <c r="CQ90" s="19">
        <f t="shared" si="71"/>
        <v>0</v>
      </c>
      <c r="CR90" s="19" t="b">
        <f t="shared" si="72"/>
        <v>1</v>
      </c>
      <c r="CS90" s="19">
        <f t="shared" si="73"/>
        <v>0</v>
      </c>
    </row>
    <row r="91" spans="1:97" ht="16.5">
      <c r="A91" s="3">
        <v>86</v>
      </c>
      <c r="B91" s="151">
        <v>192</v>
      </c>
      <c r="C91" s="4" t="s">
        <v>111</v>
      </c>
      <c r="D91" s="152">
        <f>IFERROR(VLOOKUP($B91,'[4]INSUMOS FEBRERO'!$A$2:$F$105,5,0),"")</f>
        <v>56</v>
      </c>
      <c r="E91" s="152" t="str">
        <f>IFERROR(VLOOKUP($B91,'PEDIDO JULIO'!$A$10:$AG$32,33,0),"0")</f>
        <v>0</v>
      </c>
      <c r="F91" s="152">
        <f t="shared" si="39"/>
        <v>-56</v>
      </c>
      <c r="G91" s="152">
        <f>IFERROR(VLOOKUP($B91,'PEDIDO JULIO'!$A$10:$AG$200,8,0),"0")</f>
        <v>200</v>
      </c>
      <c r="H91" s="156">
        <f>IFERROR(VLOOKUP($B91,'[5]INSUMOS MARZO'!$A$2:$S$105,14,0),"")</f>
        <v>6866.2880999999998</v>
      </c>
      <c r="I91" s="154">
        <f t="shared" si="37"/>
        <v>1373257.6199999999</v>
      </c>
      <c r="J91" s="152">
        <f>IFERROR(VLOOKUP($B91,'PEDIDO JULIO'!$A$10:$AG$200,9,0),"0")</f>
        <v>0</v>
      </c>
      <c r="K91" s="153">
        <f>IFERROR(VLOOKUP($B91,'[5]INSUMOS MARZO'!$A$2:$S$105,17,0),"")</f>
        <v>3930.7400000000002</v>
      </c>
      <c r="L91" s="155">
        <f t="shared" si="40"/>
        <v>0</v>
      </c>
      <c r="M91" s="152">
        <f>IFERROR(VLOOKUP($B91,'PEDIDO JULIO'!$A$10:$AG$200,10,0),"0")</f>
        <v>0</v>
      </c>
      <c r="N91" s="153">
        <f>IFERROR(VLOOKUP($B91,'[5]INSUMOS MARZO'!$A$2:$S$105,17,0),"")</f>
        <v>3930.7400000000002</v>
      </c>
      <c r="O91" s="154">
        <f t="shared" si="41"/>
        <v>0</v>
      </c>
      <c r="P91" s="152">
        <f>IFERROR(VLOOKUP($B91,'PEDIDO JULIO'!$A$10:$AG$200,11,0),"0")</f>
        <v>0</v>
      </c>
      <c r="Q91" s="153">
        <f>IFERROR(VLOOKUP($B91,'[5]INSUMOS MARZO'!$A$2:$S$105,17,0),"")</f>
        <v>3930.7400000000002</v>
      </c>
      <c r="R91" s="154">
        <f t="shared" si="42"/>
        <v>0</v>
      </c>
      <c r="S91" s="152">
        <f>IFERROR(VLOOKUP($B91,'PEDIDO JULIO'!$A$10:$AG$200,12,0),"0")</f>
        <v>35</v>
      </c>
      <c r="T91" s="156">
        <f>IFERROR(VLOOKUP($B91,'[5]INSUMOS MARZO'!$A$2:$S$105,14,0),"")</f>
        <v>6866.2880999999998</v>
      </c>
      <c r="U91" s="154">
        <f t="shared" si="43"/>
        <v>240320.08349999998</v>
      </c>
      <c r="V91" s="152">
        <f>IFERROR(VLOOKUP($B91,'PEDIDO JULIO'!$A$10:$AG$200,13,0),"0")</f>
        <v>0</v>
      </c>
      <c r="W91" s="153">
        <f>IFERROR(VLOOKUP($B91,'[5]INSUMOS MARZO'!$A$2:$S$105,17,0),"")</f>
        <v>3930.7400000000002</v>
      </c>
      <c r="X91" s="154">
        <f t="shared" si="44"/>
        <v>0</v>
      </c>
      <c r="Y91" s="152">
        <f>IFERROR(VLOOKUP($B91,'PEDIDO JULIO'!$A$10:$AG$200,14,0),"0")</f>
        <v>0</v>
      </c>
      <c r="Z91" s="153">
        <f>IFERROR(VLOOKUP($B91,'[5]INSUMOS MARZO'!$A$2:$S$105,17,0),"")</f>
        <v>3930.7400000000002</v>
      </c>
      <c r="AA91" s="154">
        <f t="shared" si="45"/>
        <v>0</v>
      </c>
      <c r="AB91" s="152">
        <f>IFERROR(VLOOKUP($B91,'PEDIDO JULIO'!$A$10:$AG$200,15,0),"0")</f>
        <v>0</v>
      </c>
      <c r="AC91" s="153">
        <f>IFERROR(VLOOKUP($B91,'[5]INSUMOS MARZO'!$A$2:$S$105,17,0),"")</f>
        <v>3930.7400000000002</v>
      </c>
      <c r="AD91" s="154">
        <f t="shared" si="46"/>
        <v>0</v>
      </c>
      <c r="AE91" s="152">
        <f>IFERROR(VLOOKUP($B91,'PEDIDO JULIO'!$A$10:$AG$200,16,0),"0")</f>
        <v>50</v>
      </c>
      <c r="AF91" s="156">
        <f>IFERROR(VLOOKUP($B91,'[5]INSUMOS MARZO'!$A$2:$S$105,14,0),"")</f>
        <v>6866.2880999999998</v>
      </c>
      <c r="AG91" s="154">
        <f t="shared" si="47"/>
        <v>343314.40499999997</v>
      </c>
      <c r="AH91" s="152">
        <f>IFERROR(VLOOKUP($B91,'PEDIDO JULIO'!$A$10:$AG$200,17,0),"0")</f>
        <v>0</v>
      </c>
      <c r="AI91" s="156">
        <f>IFERROR(VLOOKUP($B91,'[5]INSUMOS MARZO'!$A$2:$S$105,14,0),"")</f>
        <v>6866.2880999999998</v>
      </c>
      <c r="AJ91" s="154">
        <f t="shared" si="48"/>
        <v>0</v>
      </c>
      <c r="AK91" s="152">
        <f>IFERROR(VLOOKUP($B91,'PEDIDO JULIO'!$A$10:$AG$200,18,0),"0")</f>
        <v>0</v>
      </c>
      <c r="AL91" s="156">
        <f>IFERROR(VLOOKUP($B91,'[5]INSUMOS MARZO'!$A$2:$S$105,14,0),"")</f>
        <v>6866.2880999999998</v>
      </c>
      <c r="AM91" s="154">
        <f t="shared" si="49"/>
        <v>0</v>
      </c>
      <c r="AN91" s="152">
        <f>IFERROR(VLOOKUP($B91,'PEDIDO JULIO'!$A$10:$AG$200,19,0),"0")</f>
        <v>0</v>
      </c>
      <c r="AO91" s="153">
        <f>IFERROR(VLOOKUP($B91,'[5]INSUMOS MARZO'!$A$2:$S$105,17,0),"")</f>
        <v>3930.7400000000002</v>
      </c>
      <c r="AP91" s="154">
        <f t="shared" si="50"/>
        <v>0</v>
      </c>
      <c r="AQ91" s="152">
        <f>IFERROR(VLOOKUP($B91,'PEDIDO JULIO'!$A$10:$AG$200,20,0),"0")</f>
        <v>10</v>
      </c>
      <c r="AR91" s="156">
        <f>IFERROR(VLOOKUP($B91,'[5]INSUMOS MARZO'!$A$2:$S$105,14,0),"")</f>
        <v>6866.2880999999998</v>
      </c>
      <c r="AS91" s="154">
        <f t="shared" si="51"/>
        <v>68662.880999999994</v>
      </c>
      <c r="AT91" s="152">
        <f>IFERROR(VLOOKUP($B91,'PEDIDO JULIO'!$A$10:$AG$200,21,0),"0")</f>
        <v>6</v>
      </c>
      <c r="AU91" s="156">
        <f>IFERROR(VLOOKUP($B91,'[5]INSUMOS MARZO'!$A$2:$S$105,14,0),"")</f>
        <v>6866.2880999999998</v>
      </c>
      <c r="AV91" s="154">
        <f t="shared" si="52"/>
        <v>41197.728600000002</v>
      </c>
      <c r="AW91" s="152">
        <f>IFERROR(VLOOKUP($B91,'PEDIDO JULIO'!$A$10:$AG$200,22,0),"0")</f>
        <v>0</v>
      </c>
      <c r="AX91" s="156">
        <f>IFERROR(VLOOKUP($B91,'[5]INSUMOS MARZO'!$A$2:$S$105,14,0),"")</f>
        <v>6866.2880999999998</v>
      </c>
      <c r="AY91" s="154">
        <f t="shared" si="53"/>
        <v>0</v>
      </c>
      <c r="AZ91" s="152">
        <f>IFERROR(VLOOKUP($B91,'PEDIDO JULIO'!$A$10:$AG$200,23,0),"0")</f>
        <v>0</v>
      </c>
      <c r="BA91" s="156">
        <f>IFERROR(VLOOKUP($B91,'[5]INSUMOS MARZO'!$A$2:$S$105,14,0),"")</f>
        <v>6866.2880999999998</v>
      </c>
      <c r="BB91" s="154">
        <f t="shared" si="54"/>
        <v>0</v>
      </c>
      <c r="BC91" s="152">
        <f>IFERROR(VLOOKUP($B91,'PEDIDO JULIO'!$A$10:$AG$200,24,0),"0")</f>
        <v>30</v>
      </c>
      <c r="BD91" s="156">
        <f>IFERROR(VLOOKUP($B91,'[5]INSUMOS MARZO'!$A$2:$S$105,14,0),"")</f>
        <v>6866.2880999999998</v>
      </c>
      <c r="BE91" s="155">
        <f t="shared" si="55"/>
        <v>205988.64299999998</v>
      </c>
      <c r="BF91" s="252">
        <f>IFERROR(VLOOKUP($B91,'PEDIDO JULIO'!$A$10:$AG$200,25,0),"0")</f>
        <v>40</v>
      </c>
      <c r="BG91" s="153">
        <f>IFERROR(VLOOKUP($B91,'[5]INSUMOS MARZO'!$A$2:$S$105,17,0),"")</f>
        <v>3930.7400000000002</v>
      </c>
      <c r="BH91" s="155">
        <f t="shared" si="56"/>
        <v>157229.6</v>
      </c>
      <c r="BI91" s="152">
        <f>IFERROR(VLOOKUP($B91,'PEDIDO JULIO'!$A$10:$AG$200,26,0),"0")</f>
        <v>0</v>
      </c>
      <c r="BJ91" s="153">
        <f>IFERROR(VLOOKUP($B91,'[5]INSUMOS MARZO'!$A$2:$S$105,17,0),"")</f>
        <v>3930.7400000000002</v>
      </c>
      <c r="BK91" s="154">
        <f t="shared" si="57"/>
        <v>0</v>
      </c>
      <c r="BL91" s="152">
        <f>IFERROR(VLOOKUP($B91,'PEDIDO JULIO'!$A$10:$AG$200,27,0),"0")</f>
        <v>0</v>
      </c>
      <c r="BM91" s="156">
        <f>IFERROR(VLOOKUP($B91,'[5]INSUMOS MARZO'!$A$2:$S$105,14,0),"")</f>
        <v>6866.2880999999998</v>
      </c>
      <c r="BN91" s="154">
        <f t="shared" si="58"/>
        <v>0</v>
      </c>
      <c r="BO91" s="252">
        <f>IFERROR(VLOOKUP($B91,'PEDIDO JULIO'!$A$10:$AG$200,28,0),"0")</f>
        <v>20</v>
      </c>
      <c r="BP91" s="153">
        <f>IFERROR(VLOOKUP($B91,'[5]INSUMOS MARZO'!$A$2:$S$105,17,0),"")</f>
        <v>3930.7400000000002</v>
      </c>
      <c r="BQ91" s="154">
        <f t="shared" si="59"/>
        <v>78614.8</v>
      </c>
      <c r="BR91" s="152">
        <f>IFERROR(VLOOKUP($B91,'PEDIDO JULIO'!$A$10:$AG$200,29,0),"0")</f>
        <v>0</v>
      </c>
      <c r="BS91" s="153">
        <f>IFERROR(VLOOKUP($B91,'[5]INSUMOS MARZO'!$A$2:$S$105,17,0),"")</f>
        <v>3930.7400000000002</v>
      </c>
      <c r="BT91" s="155">
        <f t="shared" si="60"/>
        <v>0</v>
      </c>
      <c r="BU91" s="152">
        <f>IFERROR(VLOOKUP($B91,'PEDIDO JULIO'!$A$10:$AG$200,30,0),"0")</f>
        <v>0</v>
      </c>
      <c r="BV91" s="156">
        <f>IFERROR(VLOOKUP($B91,'[5]INSUMOS MARZO'!$A$2:$S$105,14,0),"")</f>
        <v>6866.2880999999998</v>
      </c>
      <c r="BW91" s="155">
        <f t="shared" si="61"/>
        <v>0</v>
      </c>
      <c r="BX91" s="152">
        <f>IFERROR(VLOOKUP($B91,'PEDIDO JULIO'!$A$10:$AG$200,31,0),"0")</f>
        <v>0</v>
      </c>
      <c r="BY91" s="156">
        <f>IFERROR(VLOOKUP($B91,'[5]INSUMOS MARZO'!$A$2:$S$105,14,0),"")</f>
        <v>6866.2880999999998</v>
      </c>
      <c r="BZ91" s="155">
        <f t="shared" si="62"/>
        <v>0</v>
      </c>
      <c r="CA91" s="252">
        <f>IFERROR(VLOOKUP($B91,'PEDIDO JULIO'!$A$10:$AG$200,32,0),"0")</f>
        <v>40</v>
      </c>
      <c r="CB91" s="153">
        <f>IFERROR(VLOOKUP($B91,'[5]INSUMOS MARZO'!$A$2:$S$105,17,0),"")</f>
        <v>3930.7400000000002</v>
      </c>
      <c r="CC91" s="155">
        <f t="shared" si="63"/>
        <v>157229.6</v>
      </c>
      <c r="CD91" s="157">
        <f t="shared" si="38"/>
        <v>431</v>
      </c>
      <c r="CE91" s="158">
        <f t="shared" si="64"/>
        <v>431</v>
      </c>
      <c r="CF91" s="251">
        <v>100</v>
      </c>
      <c r="CG91" s="153">
        <f>IFERROR(VLOOKUP($B91,'[5]INSUMOS MARZO'!$A$2:$S$105,17,0),"")</f>
        <v>3930.7400000000002</v>
      </c>
      <c r="CH91" s="156">
        <f t="shared" si="65"/>
        <v>393074</v>
      </c>
      <c r="CI91" s="251">
        <v>331</v>
      </c>
      <c r="CJ91" s="156">
        <f>IFERROR(VLOOKUP($B91,'[5]INSUMOS MARZO'!$A$2:$S$105,14,0),"")</f>
        <v>6866.2880999999998</v>
      </c>
      <c r="CK91" s="159">
        <f t="shared" si="66"/>
        <v>2272741.3610999999</v>
      </c>
      <c r="CL91" s="160">
        <f t="shared" si="67"/>
        <v>2665815.3610999999</v>
      </c>
      <c r="CM91" s="14">
        <f t="shared" si="68"/>
        <v>266581.53610999999</v>
      </c>
      <c r="CN91" s="14">
        <f t="shared" si="69"/>
        <v>50650.491860900001</v>
      </c>
      <c r="CO91" s="14">
        <f t="shared" si="70"/>
        <v>2983047.3890709002</v>
      </c>
      <c r="CP91" s="1">
        <f>+CF91+CI91-CD91</f>
        <v>0</v>
      </c>
      <c r="CQ91" s="19">
        <f t="shared" si="71"/>
        <v>2665815.3610999999</v>
      </c>
      <c r="CR91" s="19" t="b">
        <f t="shared" si="72"/>
        <v>1</v>
      </c>
      <c r="CS91" s="19">
        <f t="shared" si="73"/>
        <v>0</v>
      </c>
    </row>
    <row r="92" spans="1:97" ht="16.5">
      <c r="A92" s="3">
        <v>87</v>
      </c>
      <c r="B92" s="151">
        <v>195</v>
      </c>
      <c r="C92" s="4" t="s">
        <v>112</v>
      </c>
      <c r="D92" s="152">
        <f>IFERROR(VLOOKUP($B92,'[4]INSUMOS FEBRERO'!$A$2:$F$105,5,0),"")</f>
        <v>56</v>
      </c>
      <c r="E92" s="152" t="str">
        <f>IFERROR(VLOOKUP($B92,'PEDIDO JULIO'!$A$10:$AG$32,33,0),"0")</f>
        <v>0</v>
      </c>
      <c r="F92" s="152">
        <f t="shared" si="39"/>
        <v>-56</v>
      </c>
      <c r="G92" s="152">
        <f>IFERROR(VLOOKUP($B92,'PEDIDO JULIO'!$A$10:$AG$200,8,0),"0")</f>
        <v>200</v>
      </c>
      <c r="H92" s="156">
        <f>IFERROR(VLOOKUP($B92,'[5]INSUMOS MARZO'!$A$2:$S$105,14,0),"")</f>
        <v>10697.1831</v>
      </c>
      <c r="I92" s="154">
        <f t="shared" si="37"/>
        <v>2139436.62</v>
      </c>
      <c r="J92" s="152">
        <f>IFERROR(VLOOKUP($B92,'PEDIDO JULIO'!$A$10:$AG$200,9,0),"0")</f>
        <v>0</v>
      </c>
      <c r="K92" s="156">
        <f>IFERROR(VLOOKUP($B92,'[5]INSUMOS MARZO'!$A$2:$S$105,14,0),"")</f>
        <v>10697.1831</v>
      </c>
      <c r="L92" s="155">
        <f t="shared" si="40"/>
        <v>0</v>
      </c>
      <c r="M92" s="152">
        <f>IFERROR(VLOOKUP($B92,'PEDIDO JULIO'!$A$10:$AG$200,10,0),"0")</f>
        <v>0</v>
      </c>
      <c r="N92" s="153">
        <f>IFERROR(VLOOKUP($B92,'[5]INSUMOS MARZO'!$A$2:$S$105,17,0),"")</f>
        <v>6431.0690000000004</v>
      </c>
      <c r="O92" s="154">
        <f t="shared" si="41"/>
        <v>0</v>
      </c>
      <c r="P92" s="152">
        <f>IFERROR(VLOOKUP($B92,'PEDIDO JULIO'!$A$10:$AG$200,11,0),"0")</f>
        <v>0</v>
      </c>
      <c r="Q92" s="153">
        <f>IFERROR(VLOOKUP($B92,'[5]INSUMOS MARZO'!$A$2:$S$105,17,0),"")</f>
        <v>6431.0690000000004</v>
      </c>
      <c r="R92" s="154">
        <f t="shared" si="42"/>
        <v>0</v>
      </c>
      <c r="S92" s="152">
        <f>IFERROR(VLOOKUP($B92,'PEDIDO JULIO'!$A$10:$AG$200,12,0),"0")</f>
        <v>80</v>
      </c>
      <c r="T92" s="156">
        <f>IFERROR(VLOOKUP($B92,'[5]INSUMOS MARZO'!$A$2:$S$105,14,0),"")</f>
        <v>10697.1831</v>
      </c>
      <c r="U92" s="154">
        <f t="shared" si="43"/>
        <v>855774.64800000004</v>
      </c>
      <c r="V92" s="152">
        <f>IFERROR(VLOOKUP($B92,'PEDIDO JULIO'!$A$10:$AG$200,13,0),"0")</f>
        <v>40</v>
      </c>
      <c r="W92" s="156">
        <f>IFERROR(VLOOKUP($B92,'[5]INSUMOS MARZO'!$A$2:$S$105,14,0),"")</f>
        <v>10697.1831</v>
      </c>
      <c r="X92" s="154">
        <f t="shared" si="44"/>
        <v>427887.32400000002</v>
      </c>
      <c r="Y92" s="152">
        <f>IFERROR(VLOOKUP($B92,'PEDIDO JULIO'!$A$10:$AG$200,14,0),"0")</f>
        <v>50</v>
      </c>
      <c r="Z92" s="156">
        <f>IFERROR(VLOOKUP($B92,'[5]INSUMOS MARZO'!$A$2:$S$105,14,0),"")</f>
        <v>10697.1831</v>
      </c>
      <c r="AA92" s="154">
        <f t="shared" si="45"/>
        <v>534859.15500000003</v>
      </c>
      <c r="AB92" s="152">
        <f>IFERROR(VLOOKUP($B92,'PEDIDO JULIO'!$A$10:$AG$200,15,0),"0")</f>
        <v>10</v>
      </c>
      <c r="AC92" s="156">
        <f>IFERROR(VLOOKUP($B92,'[5]INSUMOS MARZO'!$A$2:$S$105,14,0),"")</f>
        <v>10697.1831</v>
      </c>
      <c r="AD92" s="154">
        <f t="shared" si="46"/>
        <v>106971.83100000001</v>
      </c>
      <c r="AE92" s="152">
        <f>IFERROR(VLOOKUP($B92,'PEDIDO JULIO'!$A$10:$AG$200,16,0),"0")</f>
        <v>50</v>
      </c>
      <c r="AF92" s="156">
        <f>IFERROR(VLOOKUP($B92,'[5]INSUMOS MARZO'!$A$2:$S$105,14,0),"")</f>
        <v>10697.1831</v>
      </c>
      <c r="AG92" s="154">
        <f t="shared" si="47"/>
        <v>534859.15500000003</v>
      </c>
      <c r="AH92" s="152">
        <f>IFERROR(VLOOKUP($B92,'PEDIDO JULIO'!$A$10:$AG$200,17,0),"0")</f>
        <v>0</v>
      </c>
      <c r="AI92" s="156">
        <f>IFERROR(VLOOKUP($B92,'[5]INSUMOS MARZO'!$A$2:$S$105,14,0),"")</f>
        <v>10697.1831</v>
      </c>
      <c r="AJ92" s="154">
        <f t="shared" si="48"/>
        <v>0</v>
      </c>
      <c r="AK92" s="152">
        <f>IFERROR(VLOOKUP($B92,'PEDIDO JULIO'!$A$10:$AG$200,18,0),"0")</f>
        <v>0</v>
      </c>
      <c r="AL92" s="156">
        <f>IFERROR(VLOOKUP($B92,'[5]INSUMOS MARZO'!$A$2:$S$105,14,0),"")</f>
        <v>10697.1831</v>
      </c>
      <c r="AM92" s="154">
        <f t="shared" si="49"/>
        <v>0</v>
      </c>
      <c r="AN92" s="152">
        <f>IFERROR(VLOOKUP($B92,'PEDIDO JULIO'!$A$10:$AG$200,19,0),"0")</f>
        <v>0</v>
      </c>
      <c r="AO92" s="156">
        <f>IFERROR(VLOOKUP($B92,'[5]INSUMOS MARZO'!$A$2:$S$105,14,0),"")</f>
        <v>10697.1831</v>
      </c>
      <c r="AP92" s="154">
        <f t="shared" si="50"/>
        <v>0</v>
      </c>
      <c r="AQ92" s="152">
        <f>IFERROR(VLOOKUP($B92,'PEDIDO JULIO'!$A$10:$AG$200,20,0),"0")</f>
        <v>0</v>
      </c>
      <c r="AR92" s="153">
        <f>IFERROR(VLOOKUP($B92,'[5]INSUMOS MARZO'!$A$2:$S$105,17,0),"")</f>
        <v>6431.0690000000004</v>
      </c>
      <c r="AS92" s="154">
        <f t="shared" si="51"/>
        <v>0</v>
      </c>
      <c r="AT92" s="152">
        <f>IFERROR(VLOOKUP($B92,'PEDIDO JULIO'!$A$10:$AG$200,21,0),"0")</f>
        <v>10</v>
      </c>
      <c r="AU92" s="156">
        <f>IFERROR(VLOOKUP($B92,'[5]INSUMOS MARZO'!$A$2:$S$105,14,0),"")</f>
        <v>10697.1831</v>
      </c>
      <c r="AV92" s="154">
        <f t="shared" si="52"/>
        <v>106971.83100000001</v>
      </c>
      <c r="AW92" s="152">
        <f>IFERROR(VLOOKUP($B92,'PEDIDO JULIO'!$A$10:$AG$200,22,0),"0")</f>
        <v>0</v>
      </c>
      <c r="AX92" s="156">
        <f>IFERROR(VLOOKUP($B92,'[5]INSUMOS MARZO'!$A$2:$S$105,14,0),"")</f>
        <v>10697.1831</v>
      </c>
      <c r="AY92" s="154">
        <f t="shared" si="53"/>
        <v>0</v>
      </c>
      <c r="AZ92" s="152">
        <f>IFERROR(VLOOKUP($B92,'PEDIDO JULIO'!$A$10:$AG$200,23,0),"0")</f>
        <v>0</v>
      </c>
      <c r="BA92" s="156">
        <f>IFERROR(VLOOKUP($B92,'[5]INSUMOS MARZO'!$A$2:$S$105,14,0),"")</f>
        <v>10697.1831</v>
      </c>
      <c r="BB92" s="154">
        <f t="shared" si="54"/>
        <v>0</v>
      </c>
      <c r="BC92" s="152">
        <f>IFERROR(VLOOKUP($B92,'PEDIDO JULIO'!$A$10:$AG$200,24,0),"0")</f>
        <v>30</v>
      </c>
      <c r="BD92" s="156">
        <f>IFERROR(VLOOKUP($B92,'[5]INSUMOS MARZO'!$A$2:$S$105,14,0),"")</f>
        <v>10697.1831</v>
      </c>
      <c r="BE92" s="155">
        <f t="shared" si="55"/>
        <v>320915.49300000002</v>
      </c>
      <c r="BF92" s="152">
        <f>IFERROR(VLOOKUP($B92,'PEDIDO JULIO'!$A$10:$AG$200,25,0),"0")</f>
        <v>40</v>
      </c>
      <c r="BG92" s="156">
        <f>IFERROR(VLOOKUP($B92,'[5]INSUMOS MARZO'!$A$2:$S$105,14,0),"")</f>
        <v>10697.1831</v>
      </c>
      <c r="BH92" s="155">
        <f t="shared" si="56"/>
        <v>427887.32400000002</v>
      </c>
      <c r="BI92" s="252">
        <f>IFERROR(VLOOKUP($B92,'PEDIDO JULIO'!$A$10:$AG$200,26,0),"0")</f>
        <v>40</v>
      </c>
      <c r="BJ92" s="153">
        <f>IFERROR(VLOOKUP($B92,'[5]INSUMOS MARZO'!$A$2:$S$105,17,0),"")</f>
        <v>6431.0690000000004</v>
      </c>
      <c r="BK92" s="154">
        <f t="shared" si="57"/>
        <v>257242.76</v>
      </c>
      <c r="BL92" s="152">
        <f>IFERROR(VLOOKUP($B92,'PEDIDO JULIO'!$A$10:$AG$200,27,0),"0")</f>
        <v>0</v>
      </c>
      <c r="BM92" s="153">
        <f>IFERROR(VLOOKUP($B92,'[5]INSUMOS MARZO'!$A$2:$S$105,17,0),"")</f>
        <v>6431.0690000000004</v>
      </c>
      <c r="BN92" s="154">
        <f t="shared" si="58"/>
        <v>0</v>
      </c>
      <c r="BO92" s="252">
        <f>IFERROR(VLOOKUP($B92,'PEDIDO JULIO'!$A$10:$AG$200,28,0),"0")</f>
        <v>20</v>
      </c>
      <c r="BP92" s="153">
        <f>IFERROR(VLOOKUP($B92,'[5]INSUMOS MARZO'!$A$2:$S$105,17,0),"")</f>
        <v>6431.0690000000004</v>
      </c>
      <c r="BQ92" s="154">
        <f t="shared" si="59"/>
        <v>128621.38</v>
      </c>
      <c r="BR92" s="252">
        <f>IFERROR(VLOOKUP($B92,'PEDIDO JULIO'!$A$10:$AG$200,29,0),"0")</f>
        <v>50</v>
      </c>
      <c r="BS92" s="153">
        <f>IFERROR(VLOOKUP($B92,'[5]INSUMOS MARZO'!$A$2:$S$105,17,0),"")</f>
        <v>6431.0690000000004</v>
      </c>
      <c r="BT92" s="155">
        <f t="shared" si="60"/>
        <v>321553.45</v>
      </c>
      <c r="BU92" s="252">
        <f>IFERROR(VLOOKUP($B92,'PEDIDO JULIO'!$A$10:$AG$200,30,0),"0")</f>
        <v>30</v>
      </c>
      <c r="BV92" s="153">
        <f>IFERROR(VLOOKUP($B92,'[5]INSUMOS MARZO'!$A$2:$S$105,17,0),"")</f>
        <v>6431.0690000000004</v>
      </c>
      <c r="BW92" s="155">
        <f t="shared" si="61"/>
        <v>192932.07</v>
      </c>
      <c r="BX92" s="152">
        <f>IFERROR(VLOOKUP($B92,'PEDIDO JULIO'!$A$10:$AG$200,31,0),"0")</f>
        <v>0</v>
      </c>
      <c r="BY92" s="153">
        <f>IFERROR(VLOOKUP($B92,'[5]INSUMOS MARZO'!$A$2:$S$105,17,0),"")</f>
        <v>6431.0690000000004</v>
      </c>
      <c r="BZ92" s="155">
        <f t="shared" si="62"/>
        <v>0</v>
      </c>
      <c r="CA92" s="252">
        <f>IFERROR(VLOOKUP($B92,'PEDIDO JULIO'!$A$10:$AG$200,32,0),"0")</f>
        <v>40</v>
      </c>
      <c r="CB92" s="153">
        <f>IFERROR(VLOOKUP($B92,'[5]INSUMOS MARZO'!$A$2:$S$105,17,0),"")</f>
        <v>6431.0690000000004</v>
      </c>
      <c r="CC92" s="155">
        <f t="shared" si="63"/>
        <v>257242.76</v>
      </c>
      <c r="CD92" s="157">
        <f t="shared" si="38"/>
        <v>690</v>
      </c>
      <c r="CE92" s="158">
        <f t="shared" si="64"/>
        <v>690</v>
      </c>
      <c r="CF92" s="251">
        <v>180</v>
      </c>
      <c r="CG92" s="153">
        <f>IFERROR(VLOOKUP($B92,'[5]INSUMOS MARZO'!$A$2:$S$105,17,0),"")</f>
        <v>6431.0690000000004</v>
      </c>
      <c r="CH92" s="156">
        <f t="shared" si="65"/>
        <v>1157592.4200000002</v>
      </c>
      <c r="CI92" s="251">
        <v>510</v>
      </c>
      <c r="CJ92" s="156">
        <f>IFERROR(VLOOKUP($B92,'[5]INSUMOS MARZO'!$A$2:$S$105,14,0),"")</f>
        <v>10697.1831</v>
      </c>
      <c r="CK92" s="159">
        <f t="shared" si="66"/>
        <v>5455563.3810000001</v>
      </c>
      <c r="CL92" s="160">
        <f t="shared" si="67"/>
        <v>6613155.8010000009</v>
      </c>
      <c r="CM92" s="14">
        <f t="shared" si="68"/>
        <v>661315.58010000014</v>
      </c>
      <c r="CN92" s="14">
        <f t="shared" si="69"/>
        <v>125649.96021900003</v>
      </c>
      <c r="CO92" s="14">
        <f t="shared" si="70"/>
        <v>7400121.3413190013</v>
      </c>
      <c r="CP92" s="1">
        <f>+CF92+CI92-CD92</f>
        <v>0</v>
      </c>
      <c r="CQ92" s="19">
        <f t="shared" si="71"/>
        <v>6613155.801</v>
      </c>
      <c r="CR92" s="19" t="b">
        <f t="shared" si="72"/>
        <v>1</v>
      </c>
      <c r="CS92" s="19">
        <f t="shared" si="73"/>
        <v>0</v>
      </c>
    </row>
    <row r="93" spans="1:97" ht="16.5">
      <c r="A93" s="3">
        <v>88</v>
      </c>
      <c r="B93" s="151">
        <v>204</v>
      </c>
      <c r="C93" s="4" t="s">
        <v>113</v>
      </c>
      <c r="D93" s="152">
        <f>IFERROR(VLOOKUP($B93,'[4]INSUMOS FEBRERO'!$A$2:$F$105,5,0),"")</f>
        <v>93</v>
      </c>
      <c r="E93" s="152" t="str">
        <f>IFERROR(VLOOKUP($B93,'PEDIDO JULIO'!$A$10:$AG$32,33,0),"0")</f>
        <v>0</v>
      </c>
      <c r="F93" s="152">
        <f t="shared" si="39"/>
        <v>-93</v>
      </c>
      <c r="G93" s="152">
        <f>IFERROR(VLOOKUP($B93,'PEDIDO JULIO'!$A$10:$AG$200,8,0),"0")</f>
        <v>50</v>
      </c>
      <c r="H93" s="156">
        <f>IFERROR(VLOOKUP($B93,'[5]INSUMOS MARZO'!$A$2:$S$105,14,0),"")</f>
        <v>25673.6178</v>
      </c>
      <c r="I93" s="154">
        <f t="shared" si="37"/>
        <v>1283680.8899999999</v>
      </c>
      <c r="J93" s="152">
        <f>IFERROR(VLOOKUP($B93,'PEDIDO JULIO'!$A$10:$AG$200,9,0),"0")</f>
        <v>15</v>
      </c>
      <c r="K93" s="156">
        <f>IFERROR(VLOOKUP($B93,'[5]INSUMOS MARZO'!$A$2:$S$105,14,0),"")</f>
        <v>25673.6178</v>
      </c>
      <c r="L93" s="155">
        <f t="shared" si="40"/>
        <v>385104.26699999999</v>
      </c>
      <c r="M93" s="152">
        <f>IFERROR(VLOOKUP($B93,'PEDIDO JULIO'!$A$10:$AG$200,10,0),"0")</f>
        <v>12</v>
      </c>
      <c r="N93" s="156">
        <f>IFERROR(VLOOKUP($B93,'[5]INSUMOS MARZO'!$A$2:$S$105,14,0),"")</f>
        <v>25673.6178</v>
      </c>
      <c r="O93" s="154">
        <f t="shared" si="41"/>
        <v>308083.41359999997</v>
      </c>
      <c r="P93" s="152">
        <f>IFERROR(VLOOKUP($B93,'PEDIDO JULIO'!$A$10:$AG$200,11,0),"0")</f>
        <v>0</v>
      </c>
      <c r="Q93" s="153">
        <f>IFERROR(VLOOKUP($B93,'[5]INSUMOS MARZO'!$A$2:$S$105,17,0),"")</f>
        <v>14760.243999999999</v>
      </c>
      <c r="R93" s="154">
        <f t="shared" si="42"/>
        <v>0</v>
      </c>
      <c r="S93" s="152">
        <f>IFERROR(VLOOKUP($B93,'PEDIDO JULIO'!$A$10:$AG$200,12,0),"0")</f>
        <v>5</v>
      </c>
      <c r="T93" s="156">
        <f>IFERROR(VLOOKUP($B93,'[5]INSUMOS MARZO'!$A$2:$S$105,14,0),"")</f>
        <v>25673.6178</v>
      </c>
      <c r="U93" s="154">
        <f t="shared" si="43"/>
        <v>128368.08900000001</v>
      </c>
      <c r="V93" s="152">
        <f>IFERROR(VLOOKUP($B93,'PEDIDO JULIO'!$A$10:$AG$200,13,0),"0")</f>
        <v>40</v>
      </c>
      <c r="W93" s="156">
        <f>IFERROR(VLOOKUP($B93,'[5]INSUMOS MARZO'!$A$2:$S$105,14,0),"")</f>
        <v>25673.6178</v>
      </c>
      <c r="X93" s="154">
        <f t="shared" si="44"/>
        <v>1026944.7120000001</v>
      </c>
      <c r="Y93" s="152">
        <f>IFERROR(VLOOKUP($B93,'PEDIDO JULIO'!$A$10:$AG$200,14,0),"0")</f>
        <v>50</v>
      </c>
      <c r="Z93" s="156">
        <f>IFERROR(VLOOKUP($B93,'[5]INSUMOS MARZO'!$A$2:$S$105,14,0),"")</f>
        <v>25673.6178</v>
      </c>
      <c r="AA93" s="154">
        <f t="shared" si="45"/>
        <v>1283680.8899999999</v>
      </c>
      <c r="AB93" s="152">
        <f>IFERROR(VLOOKUP($B93,'PEDIDO JULIO'!$A$10:$AG$200,15,0),"0")</f>
        <v>3</v>
      </c>
      <c r="AC93" s="156">
        <f>IFERROR(VLOOKUP($B93,'[5]INSUMOS MARZO'!$A$2:$S$105,14,0),"")</f>
        <v>25673.6178</v>
      </c>
      <c r="AD93" s="154">
        <f t="shared" si="46"/>
        <v>77020.853399999993</v>
      </c>
      <c r="AE93" s="152">
        <f>IFERROR(VLOOKUP($B93,'PEDIDO JULIO'!$A$10:$AG$200,16,0),"0")</f>
        <v>12</v>
      </c>
      <c r="AF93" s="156">
        <f>IFERROR(VLOOKUP($B93,'[5]INSUMOS MARZO'!$A$2:$S$105,14,0),"")</f>
        <v>25673.6178</v>
      </c>
      <c r="AG93" s="154">
        <f t="shared" si="47"/>
        <v>308083.41359999997</v>
      </c>
      <c r="AH93" s="152">
        <f>IFERROR(VLOOKUP($B93,'PEDIDO JULIO'!$A$10:$AG$200,17,0),"0")</f>
        <v>0</v>
      </c>
      <c r="AI93" s="156">
        <f>IFERROR(VLOOKUP($B93,'[5]INSUMOS MARZO'!$A$2:$S$105,14,0),"")</f>
        <v>25673.6178</v>
      </c>
      <c r="AJ93" s="154">
        <f t="shared" si="48"/>
        <v>0</v>
      </c>
      <c r="AK93" s="152">
        <f>IFERROR(VLOOKUP($B93,'PEDIDO JULIO'!$A$10:$AG$200,18,0),"0")</f>
        <v>10</v>
      </c>
      <c r="AL93" s="156">
        <f>IFERROR(VLOOKUP($B93,'[5]INSUMOS MARZO'!$A$2:$S$105,14,0),"")</f>
        <v>25673.6178</v>
      </c>
      <c r="AM93" s="154">
        <f t="shared" si="49"/>
        <v>256736.17800000001</v>
      </c>
      <c r="AN93" s="152">
        <f>IFERROR(VLOOKUP($B93,'PEDIDO JULIO'!$A$10:$AG$200,19,0),"0")</f>
        <v>6</v>
      </c>
      <c r="AO93" s="156">
        <f>IFERROR(VLOOKUP($B93,'[5]INSUMOS MARZO'!$A$2:$S$105,14,0),"")</f>
        <v>25673.6178</v>
      </c>
      <c r="AP93" s="154">
        <f t="shared" si="50"/>
        <v>154041.70679999999</v>
      </c>
      <c r="AQ93" s="152">
        <f>IFERROR(VLOOKUP($B93,'PEDIDO JULIO'!$A$10:$AG$200,20,0),"0")</f>
        <v>5</v>
      </c>
      <c r="AR93" s="156">
        <f>IFERROR(VLOOKUP($B93,'[5]INSUMOS MARZO'!$A$2:$S$105,14,0),"")</f>
        <v>25673.6178</v>
      </c>
      <c r="AS93" s="154">
        <f t="shared" si="51"/>
        <v>128368.08900000001</v>
      </c>
      <c r="AT93" s="152">
        <f>IFERROR(VLOOKUP($B93,'PEDIDO JULIO'!$A$10:$AG$200,21,0),"0")</f>
        <v>5</v>
      </c>
      <c r="AU93" s="156">
        <f>IFERROR(VLOOKUP($B93,'[5]INSUMOS MARZO'!$A$2:$S$105,14,0),"")</f>
        <v>25673.6178</v>
      </c>
      <c r="AV93" s="154">
        <f t="shared" si="52"/>
        <v>128368.08900000001</v>
      </c>
      <c r="AW93" s="152">
        <f>IFERROR(VLOOKUP($B93,'PEDIDO JULIO'!$A$10:$AG$200,22,0),"0")</f>
        <v>6</v>
      </c>
      <c r="AX93" s="156">
        <f>IFERROR(VLOOKUP($B93,'[5]INSUMOS MARZO'!$A$2:$S$105,14,0),"")</f>
        <v>25673.6178</v>
      </c>
      <c r="AY93" s="154">
        <f t="shared" si="53"/>
        <v>154041.70679999999</v>
      </c>
      <c r="AZ93" s="152">
        <f>IFERROR(VLOOKUP($B93,'PEDIDO JULIO'!$A$10:$AG$200,23,0),"0")</f>
        <v>10</v>
      </c>
      <c r="BA93" s="156">
        <f>IFERROR(VLOOKUP($B93,'[5]INSUMOS MARZO'!$A$2:$S$105,14,0),"")</f>
        <v>25673.6178</v>
      </c>
      <c r="BB93" s="154">
        <f t="shared" si="54"/>
        <v>256736.17800000001</v>
      </c>
      <c r="BC93" s="152">
        <f>IFERROR(VLOOKUP($B93,'PEDIDO JULIO'!$A$10:$AG$200,24,0),"0")</f>
        <v>5</v>
      </c>
      <c r="BD93" s="156">
        <f>IFERROR(VLOOKUP($B93,'[5]INSUMOS MARZO'!$A$2:$S$105,14,0),"")</f>
        <v>25673.6178</v>
      </c>
      <c r="BE93" s="155">
        <f t="shared" si="55"/>
        <v>128368.08900000001</v>
      </c>
      <c r="BF93" s="252">
        <f>IFERROR(VLOOKUP($B93,'PEDIDO JULIO'!$A$10:$AG$200,25,0),"0")</f>
        <v>12</v>
      </c>
      <c r="BG93" s="153">
        <f>IFERROR(VLOOKUP($B93,'[5]INSUMOS MARZO'!$A$2:$S$105,17,0),"")</f>
        <v>14760.243999999999</v>
      </c>
      <c r="BH93" s="155">
        <f t="shared" si="56"/>
        <v>177122.92799999999</v>
      </c>
      <c r="BI93" s="252">
        <f>IFERROR(VLOOKUP($B93,'PEDIDO JULIO'!$A$10:$AG$200,26,0),"0")</f>
        <v>10</v>
      </c>
      <c r="BJ93" s="153">
        <f>IFERROR(VLOOKUP($B93,'[5]INSUMOS MARZO'!$A$2:$S$105,17,0),"")</f>
        <v>14760.243999999999</v>
      </c>
      <c r="BK93" s="154">
        <f t="shared" si="57"/>
        <v>147602.44</v>
      </c>
      <c r="BL93" s="152">
        <f>IFERROR(VLOOKUP($B93,'PEDIDO JULIO'!$A$10:$AG$200,27,0),"0")</f>
        <v>0</v>
      </c>
      <c r="BM93" s="156">
        <f>IFERROR(VLOOKUP($B93,'[5]INSUMOS MARZO'!$A$2:$S$105,14,0),"")</f>
        <v>25673.6178</v>
      </c>
      <c r="BN93" s="154">
        <f t="shared" si="58"/>
        <v>0</v>
      </c>
      <c r="BO93" s="252">
        <f>IFERROR(VLOOKUP($B93,'PEDIDO JULIO'!$A$10:$AG$200,28,0),"0")</f>
        <v>5</v>
      </c>
      <c r="BP93" s="153">
        <f>IFERROR(VLOOKUP($B93,'[5]INSUMOS MARZO'!$A$2:$S$105,17,0),"")</f>
        <v>14760.243999999999</v>
      </c>
      <c r="BQ93" s="154">
        <f t="shared" si="59"/>
        <v>73801.22</v>
      </c>
      <c r="BR93" s="252">
        <f>IFERROR(VLOOKUP($B93,'PEDIDO JULIO'!$A$10:$AG$200,29,0),"0")</f>
        <v>12</v>
      </c>
      <c r="BS93" s="153">
        <f>IFERROR(VLOOKUP($B93,'[5]INSUMOS MARZO'!$A$2:$S$105,17,0),"")</f>
        <v>14760.243999999999</v>
      </c>
      <c r="BT93" s="155">
        <f t="shared" si="60"/>
        <v>177122.92799999999</v>
      </c>
      <c r="BU93" s="252">
        <f>IFERROR(VLOOKUP($B93,'PEDIDO JULIO'!$A$10:$AG$200,30,0),"0")</f>
        <v>5</v>
      </c>
      <c r="BV93" s="153">
        <f>IFERROR(VLOOKUP($B93,'[5]INSUMOS MARZO'!$A$2:$S$105,17,0),"")</f>
        <v>14760.243999999999</v>
      </c>
      <c r="BW93" s="155">
        <f t="shared" si="61"/>
        <v>73801.22</v>
      </c>
      <c r="BX93" s="252">
        <f>IFERROR(VLOOKUP($B93,'PEDIDO JULIO'!$A$10:$AG$200,31,0),"0")</f>
        <v>6</v>
      </c>
      <c r="BY93" s="153">
        <f>IFERROR(VLOOKUP($B93,'[5]INSUMOS MARZO'!$A$2:$S$105,17,0),"")</f>
        <v>14760.243999999999</v>
      </c>
      <c r="BZ93" s="155">
        <f t="shared" si="62"/>
        <v>88561.463999999993</v>
      </c>
      <c r="CA93" s="252">
        <f>IFERROR(VLOOKUP($B93,'PEDIDO JULIO'!$A$10:$AG$200,32,0),"0")</f>
        <v>5</v>
      </c>
      <c r="CB93" s="153">
        <f>IFERROR(VLOOKUP($B93,'[5]INSUMOS MARZO'!$A$2:$S$105,17,0),"")</f>
        <v>14760.243999999999</v>
      </c>
      <c r="CC93" s="155">
        <f t="shared" si="63"/>
        <v>73801.22</v>
      </c>
      <c r="CD93" s="157">
        <f t="shared" si="38"/>
        <v>289</v>
      </c>
      <c r="CE93" s="158">
        <f>+CD93-E93</f>
        <v>289</v>
      </c>
      <c r="CF93" s="251">
        <v>55</v>
      </c>
      <c r="CG93" s="153">
        <f>IFERROR(VLOOKUP($B93,'[5]INSUMOS MARZO'!$A$2:$S$105,17,0),"")</f>
        <v>14760.243999999999</v>
      </c>
      <c r="CH93" s="156">
        <f t="shared" si="65"/>
        <v>811813.41999999993</v>
      </c>
      <c r="CI93" s="251">
        <v>234</v>
      </c>
      <c r="CJ93" s="156">
        <f>IFERROR(VLOOKUP($B93,'[5]INSUMOS MARZO'!$A$2:$S$105,14,0),"")</f>
        <v>25673.6178</v>
      </c>
      <c r="CK93" s="159">
        <f t="shared" si="66"/>
        <v>6007626.5652000001</v>
      </c>
      <c r="CL93" s="160">
        <f t="shared" si="67"/>
        <v>6819439.9852</v>
      </c>
      <c r="CM93" s="14">
        <f t="shared" si="68"/>
        <v>681943.99852000002</v>
      </c>
      <c r="CN93" s="14">
        <f t="shared" si="69"/>
        <v>129569.35971880001</v>
      </c>
      <c r="CO93" s="14">
        <f t="shared" si="70"/>
        <v>7630953.3434387995</v>
      </c>
      <c r="CP93" s="1">
        <f>+CF93+CI93-CD93</f>
        <v>0</v>
      </c>
      <c r="CQ93" s="19">
        <f t="shared" si="71"/>
        <v>6819439.9852</v>
      </c>
      <c r="CR93" s="19" t="b">
        <f t="shared" si="72"/>
        <v>1</v>
      </c>
      <c r="CS93" s="19">
        <f t="shared" si="73"/>
        <v>0</v>
      </c>
    </row>
    <row r="94" spans="1:97" ht="16.5">
      <c r="A94" s="3">
        <v>89</v>
      </c>
      <c r="B94" s="151">
        <v>205</v>
      </c>
      <c r="C94" s="4" t="s">
        <v>114</v>
      </c>
      <c r="D94" s="152">
        <f>IFERROR(VLOOKUP($B94,'[4]INSUMOS FEBRERO'!$A$2:$F$105,5,0),"")</f>
        <v>4</v>
      </c>
      <c r="E94" s="152" t="str">
        <f>IFERROR(VLOOKUP($B94,'PEDIDO JULIO'!$A$10:$AG$32,33,0),"0")</f>
        <v>0</v>
      </c>
      <c r="F94" s="152">
        <f t="shared" si="39"/>
        <v>-4</v>
      </c>
      <c r="G94" s="152" t="str">
        <f>IFERROR(VLOOKUP($B94,'PEDIDO JULIO'!$A$10:$AG$200,8,0),"0")</f>
        <v>0</v>
      </c>
      <c r="H94" s="156">
        <f>IFERROR(VLOOKUP($B94,'[5]INSUMOS MARZO'!$A$2:$S$105,14,0),"")</f>
        <v>32639.225399999996</v>
      </c>
      <c r="I94" s="154">
        <f t="shared" si="37"/>
        <v>0</v>
      </c>
      <c r="J94" s="152" t="str">
        <f>IFERROR(VLOOKUP($B94,'PEDIDO JULIO'!$A$10:$AG$200,9,0),"0")</f>
        <v>0</v>
      </c>
      <c r="K94" s="156">
        <f>IFERROR(VLOOKUP($B94,'[5]INSUMOS MARZO'!$A$2:$S$105,14,0),"")</f>
        <v>32639.225399999996</v>
      </c>
      <c r="L94" s="155">
        <f t="shared" si="40"/>
        <v>0</v>
      </c>
      <c r="M94" s="152" t="str">
        <f>IFERROR(VLOOKUP($B94,'PEDIDO JULIO'!$A$10:$AG$200,10,0),"0")</f>
        <v>0</v>
      </c>
      <c r="N94" s="153">
        <f>IFERROR(VLOOKUP($B94,'[5]INSUMOS MARZO'!$A$2:$S$105,17,0),"")</f>
        <v>17690.432000000001</v>
      </c>
      <c r="O94" s="154">
        <f t="shared" si="41"/>
        <v>0</v>
      </c>
      <c r="P94" s="152" t="str">
        <f>IFERROR(VLOOKUP($B94,'PEDIDO JULIO'!$A$10:$AG$200,11,0),"0")</f>
        <v>0</v>
      </c>
      <c r="Q94" s="153">
        <f>IFERROR(VLOOKUP($B94,'[5]INSUMOS MARZO'!$A$2:$S$105,17,0),"")</f>
        <v>17690.432000000001</v>
      </c>
      <c r="R94" s="154">
        <f t="shared" si="42"/>
        <v>0</v>
      </c>
      <c r="S94" s="152" t="str">
        <f>IFERROR(VLOOKUP($B94,'PEDIDO JULIO'!$A$10:$AG$200,12,0),"0")</f>
        <v>0</v>
      </c>
      <c r="T94" s="153">
        <f>IFERROR(VLOOKUP($B94,'[5]INSUMOS MARZO'!$A$2:$S$105,17,0),"")</f>
        <v>17690.432000000001</v>
      </c>
      <c r="U94" s="154">
        <f t="shared" si="43"/>
        <v>0</v>
      </c>
      <c r="V94" s="152" t="str">
        <f>IFERROR(VLOOKUP($B94,'PEDIDO JULIO'!$A$10:$AG$200,13,0),"0")</f>
        <v>0</v>
      </c>
      <c r="W94" s="153">
        <f>IFERROR(VLOOKUP($B94,'[5]INSUMOS MARZO'!$A$2:$S$105,17,0),"")</f>
        <v>17690.432000000001</v>
      </c>
      <c r="X94" s="154">
        <f t="shared" si="44"/>
        <v>0</v>
      </c>
      <c r="Y94" s="152" t="str">
        <f>IFERROR(VLOOKUP($B94,'PEDIDO JULIO'!$A$10:$AG$200,14,0),"0")</f>
        <v>0</v>
      </c>
      <c r="Z94" s="153">
        <f>IFERROR(VLOOKUP($B94,'[5]INSUMOS MARZO'!$A$2:$S$105,17,0),"")</f>
        <v>17690.432000000001</v>
      </c>
      <c r="AA94" s="154">
        <f t="shared" si="45"/>
        <v>0</v>
      </c>
      <c r="AB94" s="152" t="str">
        <f>IFERROR(VLOOKUP($B94,'PEDIDO JULIO'!$A$10:$AG$200,15,0),"0")</f>
        <v>0</v>
      </c>
      <c r="AC94" s="153">
        <f>IFERROR(VLOOKUP($B94,'[5]INSUMOS MARZO'!$A$2:$S$105,17,0),"")</f>
        <v>17690.432000000001</v>
      </c>
      <c r="AD94" s="154">
        <f t="shared" si="46"/>
        <v>0</v>
      </c>
      <c r="AE94" s="152" t="str">
        <f>IFERROR(VLOOKUP($B94,'PEDIDO JULIO'!$A$10:$AG$200,16,0),"0")</f>
        <v>0</v>
      </c>
      <c r="AF94" s="153">
        <f>IFERROR(VLOOKUP($B94,'[5]INSUMOS MARZO'!$A$2:$S$105,17,0),"")</f>
        <v>17690.432000000001</v>
      </c>
      <c r="AG94" s="154">
        <f t="shared" si="47"/>
        <v>0</v>
      </c>
      <c r="AH94" s="152" t="str">
        <f>IFERROR(VLOOKUP($B94,'PEDIDO JULIO'!$A$10:$AG$200,17,0),"0")</f>
        <v>0</v>
      </c>
      <c r="AI94" s="153">
        <f>IFERROR(VLOOKUP($B94,'[5]INSUMOS MARZO'!$A$2:$S$105,17,0),"")</f>
        <v>17690.432000000001</v>
      </c>
      <c r="AJ94" s="154">
        <f t="shared" si="48"/>
        <v>0</v>
      </c>
      <c r="AK94" s="152" t="str">
        <f>IFERROR(VLOOKUP($B94,'PEDIDO JULIO'!$A$10:$AG$200,18,0),"0")</f>
        <v>0</v>
      </c>
      <c r="AL94" s="153">
        <f>IFERROR(VLOOKUP($B94,'[5]INSUMOS MARZO'!$A$2:$S$105,17,0),"")</f>
        <v>17690.432000000001</v>
      </c>
      <c r="AM94" s="154">
        <f t="shared" si="49"/>
        <v>0</v>
      </c>
      <c r="AN94" s="152" t="str">
        <f>IFERROR(VLOOKUP($B94,'PEDIDO JULIO'!$A$10:$AG$200,19,0),"0")</f>
        <v>0</v>
      </c>
      <c r="AO94" s="153">
        <f>IFERROR(VLOOKUP($B94,'[5]INSUMOS MARZO'!$A$2:$S$105,17,0),"")</f>
        <v>17690.432000000001</v>
      </c>
      <c r="AP94" s="154">
        <f t="shared" si="50"/>
        <v>0</v>
      </c>
      <c r="AQ94" s="152" t="str">
        <f>IFERROR(VLOOKUP($B94,'PEDIDO JULIO'!$A$10:$AG$200,20,0),"0")</f>
        <v>0</v>
      </c>
      <c r="AR94" s="153">
        <f>IFERROR(VLOOKUP($B94,'[5]INSUMOS MARZO'!$A$2:$S$105,17,0),"")</f>
        <v>17690.432000000001</v>
      </c>
      <c r="AS94" s="154">
        <f t="shared" si="51"/>
        <v>0</v>
      </c>
      <c r="AT94" s="152" t="str">
        <f>IFERROR(VLOOKUP($B94,'PEDIDO JULIO'!$A$10:$AG$200,21,0),"0")</f>
        <v>0</v>
      </c>
      <c r="AU94" s="156">
        <f>IFERROR(VLOOKUP($B94,'[5]INSUMOS MARZO'!$A$2:$S$105,14,0),"")</f>
        <v>32639.225399999996</v>
      </c>
      <c r="AV94" s="154">
        <f t="shared" si="52"/>
        <v>0</v>
      </c>
      <c r="AW94" s="152" t="str">
        <f>IFERROR(VLOOKUP($B94,'PEDIDO JULIO'!$A$10:$AG$200,22,0),"0")</f>
        <v>0</v>
      </c>
      <c r="AX94" s="153">
        <f>IFERROR(VLOOKUP($B94,'[5]INSUMOS MARZO'!$A$2:$S$105,17,0),"")</f>
        <v>17690.432000000001</v>
      </c>
      <c r="AY94" s="154">
        <f t="shared" si="53"/>
        <v>0</v>
      </c>
      <c r="AZ94" s="152" t="str">
        <f>IFERROR(VLOOKUP($B94,'PEDIDO JULIO'!$A$10:$AG$200,23,0),"0")</f>
        <v>0</v>
      </c>
      <c r="BA94" s="153">
        <f>IFERROR(VLOOKUP($B94,'[5]INSUMOS MARZO'!$A$2:$S$105,17,0),"")</f>
        <v>17690.432000000001</v>
      </c>
      <c r="BB94" s="154">
        <f t="shared" si="54"/>
        <v>0</v>
      </c>
      <c r="BC94" s="152" t="str">
        <f>IFERROR(VLOOKUP($B94,'PEDIDO JULIO'!$A$10:$AG$200,24,0),"0")</f>
        <v>0</v>
      </c>
      <c r="BD94" s="153">
        <f>IFERROR(VLOOKUP($B94,'[5]INSUMOS MARZO'!$A$2:$S$105,17,0),"")</f>
        <v>17690.432000000001</v>
      </c>
      <c r="BE94" s="155">
        <f t="shared" si="55"/>
        <v>0</v>
      </c>
      <c r="BF94" s="152" t="str">
        <f>IFERROR(VLOOKUP($B94,'PEDIDO JULIO'!$A$10:$AG$200,25,0),"0")</f>
        <v>0</v>
      </c>
      <c r="BG94" s="153">
        <f>IFERROR(VLOOKUP($B94,'[5]INSUMOS MARZO'!$A$2:$S$105,17,0),"")</f>
        <v>17690.432000000001</v>
      </c>
      <c r="BH94" s="155">
        <f t="shared" si="56"/>
        <v>0</v>
      </c>
      <c r="BI94" s="152" t="str">
        <f>IFERROR(VLOOKUP($B94,'PEDIDO JULIO'!$A$10:$AG$200,26,0),"0")</f>
        <v>0</v>
      </c>
      <c r="BJ94" s="153">
        <f>IFERROR(VLOOKUP($B94,'[5]INSUMOS MARZO'!$A$2:$S$105,17,0),"")</f>
        <v>17690.432000000001</v>
      </c>
      <c r="BK94" s="154">
        <f t="shared" si="57"/>
        <v>0</v>
      </c>
      <c r="BL94" s="152" t="str">
        <f>IFERROR(VLOOKUP($B94,'PEDIDO JULIO'!$A$10:$AG$200,27,0),"0")</f>
        <v>0</v>
      </c>
      <c r="BM94" s="153">
        <f>IFERROR(VLOOKUP($B94,'[5]INSUMOS MARZO'!$A$2:$S$105,17,0),"")</f>
        <v>17690.432000000001</v>
      </c>
      <c r="BN94" s="154">
        <f t="shared" si="58"/>
        <v>0</v>
      </c>
      <c r="BO94" s="152" t="str">
        <f>IFERROR(VLOOKUP($B94,'PEDIDO JULIO'!$A$10:$AG$200,28,0),"0")</f>
        <v>0</v>
      </c>
      <c r="BP94" s="153">
        <f>IFERROR(VLOOKUP($B94,'[5]INSUMOS MARZO'!$A$2:$S$105,17,0),"")</f>
        <v>17690.432000000001</v>
      </c>
      <c r="BQ94" s="154">
        <f t="shared" si="59"/>
        <v>0</v>
      </c>
      <c r="BR94" s="152" t="str">
        <f>IFERROR(VLOOKUP($B94,'PEDIDO JULIO'!$A$10:$AG$200,29,0),"0")</f>
        <v>0</v>
      </c>
      <c r="BS94" s="153">
        <f>IFERROR(VLOOKUP($B94,'[5]INSUMOS MARZO'!$A$2:$S$105,17,0),"")</f>
        <v>17690.432000000001</v>
      </c>
      <c r="BT94" s="155">
        <f t="shared" si="60"/>
        <v>0</v>
      </c>
      <c r="BU94" s="152" t="str">
        <f>IFERROR(VLOOKUP($B94,'PEDIDO JULIO'!$A$10:$AG$200,30,0),"0")</f>
        <v>0</v>
      </c>
      <c r="BV94" s="153">
        <f>IFERROR(VLOOKUP($B94,'[5]INSUMOS MARZO'!$A$2:$S$105,17,0),"")</f>
        <v>17690.432000000001</v>
      </c>
      <c r="BW94" s="155">
        <f t="shared" si="61"/>
        <v>0</v>
      </c>
      <c r="BX94" s="152" t="str">
        <f>IFERROR(VLOOKUP($B94,'PEDIDO JULIO'!$A$10:$AG$200,31,0),"0")</f>
        <v>0</v>
      </c>
      <c r="BY94" s="153">
        <f>IFERROR(VLOOKUP($B94,'[5]INSUMOS MARZO'!$A$2:$S$105,17,0),"")</f>
        <v>17690.432000000001</v>
      </c>
      <c r="BZ94" s="155">
        <f t="shared" si="62"/>
        <v>0</v>
      </c>
      <c r="CA94" s="152" t="str">
        <f>IFERROR(VLOOKUP($B94,'PEDIDO JULIO'!$A$10:$AG$200,32,0),"0")</f>
        <v>0</v>
      </c>
      <c r="CB94" s="153">
        <f>IFERROR(VLOOKUP($B94,'[5]INSUMOS MARZO'!$A$2:$S$105,17,0),"")</f>
        <v>17690.432000000001</v>
      </c>
      <c r="CC94" s="155">
        <f t="shared" si="63"/>
        <v>0</v>
      </c>
      <c r="CD94" s="157">
        <f t="shared" si="38"/>
        <v>0</v>
      </c>
      <c r="CE94" s="158">
        <f t="shared" si="64"/>
        <v>0</v>
      </c>
      <c r="CF94" s="251">
        <f>IFERROR(VLOOKUP($B94,'MATRIZ INSUMOS '!$A$3:$P$106,16,0),"")</f>
        <v>0</v>
      </c>
      <c r="CG94" s="153">
        <f>IFERROR(VLOOKUP($B94,'[5]INSUMOS MARZO'!$A$2:$S$105,17,0),"")</f>
        <v>17690.432000000001</v>
      </c>
      <c r="CH94" s="156">
        <f t="shared" si="65"/>
        <v>0</v>
      </c>
      <c r="CI94" s="251">
        <f>IFERROR(VLOOKUP($B94,'MATRIZ INSUMOS '!$A$3:$P$106,10,0),"")</f>
        <v>0</v>
      </c>
      <c r="CJ94" s="156">
        <f>IFERROR(VLOOKUP($B94,'[5]INSUMOS MARZO'!$A$2:$S$105,14,0),"")</f>
        <v>32639.225399999996</v>
      </c>
      <c r="CK94" s="159">
        <f t="shared" si="66"/>
        <v>0</v>
      </c>
      <c r="CL94" s="160">
        <f t="shared" si="67"/>
        <v>0</v>
      </c>
      <c r="CM94" s="14">
        <f t="shared" si="68"/>
        <v>0</v>
      </c>
      <c r="CN94" s="14">
        <f t="shared" si="69"/>
        <v>0</v>
      </c>
      <c r="CO94" s="14">
        <f t="shared" si="70"/>
        <v>0</v>
      </c>
      <c r="CQ94" s="19">
        <f t="shared" si="71"/>
        <v>0</v>
      </c>
      <c r="CR94" s="19" t="b">
        <f t="shared" si="72"/>
        <v>1</v>
      </c>
      <c r="CS94" s="19">
        <f t="shared" si="73"/>
        <v>0</v>
      </c>
    </row>
    <row r="95" spans="1:97" ht="16.5">
      <c r="A95" s="3">
        <v>90</v>
      </c>
      <c r="B95" s="151">
        <v>207</v>
      </c>
      <c r="C95" s="4" t="s">
        <v>115</v>
      </c>
      <c r="D95" s="152">
        <f>IFERROR(VLOOKUP($B95,'[4]INSUMOS FEBRERO'!$A$2:$F$105,5,0),"")</f>
        <v>9</v>
      </c>
      <c r="E95" s="152" t="str">
        <f>IFERROR(VLOOKUP($B95,'PEDIDO JULIO'!$A$10:$AG$32,33,0),"0")</f>
        <v>0</v>
      </c>
      <c r="F95" s="152">
        <f t="shared" si="39"/>
        <v>-9</v>
      </c>
      <c r="G95" s="152" t="str">
        <f>IFERROR(VLOOKUP($B95,'PEDIDO JULIO'!$A$10:$AG$200,8,0),"0")</f>
        <v>0</v>
      </c>
      <c r="H95" s="153">
        <f>IFERROR(VLOOKUP($B95,'[5]INSUMOS MARZO'!$A$2:$S$105,17,0),"")</f>
        <v>7186.7380000000003</v>
      </c>
      <c r="I95" s="154">
        <f t="shared" si="37"/>
        <v>0</v>
      </c>
      <c r="J95" s="152" t="str">
        <f>IFERROR(VLOOKUP($B95,'PEDIDO JULIO'!$A$10:$AG$200,9,0),"0")</f>
        <v>0</v>
      </c>
      <c r="K95" s="153">
        <f>IFERROR(VLOOKUP($B95,'[5]INSUMOS MARZO'!$A$2:$S$105,17,0),"")</f>
        <v>7186.7380000000003</v>
      </c>
      <c r="L95" s="155">
        <f t="shared" si="40"/>
        <v>0</v>
      </c>
      <c r="M95" s="152" t="str">
        <f>IFERROR(VLOOKUP($B95,'PEDIDO JULIO'!$A$10:$AG$200,10,0),"0")</f>
        <v>0</v>
      </c>
      <c r="N95" s="153">
        <f>IFERROR(VLOOKUP($B95,'[5]INSUMOS MARZO'!$A$2:$S$105,17,0),"")</f>
        <v>7186.7380000000003</v>
      </c>
      <c r="O95" s="154">
        <f t="shared" si="41"/>
        <v>0</v>
      </c>
      <c r="P95" s="152" t="str">
        <f>IFERROR(VLOOKUP($B95,'PEDIDO JULIO'!$A$10:$AG$200,11,0),"0")</f>
        <v>0</v>
      </c>
      <c r="Q95" s="153">
        <f>IFERROR(VLOOKUP($B95,'[5]INSUMOS MARZO'!$A$2:$S$105,17,0),"")</f>
        <v>7186.7380000000003</v>
      </c>
      <c r="R95" s="154">
        <f t="shared" si="42"/>
        <v>0</v>
      </c>
      <c r="S95" s="152" t="str">
        <f>IFERROR(VLOOKUP($B95,'PEDIDO JULIO'!$A$10:$AG$200,12,0),"0")</f>
        <v>0</v>
      </c>
      <c r="T95" s="153">
        <f>IFERROR(VLOOKUP($B95,'[5]INSUMOS MARZO'!$A$2:$S$105,17,0),"")</f>
        <v>7186.7380000000003</v>
      </c>
      <c r="U95" s="154">
        <f t="shared" si="43"/>
        <v>0</v>
      </c>
      <c r="V95" s="152" t="str">
        <f>IFERROR(VLOOKUP($B95,'PEDIDO JULIO'!$A$10:$AG$200,13,0),"0")</f>
        <v>0</v>
      </c>
      <c r="W95" s="153">
        <f>IFERROR(VLOOKUP($B95,'[5]INSUMOS MARZO'!$A$2:$S$105,17,0),"")</f>
        <v>7186.7380000000003</v>
      </c>
      <c r="X95" s="154">
        <f t="shared" si="44"/>
        <v>0</v>
      </c>
      <c r="Y95" s="152" t="str">
        <f>IFERROR(VLOOKUP($B95,'PEDIDO JULIO'!$A$10:$AG$200,14,0),"0")</f>
        <v>0</v>
      </c>
      <c r="Z95" s="153">
        <f>IFERROR(VLOOKUP($B95,'[5]INSUMOS MARZO'!$A$2:$S$105,17,0),"")</f>
        <v>7186.7380000000003</v>
      </c>
      <c r="AA95" s="154">
        <f t="shared" si="45"/>
        <v>0</v>
      </c>
      <c r="AB95" s="152" t="str">
        <f>IFERROR(VLOOKUP($B95,'PEDIDO JULIO'!$A$10:$AG$200,15,0),"0")</f>
        <v>0</v>
      </c>
      <c r="AC95" s="153">
        <f>IFERROR(VLOOKUP($B95,'[5]INSUMOS MARZO'!$A$2:$S$105,17,0),"")</f>
        <v>7186.7380000000003</v>
      </c>
      <c r="AD95" s="154">
        <f t="shared" si="46"/>
        <v>0</v>
      </c>
      <c r="AE95" s="152" t="str">
        <f>IFERROR(VLOOKUP($B95,'PEDIDO JULIO'!$A$10:$AG$200,16,0),"0")</f>
        <v>0</v>
      </c>
      <c r="AF95" s="153">
        <f>IFERROR(VLOOKUP($B95,'[5]INSUMOS MARZO'!$A$2:$S$105,17,0),"")</f>
        <v>7186.7380000000003</v>
      </c>
      <c r="AG95" s="154">
        <f t="shared" si="47"/>
        <v>0</v>
      </c>
      <c r="AH95" s="152" t="str">
        <f>IFERROR(VLOOKUP($B95,'PEDIDO JULIO'!$A$10:$AG$200,17,0),"0")</f>
        <v>0</v>
      </c>
      <c r="AI95" s="153">
        <f>IFERROR(VLOOKUP($B95,'[5]INSUMOS MARZO'!$A$2:$S$105,17,0),"")</f>
        <v>7186.7380000000003</v>
      </c>
      <c r="AJ95" s="154">
        <f t="shared" si="48"/>
        <v>0</v>
      </c>
      <c r="AK95" s="152" t="str">
        <f>IFERROR(VLOOKUP($B95,'PEDIDO JULIO'!$A$10:$AG$200,18,0),"0")</f>
        <v>0</v>
      </c>
      <c r="AL95" s="153">
        <f>IFERROR(VLOOKUP($B95,'[5]INSUMOS MARZO'!$A$2:$S$105,17,0),"")</f>
        <v>7186.7380000000003</v>
      </c>
      <c r="AM95" s="154">
        <f t="shared" si="49"/>
        <v>0</v>
      </c>
      <c r="AN95" s="152" t="str">
        <f>IFERROR(VLOOKUP($B95,'PEDIDO JULIO'!$A$10:$AG$200,19,0),"0")</f>
        <v>0</v>
      </c>
      <c r="AO95" s="153">
        <f>IFERROR(VLOOKUP($B95,'[5]INSUMOS MARZO'!$A$2:$S$105,17,0),"")</f>
        <v>7186.7380000000003</v>
      </c>
      <c r="AP95" s="154">
        <f t="shared" si="50"/>
        <v>0</v>
      </c>
      <c r="AQ95" s="152" t="str">
        <f>IFERROR(VLOOKUP($B95,'PEDIDO JULIO'!$A$10:$AG$200,20,0),"0")</f>
        <v>0</v>
      </c>
      <c r="AR95" s="153">
        <f>IFERROR(VLOOKUP($B95,'[5]INSUMOS MARZO'!$A$2:$S$105,17,0),"")</f>
        <v>7186.7380000000003</v>
      </c>
      <c r="AS95" s="154">
        <f t="shared" si="51"/>
        <v>0</v>
      </c>
      <c r="AT95" s="152" t="str">
        <f>IFERROR(VLOOKUP($B95,'PEDIDO JULIO'!$A$10:$AG$200,21,0),"0")</f>
        <v>0</v>
      </c>
      <c r="AU95" s="156">
        <f>IFERROR(VLOOKUP($B95,'[5]INSUMOS MARZO'!$A$2:$S$105,14,0),"")</f>
        <v>8209.4661000000015</v>
      </c>
      <c r="AV95" s="154">
        <f t="shared" si="52"/>
        <v>0</v>
      </c>
      <c r="AW95" s="152" t="str">
        <f>IFERROR(VLOOKUP($B95,'PEDIDO JULIO'!$A$10:$AG$200,22,0),"0")</f>
        <v>0</v>
      </c>
      <c r="AX95" s="153">
        <f>IFERROR(VLOOKUP($B95,'[5]INSUMOS MARZO'!$A$2:$S$105,17,0),"")</f>
        <v>7186.7380000000003</v>
      </c>
      <c r="AY95" s="154">
        <f t="shared" si="53"/>
        <v>0</v>
      </c>
      <c r="AZ95" s="152" t="str">
        <f>IFERROR(VLOOKUP($B95,'PEDIDO JULIO'!$A$10:$AG$200,23,0),"0")</f>
        <v>0</v>
      </c>
      <c r="BA95" s="153">
        <f>IFERROR(VLOOKUP($B95,'[5]INSUMOS MARZO'!$A$2:$S$105,17,0),"")</f>
        <v>7186.7380000000003</v>
      </c>
      <c r="BB95" s="154">
        <f t="shared" si="54"/>
        <v>0</v>
      </c>
      <c r="BC95" s="152" t="str">
        <f>IFERROR(VLOOKUP($B95,'PEDIDO JULIO'!$A$10:$AG$200,24,0),"0")</f>
        <v>0</v>
      </c>
      <c r="BD95" s="153">
        <f>IFERROR(VLOOKUP($B95,'[5]INSUMOS MARZO'!$A$2:$S$105,17,0),"")</f>
        <v>7186.7380000000003</v>
      </c>
      <c r="BE95" s="155">
        <f t="shared" si="55"/>
        <v>0</v>
      </c>
      <c r="BF95" s="152" t="str">
        <f>IFERROR(VLOOKUP($B95,'PEDIDO JULIO'!$A$10:$AG$200,25,0),"0")</f>
        <v>0</v>
      </c>
      <c r="BG95" s="153">
        <f>IFERROR(VLOOKUP($B95,'[5]INSUMOS MARZO'!$A$2:$S$105,17,0),"")</f>
        <v>7186.7380000000003</v>
      </c>
      <c r="BH95" s="155">
        <f t="shared" si="56"/>
        <v>0</v>
      </c>
      <c r="BI95" s="152" t="str">
        <f>IFERROR(VLOOKUP($B95,'PEDIDO JULIO'!$A$10:$AG$200,26,0),"0")</f>
        <v>0</v>
      </c>
      <c r="BJ95" s="153">
        <f>IFERROR(VLOOKUP($B95,'[5]INSUMOS MARZO'!$A$2:$S$105,17,0),"")</f>
        <v>7186.7380000000003</v>
      </c>
      <c r="BK95" s="154">
        <f t="shared" si="57"/>
        <v>0</v>
      </c>
      <c r="BL95" s="152" t="str">
        <f>IFERROR(VLOOKUP($B95,'PEDIDO JULIO'!$A$10:$AG$200,27,0),"0")</f>
        <v>0</v>
      </c>
      <c r="BM95" s="153">
        <f>IFERROR(VLOOKUP($B95,'[5]INSUMOS MARZO'!$A$2:$S$105,17,0),"")</f>
        <v>7186.7380000000003</v>
      </c>
      <c r="BN95" s="154">
        <f t="shared" si="58"/>
        <v>0</v>
      </c>
      <c r="BO95" s="152" t="str">
        <f>IFERROR(VLOOKUP($B95,'PEDIDO JULIO'!$A$10:$AG$200,28,0),"0")</f>
        <v>0</v>
      </c>
      <c r="BP95" s="153">
        <f>IFERROR(VLOOKUP($B95,'[5]INSUMOS MARZO'!$A$2:$S$105,17,0),"")</f>
        <v>7186.7380000000003</v>
      </c>
      <c r="BQ95" s="154">
        <f t="shared" si="59"/>
        <v>0</v>
      </c>
      <c r="BR95" s="152" t="str">
        <f>IFERROR(VLOOKUP($B95,'PEDIDO JULIO'!$A$10:$AG$200,29,0),"0")</f>
        <v>0</v>
      </c>
      <c r="BS95" s="153">
        <f>IFERROR(VLOOKUP($B95,'[5]INSUMOS MARZO'!$A$2:$S$105,17,0),"")</f>
        <v>7186.7380000000003</v>
      </c>
      <c r="BT95" s="155">
        <f t="shared" si="60"/>
        <v>0</v>
      </c>
      <c r="BU95" s="152" t="str">
        <f>IFERROR(VLOOKUP($B95,'PEDIDO JULIO'!$A$10:$AG$200,30,0),"0")</f>
        <v>0</v>
      </c>
      <c r="BV95" s="153">
        <f>IFERROR(VLOOKUP($B95,'[5]INSUMOS MARZO'!$A$2:$S$105,17,0),"")</f>
        <v>7186.7380000000003</v>
      </c>
      <c r="BW95" s="155">
        <f t="shared" si="61"/>
        <v>0</v>
      </c>
      <c r="BX95" s="152" t="str">
        <f>IFERROR(VLOOKUP($B95,'PEDIDO JULIO'!$A$10:$AG$200,31,0),"0")</f>
        <v>0</v>
      </c>
      <c r="BY95" s="153">
        <f>IFERROR(VLOOKUP($B95,'[5]INSUMOS MARZO'!$A$2:$S$105,17,0),"")</f>
        <v>7186.7380000000003</v>
      </c>
      <c r="BZ95" s="155">
        <f t="shared" si="62"/>
        <v>0</v>
      </c>
      <c r="CA95" s="152" t="str">
        <f>IFERROR(VLOOKUP($B95,'PEDIDO JULIO'!$A$10:$AG$200,32,0),"0")</f>
        <v>0</v>
      </c>
      <c r="CB95" s="153">
        <f>IFERROR(VLOOKUP($B95,'[5]INSUMOS MARZO'!$A$2:$S$105,17,0),"")</f>
        <v>7186.7380000000003</v>
      </c>
      <c r="CC95" s="155">
        <f t="shared" si="63"/>
        <v>0</v>
      </c>
      <c r="CD95" s="157">
        <f t="shared" si="38"/>
        <v>0</v>
      </c>
      <c r="CE95" s="158">
        <f t="shared" si="64"/>
        <v>0</v>
      </c>
      <c r="CF95" s="251">
        <f>IFERROR(VLOOKUP($B95,'MATRIZ INSUMOS '!$A$3:$P$106,16,0),"")</f>
        <v>0</v>
      </c>
      <c r="CG95" s="153">
        <f>IFERROR(VLOOKUP($B95,'[5]INSUMOS MARZO'!$A$2:$S$105,17,0),"")</f>
        <v>7186.7380000000003</v>
      </c>
      <c r="CH95" s="156">
        <f t="shared" si="65"/>
        <v>0</v>
      </c>
      <c r="CI95" s="251">
        <f>IFERROR(VLOOKUP($B95,'MATRIZ INSUMOS '!$A$3:$P$106,10,0),"")</f>
        <v>0</v>
      </c>
      <c r="CJ95" s="156">
        <f>IFERROR(VLOOKUP($B95,'[5]INSUMOS MARZO'!$A$2:$S$105,14,0),"")</f>
        <v>8209.4661000000015</v>
      </c>
      <c r="CK95" s="159">
        <f t="shared" si="66"/>
        <v>0</v>
      </c>
      <c r="CL95" s="160">
        <f t="shared" si="67"/>
        <v>0</v>
      </c>
      <c r="CM95" s="14">
        <f t="shared" si="68"/>
        <v>0</v>
      </c>
      <c r="CN95" s="14">
        <f t="shared" si="69"/>
        <v>0</v>
      </c>
      <c r="CO95" s="14">
        <f t="shared" si="70"/>
        <v>0</v>
      </c>
      <c r="CQ95" s="19">
        <f t="shared" si="71"/>
        <v>0</v>
      </c>
      <c r="CR95" s="19" t="b">
        <f t="shared" si="72"/>
        <v>1</v>
      </c>
      <c r="CS95" s="19">
        <f t="shared" si="73"/>
        <v>0</v>
      </c>
    </row>
    <row r="96" spans="1:97" ht="16.5">
      <c r="A96" s="3">
        <v>91</v>
      </c>
      <c r="B96" s="151">
        <v>208</v>
      </c>
      <c r="C96" s="4" t="s">
        <v>634</v>
      </c>
      <c r="D96" s="152">
        <f>IFERROR(VLOOKUP($B96,'[4]INSUMOS FEBRERO'!$A$2:$F$105,5,0),"")</f>
        <v>14</v>
      </c>
      <c r="E96" s="152" t="str">
        <f>IFERROR(VLOOKUP($B96,'PEDIDO JULIO'!$A$10:$AG$32,33,0),"0")</f>
        <v>0</v>
      </c>
      <c r="F96" s="152">
        <f t="shared" si="39"/>
        <v>-14</v>
      </c>
      <c r="G96" s="152" t="str">
        <f>IFERROR(VLOOKUP($B96,'PEDIDO JULIO'!$A$10:$AG$200,8,0),"0")</f>
        <v>0</v>
      </c>
      <c r="H96" s="153">
        <f>IFERROR(VLOOKUP($B96,'[5]INSUMOS MARZO'!$A$2:$S$105,17,0),"")</f>
        <v>50779.065000000002</v>
      </c>
      <c r="I96" s="154">
        <f t="shared" si="37"/>
        <v>0</v>
      </c>
      <c r="J96" s="152" t="str">
        <f>IFERROR(VLOOKUP($B96,'PEDIDO JULIO'!$A$10:$AG$200,9,0),"0")</f>
        <v>0</v>
      </c>
      <c r="K96" s="153">
        <f>IFERROR(VLOOKUP($B96,'[5]INSUMOS MARZO'!$A$2:$S$105,17,0),"")</f>
        <v>50779.065000000002</v>
      </c>
      <c r="L96" s="155">
        <f t="shared" si="40"/>
        <v>0</v>
      </c>
      <c r="M96" s="152" t="str">
        <f>IFERROR(VLOOKUP($B96,'PEDIDO JULIO'!$A$10:$AG$200,10,0),"0")</f>
        <v>0</v>
      </c>
      <c r="N96" s="153">
        <f>IFERROR(VLOOKUP($B96,'[5]INSUMOS MARZO'!$A$2:$S$105,17,0),"")</f>
        <v>50779.065000000002</v>
      </c>
      <c r="O96" s="154">
        <f t="shared" si="41"/>
        <v>0</v>
      </c>
      <c r="P96" s="152" t="str">
        <f>IFERROR(VLOOKUP($B96,'PEDIDO JULIO'!$A$10:$AG$200,11,0),"0")</f>
        <v>0</v>
      </c>
      <c r="Q96" s="153">
        <f>IFERROR(VLOOKUP($B96,'[5]INSUMOS MARZO'!$A$2:$S$105,17,0),"")</f>
        <v>50779.065000000002</v>
      </c>
      <c r="R96" s="154">
        <f t="shared" si="42"/>
        <v>0</v>
      </c>
      <c r="S96" s="152" t="str">
        <f>IFERROR(VLOOKUP($B96,'PEDIDO JULIO'!$A$10:$AG$200,12,0),"0")</f>
        <v>0</v>
      </c>
      <c r="T96" s="153">
        <f>IFERROR(VLOOKUP($B96,'[5]INSUMOS MARZO'!$A$2:$S$105,17,0),"")</f>
        <v>50779.065000000002</v>
      </c>
      <c r="U96" s="154">
        <f t="shared" si="43"/>
        <v>0</v>
      </c>
      <c r="V96" s="152" t="str">
        <f>IFERROR(VLOOKUP($B96,'PEDIDO JULIO'!$A$10:$AG$200,13,0),"0")</f>
        <v>0</v>
      </c>
      <c r="W96" s="153">
        <f>IFERROR(VLOOKUP($B96,'[5]INSUMOS MARZO'!$A$2:$S$105,17,0),"")</f>
        <v>50779.065000000002</v>
      </c>
      <c r="X96" s="154">
        <f t="shared" si="44"/>
        <v>0</v>
      </c>
      <c r="Y96" s="152" t="str">
        <f>IFERROR(VLOOKUP($B96,'PEDIDO JULIO'!$A$10:$AG$200,14,0),"0")</f>
        <v>0</v>
      </c>
      <c r="Z96" s="153">
        <f>IFERROR(VLOOKUP($B96,'[5]INSUMOS MARZO'!$A$2:$S$105,17,0),"")</f>
        <v>50779.065000000002</v>
      </c>
      <c r="AA96" s="154">
        <f t="shared" si="45"/>
        <v>0</v>
      </c>
      <c r="AB96" s="152" t="str">
        <f>IFERROR(VLOOKUP($B96,'PEDIDO JULIO'!$A$10:$AG$200,15,0),"0")</f>
        <v>0</v>
      </c>
      <c r="AC96" s="153">
        <f>IFERROR(VLOOKUP($B96,'[5]INSUMOS MARZO'!$A$2:$S$105,17,0),"")</f>
        <v>50779.065000000002</v>
      </c>
      <c r="AD96" s="154">
        <f t="shared" si="46"/>
        <v>0</v>
      </c>
      <c r="AE96" s="152" t="str">
        <f>IFERROR(VLOOKUP($B96,'PEDIDO JULIO'!$A$10:$AG$200,16,0),"0")</f>
        <v>0</v>
      </c>
      <c r="AF96" s="153">
        <f>IFERROR(VLOOKUP($B96,'[5]INSUMOS MARZO'!$A$2:$S$105,17,0),"")</f>
        <v>50779.065000000002</v>
      </c>
      <c r="AG96" s="154">
        <f t="shared" si="47"/>
        <v>0</v>
      </c>
      <c r="AH96" s="152" t="str">
        <f>IFERROR(VLOOKUP($B96,'PEDIDO JULIO'!$A$10:$AG$200,17,0),"0")</f>
        <v>0</v>
      </c>
      <c r="AI96" s="153">
        <f>IFERROR(VLOOKUP($B96,'[5]INSUMOS MARZO'!$A$2:$S$105,17,0),"")</f>
        <v>50779.065000000002</v>
      </c>
      <c r="AJ96" s="154">
        <f t="shared" si="48"/>
        <v>0</v>
      </c>
      <c r="AK96" s="152" t="str">
        <f>IFERROR(VLOOKUP($B96,'PEDIDO JULIO'!$A$10:$AG$200,18,0),"0")</f>
        <v>0</v>
      </c>
      <c r="AL96" s="153">
        <f>IFERROR(VLOOKUP($B96,'[5]INSUMOS MARZO'!$A$2:$S$105,17,0),"")</f>
        <v>50779.065000000002</v>
      </c>
      <c r="AM96" s="154">
        <f t="shared" si="49"/>
        <v>0</v>
      </c>
      <c r="AN96" s="152" t="str">
        <f>IFERROR(VLOOKUP($B96,'PEDIDO JULIO'!$A$10:$AG$200,19,0),"0")</f>
        <v>0</v>
      </c>
      <c r="AO96" s="153">
        <f>IFERROR(VLOOKUP($B96,'[5]INSUMOS MARZO'!$A$2:$S$105,17,0),"")</f>
        <v>50779.065000000002</v>
      </c>
      <c r="AP96" s="154">
        <f t="shared" si="50"/>
        <v>0</v>
      </c>
      <c r="AQ96" s="152" t="str">
        <f>IFERROR(VLOOKUP($B96,'PEDIDO JULIO'!$A$10:$AG$200,20,0),"0")</f>
        <v>0</v>
      </c>
      <c r="AR96" s="153">
        <f>IFERROR(VLOOKUP($B96,'[5]INSUMOS MARZO'!$A$2:$S$105,17,0),"")</f>
        <v>50779.065000000002</v>
      </c>
      <c r="AS96" s="154">
        <f t="shared" si="51"/>
        <v>0</v>
      </c>
      <c r="AT96" s="152" t="str">
        <f>IFERROR(VLOOKUP($B96,'PEDIDO JULIO'!$A$10:$AG$200,21,0),"0")</f>
        <v>0</v>
      </c>
      <c r="AU96" s="156">
        <f>IFERROR(VLOOKUP($B96,'[5]INSUMOS MARZO'!$A$2:$S$105,14,0),"")</f>
        <v>72740.655899999998</v>
      </c>
      <c r="AV96" s="154">
        <f t="shared" si="52"/>
        <v>0</v>
      </c>
      <c r="AW96" s="152" t="str">
        <f>IFERROR(VLOOKUP($B96,'PEDIDO JULIO'!$A$10:$AG$200,22,0),"0")</f>
        <v>0</v>
      </c>
      <c r="AX96" s="153">
        <f>IFERROR(VLOOKUP($B96,'[5]INSUMOS MARZO'!$A$2:$S$105,17,0),"")</f>
        <v>50779.065000000002</v>
      </c>
      <c r="AY96" s="154">
        <f t="shared" si="53"/>
        <v>0</v>
      </c>
      <c r="AZ96" s="152" t="str">
        <f>IFERROR(VLOOKUP($B96,'PEDIDO JULIO'!$A$10:$AG$200,23,0),"0")</f>
        <v>0</v>
      </c>
      <c r="BA96" s="153">
        <f>IFERROR(VLOOKUP($B96,'[5]INSUMOS MARZO'!$A$2:$S$105,17,0),"")</f>
        <v>50779.065000000002</v>
      </c>
      <c r="BB96" s="154">
        <f t="shared" si="54"/>
        <v>0</v>
      </c>
      <c r="BC96" s="152" t="str">
        <f>IFERROR(VLOOKUP($B96,'PEDIDO JULIO'!$A$10:$AG$200,24,0),"0")</f>
        <v>0</v>
      </c>
      <c r="BD96" s="153">
        <f>IFERROR(VLOOKUP($B96,'[5]INSUMOS MARZO'!$A$2:$S$105,17,0),"")</f>
        <v>50779.065000000002</v>
      </c>
      <c r="BE96" s="155">
        <f t="shared" si="55"/>
        <v>0</v>
      </c>
      <c r="BF96" s="152" t="str">
        <f>IFERROR(VLOOKUP($B96,'PEDIDO JULIO'!$A$10:$AG$200,25,0),"0")</f>
        <v>0</v>
      </c>
      <c r="BG96" s="153">
        <f>IFERROR(VLOOKUP($B96,'[5]INSUMOS MARZO'!$A$2:$S$105,17,0),"")</f>
        <v>50779.065000000002</v>
      </c>
      <c r="BH96" s="155">
        <f t="shared" si="56"/>
        <v>0</v>
      </c>
      <c r="BI96" s="152" t="str">
        <f>IFERROR(VLOOKUP($B96,'PEDIDO JULIO'!$A$10:$AG$200,26,0),"0")</f>
        <v>0</v>
      </c>
      <c r="BJ96" s="153">
        <f>IFERROR(VLOOKUP($B96,'[5]INSUMOS MARZO'!$A$2:$S$105,17,0),"")</f>
        <v>50779.065000000002</v>
      </c>
      <c r="BK96" s="154">
        <f t="shared" si="57"/>
        <v>0</v>
      </c>
      <c r="BL96" s="152" t="str">
        <f>IFERROR(VLOOKUP($B96,'PEDIDO JULIO'!$A$10:$AG$200,27,0),"0")</f>
        <v>0</v>
      </c>
      <c r="BM96" s="153">
        <f>IFERROR(VLOOKUP($B96,'[5]INSUMOS MARZO'!$A$2:$S$105,17,0),"")</f>
        <v>50779.065000000002</v>
      </c>
      <c r="BN96" s="154">
        <f t="shared" si="58"/>
        <v>0</v>
      </c>
      <c r="BO96" s="152" t="str">
        <f>IFERROR(VLOOKUP($B96,'PEDIDO JULIO'!$A$10:$AG$200,28,0),"0")</f>
        <v>0</v>
      </c>
      <c r="BP96" s="153">
        <f>IFERROR(VLOOKUP($B96,'[5]INSUMOS MARZO'!$A$2:$S$105,17,0),"")</f>
        <v>50779.065000000002</v>
      </c>
      <c r="BQ96" s="154">
        <f t="shared" si="59"/>
        <v>0</v>
      </c>
      <c r="BR96" s="152" t="str">
        <f>IFERROR(VLOOKUP($B96,'PEDIDO JULIO'!$A$10:$AG$200,29,0),"0")</f>
        <v>0</v>
      </c>
      <c r="BS96" s="153">
        <f>IFERROR(VLOOKUP($B96,'[5]INSUMOS MARZO'!$A$2:$S$105,17,0),"")</f>
        <v>50779.065000000002</v>
      </c>
      <c r="BT96" s="155">
        <f t="shared" si="60"/>
        <v>0</v>
      </c>
      <c r="BU96" s="152" t="str">
        <f>IFERROR(VLOOKUP($B96,'PEDIDO JULIO'!$A$10:$AG$200,30,0),"0")</f>
        <v>0</v>
      </c>
      <c r="BV96" s="153">
        <f>IFERROR(VLOOKUP($B96,'[5]INSUMOS MARZO'!$A$2:$S$105,17,0),"")</f>
        <v>50779.065000000002</v>
      </c>
      <c r="BW96" s="155">
        <f t="shared" si="61"/>
        <v>0</v>
      </c>
      <c r="BX96" s="152" t="str">
        <f>IFERROR(VLOOKUP($B96,'PEDIDO JULIO'!$A$10:$AG$200,31,0),"0")</f>
        <v>0</v>
      </c>
      <c r="BY96" s="153">
        <f>IFERROR(VLOOKUP($B96,'[5]INSUMOS MARZO'!$A$2:$S$105,17,0),"")</f>
        <v>50779.065000000002</v>
      </c>
      <c r="BZ96" s="155">
        <f t="shared" si="62"/>
        <v>0</v>
      </c>
      <c r="CA96" s="152" t="str">
        <f>IFERROR(VLOOKUP($B96,'PEDIDO JULIO'!$A$10:$AG$200,32,0),"0")</f>
        <v>0</v>
      </c>
      <c r="CB96" s="153">
        <f>IFERROR(VLOOKUP($B96,'[5]INSUMOS MARZO'!$A$2:$S$105,17,0),"")</f>
        <v>50779.065000000002</v>
      </c>
      <c r="CC96" s="155">
        <f t="shared" si="63"/>
        <v>0</v>
      </c>
      <c r="CD96" s="157">
        <f t="shared" si="38"/>
        <v>0</v>
      </c>
      <c r="CE96" s="158">
        <f t="shared" si="64"/>
        <v>0</v>
      </c>
      <c r="CF96" s="251">
        <f>IFERROR(VLOOKUP($B96,'MATRIZ INSUMOS '!$A$3:$P$106,16,0),"")</f>
        <v>0</v>
      </c>
      <c r="CG96" s="153">
        <f>IFERROR(VLOOKUP($B96,'[5]INSUMOS MARZO'!$A$2:$S$105,17,0),"")</f>
        <v>50779.065000000002</v>
      </c>
      <c r="CH96" s="156">
        <f t="shared" si="65"/>
        <v>0</v>
      </c>
      <c r="CI96" s="251">
        <f>IFERROR(VLOOKUP($B96,'MATRIZ INSUMOS '!$A$3:$P$106,10,0),"")</f>
        <v>0</v>
      </c>
      <c r="CJ96" s="156">
        <f>IFERROR(VLOOKUP($B96,'[5]INSUMOS MARZO'!$A$2:$S$105,14,0),"")</f>
        <v>72740.655899999998</v>
      </c>
      <c r="CK96" s="159">
        <f t="shared" si="66"/>
        <v>0</v>
      </c>
      <c r="CL96" s="160">
        <f t="shared" si="67"/>
        <v>0</v>
      </c>
      <c r="CM96" s="14">
        <f t="shared" si="68"/>
        <v>0</v>
      </c>
      <c r="CN96" s="14">
        <f t="shared" si="69"/>
        <v>0</v>
      </c>
      <c r="CO96" s="14">
        <f t="shared" si="70"/>
        <v>0</v>
      </c>
      <c r="CQ96" s="19">
        <f t="shared" si="71"/>
        <v>0</v>
      </c>
      <c r="CR96" s="19" t="b">
        <f t="shared" si="72"/>
        <v>1</v>
      </c>
      <c r="CS96" s="19">
        <f t="shared" si="73"/>
        <v>0</v>
      </c>
    </row>
    <row r="97" spans="1:97" ht="16.5">
      <c r="A97" s="3">
        <v>92</v>
      </c>
      <c r="B97" s="151">
        <v>209</v>
      </c>
      <c r="C97" s="4" t="s">
        <v>635</v>
      </c>
      <c r="D97" s="152">
        <f>IFERROR(VLOOKUP($B97,'[4]INSUMOS FEBRERO'!$A$2:$F$105,5,0),"")</f>
        <v>1</v>
      </c>
      <c r="E97" s="152" t="str">
        <f>IFERROR(VLOOKUP($B97,'PEDIDO JULIO'!$A$10:$AG$32,33,0),"0")</f>
        <v>0</v>
      </c>
      <c r="F97" s="152">
        <f t="shared" si="39"/>
        <v>-1</v>
      </c>
      <c r="G97" s="152" t="str">
        <f>IFERROR(VLOOKUP($B97,'PEDIDO JULIO'!$A$10:$AG$200,8,0),"0")</f>
        <v>0</v>
      </c>
      <c r="H97" s="156">
        <f>IFERROR(VLOOKUP($B97,'[5]INSUMOS MARZO'!$A$2:$S$105,14,0),"")</f>
        <v>51545.874600000003</v>
      </c>
      <c r="I97" s="154">
        <f t="shared" si="37"/>
        <v>0</v>
      </c>
      <c r="J97" s="152" t="str">
        <f>IFERROR(VLOOKUP($B97,'PEDIDO JULIO'!$A$10:$AG$200,9,0),"0")</f>
        <v>0</v>
      </c>
      <c r="K97" s="156">
        <f>IFERROR(VLOOKUP($B97,'[5]INSUMOS MARZO'!$A$2:$S$105,14,0),"")</f>
        <v>51545.874600000003</v>
      </c>
      <c r="L97" s="155">
        <f t="shared" si="40"/>
        <v>0</v>
      </c>
      <c r="M97" s="152" t="str">
        <f>IFERROR(VLOOKUP($B97,'PEDIDO JULIO'!$A$10:$AG$200,10,0),"0")</f>
        <v>0</v>
      </c>
      <c r="N97" s="153">
        <f>IFERROR(VLOOKUP($B97,'[5]INSUMOS MARZO'!$A$2:$S$105,17,0),"")</f>
        <v>37357.794999999998</v>
      </c>
      <c r="O97" s="154">
        <f t="shared" si="41"/>
        <v>0</v>
      </c>
      <c r="P97" s="152" t="str">
        <f>IFERROR(VLOOKUP($B97,'PEDIDO JULIO'!$A$10:$AG$200,11,0),"0")</f>
        <v>0</v>
      </c>
      <c r="Q97" s="153">
        <f>IFERROR(VLOOKUP($B97,'[5]INSUMOS MARZO'!$A$2:$S$105,17,0),"")</f>
        <v>37357.794999999998</v>
      </c>
      <c r="R97" s="154">
        <f t="shared" si="42"/>
        <v>0</v>
      </c>
      <c r="S97" s="152" t="str">
        <f>IFERROR(VLOOKUP($B97,'PEDIDO JULIO'!$A$10:$AG$200,12,0),"0")</f>
        <v>0</v>
      </c>
      <c r="T97" s="153">
        <f>IFERROR(VLOOKUP($B97,'[5]INSUMOS MARZO'!$A$2:$S$105,17,0),"")</f>
        <v>37357.794999999998</v>
      </c>
      <c r="U97" s="154">
        <f t="shared" si="43"/>
        <v>0</v>
      </c>
      <c r="V97" s="152" t="str">
        <f>IFERROR(VLOOKUP($B97,'PEDIDO JULIO'!$A$10:$AG$200,13,0),"0")</f>
        <v>0</v>
      </c>
      <c r="W97" s="153">
        <f>IFERROR(VLOOKUP($B97,'[5]INSUMOS MARZO'!$A$2:$S$105,17,0),"")</f>
        <v>37357.794999999998</v>
      </c>
      <c r="X97" s="154">
        <f t="shared" si="44"/>
        <v>0</v>
      </c>
      <c r="Y97" s="152" t="str">
        <f>IFERROR(VLOOKUP($B97,'PEDIDO JULIO'!$A$10:$AG$200,14,0),"0")</f>
        <v>0</v>
      </c>
      <c r="Z97" s="153">
        <f>IFERROR(VLOOKUP($B97,'[5]INSUMOS MARZO'!$A$2:$S$105,17,0),"")</f>
        <v>37357.794999999998</v>
      </c>
      <c r="AA97" s="154">
        <f t="shared" si="45"/>
        <v>0</v>
      </c>
      <c r="AB97" s="152" t="str">
        <f>IFERROR(VLOOKUP($B97,'PEDIDO JULIO'!$A$10:$AG$200,15,0),"0")</f>
        <v>0</v>
      </c>
      <c r="AC97" s="153">
        <f>IFERROR(VLOOKUP($B97,'[5]INSUMOS MARZO'!$A$2:$S$105,17,0),"")</f>
        <v>37357.794999999998</v>
      </c>
      <c r="AD97" s="154">
        <f t="shared" si="46"/>
        <v>0</v>
      </c>
      <c r="AE97" s="152" t="str">
        <f>IFERROR(VLOOKUP($B97,'PEDIDO JULIO'!$A$10:$AG$200,16,0),"0")</f>
        <v>0</v>
      </c>
      <c r="AF97" s="153">
        <f>IFERROR(VLOOKUP($B97,'[5]INSUMOS MARZO'!$A$2:$S$105,17,0),"")</f>
        <v>37357.794999999998</v>
      </c>
      <c r="AG97" s="154">
        <f t="shared" si="47"/>
        <v>0</v>
      </c>
      <c r="AH97" s="152" t="str">
        <f>IFERROR(VLOOKUP($B97,'PEDIDO JULIO'!$A$10:$AG$200,17,0),"0")</f>
        <v>0</v>
      </c>
      <c r="AI97" s="153">
        <f>IFERROR(VLOOKUP($B97,'[5]INSUMOS MARZO'!$A$2:$S$105,17,0),"")</f>
        <v>37357.794999999998</v>
      </c>
      <c r="AJ97" s="154">
        <f t="shared" si="48"/>
        <v>0</v>
      </c>
      <c r="AK97" s="152" t="str">
        <f>IFERROR(VLOOKUP($B97,'PEDIDO JULIO'!$A$10:$AG$200,18,0),"0")</f>
        <v>0</v>
      </c>
      <c r="AL97" s="153">
        <f>IFERROR(VLOOKUP($B97,'[5]INSUMOS MARZO'!$A$2:$S$105,17,0),"")</f>
        <v>37357.794999999998</v>
      </c>
      <c r="AM97" s="154">
        <f t="shared" si="49"/>
        <v>0</v>
      </c>
      <c r="AN97" s="152" t="str">
        <f>IFERROR(VLOOKUP($B97,'PEDIDO JULIO'!$A$10:$AG$200,19,0),"0")</f>
        <v>0</v>
      </c>
      <c r="AO97" s="153">
        <f>IFERROR(VLOOKUP($B97,'[5]INSUMOS MARZO'!$A$2:$S$105,17,0),"")</f>
        <v>37357.794999999998</v>
      </c>
      <c r="AP97" s="154">
        <f t="shared" si="50"/>
        <v>0</v>
      </c>
      <c r="AQ97" s="152" t="str">
        <f>IFERROR(VLOOKUP($B97,'PEDIDO JULIO'!$A$10:$AG$200,20,0),"0")</f>
        <v>0</v>
      </c>
      <c r="AR97" s="153">
        <f>IFERROR(VLOOKUP($B97,'[5]INSUMOS MARZO'!$A$2:$S$105,17,0),"")</f>
        <v>37357.794999999998</v>
      </c>
      <c r="AS97" s="154">
        <f t="shared" si="51"/>
        <v>0</v>
      </c>
      <c r="AT97" s="152" t="str">
        <f>IFERROR(VLOOKUP($B97,'PEDIDO JULIO'!$A$10:$AG$200,21,0),"0")</f>
        <v>0</v>
      </c>
      <c r="AU97" s="156">
        <f>IFERROR(VLOOKUP($B97,'[5]INSUMOS MARZO'!$A$2:$S$105,14,0),"")</f>
        <v>51545.874600000003</v>
      </c>
      <c r="AV97" s="154">
        <f t="shared" si="52"/>
        <v>0</v>
      </c>
      <c r="AW97" s="152" t="str">
        <f>IFERROR(VLOOKUP($B97,'PEDIDO JULIO'!$A$10:$AG$200,22,0),"0")</f>
        <v>0</v>
      </c>
      <c r="AX97" s="153">
        <f>IFERROR(VLOOKUP($B97,'[5]INSUMOS MARZO'!$A$2:$S$105,17,0),"")</f>
        <v>37357.794999999998</v>
      </c>
      <c r="AY97" s="154">
        <f t="shared" si="53"/>
        <v>0</v>
      </c>
      <c r="AZ97" s="152" t="str">
        <f>IFERROR(VLOOKUP($B97,'PEDIDO JULIO'!$A$10:$AG$200,23,0),"0")</f>
        <v>0</v>
      </c>
      <c r="BA97" s="153">
        <f>IFERROR(VLOOKUP($B97,'[5]INSUMOS MARZO'!$A$2:$S$105,17,0),"")</f>
        <v>37357.794999999998</v>
      </c>
      <c r="BB97" s="154">
        <f t="shared" si="54"/>
        <v>0</v>
      </c>
      <c r="BC97" s="152" t="str">
        <f>IFERROR(VLOOKUP($B97,'PEDIDO JULIO'!$A$10:$AG$200,24,0),"0")</f>
        <v>0</v>
      </c>
      <c r="BD97" s="153">
        <f>IFERROR(VLOOKUP($B97,'[5]INSUMOS MARZO'!$A$2:$S$105,17,0),"")</f>
        <v>37357.794999999998</v>
      </c>
      <c r="BE97" s="155">
        <f t="shared" si="55"/>
        <v>0</v>
      </c>
      <c r="BF97" s="152" t="str">
        <f>IFERROR(VLOOKUP($B97,'PEDIDO JULIO'!$A$10:$AG$200,25,0),"0")</f>
        <v>0</v>
      </c>
      <c r="BG97" s="153">
        <f>IFERROR(VLOOKUP($B97,'[5]INSUMOS MARZO'!$A$2:$S$105,17,0),"")</f>
        <v>37357.794999999998</v>
      </c>
      <c r="BH97" s="155">
        <f t="shared" si="56"/>
        <v>0</v>
      </c>
      <c r="BI97" s="152" t="str">
        <f>IFERROR(VLOOKUP($B97,'PEDIDO JULIO'!$A$10:$AG$200,26,0),"0")</f>
        <v>0</v>
      </c>
      <c r="BJ97" s="153">
        <f>IFERROR(VLOOKUP($B97,'[5]INSUMOS MARZO'!$A$2:$S$105,17,0),"")</f>
        <v>37357.794999999998</v>
      </c>
      <c r="BK97" s="154">
        <f t="shared" si="57"/>
        <v>0</v>
      </c>
      <c r="BL97" s="152" t="str">
        <f>IFERROR(VLOOKUP($B97,'PEDIDO JULIO'!$A$10:$AG$200,27,0),"0")</f>
        <v>0</v>
      </c>
      <c r="BM97" s="153">
        <f>IFERROR(VLOOKUP($B97,'[5]INSUMOS MARZO'!$A$2:$S$105,17,0),"")</f>
        <v>37357.794999999998</v>
      </c>
      <c r="BN97" s="154">
        <f t="shared" si="58"/>
        <v>0</v>
      </c>
      <c r="BO97" s="152" t="str">
        <f>IFERROR(VLOOKUP($B97,'PEDIDO JULIO'!$A$10:$AG$200,28,0),"0")</f>
        <v>0</v>
      </c>
      <c r="BP97" s="153">
        <f>IFERROR(VLOOKUP($B97,'[5]INSUMOS MARZO'!$A$2:$S$105,17,0),"")</f>
        <v>37357.794999999998</v>
      </c>
      <c r="BQ97" s="154">
        <f t="shared" si="59"/>
        <v>0</v>
      </c>
      <c r="BR97" s="152" t="str">
        <f>IFERROR(VLOOKUP($B97,'PEDIDO JULIO'!$A$10:$AG$200,29,0),"0")</f>
        <v>0</v>
      </c>
      <c r="BS97" s="153">
        <f>IFERROR(VLOOKUP($B97,'[5]INSUMOS MARZO'!$A$2:$S$105,17,0),"")</f>
        <v>37357.794999999998</v>
      </c>
      <c r="BT97" s="155">
        <f t="shared" si="60"/>
        <v>0</v>
      </c>
      <c r="BU97" s="152" t="str">
        <f>IFERROR(VLOOKUP($B97,'PEDIDO JULIO'!$A$10:$AG$200,30,0),"0")</f>
        <v>0</v>
      </c>
      <c r="BV97" s="153">
        <f>IFERROR(VLOOKUP($B97,'[5]INSUMOS MARZO'!$A$2:$S$105,17,0),"")</f>
        <v>37357.794999999998</v>
      </c>
      <c r="BW97" s="155">
        <f t="shared" si="61"/>
        <v>0</v>
      </c>
      <c r="BX97" s="152" t="str">
        <f>IFERROR(VLOOKUP($B97,'PEDIDO JULIO'!$A$10:$AG$200,31,0),"0")</f>
        <v>0</v>
      </c>
      <c r="BY97" s="153">
        <f>IFERROR(VLOOKUP($B97,'[5]INSUMOS MARZO'!$A$2:$S$105,17,0),"")</f>
        <v>37357.794999999998</v>
      </c>
      <c r="BZ97" s="155">
        <f t="shared" si="62"/>
        <v>0</v>
      </c>
      <c r="CA97" s="152" t="str">
        <f>IFERROR(VLOOKUP($B97,'PEDIDO JULIO'!$A$10:$AG$200,32,0),"0")</f>
        <v>0</v>
      </c>
      <c r="CB97" s="153">
        <f>IFERROR(VLOOKUP($B97,'[5]INSUMOS MARZO'!$A$2:$S$105,17,0),"")</f>
        <v>37357.794999999998</v>
      </c>
      <c r="CC97" s="155">
        <f t="shared" si="63"/>
        <v>0</v>
      </c>
      <c r="CD97" s="157">
        <f t="shared" si="38"/>
        <v>0</v>
      </c>
      <c r="CE97" s="158">
        <f t="shared" si="64"/>
        <v>0</v>
      </c>
      <c r="CF97" s="251">
        <f>IFERROR(VLOOKUP($B97,'MATRIZ INSUMOS '!$A$3:$P$106,16,0),"")</f>
        <v>0</v>
      </c>
      <c r="CG97" s="153">
        <f>IFERROR(VLOOKUP($B97,'[5]INSUMOS MARZO'!$A$2:$S$105,17,0),"")</f>
        <v>37357.794999999998</v>
      </c>
      <c r="CH97" s="156">
        <f t="shared" si="65"/>
        <v>0</v>
      </c>
      <c r="CI97" s="251">
        <f>IFERROR(VLOOKUP($B97,'MATRIZ INSUMOS '!$A$3:$P$106,10,0),"")</f>
        <v>0</v>
      </c>
      <c r="CJ97" s="156">
        <f>IFERROR(VLOOKUP($B97,'[5]INSUMOS MARZO'!$A$2:$S$105,14,0),"")</f>
        <v>51545.874600000003</v>
      </c>
      <c r="CK97" s="159">
        <f t="shared" si="66"/>
        <v>0</v>
      </c>
      <c r="CL97" s="160">
        <f t="shared" si="67"/>
        <v>0</v>
      </c>
      <c r="CM97" s="14">
        <f t="shared" si="68"/>
        <v>0</v>
      </c>
      <c r="CN97" s="14">
        <f t="shared" si="69"/>
        <v>0</v>
      </c>
      <c r="CO97" s="14">
        <f t="shared" si="70"/>
        <v>0</v>
      </c>
      <c r="CQ97" s="19">
        <f t="shared" si="71"/>
        <v>0</v>
      </c>
      <c r="CR97" s="19" t="b">
        <f t="shared" si="72"/>
        <v>1</v>
      </c>
      <c r="CS97" s="19">
        <f t="shared" si="73"/>
        <v>0</v>
      </c>
    </row>
    <row r="98" spans="1:97" ht="16.5">
      <c r="A98" s="3">
        <v>93</v>
      </c>
      <c r="B98" s="151">
        <v>210</v>
      </c>
      <c r="C98" s="4" t="s">
        <v>636</v>
      </c>
      <c r="D98" s="152">
        <f>IFERROR(VLOOKUP($B98,'[4]INSUMOS FEBRERO'!$A$2:$F$105,5,0),"")</f>
        <v>14</v>
      </c>
      <c r="E98" s="152" t="str">
        <f>IFERROR(VLOOKUP($B98,'PEDIDO JULIO'!$A$10:$AG$32,33,0),"0")</f>
        <v>0</v>
      </c>
      <c r="F98" s="152">
        <f t="shared" si="39"/>
        <v>-14</v>
      </c>
      <c r="G98" s="152" t="str">
        <f>IFERROR(VLOOKUP($B98,'PEDIDO JULIO'!$A$10:$AG$200,8,0),"0")</f>
        <v>0</v>
      </c>
      <c r="H98" s="153">
        <f>IFERROR(VLOOKUP($B98,'[5]INSUMOS MARZO'!$A$2:$S$105,17,0),"")</f>
        <v>22537.643999999997</v>
      </c>
      <c r="I98" s="154">
        <f t="shared" si="37"/>
        <v>0</v>
      </c>
      <c r="J98" s="152" t="str">
        <f>IFERROR(VLOOKUP($B98,'PEDIDO JULIO'!$A$10:$AG$200,9,0),"0")</f>
        <v>0</v>
      </c>
      <c r="K98" s="156">
        <f>IFERROR(VLOOKUP($B98,'[5]INSUMOS MARZO'!$A$2:$S$105,14,0),"")</f>
        <v>39305.928599999999</v>
      </c>
      <c r="L98" s="155">
        <f t="shared" si="40"/>
        <v>0</v>
      </c>
      <c r="M98" s="152" t="str">
        <f>IFERROR(VLOOKUP($B98,'PEDIDO JULIO'!$A$10:$AG$200,10,0),"0")</f>
        <v>0</v>
      </c>
      <c r="N98" s="153">
        <f>IFERROR(VLOOKUP($B98,'[5]INSUMOS MARZO'!$A$2:$S$105,17,0),"")</f>
        <v>22537.643999999997</v>
      </c>
      <c r="O98" s="154">
        <f t="shared" si="41"/>
        <v>0</v>
      </c>
      <c r="P98" s="152" t="str">
        <f>IFERROR(VLOOKUP($B98,'PEDIDO JULIO'!$A$10:$AG$200,11,0),"0")</f>
        <v>0</v>
      </c>
      <c r="Q98" s="153">
        <f>IFERROR(VLOOKUP($B98,'[5]INSUMOS MARZO'!$A$2:$S$105,17,0),"")</f>
        <v>22537.643999999997</v>
      </c>
      <c r="R98" s="154">
        <f t="shared" si="42"/>
        <v>0</v>
      </c>
      <c r="S98" s="152" t="str">
        <f>IFERROR(VLOOKUP($B98,'PEDIDO JULIO'!$A$10:$AG$200,12,0),"0")</f>
        <v>0</v>
      </c>
      <c r="T98" s="153">
        <f>IFERROR(VLOOKUP($B98,'[5]INSUMOS MARZO'!$A$2:$S$105,17,0),"")</f>
        <v>22537.643999999997</v>
      </c>
      <c r="U98" s="154">
        <f t="shared" si="43"/>
        <v>0</v>
      </c>
      <c r="V98" s="152" t="str">
        <f>IFERROR(VLOOKUP($B98,'PEDIDO JULIO'!$A$10:$AG$200,13,0),"0")</f>
        <v>0</v>
      </c>
      <c r="W98" s="153">
        <f>IFERROR(VLOOKUP($B98,'[5]INSUMOS MARZO'!$A$2:$S$105,17,0),"")</f>
        <v>22537.643999999997</v>
      </c>
      <c r="X98" s="154">
        <f t="shared" si="44"/>
        <v>0</v>
      </c>
      <c r="Y98" s="152" t="str">
        <f>IFERROR(VLOOKUP($B98,'PEDIDO JULIO'!$A$10:$AG$200,14,0),"0")</f>
        <v>0</v>
      </c>
      <c r="Z98" s="153">
        <f>IFERROR(VLOOKUP($B98,'[5]INSUMOS MARZO'!$A$2:$S$105,17,0),"")</f>
        <v>22537.643999999997</v>
      </c>
      <c r="AA98" s="154">
        <f t="shared" si="45"/>
        <v>0</v>
      </c>
      <c r="AB98" s="152" t="str">
        <f>IFERROR(VLOOKUP($B98,'PEDIDO JULIO'!$A$10:$AG$200,15,0),"0")</f>
        <v>0</v>
      </c>
      <c r="AC98" s="153">
        <f>IFERROR(VLOOKUP($B98,'[5]INSUMOS MARZO'!$A$2:$S$105,17,0),"")</f>
        <v>22537.643999999997</v>
      </c>
      <c r="AD98" s="154">
        <f t="shared" si="46"/>
        <v>0</v>
      </c>
      <c r="AE98" s="152" t="str">
        <f>IFERROR(VLOOKUP($B98,'PEDIDO JULIO'!$A$10:$AG$200,16,0),"0")</f>
        <v>0</v>
      </c>
      <c r="AF98" s="153">
        <f>IFERROR(VLOOKUP($B98,'[5]INSUMOS MARZO'!$A$2:$S$105,17,0),"")</f>
        <v>22537.643999999997</v>
      </c>
      <c r="AG98" s="154">
        <f t="shared" si="47"/>
        <v>0</v>
      </c>
      <c r="AH98" s="152" t="str">
        <f>IFERROR(VLOOKUP($B98,'PEDIDO JULIO'!$A$10:$AG$200,17,0),"0")</f>
        <v>0</v>
      </c>
      <c r="AI98" s="153">
        <f>IFERROR(VLOOKUP($B98,'[5]INSUMOS MARZO'!$A$2:$S$105,17,0),"")</f>
        <v>22537.643999999997</v>
      </c>
      <c r="AJ98" s="154">
        <f t="shared" si="48"/>
        <v>0</v>
      </c>
      <c r="AK98" s="152" t="str">
        <f>IFERROR(VLOOKUP($B98,'PEDIDO JULIO'!$A$10:$AG$200,18,0),"0")</f>
        <v>0</v>
      </c>
      <c r="AL98" s="153">
        <f>IFERROR(VLOOKUP($B98,'[5]INSUMOS MARZO'!$A$2:$S$105,17,0),"")</f>
        <v>22537.643999999997</v>
      </c>
      <c r="AM98" s="154">
        <f t="shared" si="49"/>
        <v>0</v>
      </c>
      <c r="AN98" s="152" t="str">
        <f>IFERROR(VLOOKUP($B98,'PEDIDO JULIO'!$A$10:$AG$200,19,0),"0")</f>
        <v>0</v>
      </c>
      <c r="AO98" s="153">
        <f>IFERROR(VLOOKUP($B98,'[5]INSUMOS MARZO'!$A$2:$S$105,17,0),"")</f>
        <v>22537.643999999997</v>
      </c>
      <c r="AP98" s="154">
        <f t="shared" si="50"/>
        <v>0</v>
      </c>
      <c r="AQ98" s="152" t="str">
        <f>IFERROR(VLOOKUP($B98,'PEDIDO JULIO'!$A$10:$AG$200,20,0),"0")</f>
        <v>0</v>
      </c>
      <c r="AR98" s="153">
        <f>IFERROR(VLOOKUP($B98,'[5]INSUMOS MARZO'!$A$2:$S$105,17,0),"")</f>
        <v>22537.643999999997</v>
      </c>
      <c r="AS98" s="154">
        <f t="shared" si="51"/>
        <v>0</v>
      </c>
      <c r="AT98" s="152" t="str">
        <f>IFERROR(VLOOKUP($B98,'PEDIDO JULIO'!$A$10:$AG$200,21,0),"0")</f>
        <v>0</v>
      </c>
      <c r="AU98" s="156">
        <f>IFERROR(VLOOKUP($B98,'[5]INSUMOS MARZO'!$A$2:$S$105,14,0),"")</f>
        <v>39305.928599999999</v>
      </c>
      <c r="AV98" s="154">
        <f t="shared" si="52"/>
        <v>0</v>
      </c>
      <c r="AW98" s="152" t="str">
        <f>IFERROR(VLOOKUP($B98,'PEDIDO JULIO'!$A$10:$AG$200,22,0),"0")</f>
        <v>0</v>
      </c>
      <c r="AX98" s="153">
        <f>IFERROR(VLOOKUP($B98,'[5]INSUMOS MARZO'!$A$2:$S$105,17,0),"")</f>
        <v>22537.643999999997</v>
      </c>
      <c r="AY98" s="154">
        <f t="shared" si="53"/>
        <v>0</v>
      </c>
      <c r="AZ98" s="152" t="str">
        <f>IFERROR(VLOOKUP($B98,'PEDIDO JULIO'!$A$10:$AG$200,23,0),"0")</f>
        <v>0</v>
      </c>
      <c r="BA98" s="153">
        <f>IFERROR(VLOOKUP($B98,'[5]INSUMOS MARZO'!$A$2:$S$105,17,0),"")</f>
        <v>22537.643999999997</v>
      </c>
      <c r="BB98" s="154">
        <f t="shared" si="54"/>
        <v>0</v>
      </c>
      <c r="BC98" s="152" t="str">
        <f>IFERROR(VLOOKUP($B98,'PEDIDO JULIO'!$A$10:$AG$200,24,0),"0")</f>
        <v>0</v>
      </c>
      <c r="BD98" s="153">
        <f>IFERROR(VLOOKUP($B98,'[5]INSUMOS MARZO'!$A$2:$S$105,17,0),"")</f>
        <v>22537.643999999997</v>
      </c>
      <c r="BE98" s="155">
        <f t="shared" si="55"/>
        <v>0</v>
      </c>
      <c r="BF98" s="152" t="str">
        <f>IFERROR(VLOOKUP($B98,'PEDIDO JULIO'!$A$10:$AG$200,25,0),"0")</f>
        <v>0</v>
      </c>
      <c r="BG98" s="153">
        <f>IFERROR(VLOOKUP($B98,'[5]INSUMOS MARZO'!$A$2:$S$105,17,0),"")</f>
        <v>22537.643999999997</v>
      </c>
      <c r="BH98" s="155">
        <f t="shared" si="56"/>
        <v>0</v>
      </c>
      <c r="BI98" s="152" t="str">
        <f>IFERROR(VLOOKUP($B98,'PEDIDO JULIO'!$A$10:$AG$200,26,0),"0")</f>
        <v>0</v>
      </c>
      <c r="BJ98" s="153">
        <f>IFERROR(VLOOKUP($B98,'[5]INSUMOS MARZO'!$A$2:$S$105,17,0),"")</f>
        <v>22537.643999999997</v>
      </c>
      <c r="BK98" s="154">
        <f t="shared" si="57"/>
        <v>0</v>
      </c>
      <c r="BL98" s="152" t="str">
        <f>IFERROR(VLOOKUP($B98,'PEDIDO JULIO'!$A$10:$AG$200,27,0),"0")</f>
        <v>0</v>
      </c>
      <c r="BM98" s="153">
        <f>IFERROR(VLOOKUP($B98,'[5]INSUMOS MARZO'!$A$2:$S$105,17,0),"")</f>
        <v>22537.643999999997</v>
      </c>
      <c r="BN98" s="154">
        <f t="shared" si="58"/>
        <v>0</v>
      </c>
      <c r="BO98" s="152" t="str">
        <f>IFERROR(VLOOKUP($B98,'PEDIDO JULIO'!$A$10:$AG$200,28,0),"0")</f>
        <v>0</v>
      </c>
      <c r="BP98" s="153">
        <f>IFERROR(VLOOKUP($B98,'[5]INSUMOS MARZO'!$A$2:$S$105,17,0),"")</f>
        <v>22537.643999999997</v>
      </c>
      <c r="BQ98" s="154">
        <f t="shared" si="59"/>
        <v>0</v>
      </c>
      <c r="BR98" s="152" t="str">
        <f>IFERROR(VLOOKUP($B98,'PEDIDO JULIO'!$A$10:$AG$200,29,0),"0")</f>
        <v>0</v>
      </c>
      <c r="BS98" s="153">
        <f>IFERROR(VLOOKUP($B98,'[5]INSUMOS MARZO'!$A$2:$S$105,17,0),"")</f>
        <v>22537.643999999997</v>
      </c>
      <c r="BT98" s="155">
        <f t="shared" si="60"/>
        <v>0</v>
      </c>
      <c r="BU98" s="152" t="str">
        <f>IFERROR(VLOOKUP($B98,'PEDIDO JULIO'!$A$10:$AG$200,30,0),"0")</f>
        <v>0</v>
      </c>
      <c r="BV98" s="153">
        <f>IFERROR(VLOOKUP($B98,'[5]INSUMOS MARZO'!$A$2:$S$105,17,0),"")</f>
        <v>22537.643999999997</v>
      </c>
      <c r="BW98" s="155">
        <f t="shared" si="61"/>
        <v>0</v>
      </c>
      <c r="BX98" s="152" t="str">
        <f>IFERROR(VLOOKUP($B98,'PEDIDO JULIO'!$A$10:$AG$200,31,0),"0")</f>
        <v>0</v>
      </c>
      <c r="BY98" s="153">
        <f>IFERROR(VLOOKUP($B98,'[5]INSUMOS MARZO'!$A$2:$S$105,17,0),"")</f>
        <v>22537.643999999997</v>
      </c>
      <c r="BZ98" s="155">
        <f t="shared" si="62"/>
        <v>0</v>
      </c>
      <c r="CA98" s="152" t="str">
        <f>IFERROR(VLOOKUP($B98,'PEDIDO JULIO'!$A$10:$AG$200,32,0),"0")</f>
        <v>0</v>
      </c>
      <c r="CB98" s="153">
        <f>IFERROR(VLOOKUP($B98,'[5]INSUMOS MARZO'!$A$2:$S$105,17,0),"")</f>
        <v>22537.643999999997</v>
      </c>
      <c r="CC98" s="155">
        <f t="shared" si="63"/>
        <v>0</v>
      </c>
      <c r="CD98" s="157">
        <f t="shared" si="38"/>
        <v>0</v>
      </c>
      <c r="CE98" s="158">
        <f t="shared" si="64"/>
        <v>0</v>
      </c>
      <c r="CF98" s="251">
        <f>IFERROR(VLOOKUP($B98,'MATRIZ INSUMOS '!$A$3:$P$106,16,0),"")</f>
        <v>0</v>
      </c>
      <c r="CG98" s="153">
        <f>IFERROR(VLOOKUP($B98,'[5]INSUMOS MARZO'!$A$2:$S$105,17,0),"")</f>
        <v>22537.643999999997</v>
      </c>
      <c r="CH98" s="156">
        <f t="shared" si="65"/>
        <v>0</v>
      </c>
      <c r="CI98" s="251">
        <f>IFERROR(VLOOKUP($B98,'MATRIZ INSUMOS '!$A$3:$P$106,10,0),"")</f>
        <v>0</v>
      </c>
      <c r="CJ98" s="156">
        <f>IFERROR(VLOOKUP($B98,'[5]INSUMOS MARZO'!$A$2:$S$105,14,0),"")</f>
        <v>39305.928599999999</v>
      </c>
      <c r="CK98" s="159">
        <f t="shared" si="66"/>
        <v>0</v>
      </c>
      <c r="CL98" s="160">
        <f t="shared" si="67"/>
        <v>0</v>
      </c>
      <c r="CM98" s="14">
        <f t="shared" si="68"/>
        <v>0</v>
      </c>
      <c r="CN98" s="14">
        <f t="shared" si="69"/>
        <v>0</v>
      </c>
      <c r="CO98" s="14">
        <f t="shared" si="70"/>
        <v>0</v>
      </c>
      <c r="CQ98" s="19">
        <f t="shared" si="71"/>
        <v>0</v>
      </c>
      <c r="CR98" s="19" t="b">
        <f t="shared" si="72"/>
        <v>1</v>
      </c>
      <c r="CS98" s="19">
        <f t="shared" si="73"/>
        <v>0</v>
      </c>
    </row>
    <row r="99" spans="1:97" ht="16.5">
      <c r="A99" s="3">
        <v>94</v>
      </c>
      <c r="B99" s="151">
        <v>211</v>
      </c>
      <c r="C99" s="4" t="s">
        <v>637</v>
      </c>
      <c r="D99" s="152">
        <f>IFERROR(VLOOKUP($B99,'[4]INSUMOS FEBRERO'!$A$2:$F$105,5,0),"")</f>
        <v>7</v>
      </c>
      <c r="E99" s="152" t="str">
        <f>IFERROR(VLOOKUP($B99,'PEDIDO JULIO'!$A$10:$AG$32,33,0),"0")</f>
        <v>0</v>
      </c>
      <c r="F99" s="152">
        <f t="shared" si="39"/>
        <v>-7</v>
      </c>
      <c r="G99" s="152" t="str">
        <f>IFERROR(VLOOKUP($B99,'PEDIDO JULIO'!$A$10:$AG$200,8,0),"0")</f>
        <v>0</v>
      </c>
      <c r="H99" s="156">
        <f>IFERROR(VLOOKUP($B99,'[5]INSUMOS MARZO'!$A$2:$S$105,14,0),"")</f>
        <v>29553.699600000004</v>
      </c>
      <c r="I99" s="154">
        <f t="shared" si="37"/>
        <v>0</v>
      </c>
      <c r="J99" s="152" t="str">
        <f>IFERROR(VLOOKUP($B99,'PEDIDO JULIO'!$A$10:$AG$200,9,0),"0")</f>
        <v>0</v>
      </c>
      <c r="K99" s="156">
        <f>IFERROR(VLOOKUP($B99,'[5]INSUMOS MARZO'!$A$2:$S$105,14,0),"")</f>
        <v>29553.699600000004</v>
      </c>
      <c r="L99" s="155">
        <f t="shared" si="40"/>
        <v>0</v>
      </c>
      <c r="M99" s="152" t="str">
        <f>IFERROR(VLOOKUP($B99,'PEDIDO JULIO'!$A$10:$AG$200,10,0),"0")</f>
        <v>0</v>
      </c>
      <c r="N99" s="153">
        <f>IFERROR(VLOOKUP($B99,'[5]INSUMOS MARZO'!$A$2:$S$105,17,0),"")</f>
        <v>15992.016</v>
      </c>
      <c r="O99" s="154">
        <f t="shared" si="41"/>
        <v>0</v>
      </c>
      <c r="P99" s="152" t="str">
        <f>IFERROR(VLOOKUP($B99,'PEDIDO JULIO'!$A$10:$AG$200,11,0),"0")</f>
        <v>0</v>
      </c>
      <c r="Q99" s="153">
        <f>IFERROR(VLOOKUP($B99,'[5]INSUMOS MARZO'!$A$2:$S$105,17,0),"")</f>
        <v>15992.016</v>
      </c>
      <c r="R99" s="154">
        <f t="shared" si="42"/>
        <v>0</v>
      </c>
      <c r="S99" s="152" t="str">
        <f>IFERROR(VLOOKUP($B99,'PEDIDO JULIO'!$A$10:$AG$200,12,0),"0")</f>
        <v>0</v>
      </c>
      <c r="T99" s="153">
        <f>IFERROR(VLOOKUP($B99,'[5]INSUMOS MARZO'!$A$2:$S$105,17,0),"")</f>
        <v>15992.016</v>
      </c>
      <c r="U99" s="154">
        <f t="shared" si="43"/>
        <v>0</v>
      </c>
      <c r="V99" s="152" t="str">
        <f>IFERROR(VLOOKUP($B99,'PEDIDO JULIO'!$A$10:$AG$200,13,0),"0")</f>
        <v>0</v>
      </c>
      <c r="W99" s="153">
        <f>IFERROR(VLOOKUP($B99,'[5]INSUMOS MARZO'!$A$2:$S$105,17,0),"")</f>
        <v>15992.016</v>
      </c>
      <c r="X99" s="154">
        <f t="shared" si="44"/>
        <v>0</v>
      </c>
      <c r="Y99" s="152" t="str">
        <f>IFERROR(VLOOKUP($B99,'PEDIDO JULIO'!$A$10:$AG$200,14,0),"0")</f>
        <v>0</v>
      </c>
      <c r="Z99" s="153">
        <f>IFERROR(VLOOKUP($B99,'[5]INSUMOS MARZO'!$A$2:$S$105,17,0),"")</f>
        <v>15992.016</v>
      </c>
      <c r="AA99" s="154">
        <f t="shared" si="45"/>
        <v>0</v>
      </c>
      <c r="AB99" s="152" t="str">
        <f>IFERROR(VLOOKUP($B99,'PEDIDO JULIO'!$A$10:$AG$200,15,0),"0")</f>
        <v>0</v>
      </c>
      <c r="AC99" s="153">
        <f>IFERROR(VLOOKUP($B99,'[5]INSUMOS MARZO'!$A$2:$S$105,17,0),"")</f>
        <v>15992.016</v>
      </c>
      <c r="AD99" s="154">
        <f t="shared" si="46"/>
        <v>0</v>
      </c>
      <c r="AE99" s="152" t="str">
        <f>IFERROR(VLOOKUP($B99,'PEDIDO JULIO'!$A$10:$AG$200,16,0),"0")</f>
        <v>0</v>
      </c>
      <c r="AF99" s="153">
        <f>IFERROR(VLOOKUP($B99,'[5]INSUMOS MARZO'!$A$2:$S$105,17,0),"")</f>
        <v>15992.016</v>
      </c>
      <c r="AG99" s="154">
        <f t="shared" si="47"/>
        <v>0</v>
      </c>
      <c r="AH99" s="152" t="str">
        <f>IFERROR(VLOOKUP($B99,'PEDIDO JULIO'!$A$10:$AG$200,17,0),"0")</f>
        <v>0</v>
      </c>
      <c r="AI99" s="153">
        <f>IFERROR(VLOOKUP($B99,'[5]INSUMOS MARZO'!$A$2:$S$105,17,0),"")</f>
        <v>15992.016</v>
      </c>
      <c r="AJ99" s="154">
        <f t="shared" si="48"/>
        <v>0</v>
      </c>
      <c r="AK99" s="152" t="str">
        <f>IFERROR(VLOOKUP($B99,'PEDIDO JULIO'!$A$10:$AG$200,18,0),"0")</f>
        <v>0</v>
      </c>
      <c r="AL99" s="153">
        <f>IFERROR(VLOOKUP($B99,'[5]INSUMOS MARZO'!$A$2:$S$105,17,0),"")</f>
        <v>15992.016</v>
      </c>
      <c r="AM99" s="154">
        <f t="shared" si="49"/>
        <v>0</v>
      </c>
      <c r="AN99" s="152" t="str">
        <f>IFERROR(VLOOKUP($B99,'PEDIDO JULIO'!$A$10:$AG$200,19,0),"0")</f>
        <v>0</v>
      </c>
      <c r="AO99" s="153">
        <f>IFERROR(VLOOKUP($B99,'[5]INSUMOS MARZO'!$A$2:$S$105,17,0),"")</f>
        <v>15992.016</v>
      </c>
      <c r="AP99" s="154">
        <f t="shared" si="50"/>
        <v>0</v>
      </c>
      <c r="AQ99" s="152" t="str">
        <f>IFERROR(VLOOKUP($B99,'PEDIDO JULIO'!$A$10:$AG$200,20,0),"0")</f>
        <v>0</v>
      </c>
      <c r="AR99" s="153">
        <f>IFERROR(VLOOKUP($B99,'[5]INSUMOS MARZO'!$A$2:$S$105,17,0),"")</f>
        <v>15992.016</v>
      </c>
      <c r="AS99" s="154">
        <f t="shared" si="51"/>
        <v>0</v>
      </c>
      <c r="AT99" s="152" t="str">
        <f>IFERROR(VLOOKUP($B99,'PEDIDO JULIO'!$A$10:$AG$200,21,0),"0")</f>
        <v>0</v>
      </c>
      <c r="AU99" s="156">
        <f>IFERROR(VLOOKUP($B99,'[5]INSUMOS MARZO'!$A$2:$S$105,14,0),"")</f>
        <v>29553.699600000004</v>
      </c>
      <c r="AV99" s="154">
        <f t="shared" si="52"/>
        <v>0</v>
      </c>
      <c r="AW99" s="152" t="str">
        <f>IFERROR(VLOOKUP($B99,'PEDIDO JULIO'!$A$10:$AG$200,22,0),"0")</f>
        <v>0</v>
      </c>
      <c r="AX99" s="153">
        <f>IFERROR(VLOOKUP($B99,'[5]INSUMOS MARZO'!$A$2:$S$105,17,0),"")</f>
        <v>15992.016</v>
      </c>
      <c r="AY99" s="154">
        <f t="shared" si="53"/>
        <v>0</v>
      </c>
      <c r="AZ99" s="152" t="str">
        <f>IFERROR(VLOOKUP($B99,'PEDIDO JULIO'!$A$10:$AG$200,23,0),"0")</f>
        <v>0</v>
      </c>
      <c r="BA99" s="153">
        <f>IFERROR(VLOOKUP($B99,'[5]INSUMOS MARZO'!$A$2:$S$105,17,0),"")</f>
        <v>15992.016</v>
      </c>
      <c r="BB99" s="154">
        <f t="shared" si="54"/>
        <v>0</v>
      </c>
      <c r="BC99" s="152" t="str">
        <f>IFERROR(VLOOKUP($B99,'PEDIDO JULIO'!$A$10:$AG$200,24,0),"0")</f>
        <v>0</v>
      </c>
      <c r="BD99" s="153">
        <f>IFERROR(VLOOKUP($B99,'[5]INSUMOS MARZO'!$A$2:$S$105,17,0),"")</f>
        <v>15992.016</v>
      </c>
      <c r="BE99" s="155">
        <f t="shared" si="55"/>
        <v>0</v>
      </c>
      <c r="BF99" s="152" t="str">
        <f>IFERROR(VLOOKUP($B99,'PEDIDO JULIO'!$A$10:$AG$200,25,0),"0")</f>
        <v>0</v>
      </c>
      <c r="BG99" s="153">
        <f>IFERROR(VLOOKUP($B99,'[5]INSUMOS MARZO'!$A$2:$S$105,17,0),"")</f>
        <v>15992.016</v>
      </c>
      <c r="BH99" s="155">
        <f t="shared" si="56"/>
        <v>0</v>
      </c>
      <c r="BI99" s="152" t="str">
        <f>IFERROR(VLOOKUP($B99,'PEDIDO JULIO'!$A$10:$AG$200,26,0),"0")</f>
        <v>0</v>
      </c>
      <c r="BJ99" s="153">
        <f>IFERROR(VLOOKUP($B99,'[5]INSUMOS MARZO'!$A$2:$S$105,17,0),"")</f>
        <v>15992.016</v>
      </c>
      <c r="BK99" s="154">
        <f t="shared" si="57"/>
        <v>0</v>
      </c>
      <c r="BL99" s="152" t="str">
        <f>IFERROR(VLOOKUP($B99,'PEDIDO JULIO'!$A$10:$AG$200,27,0),"0")</f>
        <v>0</v>
      </c>
      <c r="BM99" s="153">
        <f>IFERROR(VLOOKUP($B99,'[5]INSUMOS MARZO'!$A$2:$S$105,17,0),"")</f>
        <v>15992.016</v>
      </c>
      <c r="BN99" s="154">
        <f t="shared" si="58"/>
        <v>0</v>
      </c>
      <c r="BO99" s="152" t="str">
        <f>IFERROR(VLOOKUP($B99,'PEDIDO JULIO'!$A$10:$AG$200,28,0),"0")</f>
        <v>0</v>
      </c>
      <c r="BP99" s="153">
        <f>IFERROR(VLOOKUP($B99,'[5]INSUMOS MARZO'!$A$2:$S$105,17,0),"")</f>
        <v>15992.016</v>
      </c>
      <c r="BQ99" s="154">
        <f t="shared" si="59"/>
        <v>0</v>
      </c>
      <c r="BR99" s="152" t="str">
        <f>IFERROR(VLOOKUP($B99,'PEDIDO JULIO'!$A$10:$AG$200,29,0),"0")</f>
        <v>0</v>
      </c>
      <c r="BS99" s="153">
        <f>IFERROR(VLOOKUP($B99,'[5]INSUMOS MARZO'!$A$2:$S$105,17,0),"")</f>
        <v>15992.016</v>
      </c>
      <c r="BT99" s="155">
        <f t="shared" si="60"/>
        <v>0</v>
      </c>
      <c r="BU99" s="152" t="str">
        <f>IFERROR(VLOOKUP($B99,'PEDIDO JULIO'!$A$10:$AG$200,30,0),"0")</f>
        <v>0</v>
      </c>
      <c r="BV99" s="153">
        <f>IFERROR(VLOOKUP($B99,'[5]INSUMOS MARZO'!$A$2:$S$105,17,0),"")</f>
        <v>15992.016</v>
      </c>
      <c r="BW99" s="155">
        <f t="shared" si="61"/>
        <v>0</v>
      </c>
      <c r="BX99" s="152" t="str">
        <f>IFERROR(VLOOKUP($B99,'PEDIDO JULIO'!$A$10:$AG$200,31,0),"0")</f>
        <v>0</v>
      </c>
      <c r="BY99" s="153">
        <f>IFERROR(VLOOKUP($B99,'[5]INSUMOS MARZO'!$A$2:$S$105,17,0),"")</f>
        <v>15992.016</v>
      </c>
      <c r="BZ99" s="155">
        <f t="shared" si="62"/>
        <v>0</v>
      </c>
      <c r="CA99" s="152" t="str">
        <f>IFERROR(VLOOKUP($B99,'PEDIDO JULIO'!$A$10:$AG$200,32,0),"0")</f>
        <v>0</v>
      </c>
      <c r="CB99" s="153">
        <f>IFERROR(VLOOKUP($B99,'[5]INSUMOS MARZO'!$A$2:$S$105,17,0),"")</f>
        <v>15992.016</v>
      </c>
      <c r="CC99" s="155">
        <f t="shared" si="63"/>
        <v>0</v>
      </c>
      <c r="CD99" s="157">
        <f t="shared" si="38"/>
        <v>0</v>
      </c>
      <c r="CE99" s="158">
        <f t="shared" si="64"/>
        <v>0</v>
      </c>
      <c r="CF99" s="251">
        <f>IFERROR(VLOOKUP($B99,'MATRIZ INSUMOS '!$A$3:$P$106,16,0),"")</f>
        <v>0</v>
      </c>
      <c r="CG99" s="153">
        <f>IFERROR(VLOOKUP($B99,'[5]INSUMOS MARZO'!$A$2:$S$105,17,0),"")</f>
        <v>15992.016</v>
      </c>
      <c r="CH99" s="156">
        <f t="shared" si="65"/>
        <v>0</v>
      </c>
      <c r="CI99" s="251">
        <f>IFERROR(VLOOKUP($B99,'MATRIZ INSUMOS '!$A$3:$P$106,10,0),"")</f>
        <v>0</v>
      </c>
      <c r="CJ99" s="156">
        <f>IFERROR(VLOOKUP($B99,'[5]INSUMOS MARZO'!$A$2:$S$105,14,0),"")</f>
        <v>29553.699600000004</v>
      </c>
      <c r="CK99" s="159">
        <f t="shared" si="66"/>
        <v>0</v>
      </c>
      <c r="CL99" s="160">
        <f t="shared" si="67"/>
        <v>0</v>
      </c>
      <c r="CM99" s="14">
        <f t="shared" si="68"/>
        <v>0</v>
      </c>
      <c r="CN99" s="14">
        <f t="shared" si="69"/>
        <v>0</v>
      </c>
      <c r="CO99" s="14">
        <f t="shared" si="70"/>
        <v>0</v>
      </c>
      <c r="CQ99" s="19">
        <f t="shared" si="71"/>
        <v>0</v>
      </c>
      <c r="CR99" s="19" t="b">
        <f t="shared" si="72"/>
        <v>1</v>
      </c>
      <c r="CS99" s="19">
        <f t="shared" si="73"/>
        <v>0</v>
      </c>
    </row>
    <row r="100" spans="1:97" ht="16.5">
      <c r="A100" s="3">
        <v>95</v>
      </c>
      <c r="B100" s="151">
        <v>212</v>
      </c>
      <c r="C100" s="4" t="s">
        <v>116</v>
      </c>
      <c r="D100" s="152">
        <f>IFERROR(VLOOKUP($B100,'[4]INSUMOS FEBRERO'!$A$2:$F$105,5,0),"")</f>
        <v>37</v>
      </c>
      <c r="E100" s="152" t="str">
        <f>IFERROR(VLOOKUP($B100,'PEDIDO JULIO'!$A$10:$AG$32,33,0),"0")</f>
        <v>0</v>
      </c>
      <c r="F100" s="152">
        <f t="shared" si="39"/>
        <v>-37</v>
      </c>
      <c r="G100" s="152" t="str">
        <f>IFERROR(VLOOKUP($B100,'PEDIDO JULIO'!$A$10:$AG$200,8,0),"0")</f>
        <v>0</v>
      </c>
      <c r="H100" s="153">
        <f>IFERROR(VLOOKUP($B100,'[5]INSUMOS MARZO'!$A$2:$S$105,17,0),"")</f>
        <v>2505.5839999999998</v>
      </c>
      <c r="I100" s="154">
        <f t="shared" si="37"/>
        <v>0</v>
      </c>
      <c r="J100" s="152" t="str">
        <f>IFERROR(VLOOKUP($B100,'PEDIDO JULIO'!$A$10:$AG$200,9,0),"0")</f>
        <v>0</v>
      </c>
      <c r="K100" s="153">
        <f>IFERROR(VLOOKUP($B100,'[5]INSUMOS MARZO'!$A$2:$S$105,17,0),"")</f>
        <v>2505.5839999999998</v>
      </c>
      <c r="L100" s="155">
        <f t="shared" si="40"/>
        <v>0</v>
      </c>
      <c r="M100" s="152" t="str">
        <f>IFERROR(VLOOKUP($B100,'PEDIDO JULIO'!$A$10:$AG$200,10,0),"0")</f>
        <v>0</v>
      </c>
      <c r="N100" s="153">
        <f>IFERROR(VLOOKUP($B100,'[5]INSUMOS MARZO'!$A$2:$S$105,17,0),"")</f>
        <v>2505.5839999999998</v>
      </c>
      <c r="O100" s="154">
        <f t="shared" si="41"/>
        <v>0</v>
      </c>
      <c r="P100" s="152" t="str">
        <f>IFERROR(VLOOKUP($B100,'PEDIDO JULIO'!$A$10:$AG$200,11,0),"0")</f>
        <v>0</v>
      </c>
      <c r="Q100" s="153">
        <f>IFERROR(VLOOKUP($B100,'[5]INSUMOS MARZO'!$A$2:$S$105,17,0),"")</f>
        <v>2505.5839999999998</v>
      </c>
      <c r="R100" s="154">
        <f t="shared" si="42"/>
        <v>0</v>
      </c>
      <c r="S100" s="152" t="str">
        <f>IFERROR(VLOOKUP($B100,'PEDIDO JULIO'!$A$10:$AG$200,12,0),"0")</f>
        <v>0</v>
      </c>
      <c r="T100" s="153">
        <f>IFERROR(VLOOKUP($B100,'[5]INSUMOS MARZO'!$A$2:$S$105,17,0),"")</f>
        <v>2505.5839999999998</v>
      </c>
      <c r="U100" s="154">
        <f t="shared" si="43"/>
        <v>0</v>
      </c>
      <c r="V100" s="152" t="str">
        <f>IFERROR(VLOOKUP($B100,'PEDIDO JULIO'!$A$10:$AG$200,13,0),"0")</f>
        <v>0</v>
      </c>
      <c r="W100" s="153">
        <f>IFERROR(VLOOKUP($B100,'[5]INSUMOS MARZO'!$A$2:$S$105,17,0),"")</f>
        <v>2505.5839999999998</v>
      </c>
      <c r="X100" s="154">
        <f t="shared" si="44"/>
        <v>0</v>
      </c>
      <c r="Y100" s="152" t="str">
        <f>IFERROR(VLOOKUP($B100,'PEDIDO JULIO'!$A$10:$AG$200,14,0),"0")</f>
        <v>0</v>
      </c>
      <c r="Z100" s="153">
        <f>IFERROR(VLOOKUP($B100,'[5]INSUMOS MARZO'!$A$2:$S$105,17,0),"")</f>
        <v>2505.5839999999998</v>
      </c>
      <c r="AA100" s="154">
        <f t="shared" si="45"/>
        <v>0</v>
      </c>
      <c r="AB100" s="152" t="str">
        <f>IFERROR(VLOOKUP($B100,'PEDIDO JULIO'!$A$10:$AG$200,15,0),"0")</f>
        <v>0</v>
      </c>
      <c r="AC100" s="153">
        <f>IFERROR(VLOOKUP($B100,'[5]INSUMOS MARZO'!$A$2:$S$105,17,0),"")</f>
        <v>2505.5839999999998</v>
      </c>
      <c r="AD100" s="154">
        <f t="shared" si="46"/>
        <v>0</v>
      </c>
      <c r="AE100" s="152" t="str">
        <f>IFERROR(VLOOKUP($B100,'PEDIDO JULIO'!$A$10:$AG$200,16,0),"0")</f>
        <v>0</v>
      </c>
      <c r="AF100" s="153">
        <f>IFERROR(VLOOKUP($B100,'[5]INSUMOS MARZO'!$A$2:$S$105,17,0),"")</f>
        <v>2505.5839999999998</v>
      </c>
      <c r="AG100" s="154">
        <f t="shared" si="47"/>
        <v>0</v>
      </c>
      <c r="AH100" s="152" t="str">
        <f>IFERROR(VLOOKUP($B100,'PEDIDO JULIO'!$A$10:$AG$200,17,0),"0")</f>
        <v>0</v>
      </c>
      <c r="AI100" s="153">
        <f>IFERROR(VLOOKUP($B100,'[5]INSUMOS MARZO'!$A$2:$S$105,17,0),"")</f>
        <v>2505.5839999999998</v>
      </c>
      <c r="AJ100" s="154">
        <f t="shared" si="48"/>
        <v>0</v>
      </c>
      <c r="AK100" s="152" t="str">
        <f>IFERROR(VLOOKUP($B100,'PEDIDO JULIO'!$A$10:$AG$200,18,0),"0")</f>
        <v>0</v>
      </c>
      <c r="AL100" s="153">
        <f>IFERROR(VLOOKUP($B100,'[5]INSUMOS MARZO'!$A$2:$S$105,17,0),"")</f>
        <v>2505.5839999999998</v>
      </c>
      <c r="AM100" s="154">
        <f t="shared" si="49"/>
        <v>0</v>
      </c>
      <c r="AN100" s="152" t="str">
        <f>IFERROR(VLOOKUP($B100,'PEDIDO JULIO'!$A$10:$AG$200,19,0),"0")</f>
        <v>0</v>
      </c>
      <c r="AO100" s="153">
        <f>IFERROR(VLOOKUP($B100,'[5]INSUMOS MARZO'!$A$2:$S$105,17,0),"")</f>
        <v>2505.5839999999998</v>
      </c>
      <c r="AP100" s="154">
        <f t="shared" si="50"/>
        <v>0</v>
      </c>
      <c r="AQ100" s="152" t="str">
        <f>IFERROR(VLOOKUP($B100,'PEDIDO JULIO'!$A$10:$AG$200,20,0),"0")</f>
        <v>0</v>
      </c>
      <c r="AR100" s="153">
        <f>IFERROR(VLOOKUP($B100,'[5]INSUMOS MARZO'!$A$2:$S$105,17,0),"")</f>
        <v>2505.5839999999998</v>
      </c>
      <c r="AS100" s="154">
        <f t="shared" si="51"/>
        <v>0</v>
      </c>
      <c r="AT100" s="152" t="str">
        <f>IFERROR(VLOOKUP($B100,'PEDIDO JULIO'!$A$10:$AG$200,21,0),"0")</f>
        <v>0</v>
      </c>
      <c r="AU100" s="156">
        <f>IFERROR(VLOOKUP($B100,'[5]INSUMOS MARZO'!$A$2:$S$105,14,0),"")</f>
        <v>3333.3516</v>
      </c>
      <c r="AV100" s="154">
        <f t="shared" si="52"/>
        <v>0</v>
      </c>
      <c r="AW100" s="152" t="str">
        <f>IFERROR(VLOOKUP($B100,'PEDIDO JULIO'!$A$10:$AG$200,22,0),"0")</f>
        <v>0</v>
      </c>
      <c r="AX100" s="153">
        <f>IFERROR(VLOOKUP($B100,'[5]INSUMOS MARZO'!$A$2:$S$105,17,0),"")</f>
        <v>2505.5839999999998</v>
      </c>
      <c r="AY100" s="154">
        <f t="shared" si="53"/>
        <v>0</v>
      </c>
      <c r="AZ100" s="152" t="str">
        <f>IFERROR(VLOOKUP($B100,'PEDIDO JULIO'!$A$10:$AG$200,23,0),"0")</f>
        <v>0</v>
      </c>
      <c r="BA100" s="153">
        <f>IFERROR(VLOOKUP($B100,'[5]INSUMOS MARZO'!$A$2:$S$105,17,0),"")</f>
        <v>2505.5839999999998</v>
      </c>
      <c r="BB100" s="154">
        <f t="shared" si="54"/>
        <v>0</v>
      </c>
      <c r="BC100" s="152" t="str">
        <f>IFERROR(VLOOKUP($B100,'PEDIDO JULIO'!$A$10:$AG$200,24,0),"0")</f>
        <v>0</v>
      </c>
      <c r="BD100" s="153">
        <f>IFERROR(VLOOKUP($B100,'[5]INSUMOS MARZO'!$A$2:$S$105,17,0),"")</f>
        <v>2505.5839999999998</v>
      </c>
      <c r="BE100" s="155">
        <f t="shared" si="55"/>
        <v>0</v>
      </c>
      <c r="BF100" s="152" t="str">
        <f>IFERROR(VLOOKUP($B100,'PEDIDO JULIO'!$A$10:$AG$200,25,0),"0")</f>
        <v>0</v>
      </c>
      <c r="BG100" s="153">
        <f>IFERROR(VLOOKUP($B100,'[5]INSUMOS MARZO'!$A$2:$S$105,17,0),"")</f>
        <v>2505.5839999999998</v>
      </c>
      <c r="BH100" s="155">
        <f t="shared" si="56"/>
        <v>0</v>
      </c>
      <c r="BI100" s="152" t="str">
        <f>IFERROR(VLOOKUP($B100,'PEDIDO JULIO'!$A$10:$AG$200,26,0),"0")</f>
        <v>0</v>
      </c>
      <c r="BJ100" s="153">
        <f>IFERROR(VLOOKUP($B100,'[5]INSUMOS MARZO'!$A$2:$S$105,17,0),"")</f>
        <v>2505.5839999999998</v>
      </c>
      <c r="BK100" s="154">
        <f t="shared" si="57"/>
        <v>0</v>
      </c>
      <c r="BL100" s="152" t="str">
        <f>IFERROR(VLOOKUP($B100,'PEDIDO JULIO'!$A$10:$AG$200,27,0),"0")</f>
        <v>0</v>
      </c>
      <c r="BM100" s="153">
        <f>IFERROR(VLOOKUP($B100,'[5]INSUMOS MARZO'!$A$2:$S$105,17,0),"")</f>
        <v>2505.5839999999998</v>
      </c>
      <c r="BN100" s="154">
        <f t="shared" si="58"/>
        <v>0</v>
      </c>
      <c r="BO100" s="152" t="str">
        <f>IFERROR(VLOOKUP($B100,'PEDIDO JULIO'!$A$10:$AG$200,28,0),"0")</f>
        <v>0</v>
      </c>
      <c r="BP100" s="153">
        <f>IFERROR(VLOOKUP($B100,'[5]INSUMOS MARZO'!$A$2:$S$105,17,0),"")</f>
        <v>2505.5839999999998</v>
      </c>
      <c r="BQ100" s="154">
        <f t="shared" si="59"/>
        <v>0</v>
      </c>
      <c r="BR100" s="152" t="str">
        <f>IFERROR(VLOOKUP($B100,'PEDIDO JULIO'!$A$10:$AG$200,29,0),"0")</f>
        <v>0</v>
      </c>
      <c r="BS100" s="153">
        <f>IFERROR(VLOOKUP($B100,'[5]INSUMOS MARZO'!$A$2:$S$105,17,0),"")</f>
        <v>2505.5839999999998</v>
      </c>
      <c r="BT100" s="155">
        <f t="shared" si="60"/>
        <v>0</v>
      </c>
      <c r="BU100" s="152" t="str">
        <f>IFERROR(VLOOKUP($B100,'PEDIDO JULIO'!$A$10:$AG$200,30,0),"0")</f>
        <v>0</v>
      </c>
      <c r="BV100" s="153">
        <f>IFERROR(VLOOKUP($B100,'[5]INSUMOS MARZO'!$A$2:$S$105,17,0),"")</f>
        <v>2505.5839999999998</v>
      </c>
      <c r="BW100" s="155">
        <f t="shared" si="61"/>
        <v>0</v>
      </c>
      <c r="BX100" s="152" t="str">
        <f>IFERROR(VLOOKUP($B100,'PEDIDO JULIO'!$A$10:$AG$200,31,0),"0")</f>
        <v>0</v>
      </c>
      <c r="BY100" s="153">
        <f>IFERROR(VLOOKUP($B100,'[5]INSUMOS MARZO'!$A$2:$S$105,17,0),"")</f>
        <v>2505.5839999999998</v>
      </c>
      <c r="BZ100" s="155">
        <f t="shared" si="62"/>
        <v>0</v>
      </c>
      <c r="CA100" s="152" t="str">
        <f>IFERROR(VLOOKUP($B100,'PEDIDO JULIO'!$A$10:$AG$200,32,0),"0")</f>
        <v>0</v>
      </c>
      <c r="CB100" s="153">
        <f>IFERROR(VLOOKUP($B100,'[5]INSUMOS MARZO'!$A$2:$S$105,17,0),"")</f>
        <v>2505.5839999999998</v>
      </c>
      <c r="CC100" s="155">
        <f t="shared" si="63"/>
        <v>0</v>
      </c>
      <c r="CD100" s="157">
        <f t="shared" si="38"/>
        <v>0</v>
      </c>
      <c r="CE100" s="158">
        <f t="shared" si="64"/>
        <v>0</v>
      </c>
      <c r="CF100" s="251">
        <f>IFERROR(VLOOKUP($B100,'MATRIZ INSUMOS '!$A$3:$P$106,16,0),"")</f>
        <v>0</v>
      </c>
      <c r="CG100" s="153">
        <f>IFERROR(VLOOKUP($B100,'[5]INSUMOS MARZO'!$A$2:$S$105,17,0),"")</f>
        <v>2505.5839999999998</v>
      </c>
      <c r="CH100" s="156">
        <f t="shared" si="65"/>
        <v>0</v>
      </c>
      <c r="CI100" s="251">
        <f>IFERROR(VLOOKUP($B100,'MATRIZ INSUMOS '!$A$3:$P$106,10,0),"")</f>
        <v>0</v>
      </c>
      <c r="CJ100" s="156">
        <f>IFERROR(VLOOKUP($B100,'[5]INSUMOS MARZO'!$A$2:$S$105,14,0),"")</f>
        <v>3333.3516</v>
      </c>
      <c r="CK100" s="159">
        <f t="shared" si="66"/>
        <v>0</v>
      </c>
      <c r="CL100" s="160">
        <f t="shared" si="67"/>
        <v>0</v>
      </c>
      <c r="CM100" s="14">
        <f t="shared" si="68"/>
        <v>0</v>
      </c>
      <c r="CN100" s="14">
        <f t="shared" si="69"/>
        <v>0</v>
      </c>
      <c r="CO100" s="14">
        <f t="shared" si="70"/>
        <v>0</v>
      </c>
      <c r="CQ100" s="19">
        <f t="shared" si="71"/>
        <v>0</v>
      </c>
      <c r="CR100" s="19" t="b">
        <f t="shared" si="72"/>
        <v>1</v>
      </c>
      <c r="CS100" s="19">
        <f t="shared" si="73"/>
        <v>0</v>
      </c>
    </row>
    <row r="101" spans="1:97" ht="16.5">
      <c r="A101" s="3">
        <v>96</v>
      </c>
      <c r="B101" s="151">
        <v>213</v>
      </c>
      <c r="C101" s="4" t="s">
        <v>638</v>
      </c>
      <c r="D101" s="152">
        <f>IFERROR(VLOOKUP($B101,'[4]INSUMOS FEBRERO'!$A$2:$F$105,5,0),"")</f>
        <v>1</v>
      </c>
      <c r="E101" s="152" t="str">
        <f>IFERROR(VLOOKUP($B101,'PEDIDO JULIO'!$A$10:$AG$32,33,0),"0")</f>
        <v>0</v>
      </c>
      <c r="F101" s="152">
        <f t="shared" si="39"/>
        <v>-1</v>
      </c>
      <c r="G101" s="152" t="str">
        <f>IFERROR(VLOOKUP($B101,'PEDIDO JULIO'!$A$10:$AG$200,8,0),"0")</f>
        <v>0</v>
      </c>
      <c r="H101" s="153">
        <f>IFERROR(VLOOKUP($B101,'[5]INSUMOS MARZO'!$A$2:$S$105,17,0),"")</f>
        <v>0</v>
      </c>
      <c r="I101" s="154">
        <f t="shared" si="37"/>
        <v>0</v>
      </c>
      <c r="J101" s="152" t="str">
        <f>IFERROR(VLOOKUP($B101,'PEDIDO JULIO'!$A$10:$AG$200,9,0),"0")</f>
        <v>0</v>
      </c>
      <c r="K101" s="153">
        <f>IFERROR(VLOOKUP($B101,'[5]INSUMOS MARZO'!$A$2:$S$105,17,0),"")</f>
        <v>0</v>
      </c>
      <c r="L101" s="155">
        <f t="shared" si="40"/>
        <v>0</v>
      </c>
      <c r="M101" s="152" t="str">
        <f>IFERROR(VLOOKUP($B101,'PEDIDO JULIO'!$A$10:$AG$200,10,0),"0")</f>
        <v>0</v>
      </c>
      <c r="N101" s="153">
        <f>IFERROR(VLOOKUP($B101,'[5]INSUMOS MARZO'!$A$2:$S$105,17,0),"")</f>
        <v>0</v>
      </c>
      <c r="O101" s="154">
        <f t="shared" si="41"/>
        <v>0</v>
      </c>
      <c r="P101" s="152" t="str">
        <f>IFERROR(VLOOKUP($B101,'PEDIDO JULIO'!$A$10:$AG$200,11,0),"0")</f>
        <v>0</v>
      </c>
      <c r="Q101" s="153">
        <f>IFERROR(VLOOKUP($B101,'[5]INSUMOS MARZO'!$A$2:$S$105,17,0),"")</f>
        <v>0</v>
      </c>
      <c r="R101" s="154">
        <f t="shared" si="42"/>
        <v>0</v>
      </c>
      <c r="S101" s="152" t="str">
        <f>IFERROR(VLOOKUP($B101,'PEDIDO JULIO'!$A$10:$AG$200,12,0),"0")</f>
        <v>0</v>
      </c>
      <c r="T101" s="153">
        <f>IFERROR(VLOOKUP($B101,'[5]INSUMOS MARZO'!$A$2:$S$105,17,0),"")</f>
        <v>0</v>
      </c>
      <c r="U101" s="154">
        <f t="shared" si="43"/>
        <v>0</v>
      </c>
      <c r="V101" s="152" t="str">
        <f>IFERROR(VLOOKUP($B101,'PEDIDO JULIO'!$A$10:$AG$200,13,0),"0")</f>
        <v>0</v>
      </c>
      <c r="W101" s="153">
        <f>IFERROR(VLOOKUP($B101,'[5]INSUMOS MARZO'!$A$2:$S$105,17,0),"")</f>
        <v>0</v>
      </c>
      <c r="X101" s="154">
        <f t="shared" si="44"/>
        <v>0</v>
      </c>
      <c r="Y101" s="152" t="str">
        <f>IFERROR(VLOOKUP($B101,'PEDIDO JULIO'!$A$10:$AG$200,14,0),"0")</f>
        <v>0</v>
      </c>
      <c r="Z101" s="153">
        <f>IFERROR(VLOOKUP($B101,'[5]INSUMOS MARZO'!$A$2:$S$105,17,0),"")</f>
        <v>0</v>
      </c>
      <c r="AA101" s="154">
        <f t="shared" si="45"/>
        <v>0</v>
      </c>
      <c r="AB101" s="152" t="str">
        <f>IFERROR(VLOOKUP($B101,'PEDIDO JULIO'!$A$10:$AG$200,15,0),"0")</f>
        <v>0</v>
      </c>
      <c r="AC101" s="153">
        <f>IFERROR(VLOOKUP($B101,'[5]INSUMOS MARZO'!$A$2:$S$105,17,0),"")</f>
        <v>0</v>
      </c>
      <c r="AD101" s="154">
        <f t="shared" si="46"/>
        <v>0</v>
      </c>
      <c r="AE101" s="152" t="str">
        <f>IFERROR(VLOOKUP($B101,'PEDIDO JULIO'!$A$10:$AG$200,16,0),"0")</f>
        <v>0</v>
      </c>
      <c r="AF101" s="153">
        <f>IFERROR(VLOOKUP($B101,'[5]INSUMOS MARZO'!$A$2:$S$105,17,0),"")</f>
        <v>0</v>
      </c>
      <c r="AG101" s="154">
        <f t="shared" si="47"/>
        <v>0</v>
      </c>
      <c r="AH101" s="152" t="str">
        <f>IFERROR(VLOOKUP($B101,'PEDIDO JULIO'!$A$10:$AG$200,17,0),"0")</f>
        <v>0</v>
      </c>
      <c r="AI101" s="153">
        <f>IFERROR(VLOOKUP($B101,'[5]INSUMOS MARZO'!$A$2:$S$105,17,0),"")</f>
        <v>0</v>
      </c>
      <c r="AJ101" s="154">
        <f t="shared" si="48"/>
        <v>0</v>
      </c>
      <c r="AK101" s="152" t="str">
        <f>IFERROR(VLOOKUP($B101,'PEDIDO JULIO'!$A$10:$AG$200,18,0),"0")</f>
        <v>0</v>
      </c>
      <c r="AL101" s="153">
        <f>IFERROR(VLOOKUP($B101,'[5]INSUMOS MARZO'!$A$2:$S$105,17,0),"")</f>
        <v>0</v>
      </c>
      <c r="AM101" s="154">
        <f t="shared" si="49"/>
        <v>0</v>
      </c>
      <c r="AN101" s="152" t="str">
        <f>IFERROR(VLOOKUP($B101,'PEDIDO JULIO'!$A$10:$AG$200,19,0),"0")</f>
        <v>0</v>
      </c>
      <c r="AO101" s="153">
        <f>IFERROR(VLOOKUP($B101,'[5]INSUMOS MARZO'!$A$2:$S$105,17,0),"")</f>
        <v>0</v>
      </c>
      <c r="AP101" s="154">
        <f t="shared" si="50"/>
        <v>0</v>
      </c>
      <c r="AQ101" s="152" t="str">
        <f>IFERROR(VLOOKUP($B101,'PEDIDO JULIO'!$A$10:$AG$200,20,0),"0")</f>
        <v>0</v>
      </c>
      <c r="AR101" s="153">
        <f>IFERROR(VLOOKUP($B101,'[5]INSUMOS MARZO'!$A$2:$S$105,17,0),"")</f>
        <v>0</v>
      </c>
      <c r="AS101" s="154">
        <f t="shared" si="51"/>
        <v>0</v>
      </c>
      <c r="AT101" s="152" t="str">
        <f>IFERROR(VLOOKUP($B101,'PEDIDO JULIO'!$A$10:$AG$200,21,0),"0")</f>
        <v>0</v>
      </c>
      <c r="AU101" s="156">
        <f>IFERROR(VLOOKUP($B101,'[5]INSUMOS MARZO'!$A$2:$S$105,14,0),"")</f>
        <v>10448.411399999999</v>
      </c>
      <c r="AV101" s="154">
        <f t="shared" si="52"/>
        <v>0</v>
      </c>
      <c r="AW101" s="152" t="str">
        <f>IFERROR(VLOOKUP($B101,'PEDIDO JULIO'!$A$10:$AG$200,22,0),"0")</f>
        <v>0</v>
      </c>
      <c r="AX101" s="153">
        <f>IFERROR(VLOOKUP($B101,'[5]INSUMOS MARZO'!$A$2:$S$105,17,0),"")</f>
        <v>0</v>
      </c>
      <c r="AY101" s="154">
        <f t="shared" si="53"/>
        <v>0</v>
      </c>
      <c r="AZ101" s="152" t="str">
        <f>IFERROR(VLOOKUP($B101,'PEDIDO JULIO'!$A$10:$AG$200,23,0),"0")</f>
        <v>0</v>
      </c>
      <c r="BA101" s="153">
        <f>IFERROR(VLOOKUP($B101,'[5]INSUMOS MARZO'!$A$2:$S$105,17,0),"")</f>
        <v>0</v>
      </c>
      <c r="BB101" s="154">
        <f t="shared" si="54"/>
        <v>0</v>
      </c>
      <c r="BC101" s="152" t="str">
        <f>IFERROR(VLOOKUP($B101,'PEDIDO JULIO'!$A$10:$AG$200,24,0),"0")</f>
        <v>0</v>
      </c>
      <c r="BD101" s="153">
        <f>IFERROR(VLOOKUP($B101,'[5]INSUMOS MARZO'!$A$2:$S$105,17,0),"")</f>
        <v>0</v>
      </c>
      <c r="BE101" s="155">
        <f t="shared" si="55"/>
        <v>0</v>
      </c>
      <c r="BF101" s="152" t="str">
        <f>IFERROR(VLOOKUP($B101,'PEDIDO JULIO'!$A$10:$AG$200,25,0),"0")</f>
        <v>0</v>
      </c>
      <c r="BG101" s="153">
        <f>IFERROR(VLOOKUP($B101,'[5]INSUMOS MARZO'!$A$2:$S$105,17,0),"")</f>
        <v>0</v>
      </c>
      <c r="BH101" s="155">
        <f t="shared" si="56"/>
        <v>0</v>
      </c>
      <c r="BI101" s="152" t="str">
        <f>IFERROR(VLOOKUP($B101,'PEDIDO JULIO'!$A$10:$AG$200,26,0),"0")</f>
        <v>0</v>
      </c>
      <c r="BJ101" s="153">
        <f>IFERROR(VLOOKUP($B101,'[5]INSUMOS MARZO'!$A$2:$S$105,17,0),"")</f>
        <v>0</v>
      </c>
      <c r="BK101" s="154">
        <f t="shared" si="57"/>
        <v>0</v>
      </c>
      <c r="BL101" s="152" t="str">
        <f>IFERROR(VLOOKUP($B101,'PEDIDO JULIO'!$A$10:$AG$200,27,0),"0")</f>
        <v>0</v>
      </c>
      <c r="BM101" s="153">
        <f>IFERROR(VLOOKUP($B101,'[5]INSUMOS MARZO'!$A$2:$S$105,17,0),"")</f>
        <v>0</v>
      </c>
      <c r="BN101" s="154">
        <f t="shared" si="58"/>
        <v>0</v>
      </c>
      <c r="BO101" s="152" t="str">
        <f>IFERROR(VLOOKUP($B101,'PEDIDO JULIO'!$A$10:$AG$200,28,0),"0")</f>
        <v>0</v>
      </c>
      <c r="BP101" s="153">
        <f>IFERROR(VLOOKUP($B101,'[5]INSUMOS MARZO'!$A$2:$S$105,17,0),"")</f>
        <v>0</v>
      </c>
      <c r="BQ101" s="154">
        <f t="shared" si="59"/>
        <v>0</v>
      </c>
      <c r="BR101" s="152" t="str">
        <f>IFERROR(VLOOKUP($B101,'PEDIDO JULIO'!$A$10:$AG$200,29,0),"0")</f>
        <v>0</v>
      </c>
      <c r="BS101" s="153">
        <f>IFERROR(VLOOKUP($B101,'[5]INSUMOS MARZO'!$A$2:$S$105,17,0),"")</f>
        <v>0</v>
      </c>
      <c r="BT101" s="155">
        <f t="shared" si="60"/>
        <v>0</v>
      </c>
      <c r="BU101" s="152" t="str">
        <f>IFERROR(VLOOKUP($B101,'PEDIDO JULIO'!$A$10:$AG$200,30,0),"0")</f>
        <v>0</v>
      </c>
      <c r="BV101" s="153">
        <f>IFERROR(VLOOKUP($B101,'[5]INSUMOS MARZO'!$A$2:$S$105,17,0),"")</f>
        <v>0</v>
      </c>
      <c r="BW101" s="155">
        <f t="shared" si="61"/>
        <v>0</v>
      </c>
      <c r="BX101" s="152" t="str">
        <f>IFERROR(VLOOKUP($B101,'PEDIDO JULIO'!$A$10:$AG$200,31,0),"0")</f>
        <v>0</v>
      </c>
      <c r="BY101" s="153">
        <f>IFERROR(VLOOKUP($B101,'[5]INSUMOS MARZO'!$A$2:$S$105,17,0),"")</f>
        <v>0</v>
      </c>
      <c r="BZ101" s="155">
        <f t="shared" si="62"/>
        <v>0</v>
      </c>
      <c r="CA101" s="152" t="str">
        <f>IFERROR(VLOOKUP($B101,'PEDIDO JULIO'!$A$10:$AG$200,32,0),"0")</f>
        <v>0</v>
      </c>
      <c r="CB101" s="153">
        <f>IFERROR(VLOOKUP($B101,'[5]INSUMOS MARZO'!$A$2:$S$105,17,0),"")</f>
        <v>0</v>
      </c>
      <c r="CC101" s="155">
        <f t="shared" si="63"/>
        <v>0</v>
      </c>
      <c r="CD101" s="157">
        <f t="shared" si="38"/>
        <v>0</v>
      </c>
      <c r="CE101" s="158">
        <f t="shared" si="64"/>
        <v>0</v>
      </c>
      <c r="CF101" s="251">
        <f>IFERROR(VLOOKUP($B101,'MATRIZ INSUMOS '!$A$3:$P$106,16,0),"")</f>
        <v>0</v>
      </c>
      <c r="CG101" s="153">
        <f>IFERROR(VLOOKUP($B101,'[5]INSUMOS MARZO'!$A$2:$S$105,17,0),"")</f>
        <v>0</v>
      </c>
      <c r="CH101" s="156">
        <f t="shared" si="65"/>
        <v>0</v>
      </c>
      <c r="CI101" s="251">
        <f>IFERROR(VLOOKUP($B101,'MATRIZ INSUMOS '!$A$3:$P$106,10,0),"")</f>
        <v>0</v>
      </c>
      <c r="CJ101" s="156">
        <f>IFERROR(VLOOKUP($B101,'[5]INSUMOS MARZO'!$A$2:$S$105,14,0),"")</f>
        <v>10448.411399999999</v>
      </c>
      <c r="CK101" s="159">
        <f t="shared" si="66"/>
        <v>0</v>
      </c>
      <c r="CL101" s="160">
        <f t="shared" si="67"/>
        <v>0</v>
      </c>
      <c r="CM101" s="14">
        <f t="shared" si="68"/>
        <v>0</v>
      </c>
      <c r="CN101" s="14">
        <f t="shared" si="69"/>
        <v>0</v>
      </c>
      <c r="CO101" s="14">
        <f t="shared" si="70"/>
        <v>0</v>
      </c>
      <c r="CQ101" s="19">
        <f t="shared" si="71"/>
        <v>0</v>
      </c>
      <c r="CR101" s="19" t="b">
        <f t="shared" si="72"/>
        <v>1</v>
      </c>
      <c r="CS101" s="19">
        <f t="shared" si="73"/>
        <v>0</v>
      </c>
    </row>
    <row r="102" spans="1:97" ht="16.5">
      <c r="A102" s="3">
        <v>97</v>
      </c>
      <c r="B102" s="151">
        <v>215</v>
      </c>
      <c r="C102" s="4" t="s">
        <v>639</v>
      </c>
      <c r="D102" s="152">
        <f>IFERROR(VLOOKUP($B102,'[4]INSUMOS FEBRERO'!$A$2:$F$105,5,0),"")</f>
        <v>15</v>
      </c>
      <c r="E102" s="152" t="str">
        <f>IFERROR(VLOOKUP($B102,'PEDIDO JULIO'!$A$10:$AG$32,33,0),"0")</f>
        <v>0</v>
      </c>
      <c r="F102" s="152">
        <f t="shared" si="39"/>
        <v>-15</v>
      </c>
      <c r="G102" s="152" t="str">
        <f>IFERROR(VLOOKUP($B102,'PEDIDO JULIO'!$A$10:$AG$200,8,0),"0")</f>
        <v>0</v>
      </c>
      <c r="H102" s="153">
        <f>IFERROR(VLOOKUP($B102,'[5]INSUMOS MARZO'!$A$2:$S$105,17,0),"")</f>
        <v>10476.367999999999</v>
      </c>
      <c r="I102" s="154">
        <f t="shared" si="37"/>
        <v>0</v>
      </c>
      <c r="J102" s="152" t="str">
        <f>IFERROR(VLOOKUP($B102,'PEDIDO JULIO'!$A$10:$AG$200,9,0),"0")</f>
        <v>0</v>
      </c>
      <c r="K102" s="153">
        <f>IFERROR(VLOOKUP($B102,'[5]INSUMOS MARZO'!$A$2:$S$105,17,0),"")</f>
        <v>10476.367999999999</v>
      </c>
      <c r="L102" s="155">
        <f t="shared" si="40"/>
        <v>0</v>
      </c>
      <c r="M102" s="152" t="str">
        <f>IFERROR(VLOOKUP($B102,'PEDIDO JULIO'!$A$10:$AG$200,10,0),"0")</f>
        <v>0</v>
      </c>
      <c r="N102" s="153">
        <f>IFERROR(VLOOKUP($B102,'[5]INSUMOS MARZO'!$A$2:$S$105,17,0),"")</f>
        <v>10476.367999999999</v>
      </c>
      <c r="O102" s="154">
        <f t="shared" si="41"/>
        <v>0</v>
      </c>
      <c r="P102" s="152" t="str">
        <f>IFERROR(VLOOKUP($B102,'PEDIDO JULIO'!$A$10:$AG$200,11,0),"0")</f>
        <v>0</v>
      </c>
      <c r="Q102" s="153">
        <f>IFERROR(VLOOKUP($B102,'[5]INSUMOS MARZO'!$A$2:$S$105,17,0),"")</f>
        <v>10476.367999999999</v>
      </c>
      <c r="R102" s="154">
        <f t="shared" si="42"/>
        <v>0</v>
      </c>
      <c r="S102" s="152" t="str">
        <f>IFERROR(VLOOKUP($B102,'PEDIDO JULIO'!$A$10:$AG$200,12,0),"0")</f>
        <v>0</v>
      </c>
      <c r="T102" s="153">
        <f>IFERROR(VLOOKUP($B102,'[5]INSUMOS MARZO'!$A$2:$S$105,17,0),"")</f>
        <v>10476.367999999999</v>
      </c>
      <c r="U102" s="154">
        <f t="shared" si="43"/>
        <v>0</v>
      </c>
      <c r="V102" s="152" t="str">
        <f>IFERROR(VLOOKUP($B102,'PEDIDO JULIO'!$A$10:$AG$200,13,0),"0")</f>
        <v>0</v>
      </c>
      <c r="W102" s="153">
        <f>IFERROR(VLOOKUP($B102,'[5]INSUMOS MARZO'!$A$2:$S$105,17,0),"")</f>
        <v>10476.367999999999</v>
      </c>
      <c r="X102" s="154">
        <f t="shared" si="44"/>
        <v>0</v>
      </c>
      <c r="Y102" s="152" t="str">
        <f>IFERROR(VLOOKUP($B102,'PEDIDO JULIO'!$A$10:$AG$200,14,0),"0")</f>
        <v>0</v>
      </c>
      <c r="Z102" s="153">
        <f>IFERROR(VLOOKUP($B102,'[5]INSUMOS MARZO'!$A$2:$S$105,17,0),"")</f>
        <v>10476.367999999999</v>
      </c>
      <c r="AA102" s="154">
        <f t="shared" si="45"/>
        <v>0</v>
      </c>
      <c r="AB102" s="152" t="str">
        <f>IFERROR(VLOOKUP($B102,'PEDIDO JULIO'!$A$10:$AG$200,15,0),"0")</f>
        <v>0</v>
      </c>
      <c r="AC102" s="153">
        <f>IFERROR(VLOOKUP($B102,'[5]INSUMOS MARZO'!$A$2:$S$105,17,0),"")</f>
        <v>10476.367999999999</v>
      </c>
      <c r="AD102" s="154">
        <f t="shared" si="46"/>
        <v>0</v>
      </c>
      <c r="AE102" s="152" t="str">
        <f>IFERROR(VLOOKUP($B102,'PEDIDO JULIO'!$A$10:$AG$200,16,0),"0")</f>
        <v>0</v>
      </c>
      <c r="AF102" s="153">
        <f>IFERROR(VLOOKUP($B102,'[5]INSUMOS MARZO'!$A$2:$S$105,17,0),"")</f>
        <v>10476.367999999999</v>
      </c>
      <c r="AG102" s="154">
        <f t="shared" si="47"/>
        <v>0</v>
      </c>
      <c r="AH102" s="152" t="str">
        <f>IFERROR(VLOOKUP($B102,'PEDIDO JULIO'!$A$10:$AG$200,17,0),"0")</f>
        <v>0</v>
      </c>
      <c r="AI102" s="153">
        <f>IFERROR(VLOOKUP($B102,'[5]INSUMOS MARZO'!$A$2:$S$105,17,0),"")</f>
        <v>10476.367999999999</v>
      </c>
      <c r="AJ102" s="154">
        <f t="shared" si="48"/>
        <v>0</v>
      </c>
      <c r="AK102" s="152" t="str">
        <f>IFERROR(VLOOKUP($B102,'PEDIDO JULIO'!$A$10:$AG$200,18,0),"0")</f>
        <v>0</v>
      </c>
      <c r="AL102" s="153">
        <f>IFERROR(VLOOKUP($B102,'[5]INSUMOS MARZO'!$A$2:$S$105,17,0),"")</f>
        <v>10476.367999999999</v>
      </c>
      <c r="AM102" s="154">
        <f t="shared" si="49"/>
        <v>0</v>
      </c>
      <c r="AN102" s="152" t="str">
        <f>IFERROR(VLOOKUP($B102,'PEDIDO JULIO'!$A$10:$AG$200,19,0),"0")</f>
        <v>0</v>
      </c>
      <c r="AO102" s="153">
        <f>IFERROR(VLOOKUP($B102,'[5]INSUMOS MARZO'!$A$2:$S$105,17,0),"")</f>
        <v>10476.367999999999</v>
      </c>
      <c r="AP102" s="154">
        <f t="shared" si="50"/>
        <v>0</v>
      </c>
      <c r="AQ102" s="152" t="str">
        <f>IFERROR(VLOOKUP($B102,'PEDIDO JULIO'!$A$10:$AG$200,20,0),"0")</f>
        <v>0</v>
      </c>
      <c r="AR102" s="153">
        <f>IFERROR(VLOOKUP($B102,'[5]INSUMOS MARZO'!$A$2:$S$105,17,0),"")</f>
        <v>10476.367999999999</v>
      </c>
      <c r="AS102" s="154">
        <f t="shared" si="51"/>
        <v>0</v>
      </c>
      <c r="AT102" s="152" t="str">
        <f>IFERROR(VLOOKUP($B102,'PEDIDO JULIO'!$A$10:$AG$200,21,0),"0")</f>
        <v>0</v>
      </c>
      <c r="AU102" s="156">
        <f>IFERROR(VLOOKUP($B102,'[5]INSUMOS MARZO'!$A$2:$S$105,14,0),"")</f>
        <v>31743.458099999996</v>
      </c>
      <c r="AV102" s="154">
        <f t="shared" si="52"/>
        <v>0</v>
      </c>
      <c r="AW102" s="152" t="str">
        <f>IFERROR(VLOOKUP($B102,'PEDIDO JULIO'!$A$10:$AG$200,22,0),"0")</f>
        <v>0</v>
      </c>
      <c r="AX102" s="153">
        <f>IFERROR(VLOOKUP($B102,'[5]INSUMOS MARZO'!$A$2:$S$105,17,0),"")</f>
        <v>10476.367999999999</v>
      </c>
      <c r="AY102" s="154">
        <f t="shared" si="53"/>
        <v>0</v>
      </c>
      <c r="AZ102" s="152" t="str">
        <f>IFERROR(VLOOKUP($B102,'PEDIDO JULIO'!$A$10:$AG$200,23,0),"0")</f>
        <v>0</v>
      </c>
      <c r="BA102" s="153">
        <f>IFERROR(VLOOKUP($B102,'[5]INSUMOS MARZO'!$A$2:$S$105,17,0),"")</f>
        <v>10476.367999999999</v>
      </c>
      <c r="BB102" s="154">
        <f t="shared" si="54"/>
        <v>0</v>
      </c>
      <c r="BC102" s="152" t="str">
        <f>IFERROR(VLOOKUP($B102,'PEDIDO JULIO'!$A$10:$AG$200,24,0),"0")</f>
        <v>0</v>
      </c>
      <c r="BD102" s="153">
        <f>IFERROR(VLOOKUP($B102,'[5]INSUMOS MARZO'!$A$2:$S$105,17,0),"")</f>
        <v>10476.367999999999</v>
      </c>
      <c r="BE102" s="155">
        <f t="shared" si="55"/>
        <v>0</v>
      </c>
      <c r="BF102" s="152" t="str">
        <f>IFERROR(VLOOKUP($B102,'PEDIDO JULIO'!$A$10:$AG$200,25,0),"0")</f>
        <v>0</v>
      </c>
      <c r="BG102" s="153">
        <f>IFERROR(VLOOKUP($B102,'[5]INSUMOS MARZO'!$A$2:$S$105,17,0),"")</f>
        <v>10476.367999999999</v>
      </c>
      <c r="BH102" s="155">
        <f t="shared" si="56"/>
        <v>0</v>
      </c>
      <c r="BI102" s="152" t="str">
        <f>IFERROR(VLOOKUP($B102,'PEDIDO JULIO'!$A$10:$AG$200,26,0),"0")</f>
        <v>0</v>
      </c>
      <c r="BJ102" s="153">
        <f>IFERROR(VLOOKUP($B102,'[5]INSUMOS MARZO'!$A$2:$S$105,17,0),"")</f>
        <v>10476.367999999999</v>
      </c>
      <c r="BK102" s="154">
        <f t="shared" si="57"/>
        <v>0</v>
      </c>
      <c r="BL102" s="152" t="str">
        <f>IFERROR(VLOOKUP($B102,'PEDIDO JULIO'!$A$10:$AG$200,27,0),"0")</f>
        <v>0</v>
      </c>
      <c r="BM102" s="153">
        <f>IFERROR(VLOOKUP($B102,'[5]INSUMOS MARZO'!$A$2:$S$105,17,0),"")</f>
        <v>10476.367999999999</v>
      </c>
      <c r="BN102" s="154">
        <f t="shared" si="58"/>
        <v>0</v>
      </c>
      <c r="BO102" s="152" t="str">
        <f>IFERROR(VLOOKUP($B102,'PEDIDO JULIO'!$A$10:$AG$200,28,0),"0")</f>
        <v>0</v>
      </c>
      <c r="BP102" s="153">
        <f>IFERROR(VLOOKUP($B102,'[5]INSUMOS MARZO'!$A$2:$S$105,17,0),"")</f>
        <v>10476.367999999999</v>
      </c>
      <c r="BQ102" s="154">
        <f t="shared" si="59"/>
        <v>0</v>
      </c>
      <c r="BR102" s="152" t="str">
        <f>IFERROR(VLOOKUP($B102,'PEDIDO JULIO'!$A$10:$AG$200,29,0),"0")</f>
        <v>0</v>
      </c>
      <c r="BS102" s="153">
        <f>IFERROR(VLOOKUP($B102,'[5]INSUMOS MARZO'!$A$2:$S$105,17,0),"")</f>
        <v>10476.367999999999</v>
      </c>
      <c r="BT102" s="155">
        <f t="shared" si="60"/>
        <v>0</v>
      </c>
      <c r="BU102" s="152" t="str">
        <f>IFERROR(VLOOKUP($B102,'PEDIDO JULIO'!$A$10:$AG$200,30,0),"0")</f>
        <v>0</v>
      </c>
      <c r="BV102" s="153">
        <f>IFERROR(VLOOKUP($B102,'[5]INSUMOS MARZO'!$A$2:$S$105,17,0),"")</f>
        <v>10476.367999999999</v>
      </c>
      <c r="BW102" s="155">
        <f t="shared" si="61"/>
        <v>0</v>
      </c>
      <c r="BX102" s="152" t="str">
        <f>IFERROR(VLOOKUP($B102,'PEDIDO JULIO'!$A$10:$AG$200,31,0),"0")</f>
        <v>0</v>
      </c>
      <c r="BY102" s="153">
        <f>IFERROR(VLOOKUP($B102,'[5]INSUMOS MARZO'!$A$2:$S$105,17,0),"")</f>
        <v>10476.367999999999</v>
      </c>
      <c r="BZ102" s="155">
        <f t="shared" si="62"/>
        <v>0</v>
      </c>
      <c r="CA102" s="152" t="str">
        <f>IFERROR(VLOOKUP($B102,'PEDIDO JULIO'!$A$10:$AG$200,32,0),"0")</f>
        <v>0</v>
      </c>
      <c r="CB102" s="153">
        <f>IFERROR(VLOOKUP($B102,'[5]INSUMOS MARZO'!$A$2:$S$105,17,0),"")</f>
        <v>10476.367999999999</v>
      </c>
      <c r="CC102" s="155">
        <f t="shared" si="63"/>
        <v>0</v>
      </c>
      <c r="CD102" s="157">
        <f t="shared" si="38"/>
        <v>0</v>
      </c>
      <c r="CE102" s="158">
        <f t="shared" si="64"/>
        <v>0</v>
      </c>
      <c r="CF102" s="251">
        <f>IFERROR(VLOOKUP($B102,'MATRIZ INSUMOS '!$A$3:$P$106,16,0),"")</f>
        <v>0</v>
      </c>
      <c r="CG102" s="153">
        <f>IFERROR(VLOOKUP($B102,'[5]INSUMOS MARZO'!$A$2:$S$105,17,0),"")</f>
        <v>10476.367999999999</v>
      </c>
      <c r="CH102" s="156">
        <f t="shared" si="65"/>
        <v>0</v>
      </c>
      <c r="CI102" s="251">
        <f>IFERROR(VLOOKUP($B102,'MATRIZ INSUMOS '!$A$3:$P$106,10,0),"")</f>
        <v>0</v>
      </c>
      <c r="CJ102" s="156">
        <f>IFERROR(VLOOKUP($B102,'[5]INSUMOS MARZO'!$A$2:$S$105,14,0),"")</f>
        <v>31743.458099999996</v>
      </c>
      <c r="CK102" s="159">
        <f t="shared" si="66"/>
        <v>0</v>
      </c>
      <c r="CL102" s="160">
        <f t="shared" si="67"/>
        <v>0</v>
      </c>
      <c r="CM102" s="14">
        <f t="shared" si="68"/>
        <v>0</v>
      </c>
      <c r="CN102" s="14">
        <f t="shared" si="69"/>
        <v>0</v>
      </c>
      <c r="CO102" s="14">
        <f t="shared" si="70"/>
        <v>0</v>
      </c>
      <c r="CQ102" s="19">
        <f t="shared" si="71"/>
        <v>0</v>
      </c>
      <c r="CR102" s="19" t="b">
        <f t="shared" si="72"/>
        <v>1</v>
      </c>
      <c r="CS102" s="19">
        <f t="shared" si="73"/>
        <v>0</v>
      </c>
    </row>
    <row r="103" spans="1:97" ht="16.5">
      <c r="A103" s="3">
        <v>98</v>
      </c>
      <c r="B103" s="151">
        <v>216</v>
      </c>
      <c r="C103" s="4" t="s">
        <v>640</v>
      </c>
      <c r="D103" s="152">
        <f>IFERROR(VLOOKUP($B103,'[4]INSUMOS FEBRERO'!$A$2:$F$105,5,0),"")</f>
        <v>37</v>
      </c>
      <c r="E103" s="152" t="str">
        <f>IFERROR(VLOOKUP($B103,'PEDIDO JULIO'!$A$10:$AG$32,33,0),"0")</f>
        <v>0</v>
      </c>
      <c r="F103" s="152">
        <f t="shared" si="39"/>
        <v>-37</v>
      </c>
      <c r="G103" s="152" t="str">
        <f>IFERROR(VLOOKUP($B103,'PEDIDO JULIO'!$A$10:$AG$200,8,0),"0")</f>
        <v>0</v>
      </c>
      <c r="H103" s="153">
        <f>IFERROR(VLOOKUP($B103,'[5]INSUMOS MARZO'!$A$2:$S$105,17,0),"")</f>
        <v>3954.9129999999996</v>
      </c>
      <c r="I103" s="154">
        <f t="shared" si="37"/>
        <v>0</v>
      </c>
      <c r="J103" s="152" t="str">
        <f>IFERROR(VLOOKUP($B103,'PEDIDO JULIO'!$A$10:$AG$200,9,0),"0")</f>
        <v>0</v>
      </c>
      <c r="K103" s="153">
        <f>IFERROR(VLOOKUP($B103,'[5]INSUMOS MARZO'!$A$2:$S$105,17,0),"")</f>
        <v>3954.9129999999996</v>
      </c>
      <c r="L103" s="155">
        <f t="shared" si="40"/>
        <v>0</v>
      </c>
      <c r="M103" s="152" t="str">
        <f>IFERROR(VLOOKUP($B103,'PEDIDO JULIO'!$A$10:$AG$200,10,0),"0")</f>
        <v>0</v>
      </c>
      <c r="N103" s="153">
        <f>IFERROR(VLOOKUP($B103,'[5]INSUMOS MARZO'!$A$2:$S$105,17,0),"")</f>
        <v>3954.9129999999996</v>
      </c>
      <c r="O103" s="154">
        <f t="shared" si="41"/>
        <v>0</v>
      </c>
      <c r="P103" s="152" t="str">
        <f>IFERROR(VLOOKUP($B103,'PEDIDO JULIO'!$A$10:$AG$200,11,0),"0")</f>
        <v>0</v>
      </c>
      <c r="Q103" s="153">
        <f>IFERROR(VLOOKUP($B103,'[5]INSUMOS MARZO'!$A$2:$S$105,17,0),"")</f>
        <v>3954.9129999999996</v>
      </c>
      <c r="R103" s="154">
        <f t="shared" si="42"/>
        <v>0</v>
      </c>
      <c r="S103" s="152" t="str">
        <f>IFERROR(VLOOKUP($B103,'PEDIDO JULIO'!$A$10:$AG$200,12,0),"0")</f>
        <v>0</v>
      </c>
      <c r="T103" s="153">
        <f>IFERROR(VLOOKUP($B103,'[5]INSUMOS MARZO'!$A$2:$S$105,17,0),"")</f>
        <v>3954.9129999999996</v>
      </c>
      <c r="U103" s="154">
        <f t="shared" si="43"/>
        <v>0</v>
      </c>
      <c r="V103" s="152" t="str">
        <f>IFERROR(VLOOKUP($B103,'PEDIDO JULIO'!$A$10:$AG$200,13,0),"0")</f>
        <v>0</v>
      </c>
      <c r="W103" s="153">
        <f>IFERROR(VLOOKUP($B103,'[5]INSUMOS MARZO'!$A$2:$S$105,17,0),"")</f>
        <v>3954.9129999999996</v>
      </c>
      <c r="X103" s="154">
        <f t="shared" si="44"/>
        <v>0</v>
      </c>
      <c r="Y103" s="152" t="str">
        <f>IFERROR(VLOOKUP($B103,'PEDIDO JULIO'!$A$10:$AG$200,14,0),"0")</f>
        <v>0</v>
      </c>
      <c r="Z103" s="153">
        <f>IFERROR(VLOOKUP($B103,'[5]INSUMOS MARZO'!$A$2:$S$105,17,0),"")</f>
        <v>3954.9129999999996</v>
      </c>
      <c r="AA103" s="154">
        <f t="shared" si="45"/>
        <v>0</v>
      </c>
      <c r="AB103" s="152" t="str">
        <f>IFERROR(VLOOKUP($B103,'PEDIDO JULIO'!$A$10:$AG$200,15,0),"0")</f>
        <v>0</v>
      </c>
      <c r="AC103" s="153">
        <f>IFERROR(VLOOKUP($B103,'[5]INSUMOS MARZO'!$A$2:$S$105,17,0),"")</f>
        <v>3954.9129999999996</v>
      </c>
      <c r="AD103" s="154">
        <f t="shared" si="46"/>
        <v>0</v>
      </c>
      <c r="AE103" s="152" t="str">
        <f>IFERROR(VLOOKUP($B103,'PEDIDO JULIO'!$A$10:$AG$200,16,0),"0")</f>
        <v>0</v>
      </c>
      <c r="AF103" s="153">
        <f>IFERROR(VLOOKUP($B103,'[5]INSUMOS MARZO'!$A$2:$S$105,17,0),"")</f>
        <v>3954.9129999999996</v>
      </c>
      <c r="AG103" s="154">
        <f t="shared" si="47"/>
        <v>0</v>
      </c>
      <c r="AH103" s="152" t="str">
        <f>IFERROR(VLOOKUP($B103,'PEDIDO JULIO'!$A$10:$AG$200,17,0),"0")</f>
        <v>0</v>
      </c>
      <c r="AI103" s="153">
        <f>IFERROR(VLOOKUP($B103,'[5]INSUMOS MARZO'!$A$2:$S$105,17,0),"")</f>
        <v>3954.9129999999996</v>
      </c>
      <c r="AJ103" s="154">
        <f t="shared" si="48"/>
        <v>0</v>
      </c>
      <c r="AK103" s="152" t="str">
        <f>IFERROR(VLOOKUP($B103,'PEDIDO JULIO'!$A$10:$AG$200,18,0),"0")</f>
        <v>0</v>
      </c>
      <c r="AL103" s="153">
        <f>IFERROR(VLOOKUP($B103,'[5]INSUMOS MARZO'!$A$2:$S$105,17,0),"")</f>
        <v>3954.9129999999996</v>
      </c>
      <c r="AM103" s="154">
        <f t="shared" si="49"/>
        <v>0</v>
      </c>
      <c r="AN103" s="152" t="str">
        <f>IFERROR(VLOOKUP($B103,'PEDIDO JULIO'!$A$10:$AG$200,19,0),"0")</f>
        <v>0</v>
      </c>
      <c r="AO103" s="153">
        <f>IFERROR(VLOOKUP($B103,'[5]INSUMOS MARZO'!$A$2:$S$105,17,0),"")</f>
        <v>3954.9129999999996</v>
      </c>
      <c r="AP103" s="154">
        <f t="shared" si="50"/>
        <v>0</v>
      </c>
      <c r="AQ103" s="152" t="str">
        <f>IFERROR(VLOOKUP($B103,'PEDIDO JULIO'!$A$10:$AG$200,20,0),"0")</f>
        <v>0</v>
      </c>
      <c r="AR103" s="153">
        <f>IFERROR(VLOOKUP($B103,'[5]INSUMOS MARZO'!$A$2:$S$105,17,0),"")</f>
        <v>3954.9129999999996</v>
      </c>
      <c r="AS103" s="154">
        <f t="shared" si="51"/>
        <v>0</v>
      </c>
      <c r="AT103" s="152" t="str">
        <f>IFERROR(VLOOKUP($B103,'PEDIDO JULIO'!$A$10:$AG$200,21,0),"0")</f>
        <v>0</v>
      </c>
      <c r="AU103" s="156">
        <f>IFERROR(VLOOKUP($B103,'[5]INSUMOS MARZO'!$A$2:$S$105,14,0),"")</f>
        <v>5124.8861999999999</v>
      </c>
      <c r="AV103" s="154">
        <f t="shared" si="52"/>
        <v>0</v>
      </c>
      <c r="AW103" s="152" t="str">
        <f>IFERROR(VLOOKUP($B103,'PEDIDO JULIO'!$A$10:$AG$200,22,0),"0")</f>
        <v>0</v>
      </c>
      <c r="AX103" s="153">
        <f>IFERROR(VLOOKUP($B103,'[5]INSUMOS MARZO'!$A$2:$S$105,17,0),"")</f>
        <v>3954.9129999999996</v>
      </c>
      <c r="AY103" s="154">
        <f t="shared" si="53"/>
        <v>0</v>
      </c>
      <c r="AZ103" s="152" t="str">
        <f>IFERROR(VLOOKUP($B103,'PEDIDO JULIO'!$A$10:$AG$200,23,0),"0")</f>
        <v>0</v>
      </c>
      <c r="BA103" s="153">
        <f>IFERROR(VLOOKUP($B103,'[5]INSUMOS MARZO'!$A$2:$S$105,17,0),"")</f>
        <v>3954.9129999999996</v>
      </c>
      <c r="BB103" s="154">
        <f t="shared" si="54"/>
        <v>0</v>
      </c>
      <c r="BC103" s="152" t="str">
        <f>IFERROR(VLOOKUP($B103,'PEDIDO JULIO'!$A$10:$AG$200,24,0),"0")</f>
        <v>0</v>
      </c>
      <c r="BD103" s="153">
        <f>IFERROR(VLOOKUP($B103,'[5]INSUMOS MARZO'!$A$2:$S$105,17,0),"")</f>
        <v>3954.9129999999996</v>
      </c>
      <c r="BE103" s="155">
        <f t="shared" si="55"/>
        <v>0</v>
      </c>
      <c r="BF103" s="152" t="str">
        <f>IFERROR(VLOOKUP($B103,'PEDIDO JULIO'!$A$10:$AG$200,25,0),"0")</f>
        <v>0</v>
      </c>
      <c r="BG103" s="153">
        <f>IFERROR(VLOOKUP($B103,'[5]INSUMOS MARZO'!$A$2:$S$105,17,0),"")</f>
        <v>3954.9129999999996</v>
      </c>
      <c r="BH103" s="155">
        <f t="shared" si="56"/>
        <v>0</v>
      </c>
      <c r="BI103" s="152" t="str">
        <f>IFERROR(VLOOKUP($B103,'PEDIDO JULIO'!$A$10:$AG$200,26,0),"0")</f>
        <v>0</v>
      </c>
      <c r="BJ103" s="153">
        <f>IFERROR(VLOOKUP($B103,'[5]INSUMOS MARZO'!$A$2:$S$105,17,0),"")</f>
        <v>3954.9129999999996</v>
      </c>
      <c r="BK103" s="154">
        <f t="shared" si="57"/>
        <v>0</v>
      </c>
      <c r="BL103" s="152" t="str">
        <f>IFERROR(VLOOKUP($B103,'PEDIDO JULIO'!$A$10:$AG$200,27,0),"0")</f>
        <v>0</v>
      </c>
      <c r="BM103" s="153">
        <f>IFERROR(VLOOKUP($B103,'[5]INSUMOS MARZO'!$A$2:$S$105,17,0),"")</f>
        <v>3954.9129999999996</v>
      </c>
      <c r="BN103" s="154">
        <f t="shared" si="58"/>
        <v>0</v>
      </c>
      <c r="BO103" s="152" t="str">
        <f>IFERROR(VLOOKUP($B103,'PEDIDO JULIO'!$A$10:$AG$200,28,0),"0")</f>
        <v>0</v>
      </c>
      <c r="BP103" s="153">
        <f>IFERROR(VLOOKUP($B103,'[5]INSUMOS MARZO'!$A$2:$S$105,17,0),"")</f>
        <v>3954.9129999999996</v>
      </c>
      <c r="BQ103" s="154">
        <f t="shared" si="59"/>
        <v>0</v>
      </c>
      <c r="BR103" s="152" t="str">
        <f>IFERROR(VLOOKUP($B103,'PEDIDO JULIO'!$A$10:$AG$200,29,0),"0")</f>
        <v>0</v>
      </c>
      <c r="BS103" s="153">
        <f>IFERROR(VLOOKUP($B103,'[5]INSUMOS MARZO'!$A$2:$S$105,17,0),"")</f>
        <v>3954.9129999999996</v>
      </c>
      <c r="BT103" s="155">
        <f t="shared" si="60"/>
        <v>0</v>
      </c>
      <c r="BU103" s="152" t="str">
        <f>IFERROR(VLOOKUP($B103,'PEDIDO JULIO'!$A$10:$AG$200,30,0),"0")</f>
        <v>0</v>
      </c>
      <c r="BV103" s="153">
        <f>IFERROR(VLOOKUP($B103,'[5]INSUMOS MARZO'!$A$2:$S$105,17,0),"")</f>
        <v>3954.9129999999996</v>
      </c>
      <c r="BW103" s="155">
        <f t="shared" si="61"/>
        <v>0</v>
      </c>
      <c r="BX103" s="152" t="str">
        <f>IFERROR(VLOOKUP($B103,'PEDIDO JULIO'!$A$10:$AG$200,31,0),"0")</f>
        <v>0</v>
      </c>
      <c r="BY103" s="153">
        <f>IFERROR(VLOOKUP($B103,'[5]INSUMOS MARZO'!$A$2:$S$105,17,0),"")</f>
        <v>3954.9129999999996</v>
      </c>
      <c r="BZ103" s="155">
        <f t="shared" si="62"/>
        <v>0</v>
      </c>
      <c r="CA103" s="152" t="str">
        <f>IFERROR(VLOOKUP($B103,'PEDIDO JULIO'!$A$10:$AG$200,32,0),"0")</f>
        <v>0</v>
      </c>
      <c r="CB103" s="153">
        <f>IFERROR(VLOOKUP($B103,'[5]INSUMOS MARZO'!$A$2:$S$105,17,0),"")</f>
        <v>3954.9129999999996</v>
      </c>
      <c r="CC103" s="155">
        <f t="shared" si="63"/>
        <v>0</v>
      </c>
      <c r="CD103" s="157">
        <f t="shared" si="38"/>
        <v>0</v>
      </c>
      <c r="CE103" s="158">
        <f t="shared" si="64"/>
        <v>0</v>
      </c>
      <c r="CF103" s="251">
        <f>IFERROR(VLOOKUP($B103,'MATRIZ INSUMOS '!$A$3:$P$106,16,0),"")</f>
        <v>0</v>
      </c>
      <c r="CG103" s="153">
        <f>IFERROR(VLOOKUP($B103,'[5]INSUMOS MARZO'!$A$2:$S$105,17,0),"")</f>
        <v>3954.9129999999996</v>
      </c>
      <c r="CH103" s="156">
        <f t="shared" si="65"/>
        <v>0</v>
      </c>
      <c r="CI103" s="251">
        <f>IFERROR(VLOOKUP($B103,'MATRIZ INSUMOS '!$A$3:$P$106,10,0),"")</f>
        <v>0</v>
      </c>
      <c r="CJ103" s="156">
        <f>IFERROR(VLOOKUP($B103,'[5]INSUMOS MARZO'!$A$2:$S$105,14,0),"")</f>
        <v>5124.8861999999999</v>
      </c>
      <c r="CK103" s="159">
        <f t="shared" si="66"/>
        <v>0</v>
      </c>
      <c r="CL103" s="160">
        <f t="shared" si="67"/>
        <v>0</v>
      </c>
      <c r="CM103" s="14">
        <f t="shared" si="68"/>
        <v>0</v>
      </c>
      <c r="CN103" s="14">
        <f t="shared" si="69"/>
        <v>0</v>
      </c>
      <c r="CO103" s="14">
        <f t="shared" si="70"/>
        <v>0</v>
      </c>
      <c r="CQ103" s="19">
        <f t="shared" si="71"/>
        <v>0</v>
      </c>
      <c r="CR103" s="19" t="b">
        <f t="shared" si="72"/>
        <v>1</v>
      </c>
      <c r="CS103" s="19">
        <f t="shared" si="73"/>
        <v>0</v>
      </c>
    </row>
    <row r="104" spans="1:97" ht="16.5">
      <c r="A104" s="3">
        <v>99</v>
      </c>
      <c r="B104" s="151">
        <v>218</v>
      </c>
      <c r="C104" s="4" t="s">
        <v>117</v>
      </c>
      <c r="D104" s="152">
        <f>IFERROR(VLOOKUP($B104,'[4]INSUMOS FEBRERO'!$A$2:$F$105,5,0),"")</f>
        <v>40</v>
      </c>
      <c r="E104" s="152" t="str">
        <f>IFERROR(VLOOKUP($B104,'PEDIDO JULIO'!$A$10:$AG$32,33,0),"0")</f>
        <v>0</v>
      </c>
      <c r="F104" s="152">
        <f t="shared" si="39"/>
        <v>-40</v>
      </c>
      <c r="G104" s="152" t="str">
        <f>IFERROR(VLOOKUP($B104,'PEDIDO JULIO'!$A$10:$AG$200,8,0),"0")</f>
        <v>0</v>
      </c>
      <c r="H104" s="156">
        <f>IFERROR(VLOOKUP($B104,'[5]INSUMOS MARZO'!$A$2:$S$105,14,0),"")</f>
        <v>2587.0365000000002</v>
      </c>
      <c r="I104" s="154">
        <f t="shared" si="37"/>
        <v>0</v>
      </c>
      <c r="J104" s="152" t="str">
        <f>IFERROR(VLOOKUP($B104,'PEDIDO JULIO'!$A$10:$AG$200,9,0),"0")</f>
        <v>0</v>
      </c>
      <c r="K104" s="156">
        <f>IFERROR(VLOOKUP($B104,'[5]INSUMOS MARZO'!$A$2:$S$105,14,0),"")</f>
        <v>2587.0365000000002</v>
      </c>
      <c r="L104" s="155">
        <f t="shared" si="40"/>
        <v>0</v>
      </c>
      <c r="M104" s="152" t="str">
        <f>IFERROR(VLOOKUP($B104,'PEDIDO JULIO'!$A$10:$AG$200,10,0),"0")</f>
        <v>0</v>
      </c>
      <c r="N104" s="153">
        <f>IFERROR(VLOOKUP($B104,'[5]INSUMOS MARZO'!$A$2:$S$105,17,0),"")</f>
        <v>1437.768</v>
      </c>
      <c r="O104" s="154">
        <f t="shared" si="41"/>
        <v>0</v>
      </c>
      <c r="P104" s="152" t="str">
        <f>IFERROR(VLOOKUP($B104,'PEDIDO JULIO'!$A$10:$AG$200,11,0),"0")</f>
        <v>0</v>
      </c>
      <c r="Q104" s="153">
        <f>IFERROR(VLOOKUP($B104,'[5]INSUMOS MARZO'!$A$2:$S$105,17,0),"")</f>
        <v>1437.768</v>
      </c>
      <c r="R104" s="154">
        <f t="shared" si="42"/>
        <v>0</v>
      </c>
      <c r="S104" s="152" t="str">
        <f>IFERROR(VLOOKUP($B104,'PEDIDO JULIO'!$A$10:$AG$200,12,0),"0")</f>
        <v>0</v>
      </c>
      <c r="T104" s="153">
        <f>IFERROR(VLOOKUP($B104,'[5]INSUMOS MARZO'!$A$2:$S$105,17,0),"")</f>
        <v>1437.768</v>
      </c>
      <c r="U104" s="154">
        <f t="shared" si="43"/>
        <v>0</v>
      </c>
      <c r="V104" s="152" t="str">
        <f>IFERROR(VLOOKUP($B104,'PEDIDO JULIO'!$A$10:$AG$200,13,0),"0")</f>
        <v>0</v>
      </c>
      <c r="W104" s="153">
        <f>IFERROR(VLOOKUP($B104,'[5]INSUMOS MARZO'!$A$2:$S$105,17,0),"")</f>
        <v>1437.768</v>
      </c>
      <c r="X104" s="154">
        <f t="shared" si="44"/>
        <v>0</v>
      </c>
      <c r="Y104" s="152" t="str">
        <f>IFERROR(VLOOKUP($B104,'PEDIDO JULIO'!$A$10:$AG$200,14,0),"0")</f>
        <v>0</v>
      </c>
      <c r="Z104" s="153">
        <f>IFERROR(VLOOKUP($B104,'[5]INSUMOS MARZO'!$A$2:$S$105,17,0),"")</f>
        <v>1437.768</v>
      </c>
      <c r="AA104" s="154">
        <f t="shared" si="45"/>
        <v>0</v>
      </c>
      <c r="AB104" s="152" t="str">
        <f>IFERROR(VLOOKUP($B104,'PEDIDO JULIO'!$A$10:$AG$200,15,0),"0")</f>
        <v>0</v>
      </c>
      <c r="AC104" s="153">
        <f>IFERROR(VLOOKUP($B104,'[5]INSUMOS MARZO'!$A$2:$S$105,17,0),"")</f>
        <v>1437.768</v>
      </c>
      <c r="AD104" s="154">
        <f t="shared" si="46"/>
        <v>0</v>
      </c>
      <c r="AE104" s="152" t="str">
        <f>IFERROR(VLOOKUP($B104,'PEDIDO JULIO'!$A$10:$AG$200,16,0),"0")</f>
        <v>0</v>
      </c>
      <c r="AF104" s="153">
        <f>IFERROR(VLOOKUP($B104,'[5]INSUMOS MARZO'!$A$2:$S$105,17,0),"")</f>
        <v>1437.768</v>
      </c>
      <c r="AG104" s="154">
        <f t="shared" si="47"/>
        <v>0</v>
      </c>
      <c r="AH104" s="152" t="str">
        <f>IFERROR(VLOOKUP($B104,'PEDIDO JULIO'!$A$10:$AG$200,17,0),"0")</f>
        <v>0</v>
      </c>
      <c r="AI104" s="153">
        <f>IFERROR(VLOOKUP($B104,'[5]INSUMOS MARZO'!$A$2:$S$105,17,0),"")</f>
        <v>1437.768</v>
      </c>
      <c r="AJ104" s="154">
        <f t="shared" si="48"/>
        <v>0</v>
      </c>
      <c r="AK104" s="152" t="str">
        <f>IFERROR(VLOOKUP($B104,'PEDIDO JULIO'!$A$10:$AG$200,18,0),"0")</f>
        <v>0</v>
      </c>
      <c r="AL104" s="153">
        <f>IFERROR(VLOOKUP($B104,'[5]INSUMOS MARZO'!$A$2:$S$105,17,0),"")</f>
        <v>1437.768</v>
      </c>
      <c r="AM104" s="154">
        <f t="shared" si="49"/>
        <v>0</v>
      </c>
      <c r="AN104" s="152" t="str">
        <f>IFERROR(VLOOKUP($B104,'PEDIDO JULIO'!$A$10:$AG$200,19,0),"0")</f>
        <v>0</v>
      </c>
      <c r="AO104" s="153">
        <f>IFERROR(VLOOKUP($B104,'[5]INSUMOS MARZO'!$A$2:$S$105,17,0),"")</f>
        <v>1437.768</v>
      </c>
      <c r="AP104" s="154">
        <f t="shared" si="50"/>
        <v>0</v>
      </c>
      <c r="AQ104" s="152" t="str">
        <f>IFERROR(VLOOKUP($B104,'PEDIDO JULIO'!$A$10:$AG$200,20,0),"0")</f>
        <v>0</v>
      </c>
      <c r="AR104" s="153">
        <f>IFERROR(VLOOKUP($B104,'[5]INSUMOS MARZO'!$A$2:$S$105,17,0),"")</f>
        <v>1437.768</v>
      </c>
      <c r="AS104" s="154">
        <f t="shared" si="51"/>
        <v>0</v>
      </c>
      <c r="AT104" s="152" t="str">
        <f>IFERROR(VLOOKUP($B104,'PEDIDO JULIO'!$A$10:$AG$200,21,0),"0")</f>
        <v>0</v>
      </c>
      <c r="AU104" s="156">
        <f>IFERROR(VLOOKUP($B104,'[5]INSUMOS MARZO'!$A$2:$S$105,14,0),"")</f>
        <v>2587.0365000000002</v>
      </c>
      <c r="AV104" s="154">
        <f t="shared" si="52"/>
        <v>0</v>
      </c>
      <c r="AW104" s="152" t="str">
        <f>IFERROR(VLOOKUP($B104,'PEDIDO JULIO'!$A$10:$AG$200,22,0),"0")</f>
        <v>0</v>
      </c>
      <c r="AX104" s="153">
        <f>IFERROR(VLOOKUP($B104,'[5]INSUMOS MARZO'!$A$2:$S$105,17,0),"")</f>
        <v>1437.768</v>
      </c>
      <c r="AY104" s="154">
        <f t="shared" si="53"/>
        <v>0</v>
      </c>
      <c r="AZ104" s="152" t="str">
        <f>IFERROR(VLOOKUP($B104,'PEDIDO JULIO'!$A$10:$AG$200,23,0),"0")</f>
        <v>0</v>
      </c>
      <c r="BA104" s="153">
        <f>IFERROR(VLOOKUP($B104,'[5]INSUMOS MARZO'!$A$2:$S$105,17,0),"")</f>
        <v>1437.768</v>
      </c>
      <c r="BB104" s="154">
        <f t="shared" si="54"/>
        <v>0</v>
      </c>
      <c r="BC104" s="152" t="str">
        <f>IFERROR(VLOOKUP($B104,'PEDIDO JULIO'!$A$10:$AG$200,24,0),"0")</f>
        <v>0</v>
      </c>
      <c r="BD104" s="153">
        <f>IFERROR(VLOOKUP($B104,'[5]INSUMOS MARZO'!$A$2:$S$105,17,0),"")</f>
        <v>1437.768</v>
      </c>
      <c r="BE104" s="155">
        <f t="shared" si="55"/>
        <v>0</v>
      </c>
      <c r="BF104" s="152" t="str">
        <f>IFERROR(VLOOKUP($B104,'PEDIDO JULIO'!$A$10:$AG$200,25,0),"0")</f>
        <v>0</v>
      </c>
      <c r="BG104" s="153">
        <f>IFERROR(VLOOKUP($B104,'[5]INSUMOS MARZO'!$A$2:$S$105,17,0),"")</f>
        <v>1437.768</v>
      </c>
      <c r="BH104" s="155">
        <f t="shared" si="56"/>
        <v>0</v>
      </c>
      <c r="BI104" s="152" t="str">
        <f>IFERROR(VLOOKUP($B104,'PEDIDO JULIO'!$A$10:$AG$200,26,0),"0")</f>
        <v>0</v>
      </c>
      <c r="BJ104" s="153">
        <f>IFERROR(VLOOKUP($B104,'[5]INSUMOS MARZO'!$A$2:$S$105,17,0),"")</f>
        <v>1437.768</v>
      </c>
      <c r="BK104" s="154">
        <f t="shared" si="57"/>
        <v>0</v>
      </c>
      <c r="BL104" s="152" t="str">
        <f>IFERROR(VLOOKUP($B104,'PEDIDO JULIO'!$A$10:$AG$200,27,0),"0")</f>
        <v>0</v>
      </c>
      <c r="BM104" s="153">
        <f>IFERROR(VLOOKUP($B104,'[5]INSUMOS MARZO'!$A$2:$S$105,17,0),"")</f>
        <v>1437.768</v>
      </c>
      <c r="BN104" s="154">
        <f t="shared" si="58"/>
        <v>0</v>
      </c>
      <c r="BO104" s="152" t="str">
        <f>IFERROR(VLOOKUP($B104,'PEDIDO JULIO'!$A$10:$AG$200,28,0),"0")</f>
        <v>0</v>
      </c>
      <c r="BP104" s="153">
        <f>IFERROR(VLOOKUP($B104,'[5]INSUMOS MARZO'!$A$2:$S$105,17,0),"")</f>
        <v>1437.768</v>
      </c>
      <c r="BQ104" s="154">
        <f t="shared" si="59"/>
        <v>0</v>
      </c>
      <c r="BR104" s="152" t="str">
        <f>IFERROR(VLOOKUP($B104,'PEDIDO JULIO'!$A$10:$AG$200,29,0),"0")</f>
        <v>0</v>
      </c>
      <c r="BS104" s="153">
        <f>IFERROR(VLOOKUP($B104,'[5]INSUMOS MARZO'!$A$2:$S$105,17,0),"")</f>
        <v>1437.768</v>
      </c>
      <c r="BT104" s="155">
        <f t="shared" si="60"/>
        <v>0</v>
      </c>
      <c r="BU104" s="152" t="str">
        <f>IFERROR(VLOOKUP($B104,'PEDIDO JULIO'!$A$10:$AG$200,30,0),"0")</f>
        <v>0</v>
      </c>
      <c r="BV104" s="153">
        <f>IFERROR(VLOOKUP($B104,'[5]INSUMOS MARZO'!$A$2:$S$105,17,0),"")</f>
        <v>1437.768</v>
      </c>
      <c r="BW104" s="155">
        <f t="shared" si="61"/>
        <v>0</v>
      </c>
      <c r="BX104" s="152" t="str">
        <f>IFERROR(VLOOKUP($B104,'PEDIDO JULIO'!$A$10:$AG$200,31,0),"0")</f>
        <v>0</v>
      </c>
      <c r="BY104" s="153">
        <f>IFERROR(VLOOKUP($B104,'[5]INSUMOS MARZO'!$A$2:$S$105,17,0),"")</f>
        <v>1437.768</v>
      </c>
      <c r="BZ104" s="155">
        <f t="shared" si="62"/>
        <v>0</v>
      </c>
      <c r="CA104" s="152" t="str">
        <f>IFERROR(VLOOKUP($B104,'PEDIDO JULIO'!$A$10:$AG$200,32,0),"0")</f>
        <v>0</v>
      </c>
      <c r="CB104" s="153">
        <f>IFERROR(VLOOKUP($B104,'[5]INSUMOS MARZO'!$A$2:$S$105,17,0),"")</f>
        <v>1437.768</v>
      </c>
      <c r="CC104" s="155">
        <f t="shared" si="63"/>
        <v>0</v>
      </c>
      <c r="CD104" s="157">
        <f>IFERROR((G104+J104+M104+P104+S104+V104+Y104+AB104+AE104+AH104+AK104+AN104+AQ104+AT104+AW104+AZ104+BC104+BF104+BI104+BL104+BO104+BR104+BU104+BX104+CA104),"")</f>
        <v>0</v>
      </c>
      <c r="CE104" s="158">
        <f t="shared" si="64"/>
        <v>0</v>
      </c>
      <c r="CF104" s="251">
        <f>IFERROR(VLOOKUP($B104,'MATRIZ INSUMOS '!$A$3:$P$106,16,0),"")</f>
        <v>0</v>
      </c>
      <c r="CG104" s="153">
        <f>IFERROR(VLOOKUP($B104,'[5]INSUMOS MARZO'!$A$2:$S$105,17,0),"")</f>
        <v>1437.768</v>
      </c>
      <c r="CH104" s="156">
        <f t="shared" si="65"/>
        <v>0</v>
      </c>
      <c r="CI104" s="251">
        <f>IFERROR(VLOOKUP($B104,'MATRIZ INSUMOS '!$A$3:$P$106,10,0),"")</f>
        <v>0</v>
      </c>
      <c r="CJ104" s="156">
        <f>IFERROR(VLOOKUP($B104,'[5]INSUMOS MARZO'!$A$2:$S$105,14,0),"")</f>
        <v>2587.0365000000002</v>
      </c>
      <c r="CK104" s="159">
        <f t="shared" si="66"/>
        <v>0</v>
      </c>
      <c r="CL104" s="160">
        <f t="shared" si="67"/>
        <v>0</v>
      </c>
      <c r="CM104" s="14">
        <f>+CL104*10%</f>
        <v>0</v>
      </c>
      <c r="CN104" s="14">
        <f t="shared" si="69"/>
        <v>0</v>
      </c>
      <c r="CO104" s="14">
        <f>SUM(CL104:CN104)</f>
        <v>0</v>
      </c>
      <c r="CP104" s="1">
        <f>+CF104+CI104-CD104</f>
        <v>0</v>
      </c>
      <c r="CQ104" s="19">
        <f t="shared" si="71"/>
        <v>0</v>
      </c>
      <c r="CR104" s="19" t="b">
        <f t="shared" si="72"/>
        <v>1</v>
      </c>
      <c r="CS104" s="19">
        <f t="shared" si="73"/>
        <v>0</v>
      </c>
    </row>
    <row r="105" spans="1:97" ht="16.5">
      <c r="A105" s="3">
        <v>100</v>
      </c>
      <c r="B105" s="151">
        <v>251</v>
      </c>
      <c r="C105" s="4" t="s">
        <v>118</v>
      </c>
      <c r="D105" s="152">
        <f>IFERROR(VLOOKUP($B105,'[4]INSUMOS FEBRERO'!$A$2:$F$105,5,0),"")</f>
        <v>24</v>
      </c>
      <c r="E105" s="152" t="str">
        <f>IFERROR(VLOOKUP($B105,'PEDIDO JULIO'!$A$10:$AG$32,33,0),"0")</f>
        <v>0</v>
      </c>
      <c r="F105" s="152">
        <f t="shared" si="39"/>
        <v>-24</v>
      </c>
      <c r="G105" s="152" t="str">
        <f>IFERROR(VLOOKUP($B105,'PEDIDO JULIO'!$A$10:$AG$200,8,0),"0")</f>
        <v>0</v>
      </c>
      <c r="H105" s="153">
        <f>IFERROR(VLOOKUP($B105,'[5]INSUMOS MARZO'!$A$2:$S$105,17,0),"")</f>
        <v>16031.954000000002</v>
      </c>
      <c r="I105" s="154">
        <f t="shared" si="37"/>
        <v>0</v>
      </c>
      <c r="J105" s="152" t="str">
        <f>IFERROR(VLOOKUP($B105,'PEDIDO JULIO'!$A$10:$AG$200,9,0),"0")</f>
        <v>0</v>
      </c>
      <c r="K105" s="153">
        <f>IFERROR(VLOOKUP($B105,'[5]INSUMOS MARZO'!$A$2:$S$105,17,0),"")</f>
        <v>16031.954000000002</v>
      </c>
      <c r="L105" s="155">
        <f t="shared" si="40"/>
        <v>0</v>
      </c>
      <c r="M105" s="152" t="str">
        <f>IFERROR(VLOOKUP($B105,'PEDIDO JULIO'!$A$10:$AG$200,10,0),"0")</f>
        <v>0</v>
      </c>
      <c r="N105" s="153">
        <f>IFERROR(VLOOKUP($B105,'[5]INSUMOS MARZO'!$A$2:$S$105,17,0),"")</f>
        <v>16031.954000000002</v>
      </c>
      <c r="O105" s="154">
        <f t="shared" si="41"/>
        <v>0</v>
      </c>
      <c r="P105" s="152" t="str">
        <f>IFERROR(VLOOKUP($B105,'PEDIDO JULIO'!$A$10:$AG$200,11,0),"0")</f>
        <v>0</v>
      </c>
      <c r="Q105" s="153">
        <f>IFERROR(VLOOKUP($B105,'[5]INSUMOS MARZO'!$A$2:$S$105,17,0),"")</f>
        <v>16031.954000000002</v>
      </c>
      <c r="R105" s="154">
        <f t="shared" si="42"/>
        <v>0</v>
      </c>
      <c r="S105" s="152" t="str">
        <f>IFERROR(VLOOKUP($B105,'PEDIDO JULIO'!$A$10:$AG$200,12,0),"0")</f>
        <v>0</v>
      </c>
      <c r="T105" s="153">
        <f>IFERROR(VLOOKUP($B105,'[5]INSUMOS MARZO'!$A$2:$S$105,17,0),"")</f>
        <v>16031.954000000002</v>
      </c>
      <c r="U105" s="154">
        <f t="shared" si="43"/>
        <v>0</v>
      </c>
      <c r="V105" s="152" t="str">
        <f>IFERROR(VLOOKUP($B105,'PEDIDO JULIO'!$A$10:$AG$200,13,0),"0")</f>
        <v>0</v>
      </c>
      <c r="W105" s="153">
        <f>IFERROR(VLOOKUP($B105,'[5]INSUMOS MARZO'!$A$2:$S$105,17,0),"")</f>
        <v>16031.954000000002</v>
      </c>
      <c r="X105" s="154">
        <f t="shared" si="44"/>
        <v>0</v>
      </c>
      <c r="Y105" s="152" t="str">
        <f>IFERROR(VLOOKUP($B105,'PEDIDO JULIO'!$A$10:$AG$200,14,0),"0")</f>
        <v>0</v>
      </c>
      <c r="Z105" s="153">
        <f>IFERROR(VLOOKUP($B105,'[5]INSUMOS MARZO'!$A$2:$S$105,17,0),"")</f>
        <v>16031.954000000002</v>
      </c>
      <c r="AA105" s="154">
        <f t="shared" si="45"/>
        <v>0</v>
      </c>
      <c r="AB105" s="152" t="str">
        <f>IFERROR(VLOOKUP($B105,'PEDIDO JULIO'!$A$10:$AG$200,15,0),"0")</f>
        <v>0</v>
      </c>
      <c r="AC105" s="153">
        <f>IFERROR(VLOOKUP($B105,'[5]INSUMOS MARZO'!$A$2:$S$105,17,0),"")</f>
        <v>16031.954000000002</v>
      </c>
      <c r="AD105" s="154">
        <f t="shared" si="46"/>
        <v>0</v>
      </c>
      <c r="AE105" s="152" t="str">
        <f>IFERROR(VLOOKUP($B105,'PEDIDO JULIO'!$A$10:$AG$200,16,0),"0")</f>
        <v>0</v>
      </c>
      <c r="AF105" s="153">
        <f>IFERROR(VLOOKUP($B105,'[5]INSUMOS MARZO'!$A$2:$S$105,17,0),"")</f>
        <v>16031.954000000002</v>
      </c>
      <c r="AG105" s="154">
        <f t="shared" si="47"/>
        <v>0</v>
      </c>
      <c r="AH105" s="152" t="str">
        <f>IFERROR(VLOOKUP($B105,'PEDIDO JULIO'!$A$10:$AG$200,17,0),"0")</f>
        <v>0</v>
      </c>
      <c r="AI105" s="153">
        <f>IFERROR(VLOOKUP($B105,'[5]INSUMOS MARZO'!$A$2:$S$105,17,0),"")</f>
        <v>16031.954000000002</v>
      </c>
      <c r="AJ105" s="154">
        <f t="shared" si="48"/>
        <v>0</v>
      </c>
      <c r="AK105" s="152" t="str">
        <f>IFERROR(VLOOKUP($B105,'PEDIDO JULIO'!$A$10:$AG$200,18,0),"0")</f>
        <v>0</v>
      </c>
      <c r="AL105" s="153">
        <f>IFERROR(VLOOKUP($B105,'[5]INSUMOS MARZO'!$A$2:$S$105,17,0),"")</f>
        <v>16031.954000000002</v>
      </c>
      <c r="AM105" s="154">
        <f t="shared" si="49"/>
        <v>0</v>
      </c>
      <c r="AN105" s="152" t="str">
        <f>IFERROR(VLOOKUP($B105,'PEDIDO JULIO'!$A$10:$AG$200,19,0),"0")</f>
        <v>0</v>
      </c>
      <c r="AO105" s="153">
        <f>IFERROR(VLOOKUP($B105,'[5]INSUMOS MARZO'!$A$2:$S$105,17,0),"")</f>
        <v>16031.954000000002</v>
      </c>
      <c r="AP105" s="154">
        <f t="shared" si="50"/>
        <v>0</v>
      </c>
      <c r="AQ105" s="152" t="str">
        <f>IFERROR(VLOOKUP($B105,'PEDIDO JULIO'!$A$10:$AG$200,20,0),"0")</f>
        <v>0</v>
      </c>
      <c r="AR105" s="153">
        <f>IFERROR(VLOOKUP($B105,'[5]INSUMOS MARZO'!$A$2:$S$105,17,0),"")</f>
        <v>16031.954000000002</v>
      </c>
      <c r="AS105" s="154">
        <f t="shared" si="51"/>
        <v>0</v>
      </c>
      <c r="AT105" s="152" t="str">
        <f>IFERROR(VLOOKUP($B105,'PEDIDO JULIO'!$A$10:$AG$200,21,0),"0")</f>
        <v>0</v>
      </c>
      <c r="AU105" s="156">
        <f>IFERROR(VLOOKUP($B105,'[5]INSUMOS MARZO'!$A$2:$S$105,14,0),"")</f>
        <v>20399.279400000003</v>
      </c>
      <c r="AV105" s="154">
        <f t="shared" si="52"/>
        <v>0</v>
      </c>
      <c r="AW105" s="152" t="str">
        <f>IFERROR(VLOOKUP($B105,'PEDIDO JULIO'!$A$10:$AG$200,22,0),"0")</f>
        <v>0</v>
      </c>
      <c r="AX105" s="153">
        <f>IFERROR(VLOOKUP($B105,'[5]INSUMOS MARZO'!$A$2:$S$105,17,0),"")</f>
        <v>16031.954000000002</v>
      </c>
      <c r="AY105" s="154">
        <f t="shared" si="53"/>
        <v>0</v>
      </c>
      <c r="AZ105" s="152" t="str">
        <f>IFERROR(VLOOKUP($B105,'PEDIDO JULIO'!$A$10:$AG$200,23,0),"0")</f>
        <v>0</v>
      </c>
      <c r="BA105" s="153">
        <f>IFERROR(VLOOKUP($B105,'[5]INSUMOS MARZO'!$A$2:$S$105,17,0),"")</f>
        <v>16031.954000000002</v>
      </c>
      <c r="BB105" s="154">
        <f t="shared" si="54"/>
        <v>0</v>
      </c>
      <c r="BC105" s="152" t="str">
        <f>IFERROR(VLOOKUP($B105,'PEDIDO JULIO'!$A$10:$AG$200,24,0),"0")</f>
        <v>0</v>
      </c>
      <c r="BD105" s="153">
        <f>IFERROR(VLOOKUP($B105,'[5]INSUMOS MARZO'!$A$2:$S$105,17,0),"")</f>
        <v>16031.954000000002</v>
      </c>
      <c r="BE105" s="155">
        <f t="shared" si="55"/>
        <v>0</v>
      </c>
      <c r="BF105" s="152" t="str">
        <f>IFERROR(VLOOKUP($B105,'PEDIDO JULIO'!$A$10:$AG$200,25,0),"0")</f>
        <v>0</v>
      </c>
      <c r="BG105" s="153">
        <f>IFERROR(VLOOKUP($B105,'[5]INSUMOS MARZO'!$A$2:$S$105,17,0),"")</f>
        <v>16031.954000000002</v>
      </c>
      <c r="BH105" s="155">
        <f t="shared" si="56"/>
        <v>0</v>
      </c>
      <c r="BI105" s="152" t="str">
        <f>IFERROR(VLOOKUP($B105,'PEDIDO JULIO'!$A$10:$AG$200,26,0),"0")</f>
        <v>0</v>
      </c>
      <c r="BJ105" s="153">
        <f>IFERROR(VLOOKUP($B105,'[5]INSUMOS MARZO'!$A$2:$S$105,17,0),"")</f>
        <v>16031.954000000002</v>
      </c>
      <c r="BK105" s="154">
        <f t="shared" si="57"/>
        <v>0</v>
      </c>
      <c r="BL105" s="152" t="str">
        <f>IFERROR(VLOOKUP($B105,'PEDIDO JULIO'!$A$10:$AG$200,27,0),"0")</f>
        <v>0</v>
      </c>
      <c r="BM105" s="153">
        <f>IFERROR(VLOOKUP($B105,'[5]INSUMOS MARZO'!$A$2:$S$105,17,0),"")</f>
        <v>16031.954000000002</v>
      </c>
      <c r="BN105" s="154">
        <f t="shared" si="58"/>
        <v>0</v>
      </c>
      <c r="BO105" s="152" t="str">
        <f>IFERROR(VLOOKUP($B105,'PEDIDO JULIO'!$A$10:$AG$200,28,0),"0")</f>
        <v>0</v>
      </c>
      <c r="BP105" s="153">
        <f>IFERROR(VLOOKUP($B105,'[5]INSUMOS MARZO'!$A$2:$S$105,17,0),"")</f>
        <v>16031.954000000002</v>
      </c>
      <c r="BQ105" s="154">
        <f t="shared" si="59"/>
        <v>0</v>
      </c>
      <c r="BR105" s="152" t="str">
        <f>IFERROR(VLOOKUP($B105,'PEDIDO JULIO'!$A$10:$AG$200,29,0),"0")</f>
        <v>0</v>
      </c>
      <c r="BS105" s="153">
        <f>IFERROR(VLOOKUP($B105,'[5]INSUMOS MARZO'!$A$2:$S$105,17,0),"")</f>
        <v>16031.954000000002</v>
      </c>
      <c r="BT105" s="155">
        <f t="shared" si="60"/>
        <v>0</v>
      </c>
      <c r="BU105" s="152" t="str">
        <f>IFERROR(VLOOKUP($B105,'PEDIDO JULIO'!$A$10:$AG$200,30,0),"0")</f>
        <v>0</v>
      </c>
      <c r="BV105" s="153">
        <f>IFERROR(VLOOKUP($B105,'[5]INSUMOS MARZO'!$A$2:$S$105,17,0),"")</f>
        <v>16031.954000000002</v>
      </c>
      <c r="BW105" s="155">
        <f t="shared" si="61"/>
        <v>0</v>
      </c>
      <c r="BX105" s="152" t="str">
        <f>IFERROR(VLOOKUP($B105,'PEDIDO JULIO'!$A$10:$AG$200,31,0),"0")</f>
        <v>0</v>
      </c>
      <c r="BY105" s="153">
        <f>IFERROR(VLOOKUP($B105,'[5]INSUMOS MARZO'!$A$2:$S$105,17,0),"")</f>
        <v>16031.954000000002</v>
      </c>
      <c r="BZ105" s="155">
        <f t="shared" si="62"/>
        <v>0</v>
      </c>
      <c r="CA105" s="152" t="str">
        <f>IFERROR(VLOOKUP($B105,'PEDIDO JULIO'!$A$10:$AG$200,32,0),"0")</f>
        <v>0</v>
      </c>
      <c r="CB105" s="153">
        <f>IFERROR(VLOOKUP($B105,'[5]INSUMOS MARZO'!$A$2:$S$105,17,0),"")</f>
        <v>16031.954000000002</v>
      </c>
      <c r="CC105" s="155">
        <f t="shared" si="63"/>
        <v>0</v>
      </c>
      <c r="CD105" s="157">
        <f t="shared" si="38"/>
        <v>0</v>
      </c>
      <c r="CE105" s="158">
        <f t="shared" si="64"/>
        <v>0</v>
      </c>
      <c r="CF105" s="251">
        <f>IFERROR(VLOOKUP($B105,'MATRIZ INSUMOS '!$A$3:$P$106,16,0),"")</f>
        <v>0</v>
      </c>
      <c r="CG105" s="153">
        <f>IFERROR(VLOOKUP($B105,'[5]INSUMOS MARZO'!$A$2:$S$105,17,0),"")</f>
        <v>16031.954000000002</v>
      </c>
      <c r="CH105" s="156">
        <f t="shared" si="65"/>
        <v>0</v>
      </c>
      <c r="CI105" s="251">
        <f>IFERROR(VLOOKUP($B105,'MATRIZ INSUMOS '!$A$3:$P$106,10,0),"")</f>
        <v>0</v>
      </c>
      <c r="CJ105" s="156">
        <f>IFERROR(VLOOKUP($B105,'[5]INSUMOS MARZO'!$A$2:$S$105,14,0),"")</f>
        <v>20399.279400000003</v>
      </c>
      <c r="CK105" s="159">
        <f t="shared" si="66"/>
        <v>0</v>
      </c>
      <c r="CL105" s="160">
        <f t="shared" si="67"/>
        <v>0</v>
      </c>
      <c r="CM105" s="14">
        <f t="shared" si="68"/>
        <v>0</v>
      </c>
      <c r="CN105" s="14">
        <f t="shared" si="69"/>
        <v>0</v>
      </c>
      <c r="CO105" s="14">
        <f t="shared" si="70"/>
        <v>0</v>
      </c>
      <c r="CP105" s="1">
        <f>+CF105+CI105-CD105</f>
        <v>0</v>
      </c>
      <c r="CQ105" s="19">
        <f t="shared" si="71"/>
        <v>0</v>
      </c>
      <c r="CR105" s="19" t="b">
        <f t="shared" si="72"/>
        <v>1</v>
      </c>
      <c r="CS105" s="19">
        <f t="shared" si="73"/>
        <v>0</v>
      </c>
    </row>
    <row r="106" spans="1:97" ht="16.5">
      <c r="A106" s="3">
        <v>101</v>
      </c>
      <c r="B106" s="151">
        <v>255</v>
      </c>
      <c r="C106" s="4" t="s">
        <v>641</v>
      </c>
      <c r="D106" s="152">
        <f>IFERROR(VLOOKUP($B106,'[4]INSUMOS FEBRERO'!$A$2:$F$105,5,0),"")</f>
        <v>14</v>
      </c>
      <c r="E106" s="152" t="str">
        <f>IFERROR(VLOOKUP($B106,'PEDIDO JULIO'!$A$10:$AG$32,33,0),"0")</f>
        <v>0</v>
      </c>
      <c r="F106" s="152">
        <f t="shared" si="39"/>
        <v>-14</v>
      </c>
      <c r="G106" s="152" t="str">
        <f>IFERROR(VLOOKUP($B106,'PEDIDO JULIO'!$A$10:$AG$200,8,0),"0")</f>
        <v>0</v>
      </c>
      <c r="H106" s="153">
        <f>IFERROR(VLOOKUP($B106,'[5]INSUMOS MARZO'!$A$2:$S$105,17,0),"")</f>
        <v>29299.777999999998</v>
      </c>
      <c r="I106" s="154">
        <f t="shared" si="37"/>
        <v>0</v>
      </c>
      <c r="J106" s="152" t="str">
        <f>IFERROR(VLOOKUP($B106,'PEDIDO JULIO'!$A$10:$AG$200,9,0),"0")</f>
        <v>0</v>
      </c>
      <c r="K106" s="153">
        <f>IFERROR(VLOOKUP($B106,'[5]INSUMOS MARZO'!$A$2:$S$105,17,0),"")</f>
        <v>29299.777999999998</v>
      </c>
      <c r="L106" s="155">
        <f t="shared" si="40"/>
        <v>0</v>
      </c>
      <c r="M106" s="152" t="str">
        <f>IFERROR(VLOOKUP($B106,'PEDIDO JULIO'!$A$10:$AG$200,10,0),"0")</f>
        <v>0</v>
      </c>
      <c r="N106" s="153">
        <f>IFERROR(VLOOKUP($B106,'[5]INSUMOS MARZO'!$A$2:$S$105,17,0),"")</f>
        <v>29299.777999999998</v>
      </c>
      <c r="O106" s="154">
        <f t="shared" si="41"/>
        <v>0</v>
      </c>
      <c r="P106" s="152" t="str">
        <f>IFERROR(VLOOKUP($B106,'PEDIDO JULIO'!$A$10:$AG$200,11,0),"0")</f>
        <v>0</v>
      </c>
      <c r="Q106" s="153">
        <f>IFERROR(VLOOKUP($B106,'[5]INSUMOS MARZO'!$A$2:$S$105,17,0),"")</f>
        <v>29299.777999999998</v>
      </c>
      <c r="R106" s="154">
        <f t="shared" si="42"/>
        <v>0</v>
      </c>
      <c r="S106" s="152" t="str">
        <f>IFERROR(VLOOKUP($B106,'PEDIDO JULIO'!$A$10:$AG$200,12,0),"0")</f>
        <v>0</v>
      </c>
      <c r="T106" s="153">
        <f>IFERROR(VLOOKUP($B106,'[5]INSUMOS MARZO'!$A$2:$S$105,17,0),"")</f>
        <v>29299.777999999998</v>
      </c>
      <c r="U106" s="154">
        <f t="shared" si="43"/>
        <v>0</v>
      </c>
      <c r="V106" s="152" t="str">
        <f>IFERROR(VLOOKUP($B106,'PEDIDO JULIO'!$A$10:$AG$200,13,0),"0")</f>
        <v>0</v>
      </c>
      <c r="W106" s="153">
        <f>IFERROR(VLOOKUP($B106,'[5]INSUMOS MARZO'!$A$2:$S$105,17,0),"")</f>
        <v>29299.777999999998</v>
      </c>
      <c r="X106" s="154">
        <f t="shared" si="44"/>
        <v>0</v>
      </c>
      <c r="Y106" s="152" t="str">
        <f>IFERROR(VLOOKUP($B106,'PEDIDO JULIO'!$A$10:$AG$200,14,0),"0")</f>
        <v>0</v>
      </c>
      <c r="Z106" s="153">
        <f>IFERROR(VLOOKUP($B106,'[5]INSUMOS MARZO'!$A$2:$S$105,17,0),"")</f>
        <v>29299.777999999998</v>
      </c>
      <c r="AA106" s="154">
        <f t="shared" si="45"/>
        <v>0</v>
      </c>
      <c r="AB106" s="152" t="str">
        <f>IFERROR(VLOOKUP($B106,'PEDIDO JULIO'!$A$10:$AG$200,15,0),"0")</f>
        <v>0</v>
      </c>
      <c r="AC106" s="153">
        <f>IFERROR(VLOOKUP($B106,'[5]INSUMOS MARZO'!$A$2:$S$105,17,0),"")</f>
        <v>29299.777999999998</v>
      </c>
      <c r="AD106" s="154">
        <f t="shared" si="46"/>
        <v>0</v>
      </c>
      <c r="AE106" s="152" t="str">
        <f>IFERROR(VLOOKUP($B106,'PEDIDO JULIO'!$A$10:$AG$200,16,0),"0")</f>
        <v>0</v>
      </c>
      <c r="AF106" s="153">
        <f>IFERROR(VLOOKUP($B106,'[5]INSUMOS MARZO'!$A$2:$S$105,17,0),"")</f>
        <v>29299.777999999998</v>
      </c>
      <c r="AG106" s="154">
        <f t="shared" si="47"/>
        <v>0</v>
      </c>
      <c r="AH106" s="152" t="str">
        <f>IFERROR(VLOOKUP($B106,'PEDIDO JULIO'!$A$10:$AG$200,17,0),"0")</f>
        <v>0</v>
      </c>
      <c r="AI106" s="153">
        <f>IFERROR(VLOOKUP($B106,'[5]INSUMOS MARZO'!$A$2:$S$105,17,0),"")</f>
        <v>29299.777999999998</v>
      </c>
      <c r="AJ106" s="154">
        <f t="shared" si="48"/>
        <v>0</v>
      </c>
      <c r="AK106" s="152" t="str">
        <f>IFERROR(VLOOKUP($B106,'PEDIDO JULIO'!$A$10:$AG$200,18,0),"0")</f>
        <v>0</v>
      </c>
      <c r="AL106" s="153">
        <f>IFERROR(VLOOKUP($B106,'[5]INSUMOS MARZO'!$A$2:$S$105,17,0),"")</f>
        <v>29299.777999999998</v>
      </c>
      <c r="AM106" s="154">
        <f t="shared" si="49"/>
        <v>0</v>
      </c>
      <c r="AN106" s="152" t="str">
        <f>IFERROR(VLOOKUP($B106,'PEDIDO JULIO'!$A$10:$AG$200,19,0),"0")</f>
        <v>0</v>
      </c>
      <c r="AO106" s="153">
        <f>IFERROR(VLOOKUP($B106,'[5]INSUMOS MARZO'!$A$2:$S$105,17,0),"")</f>
        <v>29299.777999999998</v>
      </c>
      <c r="AP106" s="154">
        <f t="shared" si="50"/>
        <v>0</v>
      </c>
      <c r="AQ106" s="152" t="str">
        <f>IFERROR(VLOOKUP($B106,'PEDIDO JULIO'!$A$10:$AG$200,20,0),"0")</f>
        <v>0</v>
      </c>
      <c r="AR106" s="153">
        <f>IFERROR(VLOOKUP($B106,'[5]INSUMOS MARZO'!$A$2:$S$105,17,0),"")</f>
        <v>29299.777999999998</v>
      </c>
      <c r="AS106" s="154">
        <f t="shared" si="51"/>
        <v>0</v>
      </c>
      <c r="AT106" s="152" t="str">
        <f>IFERROR(VLOOKUP($B106,'PEDIDO JULIO'!$A$10:$AG$200,21,0),"0")</f>
        <v>0</v>
      </c>
      <c r="AU106" s="156">
        <f>IFERROR(VLOOKUP($B106,'[5]INSUMOS MARZO'!$A$2:$S$105,14,0),"")</f>
        <v>41793.645599999996</v>
      </c>
      <c r="AV106" s="154">
        <f t="shared" si="52"/>
        <v>0</v>
      </c>
      <c r="AW106" s="152" t="str">
        <f>IFERROR(VLOOKUP($B106,'PEDIDO JULIO'!$A$10:$AG$200,22,0),"0")</f>
        <v>0</v>
      </c>
      <c r="AX106" s="153">
        <f>IFERROR(VLOOKUP($B106,'[5]INSUMOS MARZO'!$A$2:$S$105,17,0),"")</f>
        <v>29299.777999999998</v>
      </c>
      <c r="AY106" s="154">
        <f t="shared" si="53"/>
        <v>0</v>
      </c>
      <c r="AZ106" s="152" t="str">
        <f>IFERROR(VLOOKUP($B106,'PEDIDO JULIO'!$A$10:$AG$200,23,0),"0")</f>
        <v>0</v>
      </c>
      <c r="BA106" s="153">
        <f>IFERROR(VLOOKUP($B106,'[5]INSUMOS MARZO'!$A$2:$S$105,17,0),"")</f>
        <v>29299.777999999998</v>
      </c>
      <c r="BB106" s="154">
        <f t="shared" si="54"/>
        <v>0</v>
      </c>
      <c r="BC106" s="152" t="str">
        <f>IFERROR(VLOOKUP($B106,'PEDIDO JULIO'!$A$10:$AG$200,24,0),"0")</f>
        <v>0</v>
      </c>
      <c r="BD106" s="153">
        <f>IFERROR(VLOOKUP($B106,'[5]INSUMOS MARZO'!$A$2:$S$105,17,0),"")</f>
        <v>29299.777999999998</v>
      </c>
      <c r="BE106" s="155">
        <f t="shared" si="55"/>
        <v>0</v>
      </c>
      <c r="BF106" s="152" t="str">
        <f>IFERROR(VLOOKUP($B106,'PEDIDO JULIO'!$A$10:$AG$200,25,0),"0")</f>
        <v>0</v>
      </c>
      <c r="BG106" s="153">
        <f>IFERROR(VLOOKUP($B106,'[5]INSUMOS MARZO'!$A$2:$S$105,17,0),"")</f>
        <v>29299.777999999998</v>
      </c>
      <c r="BH106" s="155">
        <f t="shared" si="56"/>
        <v>0</v>
      </c>
      <c r="BI106" s="152" t="str">
        <f>IFERROR(VLOOKUP($B106,'PEDIDO JULIO'!$A$10:$AG$200,26,0),"0")</f>
        <v>0</v>
      </c>
      <c r="BJ106" s="153">
        <f>IFERROR(VLOOKUP($B106,'[5]INSUMOS MARZO'!$A$2:$S$105,17,0),"")</f>
        <v>29299.777999999998</v>
      </c>
      <c r="BK106" s="154">
        <f t="shared" si="57"/>
        <v>0</v>
      </c>
      <c r="BL106" s="152" t="str">
        <f>IFERROR(VLOOKUP($B106,'PEDIDO JULIO'!$A$10:$AG$200,27,0),"0")</f>
        <v>0</v>
      </c>
      <c r="BM106" s="153">
        <f>IFERROR(VLOOKUP($B106,'[5]INSUMOS MARZO'!$A$2:$S$105,17,0),"")</f>
        <v>29299.777999999998</v>
      </c>
      <c r="BN106" s="154">
        <f t="shared" si="58"/>
        <v>0</v>
      </c>
      <c r="BO106" s="152" t="str">
        <f>IFERROR(VLOOKUP($B106,'PEDIDO JULIO'!$A$10:$AG$200,28,0),"0")</f>
        <v>0</v>
      </c>
      <c r="BP106" s="153">
        <f>IFERROR(VLOOKUP($B106,'[5]INSUMOS MARZO'!$A$2:$S$105,17,0),"")</f>
        <v>29299.777999999998</v>
      </c>
      <c r="BQ106" s="154">
        <f t="shared" si="59"/>
        <v>0</v>
      </c>
      <c r="BR106" s="152" t="str">
        <f>IFERROR(VLOOKUP($B106,'PEDIDO JULIO'!$A$10:$AG$200,29,0),"0")</f>
        <v>0</v>
      </c>
      <c r="BS106" s="153">
        <f>IFERROR(VLOOKUP($B106,'[5]INSUMOS MARZO'!$A$2:$S$105,17,0),"")</f>
        <v>29299.777999999998</v>
      </c>
      <c r="BT106" s="155">
        <f t="shared" si="60"/>
        <v>0</v>
      </c>
      <c r="BU106" s="152" t="str">
        <f>IFERROR(VLOOKUP($B106,'PEDIDO JULIO'!$A$10:$AG$200,30,0),"0")</f>
        <v>0</v>
      </c>
      <c r="BV106" s="153">
        <f>IFERROR(VLOOKUP($B106,'[5]INSUMOS MARZO'!$A$2:$S$105,17,0),"")</f>
        <v>29299.777999999998</v>
      </c>
      <c r="BW106" s="155">
        <f t="shared" si="61"/>
        <v>0</v>
      </c>
      <c r="BX106" s="152" t="str">
        <f>IFERROR(VLOOKUP($B106,'PEDIDO JULIO'!$A$10:$AG$200,31,0),"0")</f>
        <v>0</v>
      </c>
      <c r="BY106" s="153">
        <f>IFERROR(VLOOKUP($B106,'[5]INSUMOS MARZO'!$A$2:$S$105,17,0),"")</f>
        <v>29299.777999999998</v>
      </c>
      <c r="BZ106" s="155">
        <f t="shared" si="62"/>
        <v>0</v>
      </c>
      <c r="CA106" s="152" t="str">
        <f>IFERROR(VLOOKUP($B106,'PEDIDO JULIO'!$A$10:$AG$200,32,0),"0")</f>
        <v>0</v>
      </c>
      <c r="CB106" s="153">
        <f>IFERROR(VLOOKUP($B106,'[5]INSUMOS MARZO'!$A$2:$S$105,17,0),"")</f>
        <v>29299.777999999998</v>
      </c>
      <c r="CC106" s="155">
        <f t="shared" si="63"/>
        <v>0</v>
      </c>
      <c r="CD106" s="157">
        <f t="shared" si="38"/>
        <v>0</v>
      </c>
      <c r="CE106" s="158">
        <f t="shared" si="64"/>
        <v>0</v>
      </c>
      <c r="CF106" s="251">
        <f>IFERROR(VLOOKUP($B106,'MATRIZ INSUMOS '!$A$3:$P$106,16,0),"")</f>
        <v>0</v>
      </c>
      <c r="CG106" s="153">
        <f>IFERROR(VLOOKUP($B106,'[5]INSUMOS MARZO'!$A$2:$S$105,17,0),"")</f>
        <v>29299.777999999998</v>
      </c>
      <c r="CH106" s="156">
        <f t="shared" si="65"/>
        <v>0</v>
      </c>
      <c r="CI106" s="251">
        <f>IFERROR(VLOOKUP($B106,'MATRIZ INSUMOS '!$A$3:$P$106,10,0),"")</f>
        <v>0</v>
      </c>
      <c r="CJ106" s="156">
        <f>IFERROR(VLOOKUP($B106,'[5]INSUMOS MARZO'!$A$2:$S$105,14,0),"")</f>
        <v>41793.645599999996</v>
      </c>
      <c r="CK106" s="159">
        <f t="shared" si="66"/>
        <v>0</v>
      </c>
      <c r="CL106" s="160">
        <f t="shared" si="67"/>
        <v>0</v>
      </c>
      <c r="CM106" s="14">
        <f t="shared" si="68"/>
        <v>0</v>
      </c>
      <c r="CN106" s="14">
        <f t="shared" si="69"/>
        <v>0</v>
      </c>
      <c r="CO106" s="14">
        <f t="shared" si="70"/>
        <v>0</v>
      </c>
      <c r="CQ106" s="19">
        <f t="shared" si="71"/>
        <v>0</v>
      </c>
      <c r="CR106" s="19" t="b">
        <f t="shared" si="72"/>
        <v>1</v>
      </c>
      <c r="CS106" s="19">
        <f t="shared" si="73"/>
        <v>0</v>
      </c>
    </row>
    <row r="107" spans="1:97" ht="16.5">
      <c r="A107" s="3">
        <v>102</v>
      </c>
      <c r="B107" s="151">
        <v>257</v>
      </c>
      <c r="C107" s="4" t="s">
        <v>642</v>
      </c>
      <c r="D107" s="152">
        <f>IFERROR(VLOOKUP($B107,'[4]INSUMOS FEBRERO'!$A$2:$F$105,5,0),"")</f>
        <v>11</v>
      </c>
      <c r="E107" s="152" t="str">
        <f>IFERROR(VLOOKUP($B107,'PEDIDO JULIO'!$A$10:$AG$32,33,0),"0")</f>
        <v>0</v>
      </c>
      <c r="F107" s="152">
        <f t="shared" si="39"/>
        <v>-11</v>
      </c>
      <c r="G107" s="152" t="str">
        <f>IFERROR(VLOOKUP($B107,'PEDIDO JULIO'!$A$10:$AG$200,8,0),"0")</f>
        <v>0</v>
      </c>
      <c r="H107" s="153">
        <f>IFERROR(VLOOKUP($B107,'[5]INSUMOS MARZO'!$A$2:$S$105,17,0),"")</f>
        <v>18796.084000000003</v>
      </c>
      <c r="I107" s="154">
        <f t="shared" si="37"/>
        <v>0</v>
      </c>
      <c r="J107" s="152" t="str">
        <f>IFERROR(VLOOKUP($B107,'PEDIDO JULIO'!$A$10:$AG$200,9,0),"0")</f>
        <v>0</v>
      </c>
      <c r="K107" s="153">
        <f>IFERROR(VLOOKUP($B107,'[5]INSUMOS MARZO'!$A$2:$S$105,17,0),"")</f>
        <v>18796.084000000003</v>
      </c>
      <c r="L107" s="155">
        <f t="shared" si="40"/>
        <v>0</v>
      </c>
      <c r="M107" s="152" t="str">
        <f>IFERROR(VLOOKUP($B107,'PEDIDO JULIO'!$A$10:$AG$200,10,0),"0")</f>
        <v>0</v>
      </c>
      <c r="N107" s="153">
        <f>IFERROR(VLOOKUP($B107,'[5]INSUMOS MARZO'!$A$2:$S$105,17,0),"")</f>
        <v>18796.084000000003</v>
      </c>
      <c r="O107" s="154">
        <f t="shared" si="41"/>
        <v>0</v>
      </c>
      <c r="P107" s="152" t="str">
        <f>IFERROR(VLOOKUP($B107,'PEDIDO JULIO'!$A$10:$AG$200,11,0),"0")</f>
        <v>0</v>
      </c>
      <c r="Q107" s="153">
        <f>IFERROR(VLOOKUP($B107,'[5]INSUMOS MARZO'!$A$2:$S$105,17,0),"")</f>
        <v>18796.084000000003</v>
      </c>
      <c r="R107" s="154">
        <f t="shared" si="42"/>
        <v>0</v>
      </c>
      <c r="S107" s="152" t="str">
        <f>IFERROR(VLOOKUP($B107,'PEDIDO JULIO'!$A$10:$AG$200,12,0),"0")</f>
        <v>0</v>
      </c>
      <c r="T107" s="153">
        <f>IFERROR(VLOOKUP($B107,'[5]INSUMOS MARZO'!$A$2:$S$105,17,0),"")</f>
        <v>18796.084000000003</v>
      </c>
      <c r="U107" s="154">
        <f t="shared" si="43"/>
        <v>0</v>
      </c>
      <c r="V107" s="152" t="str">
        <f>IFERROR(VLOOKUP($B107,'PEDIDO JULIO'!$A$10:$AG$200,13,0),"0")</f>
        <v>0</v>
      </c>
      <c r="W107" s="153">
        <f>IFERROR(VLOOKUP($B107,'[5]INSUMOS MARZO'!$A$2:$S$105,17,0),"")</f>
        <v>18796.084000000003</v>
      </c>
      <c r="X107" s="154">
        <f t="shared" si="44"/>
        <v>0</v>
      </c>
      <c r="Y107" s="152" t="str">
        <f>IFERROR(VLOOKUP($B107,'PEDIDO JULIO'!$A$10:$AG$200,14,0),"0")</f>
        <v>0</v>
      </c>
      <c r="Z107" s="153">
        <f>IFERROR(VLOOKUP($B107,'[5]INSUMOS MARZO'!$A$2:$S$105,17,0),"")</f>
        <v>18796.084000000003</v>
      </c>
      <c r="AA107" s="154">
        <f t="shared" si="45"/>
        <v>0</v>
      </c>
      <c r="AB107" s="152" t="str">
        <f>IFERROR(VLOOKUP($B107,'PEDIDO JULIO'!$A$10:$AG$200,15,0),"0")</f>
        <v>0</v>
      </c>
      <c r="AC107" s="153">
        <f>IFERROR(VLOOKUP($B107,'[5]INSUMOS MARZO'!$A$2:$S$105,17,0),"")</f>
        <v>18796.084000000003</v>
      </c>
      <c r="AD107" s="154">
        <f t="shared" si="46"/>
        <v>0</v>
      </c>
      <c r="AE107" s="152" t="str">
        <f>IFERROR(VLOOKUP($B107,'PEDIDO JULIO'!$A$10:$AG$200,16,0),"0")</f>
        <v>0</v>
      </c>
      <c r="AF107" s="153">
        <f>IFERROR(VLOOKUP($B107,'[5]INSUMOS MARZO'!$A$2:$S$105,17,0),"")</f>
        <v>18796.084000000003</v>
      </c>
      <c r="AG107" s="154">
        <f t="shared" si="47"/>
        <v>0</v>
      </c>
      <c r="AH107" s="152" t="str">
        <f>IFERROR(VLOOKUP($B107,'PEDIDO JULIO'!$A$10:$AG$200,17,0),"0")</f>
        <v>0</v>
      </c>
      <c r="AI107" s="153">
        <f>IFERROR(VLOOKUP($B107,'[5]INSUMOS MARZO'!$A$2:$S$105,17,0),"")</f>
        <v>18796.084000000003</v>
      </c>
      <c r="AJ107" s="154">
        <f t="shared" si="48"/>
        <v>0</v>
      </c>
      <c r="AK107" s="152" t="str">
        <f>IFERROR(VLOOKUP($B107,'PEDIDO JULIO'!$A$10:$AG$200,18,0),"0")</f>
        <v>0</v>
      </c>
      <c r="AL107" s="153">
        <f>IFERROR(VLOOKUP($B107,'[5]INSUMOS MARZO'!$A$2:$S$105,17,0),"")</f>
        <v>18796.084000000003</v>
      </c>
      <c r="AM107" s="154">
        <f t="shared" si="49"/>
        <v>0</v>
      </c>
      <c r="AN107" s="152" t="str">
        <f>IFERROR(VLOOKUP($B107,'PEDIDO JULIO'!$A$10:$AG$200,19,0),"0")</f>
        <v>0</v>
      </c>
      <c r="AO107" s="153">
        <f>IFERROR(VLOOKUP($B107,'[5]INSUMOS MARZO'!$A$2:$S$105,17,0),"")</f>
        <v>18796.084000000003</v>
      </c>
      <c r="AP107" s="154">
        <f t="shared" si="50"/>
        <v>0</v>
      </c>
      <c r="AQ107" s="152" t="str">
        <f>IFERROR(VLOOKUP($B107,'PEDIDO JULIO'!$A$10:$AG$200,20,0),"0")</f>
        <v>0</v>
      </c>
      <c r="AR107" s="153">
        <f>IFERROR(VLOOKUP($B107,'[5]INSUMOS MARZO'!$A$2:$S$105,17,0),"")</f>
        <v>18796.084000000003</v>
      </c>
      <c r="AS107" s="154">
        <f t="shared" si="51"/>
        <v>0</v>
      </c>
      <c r="AT107" s="152" t="str">
        <f>IFERROR(VLOOKUP($B107,'PEDIDO JULIO'!$A$10:$AG$200,21,0),"0")</f>
        <v>0</v>
      </c>
      <c r="AU107" s="156">
        <f>IFERROR(VLOOKUP($B107,'[5]INSUMOS MARZO'!$A$2:$S$105,14,0),"")</f>
        <v>53536.048199999997</v>
      </c>
      <c r="AV107" s="154">
        <f t="shared" si="52"/>
        <v>0</v>
      </c>
      <c r="AW107" s="152" t="str">
        <f>IFERROR(VLOOKUP($B107,'PEDIDO JULIO'!$A$10:$AG$200,22,0),"0")</f>
        <v>0</v>
      </c>
      <c r="AX107" s="153">
        <f>IFERROR(VLOOKUP($B107,'[5]INSUMOS MARZO'!$A$2:$S$105,17,0),"")</f>
        <v>18796.084000000003</v>
      </c>
      <c r="AY107" s="154">
        <f t="shared" si="53"/>
        <v>0</v>
      </c>
      <c r="AZ107" s="152" t="str">
        <f>IFERROR(VLOOKUP($B107,'PEDIDO JULIO'!$A$10:$AG$200,23,0),"0")</f>
        <v>0</v>
      </c>
      <c r="BA107" s="153">
        <f>IFERROR(VLOOKUP($B107,'[5]INSUMOS MARZO'!$A$2:$S$105,17,0),"")</f>
        <v>18796.084000000003</v>
      </c>
      <c r="BB107" s="154">
        <f t="shared" si="54"/>
        <v>0</v>
      </c>
      <c r="BC107" s="152" t="str">
        <f>IFERROR(VLOOKUP($B107,'PEDIDO JULIO'!$A$10:$AG$200,24,0),"0")</f>
        <v>0</v>
      </c>
      <c r="BD107" s="153">
        <f>IFERROR(VLOOKUP($B107,'[5]INSUMOS MARZO'!$A$2:$S$105,17,0),"")</f>
        <v>18796.084000000003</v>
      </c>
      <c r="BE107" s="155">
        <f t="shared" si="55"/>
        <v>0</v>
      </c>
      <c r="BF107" s="152" t="str">
        <f>IFERROR(VLOOKUP($B107,'PEDIDO JULIO'!$A$10:$AG$200,25,0),"0")</f>
        <v>0</v>
      </c>
      <c r="BG107" s="153">
        <f>IFERROR(VLOOKUP($B107,'[5]INSUMOS MARZO'!$A$2:$S$105,17,0),"")</f>
        <v>18796.084000000003</v>
      </c>
      <c r="BH107" s="155">
        <f t="shared" si="56"/>
        <v>0</v>
      </c>
      <c r="BI107" s="152" t="str">
        <f>IFERROR(VLOOKUP($B107,'PEDIDO JULIO'!$A$10:$AG$200,26,0),"0")</f>
        <v>0</v>
      </c>
      <c r="BJ107" s="153">
        <f>IFERROR(VLOOKUP($B107,'[5]INSUMOS MARZO'!$A$2:$S$105,17,0),"")</f>
        <v>18796.084000000003</v>
      </c>
      <c r="BK107" s="154">
        <f t="shared" si="57"/>
        <v>0</v>
      </c>
      <c r="BL107" s="152" t="str">
        <f>IFERROR(VLOOKUP($B107,'PEDIDO JULIO'!$A$10:$AG$200,27,0),"0")</f>
        <v>0</v>
      </c>
      <c r="BM107" s="153">
        <f>IFERROR(VLOOKUP($B107,'[5]INSUMOS MARZO'!$A$2:$S$105,17,0),"")</f>
        <v>18796.084000000003</v>
      </c>
      <c r="BN107" s="154">
        <f t="shared" si="58"/>
        <v>0</v>
      </c>
      <c r="BO107" s="152" t="str">
        <f>IFERROR(VLOOKUP($B107,'PEDIDO JULIO'!$A$10:$AG$200,28,0),"0")</f>
        <v>0</v>
      </c>
      <c r="BP107" s="153">
        <f>IFERROR(VLOOKUP($B107,'[5]INSUMOS MARZO'!$A$2:$S$105,17,0),"")</f>
        <v>18796.084000000003</v>
      </c>
      <c r="BQ107" s="154">
        <f t="shared" si="59"/>
        <v>0</v>
      </c>
      <c r="BR107" s="152" t="str">
        <f>IFERROR(VLOOKUP($B107,'PEDIDO JULIO'!$A$10:$AG$200,29,0),"0")</f>
        <v>0</v>
      </c>
      <c r="BS107" s="153">
        <f>IFERROR(VLOOKUP($B107,'[5]INSUMOS MARZO'!$A$2:$S$105,17,0),"")</f>
        <v>18796.084000000003</v>
      </c>
      <c r="BT107" s="155">
        <f t="shared" si="60"/>
        <v>0</v>
      </c>
      <c r="BU107" s="152" t="str">
        <f>IFERROR(VLOOKUP($B107,'PEDIDO JULIO'!$A$10:$AG$200,30,0),"0")</f>
        <v>0</v>
      </c>
      <c r="BV107" s="153">
        <f>IFERROR(VLOOKUP($B107,'[5]INSUMOS MARZO'!$A$2:$S$105,17,0),"")</f>
        <v>18796.084000000003</v>
      </c>
      <c r="BW107" s="155">
        <f t="shared" si="61"/>
        <v>0</v>
      </c>
      <c r="BX107" s="152" t="str">
        <f>IFERROR(VLOOKUP($B107,'PEDIDO JULIO'!$A$10:$AG$200,31,0),"0")</f>
        <v>0</v>
      </c>
      <c r="BY107" s="153">
        <f>IFERROR(VLOOKUP($B107,'[5]INSUMOS MARZO'!$A$2:$S$105,17,0),"")</f>
        <v>18796.084000000003</v>
      </c>
      <c r="BZ107" s="155">
        <f t="shared" si="62"/>
        <v>0</v>
      </c>
      <c r="CA107" s="152" t="str">
        <f>IFERROR(VLOOKUP($B107,'PEDIDO JULIO'!$A$10:$AG$200,32,0),"0")</f>
        <v>0</v>
      </c>
      <c r="CB107" s="153">
        <f>IFERROR(VLOOKUP($B107,'[5]INSUMOS MARZO'!$A$2:$S$105,17,0),"")</f>
        <v>18796.084000000003</v>
      </c>
      <c r="CC107" s="155">
        <f t="shared" si="63"/>
        <v>0</v>
      </c>
      <c r="CD107" s="157">
        <f t="shared" si="38"/>
        <v>0</v>
      </c>
      <c r="CE107" s="158">
        <f t="shared" si="64"/>
        <v>0</v>
      </c>
      <c r="CF107" s="251">
        <f>IFERROR(VLOOKUP($B107,'MATRIZ INSUMOS '!$A$3:$P$106,16,0),"")</f>
        <v>0</v>
      </c>
      <c r="CG107" s="153">
        <f>IFERROR(VLOOKUP($B107,'[5]INSUMOS MARZO'!$A$2:$S$105,17,0),"")</f>
        <v>18796.084000000003</v>
      </c>
      <c r="CH107" s="156">
        <f t="shared" si="65"/>
        <v>0</v>
      </c>
      <c r="CI107" s="251">
        <f>IFERROR(VLOOKUP($B107,'MATRIZ INSUMOS '!$A$3:$P$106,10,0),"")</f>
        <v>0</v>
      </c>
      <c r="CJ107" s="156">
        <f>IFERROR(VLOOKUP($B107,'[5]INSUMOS MARZO'!$A$2:$S$105,14,0),"")</f>
        <v>53536.048199999997</v>
      </c>
      <c r="CK107" s="159">
        <f t="shared" si="66"/>
        <v>0</v>
      </c>
      <c r="CL107" s="160">
        <f t="shared" si="67"/>
        <v>0</v>
      </c>
      <c r="CM107" s="14">
        <f t="shared" si="68"/>
        <v>0</v>
      </c>
      <c r="CN107" s="14">
        <f t="shared" si="69"/>
        <v>0</v>
      </c>
      <c r="CO107" s="14">
        <f t="shared" si="70"/>
        <v>0</v>
      </c>
      <c r="CQ107" s="19">
        <f t="shared" si="71"/>
        <v>0</v>
      </c>
      <c r="CR107" s="19" t="b">
        <f t="shared" si="72"/>
        <v>1</v>
      </c>
      <c r="CS107" s="19">
        <f t="shared" si="73"/>
        <v>0</v>
      </c>
    </row>
    <row r="108" spans="1:97" ht="16.5">
      <c r="A108" s="3">
        <v>103</v>
      </c>
      <c r="B108" s="151">
        <v>260</v>
      </c>
      <c r="C108" s="4" t="s">
        <v>643</v>
      </c>
      <c r="D108" s="152">
        <f>IFERROR(VLOOKUP($B108,'[4]INSUMOS FEBRERO'!$A$2:$F$105,5,0),"")</f>
        <v>10</v>
      </c>
      <c r="E108" s="152" t="str">
        <f>IFERROR(VLOOKUP($B108,'PEDIDO JULIO'!$A$10:$AG$32,33,0),"0")</f>
        <v>0</v>
      </c>
      <c r="F108" s="152">
        <f t="shared" si="39"/>
        <v>-10</v>
      </c>
      <c r="G108" s="152" t="str">
        <f>IFERROR(VLOOKUP($B108,'PEDIDO JULIO'!$A$10:$AG$200,8,0),"0")</f>
        <v>0</v>
      </c>
      <c r="H108" s="153">
        <f>IFERROR(VLOOKUP($B108,'[5]INSUMOS MARZO'!$A$2:$S$105,17,0),"")</f>
        <v>3417.8520000000008</v>
      </c>
      <c r="I108" s="154">
        <f t="shared" si="37"/>
        <v>0</v>
      </c>
      <c r="J108" s="152" t="str">
        <f>IFERROR(VLOOKUP($B108,'PEDIDO JULIO'!$A$10:$AG$200,9,0),"0")</f>
        <v>0</v>
      </c>
      <c r="K108" s="153">
        <f>IFERROR(VLOOKUP($B108,'[5]INSUMOS MARZO'!$A$2:$S$105,17,0),"")</f>
        <v>3417.8520000000008</v>
      </c>
      <c r="L108" s="155">
        <f t="shared" si="40"/>
        <v>0</v>
      </c>
      <c r="M108" s="152" t="str">
        <f>IFERROR(VLOOKUP($B108,'PEDIDO JULIO'!$A$10:$AG$200,10,0),"0")</f>
        <v>0</v>
      </c>
      <c r="N108" s="153">
        <f>IFERROR(VLOOKUP($B108,'[5]INSUMOS MARZO'!$A$2:$S$105,17,0),"")</f>
        <v>3417.8520000000008</v>
      </c>
      <c r="O108" s="154">
        <f t="shared" si="41"/>
        <v>0</v>
      </c>
      <c r="P108" s="152" t="str">
        <f>IFERROR(VLOOKUP($B108,'PEDIDO JULIO'!$A$10:$AG$200,11,0),"0")</f>
        <v>0</v>
      </c>
      <c r="Q108" s="153">
        <f>IFERROR(VLOOKUP($B108,'[5]INSUMOS MARZO'!$A$2:$S$105,17,0),"")</f>
        <v>3417.8520000000008</v>
      </c>
      <c r="R108" s="154">
        <f t="shared" si="42"/>
        <v>0</v>
      </c>
      <c r="S108" s="152" t="str">
        <f>IFERROR(VLOOKUP($B108,'PEDIDO JULIO'!$A$10:$AG$200,12,0),"0")</f>
        <v>0</v>
      </c>
      <c r="T108" s="153">
        <f>IFERROR(VLOOKUP($B108,'[5]INSUMOS MARZO'!$A$2:$S$105,17,0),"")</f>
        <v>3417.8520000000008</v>
      </c>
      <c r="U108" s="154">
        <f t="shared" si="43"/>
        <v>0</v>
      </c>
      <c r="V108" s="152" t="str">
        <f>IFERROR(VLOOKUP($B108,'PEDIDO JULIO'!$A$10:$AG$200,13,0),"0")</f>
        <v>0</v>
      </c>
      <c r="W108" s="153">
        <f>IFERROR(VLOOKUP($B108,'[5]INSUMOS MARZO'!$A$2:$S$105,17,0),"")</f>
        <v>3417.8520000000008</v>
      </c>
      <c r="X108" s="154">
        <f t="shared" si="44"/>
        <v>0</v>
      </c>
      <c r="Y108" s="152" t="str">
        <f>IFERROR(VLOOKUP($B108,'PEDIDO JULIO'!$A$10:$AG$200,14,0),"0")</f>
        <v>0</v>
      </c>
      <c r="Z108" s="153">
        <f>IFERROR(VLOOKUP($B108,'[5]INSUMOS MARZO'!$A$2:$S$105,17,0),"")</f>
        <v>3417.8520000000008</v>
      </c>
      <c r="AA108" s="154">
        <f t="shared" si="45"/>
        <v>0</v>
      </c>
      <c r="AB108" s="152" t="str">
        <f>IFERROR(VLOOKUP($B108,'PEDIDO JULIO'!$A$10:$AG$200,15,0),"0")</f>
        <v>0</v>
      </c>
      <c r="AC108" s="153">
        <f>IFERROR(VLOOKUP($B108,'[5]INSUMOS MARZO'!$A$2:$S$105,17,0),"")</f>
        <v>3417.8520000000008</v>
      </c>
      <c r="AD108" s="154">
        <f t="shared" si="46"/>
        <v>0</v>
      </c>
      <c r="AE108" s="152" t="str">
        <f>IFERROR(VLOOKUP($B108,'PEDIDO JULIO'!$A$10:$AG$200,16,0),"0")</f>
        <v>0</v>
      </c>
      <c r="AF108" s="153">
        <f>IFERROR(VLOOKUP($B108,'[5]INSUMOS MARZO'!$A$2:$S$105,17,0),"")</f>
        <v>3417.8520000000008</v>
      </c>
      <c r="AG108" s="154">
        <f t="shared" si="47"/>
        <v>0</v>
      </c>
      <c r="AH108" s="152" t="str">
        <f>IFERROR(VLOOKUP($B108,'PEDIDO JULIO'!$A$10:$AG$200,17,0),"0")</f>
        <v>0</v>
      </c>
      <c r="AI108" s="153">
        <f>IFERROR(VLOOKUP($B108,'[5]INSUMOS MARZO'!$A$2:$S$105,17,0),"")</f>
        <v>3417.8520000000008</v>
      </c>
      <c r="AJ108" s="154">
        <f t="shared" si="48"/>
        <v>0</v>
      </c>
      <c r="AK108" s="152" t="str">
        <f>IFERROR(VLOOKUP($B108,'PEDIDO JULIO'!$A$10:$AG$200,18,0),"0")</f>
        <v>0</v>
      </c>
      <c r="AL108" s="153">
        <f>IFERROR(VLOOKUP($B108,'[5]INSUMOS MARZO'!$A$2:$S$105,17,0),"")</f>
        <v>3417.8520000000008</v>
      </c>
      <c r="AM108" s="154">
        <f t="shared" si="49"/>
        <v>0</v>
      </c>
      <c r="AN108" s="152" t="str">
        <f>IFERROR(VLOOKUP($B108,'PEDIDO JULIO'!$A$10:$AG$200,19,0),"0")</f>
        <v>0</v>
      </c>
      <c r="AO108" s="153">
        <f>IFERROR(VLOOKUP($B108,'[5]INSUMOS MARZO'!$A$2:$S$105,17,0),"")</f>
        <v>3417.8520000000008</v>
      </c>
      <c r="AP108" s="154">
        <f t="shared" si="50"/>
        <v>0</v>
      </c>
      <c r="AQ108" s="152" t="str">
        <f>IFERROR(VLOOKUP($B108,'PEDIDO JULIO'!$A$10:$AG$200,20,0),"0")</f>
        <v>0</v>
      </c>
      <c r="AR108" s="153">
        <f>IFERROR(VLOOKUP($B108,'[5]INSUMOS MARZO'!$A$2:$S$105,17,0),"")</f>
        <v>3417.8520000000008</v>
      </c>
      <c r="AS108" s="154">
        <f t="shared" si="51"/>
        <v>0</v>
      </c>
      <c r="AT108" s="152" t="str">
        <f>IFERROR(VLOOKUP($B108,'PEDIDO JULIO'!$A$10:$AG$200,21,0),"0")</f>
        <v>0</v>
      </c>
      <c r="AU108" s="156">
        <f>IFERROR(VLOOKUP($B108,'[5]INSUMOS MARZO'!$A$2:$S$105,14,0),"")</f>
        <v>8508.3705000000009</v>
      </c>
      <c r="AV108" s="154">
        <f t="shared" si="52"/>
        <v>0</v>
      </c>
      <c r="AW108" s="152" t="str">
        <f>IFERROR(VLOOKUP($B108,'PEDIDO JULIO'!$A$10:$AG$200,22,0),"0")</f>
        <v>0</v>
      </c>
      <c r="AX108" s="153">
        <f>IFERROR(VLOOKUP($B108,'[5]INSUMOS MARZO'!$A$2:$S$105,17,0),"")</f>
        <v>3417.8520000000008</v>
      </c>
      <c r="AY108" s="154">
        <f t="shared" si="53"/>
        <v>0</v>
      </c>
      <c r="AZ108" s="152" t="str">
        <f>IFERROR(VLOOKUP($B108,'PEDIDO JULIO'!$A$10:$AG$200,23,0),"0")</f>
        <v>0</v>
      </c>
      <c r="BA108" s="153">
        <f>IFERROR(VLOOKUP($B108,'[5]INSUMOS MARZO'!$A$2:$S$105,17,0),"")</f>
        <v>3417.8520000000008</v>
      </c>
      <c r="BB108" s="154">
        <f t="shared" si="54"/>
        <v>0</v>
      </c>
      <c r="BC108" s="152" t="str">
        <f>IFERROR(VLOOKUP($B108,'PEDIDO JULIO'!$A$10:$AG$200,24,0),"0")</f>
        <v>0</v>
      </c>
      <c r="BD108" s="153">
        <f>IFERROR(VLOOKUP($B108,'[5]INSUMOS MARZO'!$A$2:$S$105,17,0),"")</f>
        <v>3417.8520000000008</v>
      </c>
      <c r="BE108" s="155">
        <f t="shared" si="55"/>
        <v>0</v>
      </c>
      <c r="BF108" s="152" t="str">
        <f>IFERROR(VLOOKUP($B108,'PEDIDO JULIO'!$A$10:$AG$200,25,0),"0")</f>
        <v>0</v>
      </c>
      <c r="BG108" s="153">
        <f>IFERROR(VLOOKUP($B108,'[5]INSUMOS MARZO'!$A$2:$S$105,17,0),"")</f>
        <v>3417.8520000000008</v>
      </c>
      <c r="BH108" s="155">
        <f t="shared" si="56"/>
        <v>0</v>
      </c>
      <c r="BI108" s="152" t="str">
        <f>IFERROR(VLOOKUP($B108,'PEDIDO JULIO'!$A$10:$AG$200,26,0),"0")</f>
        <v>0</v>
      </c>
      <c r="BJ108" s="153">
        <f>IFERROR(VLOOKUP($B108,'[5]INSUMOS MARZO'!$A$2:$S$105,17,0),"")</f>
        <v>3417.8520000000008</v>
      </c>
      <c r="BK108" s="154">
        <f t="shared" si="57"/>
        <v>0</v>
      </c>
      <c r="BL108" s="152" t="str">
        <f>IFERROR(VLOOKUP($B108,'PEDIDO JULIO'!$A$10:$AG$200,27,0),"0")</f>
        <v>0</v>
      </c>
      <c r="BM108" s="153">
        <f>IFERROR(VLOOKUP($B108,'[5]INSUMOS MARZO'!$A$2:$S$105,17,0),"")</f>
        <v>3417.8520000000008</v>
      </c>
      <c r="BN108" s="154">
        <f t="shared" si="58"/>
        <v>0</v>
      </c>
      <c r="BO108" s="152" t="str">
        <f>IFERROR(VLOOKUP($B108,'PEDIDO JULIO'!$A$10:$AG$200,28,0),"0")</f>
        <v>0</v>
      </c>
      <c r="BP108" s="153">
        <f>IFERROR(VLOOKUP($B108,'[5]INSUMOS MARZO'!$A$2:$S$105,17,0),"")</f>
        <v>3417.8520000000008</v>
      </c>
      <c r="BQ108" s="154">
        <f t="shared" si="59"/>
        <v>0</v>
      </c>
      <c r="BR108" s="152" t="str">
        <f>IFERROR(VLOOKUP($B108,'PEDIDO JULIO'!$A$10:$AG$200,29,0),"0")</f>
        <v>0</v>
      </c>
      <c r="BS108" s="153">
        <f>IFERROR(VLOOKUP($B108,'[5]INSUMOS MARZO'!$A$2:$S$105,17,0),"")</f>
        <v>3417.8520000000008</v>
      </c>
      <c r="BT108" s="155">
        <f t="shared" si="60"/>
        <v>0</v>
      </c>
      <c r="BU108" s="152" t="str">
        <f>IFERROR(VLOOKUP($B108,'PEDIDO JULIO'!$A$10:$AG$200,30,0),"0")</f>
        <v>0</v>
      </c>
      <c r="BV108" s="153">
        <f>IFERROR(VLOOKUP($B108,'[5]INSUMOS MARZO'!$A$2:$S$105,17,0),"")</f>
        <v>3417.8520000000008</v>
      </c>
      <c r="BW108" s="155">
        <f t="shared" si="61"/>
        <v>0</v>
      </c>
      <c r="BX108" s="152" t="str">
        <f>IFERROR(VLOOKUP($B108,'PEDIDO JULIO'!$A$10:$AG$200,31,0),"0")</f>
        <v>0</v>
      </c>
      <c r="BY108" s="153">
        <f>IFERROR(VLOOKUP($B108,'[5]INSUMOS MARZO'!$A$2:$S$105,17,0),"")</f>
        <v>3417.8520000000008</v>
      </c>
      <c r="BZ108" s="155">
        <f t="shared" si="62"/>
        <v>0</v>
      </c>
      <c r="CA108" s="152" t="str">
        <f>IFERROR(VLOOKUP($B108,'PEDIDO JULIO'!$A$10:$AG$200,32,0),"0")</f>
        <v>0</v>
      </c>
      <c r="CB108" s="153">
        <f>IFERROR(VLOOKUP($B108,'[5]INSUMOS MARZO'!$A$2:$S$105,17,0),"")</f>
        <v>3417.8520000000008</v>
      </c>
      <c r="CC108" s="155">
        <f t="shared" si="63"/>
        <v>0</v>
      </c>
      <c r="CD108" s="157">
        <f t="shared" si="38"/>
        <v>0</v>
      </c>
      <c r="CE108" s="158">
        <f t="shared" si="64"/>
        <v>0</v>
      </c>
      <c r="CF108" s="251">
        <f>IFERROR(VLOOKUP($B108,'MATRIZ INSUMOS '!$A$3:$P$106,16,0),"")</f>
        <v>0</v>
      </c>
      <c r="CG108" s="153">
        <f>IFERROR(VLOOKUP($B108,'[5]INSUMOS MARZO'!$A$2:$S$105,17,0),"")</f>
        <v>3417.8520000000008</v>
      </c>
      <c r="CH108" s="156">
        <f t="shared" si="65"/>
        <v>0</v>
      </c>
      <c r="CI108" s="251">
        <f>IFERROR(VLOOKUP($B108,'MATRIZ INSUMOS '!$A$3:$P$106,10,0),"")</f>
        <v>0</v>
      </c>
      <c r="CJ108" s="156">
        <f>IFERROR(VLOOKUP($B108,'[5]INSUMOS MARZO'!$A$2:$S$105,14,0),"")</f>
        <v>8508.3705000000009</v>
      </c>
      <c r="CK108" s="159">
        <f t="shared" si="66"/>
        <v>0</v>
      </c>
      <c r="CL108" s="160">
        <f t="shared" si="67"/>
        <v>0</v>
      </c>
      <c r="CM108" s="14">
        <f t="shared" si="68"/>
        <v>0</v>
      </c>
      <c r="CN108" s="14">
        <f t="shared" si="69"/>
        <v>0</v>
      </c>
      <c r="CO108" s="14">
        <f t="shared" si="70"/>
        <v>0</v>
      </c>
      <c r="CQ108" s="19">
        <f t="shared" si="71"/>
        <v>0</v>
      </c>
      <c r="CR108" s="19" t="b">
        <f t="shared" si="72"/>
        <v>1</v>
      </c>
      <c r="CS108" s="19">
        <f t="shared" si="73"/>
        <v>0</v>
      </c>
    </row>
    <row r="109" spans="1:97" ht="16.5">
      <c r="A109" s="3">
        <v>105</v>
      </c>
      <c r="B109" s="151">
        <v>291</v>
      </c>
      <c r="C109" s="4" t="s">
        <v>644</v>
      </c>
      <c r="D109" s="152">
        <f>IFERROR(VLOOKUP($B109,'[4]INSUMOS FEBRERO'!$A$2:$F$105,5,0),"")</f>
        <v>3</v>
      </c>
      <c r="E109" s="152" t="str">
        <f>IFERROR(VLOOKUP($B109,'PEDIDO JULIO'!$A$10:$AG$32,33,0),"0")</f>
        <v>0</v>
      </c>
      <c r="F109" s="152">
        <f t="shared" si="39"/>
        <v>-3</v>
      </c>
      <c r="G109" s="152" t="str">
        <f>IFERROR(VLOOKUP($B109,'PEDIDO JULIO'!$A$10:$AG$200,8,0),"0")</f>
        <v>0</v>
      </c>
      <c r="H109" s="153">
        <f>IFERROR(VLOOKUP($B109,'[5]INSUMOS MARZO'!$A$2:$S$105,17,0),"")</f>
        <v>20454.562000000005</v>
      </c>
      <c r="I109" s="154">
        <f t="shared" si="37"/>
        <v>0</v>
      </c>
      <c r="J109" s="152" t="str">
        <f>IFERROR(VLOOKUP($B109,'PEDIDO JULIO'!$A$10:$AG$200,9,0),"0")</f>
        <v>0</v>
      </c>
      <c r="K109" s="153">
        <f>IFERROR(VLOOKUP($B109,'[5]INSUMOS MARZO'!$A$2:$S$105,17,0),"")</f>
        <v>20454.562000000005</v>
      </c>
      <c r="L109" s="155">
        <f t="shared" si="40"/>
        <v>0</v>
      </c>
      <c r="M109" s="152" t="str">
        <f>IFERROR(VLOOKUP($B109,'PEDIDO JULIO'!$A$10:$AG$200,10,0),"0")</f>
        <v>0</v>
      </c>
      <c r="N109" s="153">
        <f>IFERROR(VLOOKUP($B109,'[5]INSUMOS MARZO'!$A$2:$S$105,17,0),"")</f>
        <v>20454.562000000005</v>
      </c>
      <c r="O109" s="154">
        <f t="shared" si="41"/>
        <v>0</v>
      </c>
      <c r="P109" s="152" t="str">
        <f>IFERROR(VLOOKUP($B109,'PEDIDO JULIO'!$A$10:$AG$200,11,0),"0")</f>
        <v>0</v>
      </c>
      <c r="Q109" s="153">
        <f>IFERROR(VLOOKUP($B109,'[5]INSUMOS MARZO'!$A$2:$S$105,17,0),"")</f>
        <v>20454.562000000005</v>
      </c>
      <c r="R109" s="154">
        <f t="shared" si="42"/>
        <v>0</v>
      </c>
      <c r="S109" s="152" t="str">
        <f>IFERROR(VLOOKUP($B109,'PEDIDO JULIO'!$A$10:$AG$200,12,0),"0")</f>
        <v>0</v>
      </c>
      <c r="T109" s="153">
        <f>IFERROR(VLOOKUP($B109,'[5]INSUMOS MARZO'!$A$2:$S$105,17,0),"")</f>
        <v>20454.562000000005</v>
      </c>
      <c r="U109" s="154">
        <f t="shared" si="43"/>
        <v>0</v>
      </c>
      <c r="V109" s="152" t="str">
        <f>IFERROR(VLOOKUP($B109,'PEDIDO JULIO'!$A$10:$AG$200,13,0),"0")</f>
        <v>0</v>
      </c>
      <c r="W109" s="153">
        <f>IFERROR(VLOOKUP($B109,'[5]INSUMOS MARZO'!$A$2:$S$105,17,0),"")</f>
        <v>20454.562000000005</v>
      </c>
      <c r="X109" s="154">
        <f t="shared" si="44"/>
        <v>0</v>
      </c>
      <c r="Y109" s="152" t="str">
        <f>IFERROR(VLOOKUP($B109,'PEDIDO JULIO'!$A$10:$AG$200,14,0),"0")</f>
        <v>0</v>
      </c>
      <c r="Z109" s="153">
        <f>IFERROR(VLOOKUP($B109,'[5]INSUMOS MARZO'!$A$2:$S$105,17,0),"")</f>
        <v>20454.562000000005</v>
      </c>
      <c r="AA109" s="154">
        <f t="shared" si="45"/>
        <v>0</v>
      </c>
      <c r="AB109" s="152" t="str">
        <f>IFERROR(VLOOKUP($B109,'PEDIDO JULIO'!$A$10:$AG$200,15,0),"0")</f>
        <v>0</v>
      </c>
      <c r="AC109" s="153">
        <f>IFERROR(VLOOKUP($B109,'[5]INSUMOS MARZO'!$A$2:$S$105,17,0),"")</f>
        <v>20454.562000000005</v>
      </c>
      <c r="AD109" s="154">
        <f t="shared" si="46"/>
        <v>0</v>
      </c>
      <c r="AE109" s="152" t="str">
        <f>IFERROR(VLOOKUP($B109,'PEDIDO JULIO'!$A$10:$AG$200,16,0),"0")</f>
        <v>0</v>
      </c>
      <c r="AF109" s="153">
        <f>IFERROR(VLOOKUP($B109,'[5]INSUMOS MARZO'!$A$2:$S$105,17,0),"")</f>
        <v>20454.562000000005</v>
      </c>
      <c r="AG109" s="154">
        <f t="shared" si="47"/>
        <v>0</v>
      </c>
      <c r="AH109" s="152" t="str">
        <f>IFERROR(VLOOKUP($B109,'PEDIDO JULIO'!$A$10:$AG$200,17,0),"0")</f>
        <v>0</v>
      </c>
      <c r="AI109" s="153">
        <f>IFERROR(VLOOKUP($B109,'[5]INSUMOS MARZO'!$A$2:$S$105,17,0),"")</f>
        <v>20454.562000000005</v>
      </c>
      <c r="AJ109" s="154">
        <f t="shared" si="48"/>
        <v>0</v>
      </c>
      <c r="AK109" s="152" t="str">
        <f>IFERROR(VLOOKUP($B109,'PEDIDO JULIO'!$A$10:$AG$200,18,0),"0")</f>
        <v>0</v>
      </c>
      <c r="AL109" s="153">
        <f>IFERROR(VLOOKUP($B109,'[5]INSUMOS MARZO'!$A$2:$S$105,17,0),"")</f>
        <v>20454.562000000005</v>
      </c>
      <c r="AM109" s="154">
        <f t="shared" si="49"/>
        <v>0</v>
      </c>
      <c r="AN109" s="152" t="str">
        <f>IFERROR(VLOOKUP($B109,'PEDIDO JULIO'!$A$10:$AG$200,19,0),"0")</f>
        <v>0</v>
      </c>
      <c r="AO109" s="153">
        <f>IFERROR(VLOOKUP($B109,'[5]INSUMOS MARZO'!$A$2:$S$105,17,0),"")</f>
        <v>20454.562000000005</v>
      </c>
      <c r="AP109" s="154">
        <f t="shared" si="50"/>
        <v>0</v>
      </c>
      <c r="AQ109" s="152" t="str">
        <f>IFERROR(VLOOKUP($B109,'PEDIDO JULIO'!$A$10:$AG$200,20,0),"0")</f>
        <v>0</v>
      </c>
      <c r="AR109" s="153">
        <f>IFERROR(VLOOKUP($B109,'[5]INSUMOS MARZO'!$A$2:$S$105,17,0),"")</f>
        <v>20454.562000000005</v>
      </c>
      <c r="AS109" s="154">
        <f t="shared" si="51"/>
        <v>0</v>
      </c>
      <c r="AT109" s="152" t="str">
        <f>IFERROR(VLOOKUP($B109,'PEDIDO JULIO'!$A$10:$AG$200,21,0),"0")</f>
        <v>0</v>
      </c>
      <c r="AU109" s="156">
        <f>IFERROR(VLOOKUP($B109,'[5]INSUMOS MARZO'!$A$2:$S$105,14,0),"")</f>
        <v>65576.409299999999</v>
      </c>
      <c r="AV109" s="154">
        <f t="shared" si="52"/>
        <v>0</v>
      </c>
      <c r="AW109" s="152" t="str">
        <f>IFERROR(VLOOKUP($B109,'PEDIDO JULIO'!$A$10:$AG$200,22,0),"0")</f>
        <v>0</v>
      </c>
      <c r="AX109" s="153">
        <f>IFERROR(VLOOKUP($B109,'[5]INSUMOS MARZO'!$A$2:$S$105,17,0),"")</f>
        <v>20454.562000000005</v>
      </c>
      <c r="AY109" s="154">
        <f t="shared" si="53"/>
        <v>0</v>
      </c>
      <c r="AZ109" s="152" t="str">
        <f>IFERROR(VLOOKUP($B109,'PEDIDO JULIO'!$A$10:$AG$200,23,0),"0")</f>
        <v>0</v>
      </c>
      <c r="BA109" s="153">
        <f>IFERROR(VLOOKUP($B109,'[5]INSUMOS MARZO'!$A$2:$S$105,17,0),"")</f>
        <v>20454.562000000005</v>
      </c>
      <c r="BB109" s="154">
        <f t="shared" si="54"/>
        <v>0</v>
      </c>
      <c r="BC109" s="152" t="str">
        <f>IFERROR(VLOOKUP($B109,'PEDIDO JULIO'!$A$10:$AG$200,24,0),"0")</f>
        <v>0</v>
      </c>
      <c r="BD109" s="153">
        <f>IFERROR(VLOOKUP($B109,'[5]INSUMOS MARZO'!$A$2:$S$105,17,0),"")</f>
        <v>20454.562000000005</v>
      </c>
      <c r="BE109" s="155">
        <f t="shared" si="55"/>
        <v>0</v>
      </c>
      <c r="BF109" s="152" t="str">
        <f>IFERROR(VLOOKUP($B109,'PEDIDO JULIO'!$A$10:$AG$200,25,0),"0")</f>
        <v>0</v>
      </c>
      <c r="BG109" s="153">
        <f>IFERROR(VLOOKUP($B109,'[5]INSUMOS MARZO'!$A$2:$S$105,17,0),"")</f>
        <v>20454.562000000005</v>
      </c>
      <c r="BH109" s="155">
        <f t="shared" si="56"/>
        <v>0</v>
      </c>
      <c r="BI109" s="152" t="str">
        <f>IFERROR(VLOOKUP($B109,'PEDIDO JULIO'!$A$10:$AG$200,26,0),"0")</f>
        <v>0</v>
      </c>
      <c r="BJ109" s="153">
        <f>IFERROR(VLOOKUP($B109,'[5]INSUMOS MARZO'!$A$2:$S$105,17,0),"")</f>
        <v>20454.562000000005</v>
      </c>
      <c r="BK109" s="154">
        <f t="shared" si="57"/>
        <v>0</v>
      </c>
      <c r="BL109" s="152" t="str">
        <f>IFERROR(VLOOKUP($B109,'PEDIDO JULIO'!$A$10:$AG$200,27,0),"0")</f>
        <v>0</v>
      </c>
      <c r="BM109" s="153">
        <f>IFERROR(VLOOKUP($B109,'[5]INSUMOS MARZO'!$A$2:$S$105,17,0),"")</f>
        <v>20454.562000000005</v>
      </c>
      <c r="BN109" s="154">
        <f t="shared" si="58"/>
        <v>0</v>
      </c>
      <c r="BO109" s="152" t="str">
        <f>IFERROR(VLOOKUP($B109,'PEDIDO JULIO'!$A$10:$AG$200,28,0),"0")</f>
        <v>0</v>
      </c>
      <c r="BP109" s="153">
        <f>IFERROR(VLOOKUP($B109,'[5]INSUMOS MARZO'!$A$2:$S$105,17,0),"")</f>
        <v>20454.562000000005</v>
      </c>
      <c r="BQ109" s="154">
        <f t="shared" si="59"/>
        <v>0</v>
      </c>
      <c r="BR109" s="152" t="str">
        <f>IFERROR(VLOOKUP($B109,'PEDIDO JULIO'!$A$10:$AG$200,29,0),"0")</f>
        <v>0</v>
      </c>
      <c r="BS109" s="153">
        <f>IFERROR(VLOOKUP($B109,'[5]INSUMOS MARZO'!$A$2:$S$105,17,0),"")</f>
        <v>20454.562000000005</v>
      </c>
      <c r="BT109" s="155">
        <f t="shared" si="60"/>
        <v>0</v>
      </c>
      <c r="BU109" s="152" t="str">
        <f>IFERROR(VLOOKUP($B109,'PEDIDO JULIO'!$A$10:$AG$200,30,0),"0")</f>
        <v>0</v>
      </c>
      <c r="BV109" s="153">
        <f>IFERROR(VLOOKUP($B109,'[5]INSUMOS MARZO'!$A$2:$S$105,17,0),"")</f>
        <v>20454.562000000005</v>
      </c>
      <c r="BW109" s="155">
        <f t="shared" si="61"/>
        <v>0</v>
      </c>
      <c r="BX109" s="152" t="str">
        <f>IFERROR(VLOOKUP($B109,'PEDIDO JULIO'!$A$10:$AG$200,31,0),"0")</f>
        <v>0</v>
      </c>
      <c r="BY109" s="153">
        <f>IFERROR(VLOOKUP($B109,'[5]INSUMOS MARZO'!$A$2:$S$105,17,0),"")</f>
        <v>20454.562000000005</v>
      </c>
      <c r="BZ109" s="155">
        <f t="shared" si="62"/>
        <v>0</v>
      </c>
      <c r="CA109" s="152" t="str">
        <f>IFERROR(VLOOKUP($B109,'PEDIDO JULIO'!$A$10:$AG$200,32,0),"0")</f>
        <v>0</v>
      </c>
      <c r="CB109" s="153">
        <f>IFERROR(VLOOKUP($B109,'[5]INSUMOS MARZO'!$A$2:$S$105,17,0),"")</f>
        <v>20454.562000000005</v>
      </c>
      <c r="CC109" s="155">
        <f t="shared" si="63"/>
        <v>0</v>
      </c>
      <c r="CD109" s="157">
        <f t="shared" si="38"/>
        <v>0</v>
      </c>
      <c r="CE109" s="158">
        <f t="shared" si="64"/>
        <v>0</v>
      </c>
      <c r="CF109" s="251">
        <f>IFERROR(VLOOKUP($B109,'MATRIZ INSUMOS '!$A$3:$P$106,16,0),"")</f>
        <v>0</v>
      </c>
      <c r="CG109" s="153">
        <f>IFERROR(VLOOKUP($B109,'[5]INSUMOS MARZO'!$A$2:$S$105,17,0),"")</f>
        <v>20454.562000000005</v>
      </c>
      <c r="CH109" s="156">
        <f t="shared" si="65"/>
        <v>0</v>
      </c>
      <c r="CI109" s="251">
        <f>IFERROR(VLOOKUP($B109,'MATRIZ INSUMOS '!$A$3:$P$106,10,0),"")</f>
        <v>0</v>
      </c>
      <c r="CJ109" s="156">
        <f>IFERROR(VLOOKUP($B109,'[5]INSUMOS MARZO'!$A$2:$S$105,14,0),"")</f>
        <v>65576.409299999999</v>
      </c>
      <c r="CK109" s="159">
        <f t="shared" si="66"/>
        <v>0</v>
      </c>
      <c r="CL109" s="160">
        <f t="shared" si="67"/>
        <v>0</v>
      </c>
      <c r="CM109" s="14">
        <f t="shared" si="68"/>
        <v>0</v>
      </c>
      <c r="CN109" s="14">
        <f t="shared" si="69"/>
        <v>0</v>
      </c>
      <c r="CO109" s="14">
        <f t="shared" si="70"/>
        <v>0</v>
      </c>
      <c r="CQ109" s="19">
        <f t="shared" si="71"/>
        <v>0</v>
      </c>
      <c r="CR109" s="19" t="b">
        <f t="shared" si="72"/>
        <v>1</v>
      </c>
      <c r="CS109" s="19">
        <f t="shared" si="73"/>
        <v>0</v>
      </c>
    </row>
    <row r="110" spans="1:97" ht="15.75" thickBot="1">
      <c r="A110" s="166"/>
      <c r="B110" s="166"/>
      <c r="C110" s="166"/>
      <c r="D110" s="167">
        <f>SUM(D6:D109)</f>
        <v>4839</v>
      </c>
      <c r="E110" s="168">
        <f>SUM(E6:E109)</f>
        <v>638</v>
      </c>
      <c r="F110" s="167">
        <f>SUM(F6:F109)</f>
        <v>-4201</v>
      </c>
      <c r="G110" s="167">
        <f>SUM(G6:G109)</f>
        <v>5185</v>
      </c>
      <c r="H110" s="167"/>
      <c r="I110" s="169">
        <f>SUM(I6:I109)</f>
        <v>45369953.716999993</v>
      </c>
      <c r="J110" s="167">
        <f>SUM(J6:J109)</f>
        <v>30</v>
      </c>
      <c r="K110" s="167"/>
      <c r="L110" s="169">
        <f>SUM(L6:L109)</f>
        <v>508069.27009999997</v>
      </c>
      <c r="M110" s="167">
        <f>SUM(M6:M109)</f>
        <v>20</v>
      </c>
      <c r="N110" s="167"/>
      <c r="O110" s="169">
        <f>SUM(O6:O109)</f>
        <v>389038.79059999995</v>
      </c>
      <c r="P110" s="167">
        <f>SUM(P6:P109)</f>
        <v>0</v>
      </c>
      <c r="Q110" s="167"/>
      <c r="R110" s="169">
        <f>SUM(R6:R109)</f>
        <v>0</v>
      </c>
      <c r="S110" s="167">
        <f>SUM(S6:S109)</f>
        <v>222</v>
      </c>
      <c r="T110" s="167"/>
      <c r="U110" s="169">
        <f>SUM(U6:U109)</f>
        <v>1744250.11</v>
      </c>
      <c r="V110" s="167">
        <f>SUM(V6:V109)</f>
        <v>184</v>
      </c>
      <c r="W110" s="167"/>
      <c r="X110" s="169">
        <f>SUM(X6:X109)</f>
        <v>1995333.4845</v>
      </c>
      <c r="Y110" s="167">
        <f>SUM(Y6:Y109)</f>
        <v>199</v>
      </c>
      <c r="Z110" s="167"/>
      <c r="AA110" s="169">
        <f>SUM(AA6:AA109)</f>
        <v>2558880.6304000001</v>
      </c>
      <c r="AB110" s="167">
        <f>SUM(AB6:AB109)</f>
        <v>49</v>
      </c>
      <c r="AC110" s="167"/>
      <c r="AD110" s="169">
        <f>SUM(AD6:AD109)</f>
        <v>380332.30660000001</v>
      </c>
      <c r="AE110" s="167">
        <f>SUM(AE6:AE109)</f>
        <v>223</v>
      </c>
      <c r="AF110" s="167"/>
      <c r="AG110" s="169">
        <f>SUM(AG6:AG109)</f>
        <v>1824454.0219999999</v>
      </c>
      <c r="AH110" s="167">
        <f>SUM(AH6:AH109)</f>
        <v>54</v>
      </c>
      <c r="AI110" s="167"/>
      <c r="AJ110" s="169">
        <f>SUM(AJ6:AJ109)</f>
        <v>473087.89120000001</v>
      </c>
      <c r="AK110" s="167">
        <f>SUM(AK6:AK109)</f>
        <v>10</v>
      </c>
      <c r="AL110" s="167"/>
      <c r="AM110" s="169">
        <f>SUM(AM6:AM109)</f>
        <v>256736.17800000001</v>
      </c>
      <c r="AN110" s="167">
        <f>SUM(AN6:AN109)</f>
        <v>6</v>
      </c>
      <c r="AO110" s="167"/>
      <c r="AP110" s="169">
        <f>SUM(AP6:AP109)</f>
        <v>154041.70679999999</v>
      </c>
      <c r="AQ110" s="167">
        <f>SUM(AQ6:AQ109)</f>
        <v>99</v>
      </c>
      <c r="AR110" s="167"/>
      <c r="AS110" s="169">
        <f>SUM(AS6:AS109)</f>
        <v>485750.12899999996</v>
      </c>
      <c r="AT110" s="167">
        <f>SUM(AT6:AT109)</f>
        <v>74</v>
      </c>
      <c r="AU110" s="167"/>
      <c r="AV110" s="169">
        <f>SUM(AV6:AV109)</f>
        <v>642898.80200000003</v>
      </c>
      <c r="AW110" s="167">
        <f>SUM(AW6:AW109)</f>
        <v>6</v>
      </c>
      <c r="AX110" s="167"/>
      <c r="AY110" s="169">
        <f>SUM(AY6:AY109)</f>
        <v>154041.70679999999</v>
      </c>
      <c r="AZ110" s="167">
        <f>SUM(AZ6:AZ109)</f>
        <v>10</v>
      </c>
      <c r="BA110" s="167"/>
      <c r="BB110" s="169">
        <f>SUM(BB6:BB109)</f>
        <v>256736.17800000001</v>
      </c>
      <c r="BC110" s="167">
        <f>SUM(BC6:BC109)</f>
        <v>67</v>
      </c>
      <c r="BD110" s="167"/>
      <c r="BE110" s="169">
        <f>SUM(BE6:BE109)</f>
        <v>675472.86540000001</v>
      </c>
      <c r="BF110" s="167">
        <f>SUM(BF6:BF109)</f>
        <v>236</v>
      </c>
      <c r="BG110" s="167"/>
      <c r="BH110" s="169">
        <f>SUM(BH6:BH109)</f>
        <v>1190390.977</v>
      </c>
      <c r="BI110" s="167">
        <f>SUM(BI6:BI109)</f>
        <v>175</v>
      </c>
      <c r="BJ110" s="167"/>
      <c r="BK110" s="169">
        <f>SUM(BK6:BK109)</f>
        <v>1062625.111</v>
      </c>
      <c r="BL110" s="167">
        <f>SUM(BL6:BL109)</f>
        <v>0</v>
      </c>
      <c r="BM110" s="167"/>
      <c r="BN110" s="169">
        <f>SUM(BN6:BN109)</f>
        <v>0</v>
      </c>
      <c r="BO110" s="167">
        <f>SUM(BO6:BO109)</f>
        <v>85</v>
      </c>
      <c r="BP110" s="167"/>
      <c r="BQ110" s="169">
        <f>SUM(BQ6:BQ109)</f>
        <v>528150.62199999997</v>
      </c>
      <c r="BR110" s="167">
        <f>SUM(BR6:BR109)</f>
        <v>212</v>
      </c>
      <c r="BS110" s="167"/>
      <c r="BT110" s="169">
        <f>SUM(BT6:BT109)</f>
        <v>1309693.1400000001</v>
      </c>
      <c r="BU110" s="167">
        <f>SUM(BU6:BU109)</f>
        <v>79</v>
      </c>
      <c r="BV110" s="167"/>
      <c r="BW110" s="169">
        <f>SUM(BW6:BW109)</f>
        <v>483439.82079999999</v>
      </c>
      <c r="BX110" s="167">
        <f>SUM(BX6:BX109)</f>
        <v>6</v>
      </c>
      <c r="BY110" s="167"/>
      <c r="BZ110" s="169">
        <f>SUM(BZ6:BZ109)</f>
        <v>88561.463999999993</v>
      </c>
      <c r="CA110" s="167">
        <f>SUM(CA6:CA109)</f>
        <v>122</v>
      </c>
      <c r="CB110" s="167"/>
      <c r="CC110" s="169">
        <f>SUM(CC6:CC109)</f>
        <v>662520.97199999995</v>
      </c>
      <c r="CD110" s="168">
        <f>SUM(CD6:CD109)</f>
        <v>7353</v>
      </c>
      <c r="CE110" s="167">
        <f>SUM(CE6:CE109)</f>
        <v>6715</v>
      </c>
      <c r="CF110" s="203">
        <f>SUM(CF6:CF109)</f>
        <v>1378.25</v>
      </c>
      <c r="CG110" s="170" t="s">
        <v>511</v>
      </c>
      <c r="CH110" s="170">
        <f>SUM(CH6:CH109)</f>
        <v>8160515.7749999994</v>
      </c>
      <c r="CI110" s="202">
        <f>SUM(CI6:CI109)</f>
        <v>5974.75</v>
      </c>
      <c r="CJ110" s="170" t="s">
        <v>511</v>
      </c>
      <c r="CK110" s="170">
        <f>SUM(CK6:CK109)</f>
        <v>66699083.348549999</v>
      </c>
      <c r="CL110" s="170">
        <f>SUM(CL6:CL109)</f>
        <v>63194459.895199999</v>
      </c>
      <c r="CM110" s="170">
        <f>SUM(CM6:CM109)</f>
        <v>6319445.9895200003</v>
      </c>
      <c r="CN110" s="170">
        <f>SUM(CN6:CN109)</f>
        <v>1200694.7380088002</v>
      </c>
      <c r="CO110" s="170">
        <f>SUM(CO6:CO109)</f>
        <v>70714600.622728795</v>
      </c>
      <c r="CQ110" s="170">
        <f>SUM(CQ6:CQ109)</f>
        <v>74859599.123549998</v>
      </c>
      <c r="CR110" s="170">
        <f>SUM(CR6:CR109)</f>
        <v>0</v>
      </c>
    </row>
    <row r="111" spans="1:97" ht="14.25" thickTop="1"/>
    <row r="112" spans="1:97" ht="14.25">
      <c r="F112" s="22"/>
      <c r="CK112" s="171"/>
      <c r="CL112" s="171"/>
      <c r="CQ112" s="19">
        <f>+CQ110-CL110</f>
        <v>11665139.228349999</v>
      </c>
    </row>
    <row r="113" spans="6:95">
      <c r="F113" s="172"/>
      <c r="CI113" s="273"/>
      <c r="CL113" s="171"/>
      <c r="CQ113" s="19"/>
    </row>
    <row r="114" spans="6:95">
      <c r="CI114" s="273"/>
    </row>
  </sheetData>
  <autoFilter ref="A5:CS110" xr:uid="{00000000-0009-0000-0000-00000E000000}"/>
  <mergeCells count="25">
    <mergeCell ref="CA4:CC4"/>
    <mergeCell ref="BI4:BK4"/>
    <mergeCell ref="BL4:BN4"/>
    <mergeCell ref="BO4:BQ4"/>
    <mergeCell ref="BR4:BT4"/>
    <mergeCell ref="BU4:BW4"/>
    <mergeCell ref="BX4:BZ4"/>
    <mergeCell ref="BF4:BH4"/>
    <mergeCell ref="Y4:AA4"/>
    <mergeCell ref="AB4:AD4"/>
    <mergeCell ref="AE4:AG4"/>
    <mergeCell ref="AH4:AJ4"/>
    <mergeCell ref="AK4:AM4"/>
    <mergeCell ref="AN4:AP4"/>
    <mergeCell ref="AQ4:AS4"/>
    <mergeCell ref="AT4:AV4"/>
    <mergeCell ref="AW4:AY4"/>
    <mergeCell ref="AZ4:BB4"/>
    <mergeCell ref="BC4:BE4"/>
    <mergeCell ref="V4:X4"/>
    <mergeCell ref="G4:I4"/>
    <mergeCell ref="J4:L4"/>
    <mergeCell ref="M4:O4"/>
    <mergeCell ref="P4:R4"/>
    <mergeCell ref="S4:U4"/>
  </mergeCells>
  <conditionalFormatting sqref="A5">
    <cfRule type="duplicateValues" dxfId="309" priority="988"/>
  </conditionalFormatting>
  <conditionalFormatting sqref="C6:C108">
    <cfRule type="duplicateValues" dxfId="308" priority="985"/>
  </conditionalFormatting>
  <conditionalFormatting sqref="C109">
    <cfRule type="duplicateValues" dxfId="307" priority="990"/>
    <cfRule type="duplicateValues" dxfId="306" priority="991"/>
  </conditionalFormatting>
  <conditionalFormatting sqref="C121:F1048576 C3:F5 G3:CC3">
    <cfRule type="duplicateValues" dxfId="305" priority="989"/>
  </conditionalFormatting>
  <conditionalFormatting sqref="D6:E109">
    <cfRule type="cellIs" dxfId="304" priority="986" operator="lessThan">
      <formula>0</formula>
    </cfRule>
  </conditionalFormatting>
  <conditionalFormatting sqref="D111:F120 C110:C120 C6:C108">
    <cfRule type="duplicateValues" dxfId="303" priority="984"/>
  </conditionalFormatting>
  <conditionalFormatting sqref="G6:H109">
    <cfRule type="cellIs" dxfId="302" priority="3" operator="lessThan">
      <formula>0</formula>
    </cfRule>
  </conditionalFormatting>
  <conditionalFormatting sqref="J6:K109">
    <cfRule type="cellIs" dxfId="301" priority="56" operator="lessThan">
      <formula>0</formula>
    </cfRule>
  </conditionalFormatting>
  <conditionalFormatting sqref="M6:N109">
    <cfRule type="cellIs" dxfId="300" priority="55" operator="lessThan">
      <formula>0</formula>
    </cfRule>
  </conditionalFormatting>
  <conditionalFormatting sqref="P6:Q109">
    <cfRule type="cellIs" dxfId="299" priority="496" operator="lessThan">
      <formula>0</formula>
    </cfRule>
  </conditionalFormatting>
  <conditionalFormatting sqref="S6:T109">
    <cfRule type="cellIs" dxfId="298" priority="14" operator="lessThan">
      <formula>0</formula>
    </cfRule>
  </conditionalFormatting>
  <conditionalFormatting sqref="V6:W109">
    <cfRule type="cellIs" dxfId="297" priority="13" operator="lessThan">
      <formula>0</formula>
    </cfRule>
  </conditionalFormatting>
  <conditionalFormatting sqref="Y6:Z109">
    <cfRule type="cellIs" dxfId="296" priority="12" operator="lessThan">
      <formula>0</formula>
    </cfRule>
  </conditionalFormatting>
  <conditionalFormatting sqref="AB6:AC109">
    <cfRule type="cellIs" dxfId="295" priority="11" operator="lessThan">
      <formula>0</formula>
    </cfRule>
  </conditionalFormatting>
  <conditionalFormatting sqref="AE6:AF109">
    <cfRule type="cellIs" dxfId="294" priority="10" operator="lessThan">
      <formula>0</formula>
    </cfRule>
  </conditionalFormatting>
  <conditionalFormatting sqref="AH6:AI109">
    <cfRule type="cellIs" dxfId="293" priority="73" operator="lessThan">
      <formula>0</formula>
    </cfRule>
  </conditionalFormatting>
  <conditionalFormatting sqref="AK6:AL109">
    <cfRule type="cellIs" dxfId="292" priority="120" operator="lessThan">
      <formula>0</formula>
    </cfRule>
  </conditionalFormatting>
  <conditionalFormatting sqref="AN6:AO109">
    <cfRule type="cellIs" dxfId="291" priority="84" operator="lessThan">
      <formula>0</formula>
    </cfRule>
  </conditionalFormatting>
  <conditionalFormatting sqref="AQ6:AR109">
    <cfRule type="cellIs" dxfId="290" priority="24" operator="lessThan">
      <formula>0</formula>
    </cfRule>
  </conditionalFormatting>
  <conditionalFormatting sqref="AT6:AU109">
    <cfRule type="cellIs" dxfId="289" priority="9" operator="lessThan">
      <formula>0</formula>
    </cfRule>
  </conditionalFormatting>
  <conditionalFormatting sqref="AV28">
    <cfRule type="cellIs" dxfId="288" priority="416" operator="lessThan">
      <formula>0</formula>
    </cfRule>
  </conditionalFormatting>
  <conditionalFormatting sqref="AW6:AX109">
    <cfRule type="cellIs" dxfId="287" priority="2" operator="lessThan">
      <formula>0</formula>
    </cfRule>
  </conditionalFormatting>
  <conditionalFormatting sqref="AZ6:BA109">
    <cfRule type="cellIs" dxfId="286" priority="76" operator="lessThan">
      <formula>0</formula>
    </cfRule>
  </conditionalFormatting>
  <conditionalFormatting sqref="BC6:BD109">
    <cfRule type="cellIs" dxfId="285" priority="1" operator="lessThan">
      <formula>0</formula>
    </cfRule>
  </conditionalFormatting>
  <conditionalFormatting sqref="BF6:BG109">
    <cfRule type="cellIs" dxfId="284" priority="4" operator="lessThan">
      <formula>0</formula>
    </cfRule>
  </conditionalFormatting>
  <conditionalFormatting sqref="BI6:BJ109">
    <cfRule type="cellIs" dxfId="283" priority="20" operator="lessThan">
      <formula>0</formula>
    </cfRule>
  </conditionalFormatting>
  <conditionalFormatting sqref="BL6:BM109">
    <cfRule type="cellIs" dxfId="282" priority="250" operator="lessThan">
      <formula>0</formula>
    </cfRule>
  </conditionalFormatting>
  <conditionalFormatting sqref="BO6:BP109">
    <cfRule type="cellIs" dxfId="281" priority="5" operator="lessThan">
      <formula>0</formula>
    </cfRule>
  </conditionalFormatting>
  <conditionalFormatting sqref="BR6:BS109">
    <cfRule type="cellIs" dxfId="280" priority="32" operator="lessThan">
      <formula>0</formula>
    </cfRule>
  </conditionalFormatting>
  <conditionalFormatting sqref="BU6:BV109">
    <cfRule type="cellIs" dxfId="279" priority="21" operator="lessThan">
      <formula>0</formula>
    </cfRule>
  </conditionalFormatting>
  <conditionalFormatting sqref="BX6:BY109">
    <cfRule type="cellIs" dxfId="278" priority="6" operator="lessThan">
      <formula>0</formula>
    </cfRule>
  </conditionalFormatting>
  <conditionalFormatting sqref="CA6:CB109">
    <cfRule type="cellIs" dxfId="277" priority="29" operator="lessThan">
      <formula>0</formula>
    </cfRule>
  </conditionalFormatting>
  <conditionalFormatting sqref="CE6:CE109">
    <cfRule type="cellIs" dxfId="276" priority="987" operator="lessThan">
      <formula>"O"</formula>
    </cfRule>
  </conditionalFormatting>
  <conditionalFormatting sqref="CF6:CJ109">
    <cfRule type="cellIs" dxfId="275" priority="461" operator="lessThan">
      <formula>0</formula>
    </cfRule>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66FFFF"/>
  </sheetPr>
  <dimension ref="A1:V112"/>
  <sheetViews>
    <sheetView topLeftCell="H71" workbookViewId="0">
      <selection activeCell="P72" sqref="P72"/>
    </sheetView>
  </sheetViews>
  <sheetFormatPr baseColWidth="10" defaultRowHeight="15"/>
  <cols>
    <col min="1" max="1" width="9" customWidth="1"/>
    <col min="2" max="2" width="26.5703125" customWidth="1"/>
    <col min="3" max="3" width="66.85546875" hidden="1" customWidth="1"/>
    <col min="4" max="4" width="26" hidden="1" customWidth="1"/>
    <col min="5" max="5" width="22.140625" customWidth="1"/>
    <col min="6" max="6" width="18.5703125" customWidth="1"/>
    <col min="7" max="7" width="11.5703125" style="192" customWidth="1"/>
    <col min="8" max="8" width="13.28515625" customWidth="1"/>
    <col min="9" max="9" width="25.5703125" customWidth="1"/>
    <col min="10" max="10" width="18.5703125" style="192" customWidth="1"/>
    <col min="11" max="11" width="14.42578125" style="192" customWidth="1"/>
    <col min="12" max="12" width="19.42578125" style="192" customWidth="1"/>
    <col min="13" max="13" width="13.140625" style="180" bestFit="1" customWidth="1"/>
    <col min="14" max="14" width="15.5703125" style="192" customWidth="1"/>
    <col min="15" max="15" width="19.85546875" style="192" customWidth="1"/>
    <col min="16" max="16" width="19.85546875" customWidth="1"/>
    <col min="17" max="18" width="20.5703125" style="180" customWidth="1"/>
    <col min="19" max="19" width="20.5703125" style="192" customWidth="1"/>
    <col min="20" max="20" width="14.140625" bestFit="1" customWidth="1"/>
    <col min="21" max="21" width="12.5703125" bestFit="1" customWidth="1"/>
    <col min="22" max="22" width="15.140625" bestFit="1" customWidth="1"/>
  </cols>
  <sheetData>
    <row r="1" spans="1:19" ht="15.75">
      <c r="A1" s="201">
        <v>1</v>
      </c>
      <c r="B1" s="201">
        <v>2</v>
      </c>
      <c r="C1" s="201">
        <v>3</v>
      </c>
      <c r="D1" s="201">
        <v>4</v>
      </c>
      <c r="E1" s="201">
        <v>5</v>
      </c>
      <c r="F1" s="201">
        <v>6</v>
      </c>
      <c r="G1" s="201">
        <v>7</v>
      </c>
      <c r="H1" s="201">
        <v>8</v>
      </c>
      <c r="I1" s="201">
        <v>9</v>
      </c>
      <c r="J1" s="201">
        <v>10</v>
      </c>
      <c r="K1" s="201">
        <v>11</v>
      </c>
      <c r="L1" s="201">
        <v>12</v>
      </c>
      <c r="M1" s="201">
        <v>13</v>
      </c>
      <c r="N1" s="201">
        <v>14</v>
      </c>
      <c r="O1" s="201">
        <v>15</v>
      </c>
      <c r="P1" s="201">
        <v>16</v>
      </c>
    </row>
    <row r="2" spans="1:19" ht="64.5" customHeight="1">
      <c r="A2" s="24" t="s">
        <v>237</v>
      </c>
      <c r="B2" s="24" t="s">
        <v>238</v>
      </c>
      <c r="C2" s="173" t="s">
        <v>645</v>
      </c>
      <c r="D2" s="24" t="s">
        <v>646</v>
      </c>
      <c r="E2" s="174" t="s">
        <v>240</v>
      </c>
      <c r="F2" s="175" t="s">
        <v>797</v>
      </c>
      <c r="G2" s="176" t="s">
        <v>647</v>
      </c>
      <c r="H2" s="177">
        <v>0.25</v>
      </c>
      <c r="I2" s="178" t="s">
        <v>624</v>
      </c>
      <c r="J2" s="175" t="s">
        <v>627</v>
      </c>
      <c r="K2" s="46" t="s">
        <v>648</v>
      </c>
      <c r="L2" s="179" t="s">
        <v>649</v>
      </c>
      <c r="M2" s="180">
        <v>0.1</v>
      </c>
      <c r="N2" s="46" t="s">
        <v>650</v>
      </c>
      <c r="O2" s="179" t="s">
        <v>651</v>
      </c>
      <c r="P2" s="175" t="s">
        <v>652</v>
      </c>
      <c r="Q2" s="181" t="s">
        <v>653</v>
      </c>
      <c r="R2" s="179" t="s">
        <v>654</v>
      </c>
      <c r="S2" s="179" t="s">
        <v>655</v>
      </c>
    </row>
    <row r="3" spans="1:19" ht="45.75" customHeight="1">
      <c r="A3" s="26">
        <v>3</v>
      </c>
      <c r="B3" s="27" t="s">
        <v>5</v>
      </c>
      <c r="C3" s="28" t="s">
        <v>266</v>
      </c>
      <c r="D3" s="27" t="s">
        <v>267</v>
      </c>
      <c r="E3" s="182">
        <v>30</v>
      </c>
      <c r="F3" s="183" t="str">
        <f>IFERROR(VLOOKUP(B3,'PEDIDO JULIO'!$B$10:$AG$200,32,0),"0")</f>
        <v>0</v>
      </c>
      <c r="G3" s="184">
        <f>F3-E3</f>
        <v>-30</v>
      </c>
      <c r="H3" s="185">
        <f>IF(F3&gt;E3,G3*$H$2,0)</f>
        <v>-7.5</v>
      </c>
      <c r="I3" s="184">
        <f>IF(H3&lt;=0,0,H3)</f>
        <v>0</v>
      </c>
      <c r="J3" s="200">
        <f>IF(I3&lt;=0,0,F3-I3)</f>
        <v>0</v>
      </c>
      <c r="K3" s="186">
        <f>VLOOKUP(B3,[6]Z21!$B$2:$M$418,12,0)</f>
        <v>16364.07</v>
      </c>
      <c r="L3" s="187">
        <f>J3*K3</f>
        <v>0</v>
      </c>
      <c r="M3" s="186">
        <f>K3*10%</f>
        <v>1636.4070000000002</v>
      </c>
      <c r="N3" s="187">
        <f>K3-M3</f>
        <v>14727.663</v>
      </c>
      <c r="O3" s="188">
        <f>N3*J3</f>
        <v>0</v>
      </c>
      <c r="P3" s="200">
        <f>F3-J3</f>
        <v>0</v>
      </c>
      <c r="Q3" s="180">
        <f>VLOOKUP(B3,[6]Z21!$B$2:$O$418,14,0)</f>
        <v>7268.7160000000003</v>
      </c>
      <c r="R3" s="186">
        <f>Q3*P3</f>
        <v>0</v>
      </c>
      <c r="S3" s="187">
        <f>R3+O3</f>
        <v>0</v>
      </c>
    </row>
    <row r="4" spans="1:19" ht="45.75" customHeight="1">
      <c r="A4" s="26">
        <v>5</v>
      </c>
      <c r="B4" s="27" t="s">
        <v>7</v>
      </c>
      <c r="C4" s="28" t="s">
        <v>268</v>
      </c>
      <c r="D4" s="27" t="s">
        <v>269</v>
      </c>
      <c r="E4" s="182">
        <v>6</v>
      </c>
      <c r="F4" s="183" t="str">
        <f>IFERROR(VLOOKUP(B4,'PEDIDO JULIO'!$B$10:$AG$200,32,0),"0")</f>
        <v>0</v>
      </c>
      <c r="G4" s="184">
        <v>0</v>
      </c>
      <c r="H4" s="185">
        <f t="shared" ref="H4:H67" si="0">IF(F4&gt;E4,G4*$H$2,0)</f>
        <v>0</v>
      </c>
      <c r="I4" s="184">
        <f t="shared" ref="I4:I67" si="1">IF(H4&lt;=0,0,H4)</f>
        <v>0</v>
      </c>
      <c r="J4" s="200">
        <f t="shared" ref="J4:J67" si="2">IF(I4&lt;=0,0,F4-I4)</f>
        <v>0</v>
      </c>
      <c r="K4" s="180">
        <f>VLOOKUP(B4,[6]Z21!$B$2:$M$418,12,0)</f>
        <v>11112.223</v>
      </c>
      <c r="L4" s="187">
        <f t="shared" ref="L4:L67" si="3">J4*K4</f>
        <v>0</v>
      </c>
      <c r="M4" s="180">
        <f t="shared" ref="M4:M67" si="4">K4*10%</f>
        <v>1111.2223000000001</v>
      </c>
      <c r="N4" s="187">
        <f t="shared" ref="N4:N67" si="5">K4-M4</f>
        <v>10001.000700000001</v>
      </c>
      <c r="O4" s="188">
        <f>N4*J4</f>
        <v>0</v>
      </c>
      <c r="P4" s="200">
        <f t="shared" ref="P4:P67" si="6">F4-J4</f>
        <v>0</v>
      </c>
      <c r="Q4" s="180">
        <f>VLOOKUP(B4,[6]Z21!$B$2:$O$418,14,0)</f>
        <v>6494.1289999999999</v>
      </c>
      <c r="R4" s="186">
        <f t="shared" ref="R4:R67" si="7">Q4*P4</f>
        <v>0</v>
      </c>
      <c r="S4" s="187">
        <f t="shared" ref="S4:S67" si="8">R4+O4</f>
        <v>0</v>
      </c>
    </row>
    <row r="5" spans="1:19" ht="45.75" customHeight="1">
      <c r="A5" s="26">
        <v>8</v>
      </c>
      <c r="B5" s="27" t="s">
        <v>8</v>
      </c>
      <c r="C5" s="28" t="s">
        <v>656</v>
      </c>
      <c r="D5" s="27" t="s">
        <v>271</v>
      </c>
      <c r="E5" s="182">
        <v>116</v>
      </c>
      <c r="F5" s="183">
        <f>IFERROR(VLOOKUP(B5,'PEDIDO JULIO'!$B$10:$AG$200,32,0),"0")</f>
        <v>3</v>
      </c>
      <c r="G5" s="184">
        <f t="shared" ref="G5:G68" si="9">F5-E5</f>
        <v>-113</v>
      </c>
      <c r="H5" s="185">
        <f t="shared" si="0"/>
        <v>0</v>
      </c>
      <c r="I5" s="184">
        <f t="shared" si="1"/>
        <v>0</v>
      </c>
      <c r="J5" s="200">
        <f t="shared" si="2"/>
        <v>0</v>
      </c>
      <c r="K5" s="180">
        <f>VLOOKUP(B5,[6]Z21!$B$2:$M$418,12,0)</f>
        <v>3814.0790000000002</v>
      </c>
      <c r="L5" s="187">
        <f t="shared" si="3"/>
        <v>0</v>
      </c>
      <c r="M5" s="180">
        <f t="shared" si="4"/>
        <v>381.40790000000004</v>
      </c>
      <c r="N5" s="187">
        <f t="shared" si="5"/>
        <v>3432.6711</v>
      </c>
      <c r="O5" s="188">
        <f t="shared" ref="O5:O68" si="10">N5*J5</f>
        <v>0</v>
      </c>
      <c r="P5" s="200">
        <f t="shared" si="6"/>
        <v>3</v>
      </c>
      <c r="Q5" s="180">
        <f>VLOOKUP(B5,[6]Z21!$B$2:$O$418,14,0)</f>
        <v>2211.3040000000001</v>
      </c>
      <c r="R5" s="186">
        <f t="shared" si="7"/>
        <v>6633.9120000000003</v>
      </c>
      <c r="S5" s="187">
        <f t="shared" si="8"/>
        <v>6633.9120000000003</v>
      </c>
    </row>
    <row r="6" spans="1:19" ht="45.75" customHeight="1">
      <c r="A6" s="26">
        <v>9</v>
      </c>
      <c r="B6" s="27" t="s">
        <v>10</v>
      </c>
      <c r="C6" s="28" t="s">
        <v>657</v>
      </c>
      <c r="D6" s="27" t="s">
        <v>273</v>
      </c>
      <c r="E6" s="182">
        <v>91</v>
      </c>
      <c r="F6" s="183">
        <f>IFERROR(VLOOKUP(B6,'PEDIDO JULIO'!$B$10:$AG$200,32,0),"0")</f>
        <v>7</v>
      </c>
      <c r="G6" s="184">
        <f t="shared" si="9"/>
        <v>-84</v>
      </c>
      <c r="H6" s="185">
        <f t="shared" si="0"/>
        <v>0</v>
      </c>
      <c r="I6" s="184">
        <f t="shared" si="1"/>
        <v>0</v>
      </c>
      <c r="J6" s="200">
        <f t="shared" si="2"/>
        <v>0</v>
      </c>
      <c r="K6" s="180">
        <f>VLOOKUP(B6,[6]Z21!$B$2:$M$418,12,0)</f>
        <v>4500.3819999999996</v>
      </c>
      <c r="L6" s="187">
        <f t="shared" si="3"/>
        <v>0</v>
      </c>
      <c r="M6" s="180">
        <f t="shared" si="4"/>
        <v>450.03819999999996</v>
      </c>
      <c r="N6" s="187">
        <f t="shared" si="5"/>
        <v>4050.3437999999996</v>
      </c>
      <c r="O6" s="188">
        <f t="shared" si="10"/>
        <v>0</v>
      </c>
      <c r="P6" s="200">
        <f t="shared" si="6"/>
        <v>7</v>
      </c>
      <c r="Q6" s="180">
        <f>VLOOKUP(B6,[6]Z21!$B$2:$O$418,14,0)</f>
        <v>3298.0379999999996</v>
      </c>
      <c r="R6" s="186">
        <f t="shared" si="7"/>
        <v>23086.265999999996</v>
      </c>
      <c r="S6" s="187">
        <f t="shared" si="8"/>
        <v>23086.265999999996</v>
      </c>
    </row>
    <row r="7" spans="1:19" ht="45.75" customHeight="1">
      <c r="A7" s="26">
        <v>11</v>
      </c>
      <c r="B7" s="27" t="s">
        <v>11</v>
      </c>
      <c r="C7" s="28" t="s">
        <v>270</v>
      </c>
      <c r="D7" s="27" t="s">
        <v>658</v>
      </c>
      <c r="E7" s="182">
        <v>10</v>
      </c>
      <c r="F7" s="183" t="str">
        <f>IFERROR(VLOOKUP(B7,'PEDIDO JULIO'!$B$10:$AG$200,32,0),"0")</f>
        <v>0</v>
      </c>
      <c r="G7" s="184">
        <f t="shared" si="9"/>
        <v>-10</v>
      </c>
      <c r="H7" s="185">
        <f t="shared" si="0"/>
        <v>-2.5</v>
      </c>
      <c r="I7" s="184">
        <f t="shared" si="1"/>
        <v>0</v>
      </c>
      <c r="J7" s="200">
        <f t="shared" si="2"/>
        <v>0</v>
      </c>
      <c r="K7" s="180">
        <f>VLOOKUP(B7,[6]Z21!$B$2:$M$418,12,0)</f>
        <v>107027.534</v>
      </c>
      <c r="L7" s="187">
        <f t="shared" si="3"/>
        <v>0</v>
      </c>
      <c r="M7" s="180">
        <f t="shared" si="4"/>
        <v>10702.753400000001</v>
      </c>
      <c r="N7" s="187">
        <f t="shared" si="5"/>
        <v>96324.780599999998</v>
      </c>
      <c r="O7" s="188">
        <f t="shared" si="10"/>
        <v>0</v>
      </c>
      <c r="P7" s="200">
        <f t="shared" si="6"/>
        <v>0</v>
      </c>
      <c r="Q7" s="180">
        <f>VLOOKUP(B7,[6]Z21!$B$2:$O$418,14,0)</f>
        <v>7739.5639999999985</v>
      </c>
      <c r="R7" s="186">
        <f t="shared" si="7"/>
        <v>0</v>
      </c>
      <c r="S7" s="187">
        <f t="shared" si="8"/>
        <v>0</v>
      </c>
    </row>
    <row r="8" spans="1:19" ht="45.75" customHeight="1">
      <c r="A8" s="26">
        <v>13</v>
      </c>
      <c r="B8" s="27" t="s">
        <v>12</v>
      </c>
      <c r="C8" s="28" t="s">
        <v>272</v>
      </c>
      <c r="D8" s="27" t="s">
        <v>267</v>
      </c>
      <c r="E8" s="182">
        <v>81</v>
      </c>
      <c r="F8" s="183">
        <f>IFERROR(VLOOKUP(B8,'PEDIDO JULIO'!$B$10:$AG$200,32,0),"0")</f>
        <v>32</v>
      </c>
      <c r="G8" s="184">
        <f t="shared" si="9"/>
        <v>-49</v>
      </c>
      <c r="H8" s="185">
        <f t="shared" si="0"/>
        <v>0</v>
      </c>
      <c r="I8" s="184">
        <f t="shared" si="1"/>
        <v>0</v>
      </c>
      <c r="J8" s="200">
        <f t="shared" si="2"/>
        <v>0</v>
      </c>
      <c r="K8" s="180">
        <f>VLOOKUP(B8,[6]Z21!$B$2:$M$418,12,0)</f>
        <v>12825.352999999999</v>
      </c>
      <c r="L8" s="187">
        <f t="shared" si="3"/>
        <v>0</v>
      </c>
      <c r="M8" s="180">
        <f t="shared" si="4"/>
        <v>1282.5353</v>
      </c>
      <c r="N8" s="187">
        <f t="shared" si="5"/>
        <v>11542.8177</v>
      </c>
      <c r="O8" s="188">
        <f t="shared" si="10"/>
        <v>0</v>
      </c>
      <c r="P8" s="200">
        <f t="shared" si="6"/>
        <v>32</v>
      </c>
      <c r="Q8" s="180">
        <f>VLOOKUP(B8,[6]Z21!$B$2:$O$418,14,0)</f>
        <v>6507.7919999999995</v>
      </c>
      <c r="R8" s="186">
        <f t="shared" si="7"/>
        <v>208249.34399999998</v>
      </c>
      <c r="S8" s="187">
        <f t="shared" si="8"/>
        <v>208249.34399999998</v>
      </c>
    </row>
    <row r="9" spans="1:19" ht="45.75" customHeight="1">
      <c r="A9" s="26">
        <v>17</v>
      </c>
      <c r="B9" s="27" t="s">
        <v>14</v>
      </c>
      <c r="C9" s="28" t="s">
        <v>274</v>
      </c>
      <c r="D9" s="27" t="s">
        <v>275</v>
      </c>
      <c r="E9" s="182">
        <v>116</v>
      </c>
      <c r="F9" s="183">
        <f>IFERROR(VLOOKUP(B9,'PEDIDO JULIO'!$B$10:$AG$200,32,0),"0")</f>
        <v>18</v>
      </c>
      <c r="G9" s="184">
        <f t="shared" si="9"/>
        <v>-98</v>
      </c>
      <c r="H9" s="185">
        <f t="shared" si="0"/>
        <v>0</v>
      </c>
      <c r="I9" s="184">
        <f t="shared" si="1"/>
        <v>0</v>
      </c>
      <c r="J9" s="200">
        <f t="shared" si="2"/>
        <v>0</v>
      </c>
      <c r="K9" s="180">
        <f>VLOOKUP(B9,[6]Z21!$B$2:$M$418,12,0)</f>
        <v>10614.048999999999</v>
      </c>
      <c r="L9" s="187">
        <f t="shared" si="3"/>
        <v>0</v>
      </c>
      <c r="M9" s="180">
        <f t="shared" si="4"/>
        <v>1061.4049</v>
      </c>
      <c r="N9" s="187">
        <f t="shared" si="5"/>
        <v>9552.6440999999995</v>
      </c>
      <c r="O9" s="188">
        <f t="shared" si="10"/>
        <v>0</v>
      </c>
      <c r="P9" s="200">
        <f t="shared" si="6"/>
        <v>18</v>
      </c>
      <c r="Q9" s="180">
        <f>VLOOKUP(B9,[6]Z21!$B$2:$O$418,14,0)</f>
        <v>5647.0229999999992</v>
      </c>
      <c r="R9" s="186">
        <f t="shared" si="7"/>
        <v>101646.41399999999</v>
      </c>
      <c r="S9" s="187">
        <f t="shared" si="8"/>
        <v>101646.41399999999</v>
      </c>
    </row>
    <row r="10" spans="1:19" ht="45.75" customHeight="1">
      <c r="A10" s="31">
        <v>20</v>
      </c>
      <c r="B10" s="32" t="s">
        <v>15</v>
      </c>
      <c r="C10" s="189" t="s">
        <v>276</v>
      </c>
      <c r="D10" s="32" t="s">
        <v>277</v>
      </c>
      <c r="E10" s="182">
        <v>96</v>
      </c>
      <c r="F10" s="183">
        <f>IFERROR(VLOOKUP(B10,'PEDIDO JULIO'!$B$10:$AG$200,32,0),"0")</f>
        <v>10</v>
      </c>
      <c r="G10" s="184">
        <f t="shared" si="9"/>
        <v>-86</v>
      </c>
      <c r="H10" s="185">
        <f t="shared" si="0"/>
        <v>0</v>
      </c>
      <c r="I10" s="184">
        <f t="shared" si="1"/>
        <v>0</v>
      </c>
      <c r="J10" s="200">
        <f t="shared" si="2"/>
        <v>0</v>
      </c>
      <c r="K10" s="180">
        <f>VLOOKUP(B10,[6]Z21!$B$2:$M$418,12,0)</f>
        <v>10946.165000000001</v>
      </c>
      <c r="L10" s="187">
        <f t="shared" si="3"/>
        <v>0</v>
      </c>
      <c r="M10" s="180">
        <f t="shared" si="4"/>
        <v>1094.6165000000001</v>
      </c>
      <c r="N10" s="187">
        <f t="shared" si="5"/>
        <v>9851.5485000000008</v>
      </c>
      <c r="O10" s="188">
        <f t="shared" si="10"/>
        <v>0</v>
      </c>
      <c r="P10" s="200">
        <f t="shared" si="6"/>
        <v>10</v>
      </c>
      <c r="Q10" s="180">
        <f>VLOOKUP(B10,[6]Z21!$B$2:$O$418,14,0)</f>
        <v>0</v>
      </c>
      <c r="R10" s="186">
        <f t="shared" si="7"/>
        <v>0</v>
      </c>
      <c r="S10" s="187">
        <f t="shared" si="8"/>
        <v>0</v>
      </c>
    </row>
    <row r="11" spans="1:19" ht="45.75" customHeight="1">
      <c r="A11" s="26">
        <v>21</v>
      </c>
      <c r="B11" s="27" t="s">
        <v>17</v>
      </c>
      <c r="C11" s="28" t="s">
        <v>659</v>
      </c>
      <c r="D11" s="27" t="s">
        <v>267</v>
      </c>
      <c r="E11" s="182">
        <v>96</v>
      </c>
      <c r="F11" s="183">
        <f>IFERROR(VLOOKUP(B11,'PEDIDO JULIO'!$B$10:$AG$200,32,0),"0")</f>
        <v>10</v>
      </c>
      <c r="G11" s="184">
        <f t="shared" si="9"/>
        <v>-86</v>
      </c>
      <c r="H11" s="185">
        <f t="shared" si="0"/>
        <v>0</v>
      </c>
      <c r="I11" s="184">
        <f t="shared" si="1"/>
        <v>0</v>
      </c>
      <c r="J11" s="200">
        <f t="shared" si="2"/>
        <v>0</v>
      </c>
      <c r="K11" s="180">
        <f>VLOOKUP(B11,[6]Z21!$B$2:$M$418,12,0)</f>
        <v>12162.172</v>
      </c>
      <c r="L11" s="187">
        <f t="shared" si="3"/>
        <v>0</v>
      </c>
      <c r="M11" s="180">
        <f t="shared" si="4"/>
        <v>1216.2172</v>
      </c>
      <c r="N11" s="187">
        <f t="shared" si="5"/>
        <v>10945.9548</v>
      </c>
      <c r="O11" s="188">
        <f t="shared" si="10"/>
        <v>0</v>
      </c>
      <c r="P11" s="200">
        <f t="shared" si="6"/>
        <v>10</v>
      </c>
      <c r="Q11" s="180">
        <f>VLOOKUP(B11,[6]Z21!$B$2:$O$418,14,0)</f>
        <v>5932.8950000000013</v>
      </c>
      <c r="R11" s="186">
        <f t="shared" si="7"/>
        <v>59328.950000000012</v>
      </c>
      <c r="S11" s="187">
        <f t="shared" si="8"/>
        <v>59328.950000000012</v>
      </c>
    </row>
    <row r="12" spans="1:19" ht="45.75" customHeight="1">
      <c r="A12" s="26">
        <v>28</v>
      </c>
      <c r="B12" s="27" t="s">
        <v>19</v>
      </c>
      <c r="C12" s="30" t="s">
        <v>278</v>
      </c>
      <c r="D12" s="27" t="s">
        <v>279</v>
      </c>
      <c r="E12" s="182">
        <v>155</v>
      </c>
      <c r="F12" s="183">
        <f>IFERROR(VLOOKUP(B12,'PEDIDO JULIO'!$B$10:$AG$200,32,0),"0")</f>
        <v>50</v>
      </c>
      <c r="G12" s="184">
        <f t="shared" si="9"/>
        <v>-105</v>
      </c>
      <c r="H12" s="185">
        <f t="shared" si="0"/>
        <v>0</v>
      </c>
      <c r="I12" s="184">
        <f t="shared" si="1"/>
        <v>0</v>
      </c>
      <c r="J12" s="200">
        <f t="shared" si="2"/>
        <v>0</v>
      </c>
      <c r="K12" s="180">
        <f>VLOOKUP(B12,[6]Z21!$B$2:$M$418,12,0)</f>
        <v>4699.0209999999997</v>
      </c>
      <c r="L12" s="187">
        <f t="shared" si="3"/>
        <v>0</v>
      </c>
      <c r="M12" s="180">
        <f t="shared" si="4"/>
        <v>469.90210000000002</v>
      </c>
      <c r="N12" s="187">
        <f t="shared" si="5"/>
        <v>4229.1188999999995</v>
      </c>
      <c r="O12" s="188">
        <f t="shared" si="10"/>
        <v>0</v>
      </c>
      <c r="P12" s="200">
        <f t="shared" si="6"/>
        <v>50</v>
      </c>
      <c r="Q12" s="180">
        <f>VLOOKUP(B12,[6]Z21!$B$2:$O$418,14,0)</f>
        <v>2764.13</v>
      </c>
      <c r="R12" s="186">
        <f t="shared" si="7"/>
        <v>138206.5</v>
      </c>
      <c r="S12" s="187">
        <f t="shared" si="8"/>
        <v>138206.5</v>
      </c>
    </row>
    <row r="13" spans="1:19" ht="45.75" customHeight="1">
      <c r="A13" s="26">
        <v>29</v>
      </c>
      <c r="B13" s="27" t="s">
        <v>21</v>
      </c>
      <c r="C13" s="28" t="s">
        <v>280</v>
      </c>
      <c r="D13" s="27" t="s">
        <v>267</v>
      </c>
      <c r="E13" s="182">
        <v>96</v>
      </c>
      <c r="F13" s="183" t="str">
        <f>IFERROR(VLOOKUP(B13,'PEDIDO JULIO'!$B$10:$AG$200,32,0),"0")</f>
        <v>0</v>
      </c>
      <c r="G13" s="184">
        <f t="shared" si="9"/>
        <v>-96</v>
      </c>
      <c r="H13" s="185">
        <f t="shared" si="0"/>
        <v>-24</v>
      </c>
      <c r="I13" s="184">
        <f t="shared" si="1"/>
        <v>0</v>
      </c>
      <c r="J13" s="200">
        <f t="shared" si="2"/>
        <v>0</v>
      </c>
      <c r="K13" s="180">
        <f>VLOOKUP(B13,[6]Z21!$B$2:$M$418,12,0)</f>
        <v>8402.7450000000008</v>
      </c>
      <c r="L13" s="187">
        <f t="shared" si="3"/>
        <v>0</v>
      </c>
      <c r="M13" s="180">
        <f t="shared" si="4"/>
        <v>840.2745000000001</v>
      </c>
      <c r="N13" s="187">
        <f t="shared" si="5"/>
        <v>7562.4705000000004</v>
      </c>
      <c r="O13" s="188">
        <f t="shared" si="10"/>
        <v>0</v>
      </c>
      <c r="P13" s="200">
        <f t="shared" si="6"/>
        <v>0</v>
      </c>
      <c r="Q13" s="180">
        <f>VLOOKUP(B13,[6]Z21!$B$2:$O$418,14,0)</f>
        <v>4829.3450000000012</v>
      </c>
      <c r="R13" s="186">
        <f>Q13*P13</f>
        <v>0</v>
      </c>
      <c r="S13" s="187">
        <f t="shared" si="8"/>
        <v>0</v>
      </c>
    </row>
    <row r="14" spans="1:19" ht="45.75" customHeight="1">
      <c r="A14" s="26">
        <v>32</v>
      </c>
      <c r="B14" s="27" t="s">
        <v>23</v>
      </c>
      <c r="C14" s="28" t="s">
        <v>281</v>
      </c>
      <c r="D14" s="27" t="s">
        <v>282</v>
      </c>
      <c r="E14" s="182">
        <v>96</v>
      </c>
      <c r="F14" s="183">
        <f>IFERROR(VLOOKUP(B14,'PEDIDO JULIO'!$B$10:$AG$200,32,0),"0")</f>
        <v>65</v>
      </c>
      <c r="G14" s="184">
        <f t="shared" si="9"/>
        <v>-31</v>
      </c>
      <c r="H14" s="185">
        <f t="shared" si="0"/>
        <v>0</v>
      </c>
      <c r="I14" s="184">
        <f t="shared" si="1"/>
        <v>0</v>
      </c>
      <c r="J14" s="200">
        <f t="shared" si="2"/>
        <v>0</v>
      </c>
      <c r="K14" s="180">
        <f>VLOOKUP(B14,[6]Z21!$B$2:$M$418,12,0)</f>
        <v>7463.1509999999998</v>
      </c>
      <c r="L14" s="187">
        <f t="shared" si="3"/>
        <v>0</v>
      </c>
      <c r="M14" s="180">
        <f t="shared" si="4"/>
        <v>746.31510000000003</v>
      </c>
      <c r="N14" s="187">
        <f t="shared" si="5"/>
        <v>6716.8359</v>
      </c>
      <c r="O14" s="188">
        <f t="shared" si="10"/>
        <v>0</v>
      </c>
      <c r="P14" s="200">
        <f t="shared" si="6"/>
        <v>65</v>
      </c>
      <c r="Q14" s="180">
        <f>VLOOKUP(B14,[6]Z21!$B$2:$O$418,14,0)</f>
        <v>4115.7160000000003</v>
      </c>
      <c r="R14" s="186">
        <f t="shared" si="7"/>
        <v>267521.54000000004</v>
      </c>
      <c r="S14" s="187">
        <f t="shared" si="8"/>
        <v>267521.54000000004</v>
      </c>
    </row>
    <row r="15" spans="1:19" ht="45.75" customHeight="1">
      <c r="A15" s="26">
        <v>38</v>
      </c>
      <c r="B15" s="27" t="s">
        <v>24</v>
      </c>
      <c r="C15" s="28" t="s">
        <v>283</v>
      </c>
      <c r="D15" s="27" t="s">
        <v>282</v>
      </c>
      <c r="E15" s="182">
        <v>25</v>
      </c>
      <c r="F15" s="183" t="str">
        <f>IFERROR(VLOOKUP(B15,'PEDIDO JULIO'!$B$10:$AG$200,32,0),"0")</f>
        <v>0</v>
      </c>
      <c r="G15" s="184">
        <f t="shared" si="9"/>
        <v>-25</v>
      </c>
      <c r="H15" s="185">
        <f t="shared" si="0"/>
        <v>-6.25</v>
      </c>
      <c r="I15" s="184">
        <f t="shared" si="1"/>
        <v>0</v>
      </c>
      <c r="J15" s="200">
        <f t="shared" si="2"/>
        <v>0</v>
      </c>
      <c r="K15" s="180">
        <f>VLOOKUP(B15,[6]Z21!$B$2:$M$418,12,0)</f>
        <v>17358.315999999999</v>
      </c>
      <c r="L15" s="187">
        <f t="shared" si="3"/>
        <v>0</v>
      </c>
      <c r="M15" s="180">
        <f t="shared" si="4"/>
        <v>1735.8316</v>
      </c>
      <c r="N15" s="187">
        <f t="shared" si="5"/>
        <v>15622.484399999999</v>
      </c>
      <c r="O15" s="188">
        <f>N15*J15</f>
        <v>0</v>
      </c>
      <c r="P15" s="200">
        <f t="shared" si="6"/>
        <v>0</v>
      </c>
      <c r="Q15" s="180">
        <f>VLOOKUP(B15,[6]Z21!$B$2:$O$418,14,0)</f>
        <v>11100.662</v>
      </c>
      <c r="R15" s="186">
        <f t="shared" si="7"/>
        <v>0</v>
      </c>
      <c r="S15" s="187">
        <f t="shared" si="8"/>
        <v>0</v>
      </c>
    </row>
    <row r="16" spans="1:19" ht="45.75" customHeight="1">
      <c r="A16" s="26">
        <v>41</v>
      </c>
      <c r="B16" s="27" t="s">
        <v>25</v>
      </c>
      <c r="C16" s="28" t="s">
        <v>660</v>
      </c>
      <c r="D16" s="27" t="s">
        <v>282</v>
      </c>
      <c r="E16" s="182">
        <v>25</v>
      </c>
      <c r="F16" s="183" t="str">
        <f>IFERROR(VLOOKUP(B16,'PEDIDO JULIO'!$B$10:$AG$200,32,0),"0")</f>
        <v>0</v>
      </c>
      <c r="G16" s="184">
        <f t="shared" si="9"/>
        <v>-25</v>
      </c>
      <c r="H16" s="185">
        <f t="shared" si="0"/>
        <v>-6.25</v>
      </c>
      <c r="I16" s="184">
        <f t="shared" si="1"/>
        <v>0</v>
      </c>
      <c r="J16" s="200">
        <f t="shared" si="2"/>
        <v>0</v>
      </c>
      <c r="K16" s="180">
        <f>VLOOKUP(B16,[6]Z21!$B$2:$M$418,12,0)</f>
        <v>13931.004999999999</v>
      </c>
      <c r="L16" s="187">
        <f t="shared" si="3"/>
        <v>0</v>
      </c>
      <c r="M16" s="180">
        <f t="shared" si="4"/>
        <v>1393.1005</v>
      </c>
      <c r="N16" s="187">
        <f t="shared" si="5"/>
        <v>12537.904499999999</v>
      </c>
      <c r="O16" s="188">
        <f t="shared" si="10"/>
        <v>0</v>
      </c>
      <c r="P16" s="200">
        <f t="shared" si="6"/>
        <v>0</v>
      </c>
      <c r="Q16" s="180">
        <f>VLOOKUP(B16,[6]Z21!$B$2:$O$418,14,0)</f>
        <v>7034.3429999999989</v>
      </c>
      <c r="R16" s="186">
        <f t="shared" si="7"/>
        <v>0</v>
      </c>
      <c r="S16" s="187">
        <f t="shared" si="8"/>
        <v>0</v>
      </c>
    </row>
    <row r="17" spans="1:19" ht="45.75" customHeight="1">
      <c r="A17" s="26">
        <v>44</v>
      </c>
      <c r="B17" s="27" t="s">
        <v>26</v>
      </c>
      <c r="C17" s="28" t="s">
        <v>284</v>
      </c>
      <c r="D17" s="27" t="s">
        <v>285</v>
      </c>
      <c r="E17" s="182">
        <v>6</v>
      </c>
      <c r="F17" s="183">
        <f>IFERROR(VLOOKUP(B17,'PEDIDO JULIO'!$B$10:$AG$200,32,0),"0")</f>
        <v>8</v>
      </c>
      <c r="G17" s="184">
        <f t="shared" si="9"/>
        <v>2</v>
      </c>
      <c r="H17" s="185">
        <f>IF(F17&gt;E17,G17*$H$2,0)</f>
        <v>0.5</v>
      </c>
      <c r="I17" s="184">
        <f t="shared" si="1"/>
        <v>0.5</v>
      </c>
      <c r="J17" s="200">
        <f t="shared" si="2"/>
        <v>7.5</v>
      </c>
      <c r="K17" s="180">
        <f>VLOOKUP(B17,[6]Z21!$B$2:$M$418,12,0)</f>
        <v>5970.7309999999998</v>
      </c>
      <c r="L17" s="187">
        <f t="shared" si="3"/>
        <v>44780.482499999998</v>
      </c>
      <c r="M17" s="180">
        <f t="shared" si="4"/>
        <v>597.07309999999995</v>
      </c>
      <c r="N17" s="187">
        <f t="shared" si="5"/>
        <v>5373.6579000000002</v>
      </c>
      <c r="O17" s="188">
        <f t="shared" si="10"/>
        <v>40302.434249999998</v>
      </c>
      <c r="P17" s="200">
        <f t="shared" si="6"/>
        <v>0.5</v>
      </c>
      <c r="Q17" s="180">
        <f>VLOOKUP(B17,[6]Z21!$B$2:$O$418,14,0)</f>
        <v>2787.2520000000004</v>
      </c>
      <c r="R17" s="186">
        <f t="shared" si="7"/>
        <v>1393.6260000000002</v>
      </c>
      <c r="S17" s="187">
        <f t="shared" si="8"/>
        <v>41696.060249999995</v>
      </c>
    </row>
    <row r="18" spans="1:19" ht="45.75" customHeight="1">
      <c r="A18" s="26">
        <v>46</v>
      </c>
      <c r="B18" s="27" t="s">
        <v>28</v>
      </c>
      <c r="C18" s="28" t="s">
        <v>661</v>
      </c>
      <c r="D18" s="27" t="s">
        <v>267</v>
      </c>
      <c r="E18" s="182">
        <v>25</v>
      </c>
      <c r="F18" s="183" t="str">
        <f>IFERROR(VLOOKUP(B18,'PEDIDO JULIO'!$B$10:$AG$200,32,0),"0")</f>
        <v>0</v>
      </c>
      <c r="G18" s="184">
        <f t="shared" si="9"/>
        <v>-25</v>
      </c>
      <c r="H18" s="185">
        <f t="shared" si="0"/>
        <v>-6.25</v>
      </c>
      <c r="I18" s="184">
        <f t="shared" si="1"/>
        <v>0</v>
      </c>
      <c r="J18" s="200">
        <f t="shared" si="2"/>
        <v>0</v>
      </c>
      <c r="K18" s="180">
        <f>VLOOKUP(B18,[6]Z21!$B$2:$M$418,12,0)</f>
        <v>29520.488000000001</v>
      </c>
      <c r="L18" s="187">
        <f t="shared" si="3"/>
        <v>0</v>
      </c>
      <c r="M18" s="180">
        <f t="shared" si="4"/>
        <v>2952.0488000000005</v>
      </c>
      <c r="N18" s="187">
        <f t="shared" si="5"/>
        <v>26568.439200000001</v>
      </c>
      <c r="O18" s="188">
        <f t="shared" si="10"/>
        <v>0</v>
      </c>
      <c r="P18" s="200">
        <f t="shared" si="6"/>
        <v>0</v>
      </c>
      <c r="Q18" s="180">
        <f>VLOOKUP(B18,[6]Z21!$B$2:$O$418,14,0)</f>
        <v>7739.5640000000021</v>
      </c>
      <c r="R18" s="186">
        <f t="shared" si="7"/>
        <v>0</v>
      </c>
      <c r="S18" s="187">
        <f t="shared" si="8"/>
        <v>0</v>
      </c>
    </row>
    <row r="19" spans="1:19" ht="45.75" customHeight="1">
      <c r="A19" s="26">
        <v>50</v>
      </c>
      <c r="B19" s="27" t="s">
        <v>29</v>
      </c>
      <c r="C19" s="28" t="s">
        <v>286</v>
      </c>
      <c r="D19" s="27" t="s">
        <v>267</v>
      </c>
      <c r="E19" s="182">
        <v>25</v>
      </c>
      <c r="F19" s="183">
        <f>IFERROR(VLOOKUP(B19,'PEDIDO JULIO'!$B$10:$AG$200,32,0),"0")</f>
        <v>8</v>
      </c>
      <c r="G19" s="184">
        <f t="shared" si="9"/>
        <v>-17</v>
      </c>
      <c r="H19" s="185">
        <f t="shared" si="0"/>
        <v>0</v>
      </c>
      <c r="I19" s="184">
        <f t="shared" si="1"/>
        <v>0</v>
      </c>
      <c r="J19" s="200">
        <f t="shared" si="2"/>
        <v>0</v>
      </c>
      <c r="K19" s="180">
        <f>VLOOKUP(B19,[6]Z21!$B$2:$M$418,12,0)</f>
        <v>53513.767</v>
      </c>
      <c r="L19" s="187">
        <f>J19*K19</f>
        <v>0</v>
      </c>
      <c r="M19" s="180">
        <f t="shared" si="4"/>
        <v>5351.3767000000007</v>
      </c>
      <c r="N19" s="187">
        <f t="shared" si="5"/>
        <v>48162.390299999999</v>
      </c>
      <c r="O19" s="188">
        <f>N19*J19</f>
        <v>0</v>
      </c>
      <c r="P19" s="200">
        <f t="shared" si="6"/>
        <v>8</v>
      </c>
      <c r="Q19" s="180">
        <f>VLOOKUP(B19,[6]Z21!$B$2:$O$418,14,0)</f>
        <v>38567.495999999999</v>
      </c>
      <c r="R19" s="186">
        <f t="shared" si="7"/>
        <v>308539.96799999999</v>
      </c>
      <c r="S19" s="187">
        <f t="shared" si="8"/>
        <v>308539.96799999999</v>
      </c>
    </row>
    <row r="20" spans="1:19" ht="45.75" customHeight="1">
      <c r="A20" s="26">
        <v>51</v>
      </c>
      <c r="B20" s="27" t="s">
        <v>30</v>
      </c>
      <c r="C20" s="28" t="s">
        <v>662</v>
      </c>
      <c r="D20" s="27" t="s">
        <v>663</v>
      </c>
      <c r="E20" s="182">
        <v>25</v>
      </c>
      <c r="F20" s="183" t="str">
        <f>IFERROR(VLOOKUP(B20,'PEDIDO JULIO'!$B$10:$AG$200,32,0),"0")</f>
        <v>0</v>
      </c>
      <c r="G20" s="184">
        <f t="shared" si="9"/>
        <v>-25</v>
      </c>
      <c r="H20" s="185">
        <f t="shared" si="0"/>
        <v>-6.25</v>
      </c>
      <c r="I20" s="184">
        <f t="shared" si="1"/>
        <v>0</v>
      </c>
      <c r="J20" s="200">
        <f t="shared" si="2"/>
        <v>0</v>
      </c>
      <c r="K20" s="180">
        <f>VLOOKUP(B20,[6]Z21!$B$2:$M$418,12,0)</f>
        <v>24987.525000000001</v>
      </c>
      <c r="L20" s="187">
        <f t="shared" si="3"/>
        <v>0</v>
      </c>
      <c r="M20" s="180">
        <f t="shared" si="4"/>
        <v>2498.7525000000005</v>
      </c>
      <c r="N20" s="187">
        <f t="shared" si="5"/>
        <v>22488.772499999999</v>
      </c>
      <c r="O20" s="188">
        <f t="shared" si="10"/>
        <v>0</v>
      </c>
      <c r="P20" s="200">
        <f t="shared" si="6"/>
        <v>0</v>
      </c>
      <c r="Q20" s="180">
        <f>VLOOKUP(B20,[6]Z21!$B$2:$O$418,14,0)</f>
        <v>7739.5640000000021</v>
      </c>
      <c r="R20" s="186">
        <f t="shared" si="7"/>
        <v>0</v>
      </c>
      <c r="S20" s="187">
        <f t="shared" si="8"/>
        <v>0</v>
      </c>
    </row>
    <row r="21" spans="1:19" ht="45.75" customHeight="1">
      <c r="A21" s="26">
        <v>52</v>
      </c>
      <c r="B21" s="27" t="s">
        <v>31</v>
      </c>
      <c r="C21" s="28" t="s">
        <v>287</v>
      </c>
      <c r="D21" s="27" t="s">
        <v>267</v>
      </c>
      <c r="E21" s="182">
        <v>96</v>
      </c>
      <c r="F21" s="183">
        <f>IFERROR(VLOOKUP(B21,'PEDIDO JULIO'!$B$10:$AG$200,32,0),"0")</f>
        <v>26</v>
      </c>
      <c r="G21" s="184">
        <f t="shared" si="9"/>
        <v>-70</v>
      </c>
      <c r="H21" s="185">
        <f t="shared" si="0"/>
        <v>0</v>
      </c>
      <c r="I21" s="184">
        <f t="shared" si="1"/>
        <v>0</v>
      </c>
      <c r="J21" s="200">
        <f t="shared" si="2"/>
        <v>0</v>
      </c>
      <c r="K21" s="180">
        <f>VLOOKUP(B21,[6]Z21!$B$2:$M$418,12,0)</f>
        <v>12438.584999999999</v>
      </c>
      <c r="L21" s="187">
        <f t="shared" si="3"/>
        <v>0</v>
      </c>
      <c r="M21" s="180">
        <f t="shared" si="4"/>
        <v>1243.8585</v>
      </c>
      <c r="N21" s="187">
        <f t="shared" si="5"/>
        <v>11194.726499999999</v>
      </c>
      <c r="O21" s="188">
        <f t="shared" si="10"/>
        <v>0</v>
      </c>
      <c r="P21" s="200">
        <f t="shared" si="6"/>
        <v>26</v>
      </c>
      <c r="Q21" s="180">
        <f>VLOOKUP(B21,[6]Z21!$B$2:$O$418,14,0)</f>
        <v>6412.1509999999998</v>
      </c>
      <c r="R21" s="186">
        <f t="shared" si="7"/>
        <v>166715.92600000001</v>
      </c>
      <c r="S21" s="187">
        <f t="shared" si="8"/>
        <v>166715.92600000001</v>
      </c>
    </row>
    <row r="22" spans="1:19" ht="45.75" customHeight="1">
      <c r="A22" s="26">
        <v>54</v>
      </c>
      <c r="B22" s="27" t="s">
        <v>32</v>
      </c>
      <c r="C22" s="28" t="s">
        <v>664</v>
      </c>
      <c r="D22" s="27" t="s">
        <v>663</v>
      </c>
      <c r="E22" s="182">
        <v>96</v>
      </c>
      <c r="F22" s="183">
        <f>IFERROR(VLOOKUP(B22,'PEDIDO JULIO'!$B$10:$AG$200,32,0),"0")</f>
        <v>10</v>
      </c>
      <c r="G22" s="184">
        <f t="shared" si="9"/>
        <v>-86</v>
      </c>
      <c r="H22" s="185">
        <f t="shared" si="0"/>
        <v>0</v>
      </c>
      <c r="I22" s="184">
        <f t="shared" si="1"/>
        <v>0</v>
      </c>
      <c r="J22" s="200">
        <f t="shared" si="2"/>
        <v>0</v>
      </c>
      <c r="K22" s="180">
        <f>VLOOKUP(B22,[6]Z21!$B$2:$M$418,12,0)</f>
        <v>11277.23</v>
      </c>
      <c r="L22" s="187">
        <f t="shared" si="3"/>
        <v>0</v>
      </c>
      <c r="M22" s="180">
        <f t="shared" si="4"/>
        <v>1127.723</v>
      </c>
      <c r="N22" s="187">
        <f t="shared" si="5"/>
        <v>10149.507</v>
      </c>
      <c r="O22" s="188">
        <f t="shared" si="10"/>
        <v>0</v>
      </c>
      <c r="P22" s="200">
        <f t="shared" si="6"/>
        <v>10</v>
      </c>
      <c r="Q22" s="180">
        <f>VLOOKUP(B22,[6]Z21!$B$2:$O$418,14,0)</f>
        <v>5359.049</v>
      </c>
      <c r="R22" s="186">
        <f t="shared" si="7"/>
        <v>53590.49</v>
      </c>
      <c r="S22" s="187">
        <f t="shared" si="8"/>
        <v>53590.49</v>
      </c>
    </row>
    <row r="23" spans="1:19" ht="45.75" customHeight="1">
      <c r="A23" s="26">
        <v>57</v>
      </c>
      <c r="B23" s="27" t="s">
        <v>34</v>
      </c>
      <c r="C23" s="28" t="s">
        <v>288</v>
      </c>
      <c r="D23" s="27" t="s">
        <v>267</v>
      </c>
      <c r="E23" s="182">
        <v>25</v>
      </c>
      <c r="F23" s="183">
        <f>IFERROR(VLOOKUP(B23,'PEDIDO JULIO'!$B$10:$AG$200,32,0),"0")</f>
        <v>2</v>
      </c>
      <c r="G23" s="184">
        <f t="shared" si="9"/>
        <v>-23</v>
      </c>
      <c r="H23" s="185">
        <f t="shared" si="0"/>
        <v>0</v>
      </c>
      <c r="I23" s="184">
        <f t="shared" si="1"/>
        <v>0</v>
      </c>
      <c r="J23" s="200">
        <f t="shared" si="2"/>
        <v>0</v>
      </c>
      <c r="K23" s="180">
        <f>VLOOKUP(B23,[6]Z21!$B$2:$M$418,12,0)</f>
        <v>30515.785</v>
      </c>
      <c r="L23" s="187">
        <f t="shared" si="3"/>
        <v>0</v>
      </c>
      <c r="M23" s="180">
        <f t="shared" si="4"/>
        <v>3051.5785000000001</v>
      </c>
      <c r="N23" s="187">
        <f t="shared" si="5"/>
        <v>27464.2065</v>
      </c>
      <c r="O23" s="188">
        <f t="shared" si="10"/>
        <v>0</v>
      </c>
      <c r="P23" s="200">
        <f t="shared" si="6"/>
        <v>2</v>
      </c>
      <c r="Q23" s="180">
        <f>VLOOKUP(B23,[6]Z21!$B$2:$O$418,14,0)</f>
        <v>12823.251000000004</v>
      </c>
      <c r="R23" s="186">
        <f t="shared" si="7"/>
        <v>25646.502000000008</v>
      </c>
      <c r="S23" s="187">
        <f t="shared" si="8"/>
        <v>25646.502000000008</v>
      </c>
    </row>
    <row r="24" spans="1:19" ht="45.75" customHeight="1">
      <c r="A24" s="26">
        <v>59</v>
      </c>
      <c r="B24" s="27" t="s">
        <v>35</v>
      </c>
      <c r="C24" s="28" t="s">
        <v>289</v>
      </c>
      <c r="D24" s="27" t="s">
        <v>290</v>
      </c>
      <c r="E24" s="182">
        <v>4</v>
      </c>
      <c r="F24" s="183" t="str">
        <f>IFERROR(VLOOKUP(B24,'PEDIDO JULIO'!$B$10:$AG$200,32,0),"0")</f>
        <v>0</v>
      </c>
      <c r="G24" s="184">
        <f t="shared" si="9"/>
        <v>-4</v>
      </c>
      <c r="H24" s="185">
        <f>IF(F24&gt;E24,G24*$H$2,0)</f>
        <v>-1</v>
      </c>
      <c r="I24" s="184">
        <f t="shared" si="1"/>
        <v>0</v>
      </c>
      <c r="J24" s="200">
        <f t="shared" si="2"/>
        <v>0</v>
      </c>
      <c r="K24" s="180">
        <f>VLOOKUP(B24,[6]Z21!$B$2:$M$418,12,0)</f>
        <v>15479.128000000001</v>
      </c>
      <c r="L24" s="187">
        <f t="shared" si="3"/>
        <v>0</v>
      </c>
      <c r="M24" s="180">
        <f t="shared" si="4"/>
        <v>1547.9128000000001</v>
      </c>
      <c r="N24" s="187">
        <f t="shared" si="5"/>
        <v>13931.215200000001</v>
      </c>
      <c r="O24" s="188">
        <f t="shared" si="10"/>
        <v>0</v>
      </c>
      <c r="P24" s="200">
        <f t="shared" si="6"/>
        <v>0</v>
      </c>
      <c r="Q24" s="180">
        <f>VLOOKUP(B24,[6]Z21!$B$2:$O$418,14,0)</f>
        <v>5528.260000000002</v>
      </c>
      <c r="R24" s="186">
        <f t="shared" si="7"/>
        <v>0</v>
      </c>
      <c r="S24" s="187">
        <f t="shared" si="8"/>
        <v>0</v>
      </c>
    </row>
    <row r="25" spans="1:19" ht="45.75" customHeight="1">
      <c r="A25" s="26">
        <v>62</v>
      </c>
      <c r="B25" s="27" t="s">
        <v>37</v>
      </c>
      <c r="C25" s="28" t="s">
        <v>291</v>
      </c>
      <c r="D25" s="27" t="s">
        <v>282</v>
      </c>
      <c r="E25" s="182">
        <v>25</v>
      </c>
      <c r="F25" s="183">
        <f>IFERROR(VLOOKUP(B25,'PEDIDO JULIO'!$B$10:$AG$200,32,0),"0")</f>
        <v>62</v>
      </c>
      <c r="G25" s="184">
        <f t="shared" si="9"/>
        <v>37</v>
      </c>
      <c r="H25" s="185">
        <f t="shared" si="0"/>
        <v>9.25</v>
      </c>
      <c r="I25" s="184">
        <f t="shared" si="1"/>
        <v>9.25</v>
      </c>
      <c r="J25" s="200">
        <f t="shared" si="2"/>
        <v>52.75</v>
      </c>
      <c r="K25" s="180">
        <f>VLOOKUP(B25,[6]Z21!$B$2:$M$418,12,0)</f>
        <v>11222.578</v>
      </c>
      <c r="L25" s="187">
        <f t="shared" si="3"/>
        <v>591990.98950000003</v>
      </c>
      <c r="M25" s="180">
        <f t="shared" si="4"/>
        <v>1122.2578000000001</v>
      </c>
      <c r="N25" s="187">
        <f t="shared" si="5"/>
        <v>10100.3202</v>
      </c>
      <c r="O25" s="188">
        <f t="shared" si="10"/>
        <v>532791.89055000001</v>
      </c>
      <c r="P25" s="200">
        <f t="shared" si="6"/>
        <v>9.25</v>
      </c>
      <c r="Q25" s="180">
        <f>VLOOKUP(B25,[6]Z21!$B$2:$O$418,14,0)</f>
        <v>5167.7669999999998</v>
      </c>
      <c r="R25" s="186">
        <f t="shared" si="7"/>
        <v>47801.844749999997</v>
      </c>
      <c r="S25" s="187">
        <f t="shared" si="8"/>
        <v>580593.73530000006</v>
      </c>
    </row>
    <row r="26" spans="1:19" ht="45.75" customHeight="1">
      <c r="A26" s="26">
        <v>63</v>
      </c>
      <c r="B26" s="27" t="s">
        <v>38</v>
      </c>
      <c r="C26" s="30" t="s">
        <v>292</v>
      </c>
      <c r="D26" s="27" t="s">
        <v>293</v>
      </c>
      <c r="E26" s="182">
        <v>25</v>
      </c>
      <c r="F26" s="183">
        <f>IFERROR(VLOOKUP(B26,'PEDIDO JULIO'!$B$10:$AG$200,32,0),"0")</f>
        <v>119</v>
      </c>
      <c r="G26" s="184">
        <f t="shared" si="9"/>
        <v>94</v>
      </c>
      <c r="H26" s="185">
        <f t="shared" si="0"/>
        <v>23.5</v>
      </c>
      <c r="I26" s="184">
        <f t="shared" si="1"/>
        <v>23.5</v>
      </c>
      <c r="J26" s="200">
        <f t="shared" si="2"/>
        <v>95.5</v>
      </c>
      <c r="K26" s="180">
        <f>VLOOKUP(B26,[6]Z21!$B$2:$M$418,12,0)</f>
        <v>12714.998</v>
      </c>
      <c r="L26" s="187">
        <f t="shared" si="3"/>
        <v>1214282.3089999999</v>
      </c>
      <c r="M26" s="180">
        <f t="shared" si="4"/>
        <v>1271.4998000000001</v>
      </c>
      <c r="N26" s="187">
        <f t="shared" si="5"/>
        <v>11443.4982</v>
      </c>
      <c r="O26" s="188">
        <f t="shared" si="10"/>
        <v>1092854.0781</v>
      </c>
      <c r="P26" s="200">
        <f t="shared" si="6"/>
        <v>23.5</v>
      </c>
      <c r="Q26" s="180">
        <f>VLOOKUP(B26,[6]Z21!$B$2:$O$418,14,0)</f>
        <v>8292.39</v>
      </c>
      <c r="R26" s="186">
        <f t="shared" si="7"/>
        <v>194871.16499999998</v>
      </c>
      <c r="S26" s="187">
        <f t="shared" si="8"/>
        <v>1287725.2431000001</v>
      </c>
    </row>
    <row r="27" spans="1:19" ht="45.75" customHeight="1">
      <c r="A27" s="26">
        <v>64</v>
      </c>
      <c r="B27" s="27" t="s">
        <v>40</v>
      </c>
      <c r="C27" s="30" t="s">
        <v>294</v>
      </c>
      <c r="D27" s="27" t="s">
        <v>295</v>
      </c>
      <c r="E27" s="182">
        <v>25</v>
      </c>
      <c r="F27" s="183">
        <f>IFERROR(VLOOKUP(B27,'PEDIDO JULIO'!$B$10:$AG$200,32,0),"0")</f>
        <v>21</v>
      </c>
      <c r="G27" s="184">
        <f t="shared" si="9"/>
        <v>-4</v>
      </c>
      <c r="H27" s="185">
        <f t="shared" si="0"/>
        <v>0</v>
      </c>
      <c r="I27" s="184">
        <f t="shared" si="1"/>
        <v>0</v>
      </c>
      <c r="J27" s="200">
        <f t="shared" si="2"/>
        <v>0</v>
      </c>
      <c r="K27" s="180">
        <f>VLOOKUP(B27,[6]Z21!$B$2:$M$418,12,0)</f>
        <v>22665.866000000002</v>
      </c>
      <c r="L27" s="187">
        <f t="shared" si="3"/>
        <v>0</v>
      </c>
      <c r="M27" s="180">
        <f t="shared" si="4"/>
        <v>2266.5866000000001</v>
      </c>
      <c r="N27" s="187">
        <f t="shared" si="5"/>
        <v>20399.279400000003</v>
      </c>
      <c r="O27" s="188">
        <f t="shared" si="10"/>
        <v>0</v>
      </c>
      <c r="P27" s="200">
        <f t="shared" si="6"/>
        <v>21</v>
      </c>
      <c r="Q27" s="180">
        <f>VLOOKUP(B27,[6]Z21!$B$2:$O$418,14,0)</f>
        <v>13820.650000000001</v>
      </c>
      <c r="R27" s="186">
        <f t="shared" si="7"/>
        <v>290233.65000000002</v>
      </c>
      <c r="S27" s="187">
        <f t="shared" si="8"/>
        <v>290233.65000000002</v>
      </c>
    </row>
    <row r="28" spans="1:19" ht="45.75" customHeight="1">
      <c r="A28" s="26">
        <v>65</v>
      </c>
      <c r="B28" s="27" t="s">
        <v>41</v>
      </c>
      <c r="C28" s="30" t="s">
        <v>296</v>
      </c>
      <c r="D28" s="27" t="s">
        <v>295</v>
      </c>
      <c r="E28" s="182">
        <v>25</v>
      </c>
      <c r="F28" s="183">
        <f>IFERROR(VLOOKUP(B28,'PEDIDO JULIO'!$B$10:$AG$200,32,0),"0")</f>
        <v>17</v>
      </c>
      <c r="G28" s="184">
        <f t="shared" si="9"/>
        <v>-8</v>
      </c>
      <c r="H28" s="185">
        <f t="shared" si="0"/>
        <v>0</v>
      </c>
      <c r="I28" s="184">
        <f t="shared" si="1"/>
        <v>0</v>
      </c>
      <c r="J28" s="200">
        <f t="shared" si="2"/>
        <v>0</v>
      </c>
      <c r="K28" s="180">
        <f>VLOOKUP(B28,[6]Z21!$B$2:$M$418,12,0)</f>
        <v>23661.163</v>
      </c>
      <c r="L28" s="187">
        <f t="shared" si="3"/>
        <v>0</v>
      </c>
      <c r="M28" s="180">
        <f t="shared" si="4"/>
        <v>2366.1163000000001</v>
      </c>
      <c r="N28" s="187">
        <f t="shared" si="5"/>
        <v>21295.046699999999</v>
      </c>
      <c r="O28" s="188">
        <f t="shared" si="10"/>
        <v>0</v>
      </c>
      <c r="P28" s="200">
        <f t="shared" si="6"/>
        <v>17</v>
      </c>
      <c r="Q28" s="180">
        <f>VLOOKUP(B28,[6]Z21!$B$2:$O$418,14,0)</f>
        <v>13820.650000000001</v>
      </c>
      <c r="R28" s="186">
        <f t="shared" si="7"/>
        <v>234951.05000000002</v>
      </c>
      <c r="S28" s="187">
        <f t="shared" si="8"/>
        <v>234951.05000000002</v>
      </c>
    </row>
    <row r="29" spans="1:19" ht="45.75" customHeight="1">
      <c r="A29" s="26">
        <v>66</v>
      </c>
      <c r="B29" s="27" t="s">
        <v>42</v>
      </c>
      <c r="C29" s="28" t="s">
        <v>297</v>
      </c>
      <c r="D29" s="27" t="s">
        <v>298</v>
      </c>
      <c r="E29" s="182">
        <v>25</v>
      </c>
      <c r="F29" s="183">
        <f>IFERROR(VLOOKUP(B29,'PEDIDO JULIO'!$B$10:$AG$200,32,0),"0")</f>
        <v>52</v>
      </c>
      <c r="G29" s="184">
        <f t="shared" si="9"/>
        <v>27</v>
      </c>
      <c r="H29" s="185">
        <f t="shared" si="0"/>
        <v>6.75</v>
      </c>
      <c r="I29" s="184">
        <f t="shared" si="1"/>
        <v>6.75</v>
      </c>
      <c r="J29" s="200">
        <f t="shared" si="2"/>
        <v>45.25</v>
      </c>
      <c r="K29" s="180">
        <f>VLOOKUP(B29,[6]Z21!$B$2:$M$418,12,0)</f>
        <v>4643.3180000000002</v>
      </c>
      <c r="L29" s="187">
        <f t="shared" si="3"/>
        <v>210110.13950000002</v>
      </c>
      <c r="M29" s="180">
        <f t="shared" si="4"/>
        <v>464.33180000000004</v>
      </c>
      <c r="N29" s="187">
        <f t="shared" si="5"/>
        <v>4178.9862000000003</v>
      </c>
      <c r="O29" s="188">
        <f t="shared" si="10"/>
        <v>189099.12555000003</v>
      </c>
      <c r="P29" s="200">
        <f t="shared" si="6"/>
        <v>6.75</v>
      </c>
      <c r="Q29" s="180">
        <f>VLOOKUP(B29,[6]Z21!$B$2:$O$418,14,0)</f>
        <v>2887.0970000000002</v>
      </c>
      <c r="R29" s="186">
        <f t="shared" si="7"/>
        <v>19487.904750000002</v>
      </c>
      <c r="S29" s="187">
        <f t="shared" si="8"/>
        <v>208587.03030000004</v>
      </c>
    </row>
    <row r="30" spans="1:19" ht="45.75" customHeight="1">
      <c r="A30" s="26">
        <v>71</v>
      </c>
      <c r="B30" s="27" t="s">
        <v>43</v>
      </c>
      <c r="C30" s="28" t="s">
        <v>299</v>
      </c>
      <c r="D30" s="27" t="s">
        <v>298</v>
      </c>
      <c r="E30" s="182">
        <v>25</v>
      </c>
      <c r="F30" s="183" t="str">
        <f>IFERROR(VLOOKUP(B30,'PEDIDO JULIO'!$B$10:$AG$200,32,0),"0")</f>
        <v>0</v>
      </c>
      <c r="G30" s="184">
        <f t="shared" si="9"/>
        <v>-25</v>
      </c>
      <c r="H30" s="185">
        <f t="shared" si="0"/>
        <v>-6.25</v>
      </c>
      <c r="I30" s="184">
        <f t="shared" si="1"/>
        <v>0</v>
      </c>
      <c r="J30" s="200">
        <f t="shared" si="2"/>
        <v>0</v>
      </c>
      <c r="K30" s="180">
        <f>VLOOKUP(B30,[6]Z21!$B$2:$M$418,12,0)</f>
        <v>8845.2160000000003</v>
      </c>
      <c r="L30" s="187">
        <f t="shared" si="3"/>
        <v>0</v>
      </c>
      <c r="M30" s="180">
        <f t="shared" si="4"/>
        <v>884.52160000000003</v>
      </c>
      <c r="N30" s="187">
        <f t="shared" si="5"/>
        <v>7960.6944000000003</v>
      </c>
      <c r="O30" s="188">
        <f t="shared" si="10"/>
        <v>0</v>
      </c>
      <c r="P30" s="200">
        <f t="shared" si="6"/>
        <v>0</v>
      </c>
      <c r="Q30" s="180">
        <f>VLOOKUP(B30,[6]Z21!$B$2:$O$418,14,0)</f>
        <v>5196.1440000000002</v>
      </c>
      <c r="R30" s="186">
        <f t="shared" si="7"/>
        <v>0</v>
      </c>
      <c r="S30" s="187">
        <f t="shared" si="8"/>
        <v>0</v>
      </c>
    </row>
    <row r="31" spans="1:19" ht="45.75" customHeight="1">
      <c r="A31" s="26">
        <v>72</v>
      </c>
      <c r="B31" s="27" t="s">
        <v>44</v>
      </c>
      <c r="C31" s="28" t="s">
        <v>300</v>
      </c>
      <c r="D31" s="27" t="s">
        <v>298</v>
      </c>
      <c r="E31" s="182">
        <v>25</v>
      </c>
      <c r="F31" s="183">
        <f>IFERROR(VLOOKUP(B31,'PEDIDO JULIO'!$B$10:$AG$200,32,0),"0")</f>
        <v>59</v>
      </c>
      <c r="G31" s="184">
        <f t="shared" si="9"/>
        <v>34</v>
      </c>
      <c r="H31" s="185">
        <f t="shared" si="0"/>
        <v>8.5</v>
      </c>
      <c r="I31" s="184">
        <f t="shared" si="1"/>
        <v>8.5</v>
      </c>
      <c r="J31" s="200">
        <f t="shared" si="2"/>
        <v>50.5</v>
      </c>
      <c r="K31" s="180">
        <f>VLOOKUP(B31,[6]Z21!$B$2:$M$418,12,0)</f>
        <v>8734.8610000000008</v>
      </c>
      <c r="L31" s="187">
        <f t="shared" si="3"/>
        <v>441110.48050000006</v>
      </c>
      <c r="M31" s="180">
        <f t="shared" si="4"/>
        <v>873.48610000000008</v>
      </c>
      <c r="N31" s="187">
        <f t="shared" si="5"/>
        <v>7861.3749000000007</v>
      </c>
      <c r="O31" s="188">
        <f t="shared" si="10"/>
        <v>396999.43245000002</v>
      </c>
      <c r="P31" s="200">
        <f t="shared" si="6"/>
        <v>8.5</v>
      </c>
      <c r="Q31" s="180">
        <f>VLOOKUP(B31,[6]Z21!$B$2:$O$418,14,0)</f>
        <v>5196.1440000000002</v>
      </c>
      <c r="R31" s="186">
        <f t="shared" si="7"/>
        <v>44167.224000000002</v>
      </c>
      <c r="S31" s="187">
        <f t="shared" si="8"/>
        <v>441166.65645000001</v>
      </c>
    </row>
    <row r="32" spans="1:19" ht="45.75" customHeight="1">
      <c r="A32" s="26">
        <v>73</v>
      </c>
      <c r="B32" s="27" t="s">
        <v>45</v>
      </c>
      <c r="C32" s="28" t="s">
        <v>301</v>
      </c>
      <c r="D32" s="27" t="s">
        <v>298</v>
      </c>
      <c r="E32" s="182">
        <v>25</v>
      </c>
      <c r="F32" s="183">
        <f>IFERROR(VLOOKUP(B32,'PEDIDO JULIO'!$B$10:$AG$200,32,0),"0")</f>
        <v>33</v>
      </c>
      <c r="G32" s="184">
        <f t="shared" si="9"/>
        <v>8</v>
      </c>
      <c r="H32" s="185">
        <f t="shared" si="0"/>
        <v>2</v>
      </c>
      <c r="I32" s="184">
        <f t="shared" si="1"/>
        <v>2</v>
      </c>
      <c r="J32" s="200">
        <f t="shared" si="2"/>
        <v>31</v>
      </c>
      <c r="K32" s="180">
        <f>VLOOKUP(B32,[6]Z21!$B$2:$M$418,12,0)</f>
        <v>23881.873</v>
      </c>
      <c r="L32" s="187">
        <f t="shared" si="3"/>
        <v>740338.06299999997</v>
      </c>
      <c r="M32" s="180">
        <f t="shared" si="4"/>
        <v>2388.1873000000001</v>
      </c>
      <c r="N32" s="187">
        <f t="shared" si="5"/>
        <v>21493.685699999998</v>
      </c>
      <c r="O32" s="188">
        <f t="shared" si="10"/>
        <v>666304.25669999991</v>
      </c>
      <c r="P32" s="200">
        <f t="shared" si="6"/>
        <v>2</v>
      </c>
      <c r="Q32" s="180">
        <f>VLOOKUP(B32,[6]Z21!$B$2:$O$418,14,0)</f>
        <v>4975.4340000000011</v>
      </c>
      <c r="R32" s="186">
        <f t="shared" si="7"/>
        <v>9950.8680000000022</v>
      </c>
      <c r="S32" s="187">
        <f t="shared" si="8"/>
        <v>676255.12469999993</v>
      </c>
    </row>
    <row r="33" spans="1:19" ht="45.75" customHeight="1">
      <c r="A33" s="26">
        <v>74</v>
      </c>
      <c r="B33" s="27" t="s">
        <v>47</v>
      </c>
      <c r="C33" s="28" t="s">
        <v>302</v>
      </c>
      <c r="D33" s="27" t="s">
        <v>303</v>
      </c>
      <c r="E33" s="182">
        <v>25</v>
      </c>
      <c r="F33" s="183">
        <f>IFERROR(VLOOKUP(B33,'PEDIDO JULIO'!$B$10:$AG$200,32,0),"0")</f>
        <v>12</v>
      </c>
      <c r="G33" s="184">
        <f t="shared" si="9"/>
        <v>-13</v>
      </c>
      <c r="H33" s="185">
        <f t="shared" si="0"/>
        <v>0</v>
      </c>
      <c r="I33" s="184">
        <f t="shared" si="1"/>
        <v>0</v>
      </c>
      <c r="J33" s="200">
        <f t="shared" si="2"/>
        <v>0</v>
      </c>
      <c r="K33" s="180">
        <f>VLOOKUP(B33,[6]Z21!$B$2:$M$418,12,0)</f>
        <v>7683.8609999999999</v>
      </c>
      <c r="L33" s="187">
        <f t="shared" si="3"/>
        <v>0</v>
      </c>
      <c r="M33" s="180">
        <f t="shared" si="4"/>
        <v>768.38610000000006</v>
      </c>
      <c r="N33" s="187">
        <f t="shared" si="5"/>
        <v>6915.4749000000002</v>
      </c>
      <c r="O33" s="188">
        <f t="shared" si="10"/>
        <v>0</v>
      </c>
      <c r="P33" s="200">
        <f t="shared" si="6"/>
        <v>12</v>
      </c>
      <c r="Q33" s="180">
        <f>VLOOKUP(B33,[6]Z21!$B$2:$O$418,14,0)</f>
        <v>3261.2529999999997</v>
      </c>
      <c r="R33" s="186">
        <f t="shared" si="7"/>
        <v>39135.035999999993</v>
      </c>
      <c r="S33" s="187">
        <f t="shared" si="8"/>
        <v>39135.035999999993</v>
      </c>
    </row>
    <row r="34" spans="1:19" ht="45.75" customHeight="1">
      <c r="A34" s="26">
        <v>79</v>
      </c>
      <c r="B34" s="33" t="s">
        <v>48</v>
      </c>
      <c r="C34" s="28" t="s">
        <v>304</v>
      </c>
      <c r="D34" s="27" t="s">
        <v>298</v>
      </c>
      <c r="E34" s="182">
        <v>37</v>
      </c>
      <c r="F34" s="183">
        <f>IFERROR(VLOOKUP(B34,'PEDIDO JULIO'!$B$10:$AG$200,32,0),"0")</f>
        <v>4</v>
      </c>
      <c r="G34" s="184">
        <f t="shared" si="9"/>
        <v>-33</v>
      </c>
      <c r="H34" s="185">
        <f t="shared" si="0"/>
        <v>0</v>
      </c>
      <c r="I34" s="184">
        <f t="shared" si="1"/>
        <v>0</v>
      </c>
      <c r="J34" s="200">
        <f t="shared" si="2"/>
        <v>0</v>
      </c>
      <c r="K34" s="180">
        <f>VLOOKUP(B34,[6]Z21!$B$2:$M$418,12,0)</f>
        <v>1039.4390000000001</v>
      </c>
      <c r="L34" s="187">
        <f t="shared" si="3"/>
        <v>0</v>
      </c>
      <c r="M34" s="180">
        <f t="shared" si="4"/>
        <v>103.94390000000001</v>
      </c>
      <c r="N34" s="187">
        <f t="shared" si="5"/>
        <v>935.49510000000009</v>
      </c>
      <c r="O34" s="188">
        <f t="shared" si="10"/>
        <v>0</v>
      </c>
      <c r="P34" s="200">
        <f t="shared" si="6"/>
        <v>4</v>
      </c>
      <c r="Q34" s="180">
        <f>VLOOKUP(B34,[6]Z21!$B$2:$O$418,14,0)</f>
        <v>541.2650000000001</v>
      </c>
      <c r="R34" s="186">
        <f t="shared" si="7"/>
        <v>2165.0600000000004</v>
      </c>
      <c r="S34" s="187">
        <f t="shared" si="8"/>
        <v>2165.0600000000004</v>
      </c>
    </row>
    <row r="35" spans="1:19" ht="45.75" customHeight="1">
      <c r="A35" s="26">
        <v>80</v>
      </c>
      <c r="B35" s="27" t="s">
        <v>49</v>
      </c>
      <c r="C35" s="28" t="s">
        <v>305</v>
      </c>
      <c r="D35" s="27" t="s">
        <v>298</v>
      </c>
      <c r="E35" s="182">
        <v>37</v>
      </c>
      <c r="F35" s="183">
        <f>IFERROR(VLOOKUP(B35,'PEDIDO JULIO'!$B$10:$AG$200,32,0),"0")</f>
        <v>10</v>
      </c>
      <c r="G35" s="184">
        <f t="shared" si="9"/>
        <v>-27</v>
      </c>
      <c r="H35" s="185">
        <f t="shared" si="0"/>
        <v>0</v>
      </c>
      <c r="I35" s="184">
        <f t="shared" si="1"/>
        <v>0</v>
      </c>
      <c r="J35" s="200">
        <f t="shared" si="2"/>
        <v>0</v>
      </c>
      <c r="K35" s="180">
        <f>VLOOKUP(B35,[6]Z21!$B$2:$M$418,12,0)</f>
        <v>674.74199999999996</v>
      </c>
      <c r="L35" s="187">
        <f t="shared" si="3"/>
        <v>0</v>
      </c>
      <c r="M35" s="180">
        <f t="shared" si="4"/>
        <v>67.474199999999996</v>
      </c>
      <c r="N35" s="187">
        <f t="shared" si="5"/>
        <v>607.26779999999997</v>
      </c>
      <c r="O35" s="188">
        <f t="shared" si="10"/>
        <v>0</v>
      </c>
      <c r="P35" s="200">
        <f t="shared" si="6"/>
        <v>10</v>
      </c>
      <c r="Q35" s="180">
        <f>VLOOKUP(B35,[6]Z21!$B$2:$O$418,14,0)</f>
        <v>433.01199999999994</v>
      </c>
      <c r="R35" s="186">
        <f t="shared" si="7"/>
        <v>4330.119999999999</v>
      </c>
      <c r="S35" s="187">
        <f t="shared" si="8"/>
        <v>4330.119999999999</v>
      </c>
    </row>
    <row r="36" spans="1:19" ht="45.75" customHeight="1">
      <c r="A36" s="26">
        <v>81</v>
      </c>
      <c r="B36" s="27" t="s">
        <v>50</v>
      </c>
      <c r="C36" s="28" t="s">
        <v>306</v>
      </c>
      <c r="D36" s="27" t="s">
        <v>298</v>
      </c>
      <c r="E36" s="182">
        <v>37</v>
      </c>
      <c r="F36" s="183">
        <f>IFERROR(VLOOKUP(B36,'PEDIDO JULIO'!$B$10:$AG$200,32,0),"0")</f>
        <v>30</v>
      </c>
      <c r="G36" s="184">
        <f t="shared" si="9"/>
        <v>-7</v>
      </c>
      <c r="H36" s="185">
        <f t="shared" si="0"/>
        <v>0</v>
      </c>
      <c r="I36" s="184">
        <f t="shared" si="1"/>
        <v>0</v>
      </c>
      <c r="J36" s="200">
        <f t="shared" si="2"/>
        <v>0</v>
      </c>
      <c r="K36" s="180">
        <f>VLOOKUP(B36,[6]Z21!$B$2:$M$418,12,0)</f>
        <v>430.91</v>
      </c>
      <c r="L36" s="187">
        <f t="shared" si="3"/>
        <v>0</v>
      </c>
      <c r="M36" s="180">
        <f t="shared" si="4"/>
        <v>43.091000000000008</v>
      </c>
      <c r="N36" s="187">
        <f t="shared" si="5"/>
        <v>387.81900000000002</v>
      </c>
      <c r="O36" s="188">
        <f t="shared" si="10"/>
        <v>0</v>
      </c>
      <c r="P36" s="200">
        <f t="shared" si="6"/>
        <v>30</v>
      </c>
      <c r="Q36" s="180">
        <f>VLOOKUP(B36,[6]Z21!$B$2:$O$418,14,0)</f>
        <v>211.251</v>
      </c>
      <c r="R36" s="186">
        <f t="shared" si="7"/>
        <v>6337.53</v>
      </c>
      <c r="S36" s="187">
        <f t="shared" si="8"/>
        <v>6337.53</v>
      </c>
    </row>
    <row r="37" spans="1:19" ht="45.75" customHeight="1">
      <c r="A37" s="26">
        <v>82</v>
      </c>
      <c r="B37" s="27" t="s">
        <v>51</v>
      </c>
      <c r="C37" s="28" t="s">
        <v>307</v>
      </c>
      <c r="D37" s="27" t="s">
        <v>303</v>
      </c>
      <c r="E37" s="182">
        <v>37</v>
      </c>
      <c r="F37" s="183" t="str">
        <f>IFERROR(VLOOKUP(B37,'PEDIDO JULIO'!$B$10:$AG$200,32,0),"0")</f>
        <v>0</v>
      </c>
      <c r="G37" s="184">
        <f t="shared" si="9"/>
        <v>-37</v>
      </c>
      <c r="H37" s="185">
        <f t="shared" si="0"/>
        <v>-9.25</v>
      </c>
      <c r="I37" s="184">
        <f t="shared" si="1"/>
        <v>0</v>
      </c>
      <c r="J37" s="200">
        <f t="shared" si="2"/>
        <v>0</v>
      </c>
      <c r="K37" s="180">
        <f>VLOOKUP(B37,[6]Z21!$B$2:$M$418,12,0)</f>
        <v>2177.672</v>
      </c>
      <c r="L37" s="187">
        <f t="shared" si="3"/>
        <v>0</v>
      </c>
      <c r="M37" s="180">
        <f t="shared" si="4"/>
        <v>217.7672</v>
      </c>
      <c r="N37" s="187">
        <f t="shared" si="5"/>
        <v>1959.9048</v>
      </c>
      <c r="O37" s="188">
        <f t="shared" si="10"/>
        <v>0</v>
      </c>
      <c r="P37" s="200">
        <f t="shared" si="6"/>
        <v>0</v>
      </c>
      <c r="Q37" s="180">
        <f>VLOOKUP(B37,[6]Z21!$B$2:$O$418,14,0)</f>
        <v>1003.7049999999999</v>
      </c>
      <c r="R37" s="186">
        <f t="shared" si="7"/>
        <v>0</v>
      </c>
      <c r="S37" s="187">
        <f t="shared" si="8"/>
        <v>0</v>
      </c>
    </row>
    <row r="38" spans="1:19" ht="45.75" customHeight="1">
      <c r="A38" s="26">
        <v>83</v>
      </c>
      <c r="B38" s="27" t="s">
        <v>52</v>
      </c>
      <c r="C38" s="28" t="s">
        <v>308</v>
      </c>
      <c r="D38" s="27" t="s">
        <v>298</v>
      </c>
      <c r="E38" s="182">
        <v>37</v>
      </c>
      <c r="F38" s="183" t="str">
        <f>IFERROR(VLOOKUP(B38,'PEDIDO JULIO'!$B$10:$AG$200,32,0),"0")</f>
        <v>0</v>
      </c>
      <c r="G38" s="184">
        <f t="shared" si="9"/>
        <v>-37</v>
      </c>
      <c r="H38" s="185">
        <f t="shared" si="0"/>
        <v>-9.25</v>
      </c>
      <c r="I38" s="184">
        <f t="shared" si="1"/>
        <v>0</v>
      </c>
      <c r="J38" s="200">
        <f t="shared" si="2"/>
        <v>0</v>
      </c>
      <c r="K38" s="180">
        <f>VLOOKUP(B38,[6]Z21!$B$2:$M$418,12,0)</f>
        <v>408.839</v>
      </c>
      <c r="L38" s="187">
        <f t="shared" si="3"/>
        <v>0</v>
      </c>
      <c r="M38" s="180">
        <f t="shared" si="4"/>
        <v>40.883900000000004</v>
      </c>
      <c r="N38" s="187">
        <f t="shared" si="5"/>
        <v>367.95510000000002</v>
      </c>
      <c r="O38" s="188">
        <f t="shared" si="10"/>
        <v>0</v>
      </c>
      <c r="P38" s="200">
        <f t="shared" si="6"/>
        <v>0</v>
      </c>
      <c r="Q38" s="180">
        <f>VLOOKUP(B38,[6]Z21!$B$2:$O$418,14,0)</f>
        <v>336.32</v>
      </c>
      <c r="R38" s="186">
        <f t="shared" si="7"/>
        <v>0</v>
      </c>
      <c r="S38" s="187">
        <f t="shared" si="8"/>
        <v>0</v>
      </c>
    </row>
    <row r="39" spans="1:19" ht="45.75" customHeight="1">
      <c r="A39" s="26">
        <v>86</v>
      </c>
      <c r="B39" s="27" t="s">
        <v>54</v>
      </c>
      <c r="C39" s="28" t="s">
        <v>665</v>
      </c>
      <c r="D39" s="27" t="s">
        <v>298</v>
      </c>
      <c r="E39" s="182">
        <v>20</v>
      </c>
      <c r="F39" s="183" t="str">
        <f>IFERROR(VLOOKUP(B39,'PEDIDO JULIO'!$B$10:$AG$200,32,0),"0")</f>
        <v>0</v>
      </c>
      <c r="G39" s="184">
        <f t="shared" si="9"/>
        <v>-20</v>
      </c>
      <c r="H39" s="185">
        <f t="shared" si="0"/>
        <v>-5</v>
      </c>
      <c r="I39" s="184">
        <f t="shared" si="1"/>
        <v>0</v>
      </c>
      <c r="J39" s="200">
        <f t="shared" si="2"/>
        <v>0</v>
      </c>
      <c r="K39" s="180">
        <f>VLOOKUP(B39,[6]Z21!$B$2:$M$418,12,0)</f>
        <v>4256.55</v>
      </c>
      <c r="L39" s="187">
        <f t="shared" si="3"/>
        <v>0</v>
      </c>
      <c r="M39" s="180">
        <f t="shared" si="4"/>
        <v>425.65500000000003</v>
      </c>
      <c r="N39" s="187">
        <f t="shared" si="5"/>
        <v>3830.895</v>
      </c>
      <c r="O39" s="188">
        <f t="shared" si="10"/>
        <v>0</v>
      </c>
      <c r="P39" s="200">
        <f t="shared" si="6"/>
        <v>0</v>
      </c>
      <c r="Q39" s="180">
        <f>VLOOKUP(B39,[6]Z21!$B$2:$O$418,14,0)</f>
        <v>2792.5070000000005</v>
      </c>
      <c r="R39" s="186">
        <f t="shared" si="7"/>
        <v>0</v>
      </c>
      <c r="S39" s="187">
        <f t="shared" si="8"/>
        <v>0</v>
      </c>
    </row>
    <row r="40" spans="1:19" ht="45.75" customHeight="1">
      <c r="A40" s="31">
        <v>87</v>
      </c>
      <c r="B40" s="32" t="s">
        <v>55</v>
      </c>
      <c r="C40" s="189" t="s">
        <v>666</v>
      </c>
      <c r="D40" s="32" t="s">
        <v>298</v>
      </c>
      <c r="E40" s="182">
        <v>25</v>
      </c>
      <c r="F40" s="183" t="str">
        <f>IFERROR(VLOOKUP(B40,'PEDIDO JULIO'!$B$10:$AG$200,32,0),"0")</f>
        <v>0</v>
      </c>
      <c r="G40" s="184">
        <f t="shared" si="9"/>
        <v>-25</v>
      </c>
      <c r="H40" s="185">
        <f t="shared" si="0"/>
        <v>-6.25</v>
      </c>
      <c r="I40" s="184">
        <f t="shared" si="1"/>
        <v>0</v>
      </c>
      <c r="J40" s="200">
        <f t="shared" si="2"/>
        <v>0</v>
      </c>
      <c r="K40" s="180">
        <f>VLOOKUP(B40,[6]Z21!$B$2:$M$418,12,0)</f>
        <v>4256.55</v>
      </c>
      <c r="L40" s="187">
        <f t="shared" si="3"/>
        <v>0</v>
      </c>
      <c r="M40" s="180">
        <f t="shared" si="4"/>
        <v>425.65500000000003</v>
      </c>
      <c r="N40" s="187">
        <f t="shared" si="5"/>
        <v>3830.895</v>
      </c>
      <c r="O40" s="188">
        <f t="shared" si="10"/>
        <v>0</v>
      </c>
      <c r="P40" s="200">
        <f t="shared" si="6"/>
        <v>0</v>
      </c>
      <c r="Q40" s="180">
        <f>VLOOKUP(B40,[6]Z21!$B$2:$O$418,14,0)</f>
        <v>0</v>
      </c>
      <c r="R40" s="186">
        <f t="shared" si="7"/>
        <v>0</v>
      </c>
      <c r="S40" s="187">
        <f t="shared" si="8"/>
        <v>0</v>
      </c>
    </row>
    <row r="41" spans="1:19" ht="45.75" customHeight="1">
      <c r="A41" s="26">
        <v>88</v>
      </c>
      <c r="B41" s="27" t="s">
        <v>56</v>
      </c>
      <c r="C41" s="28" t="s">
        <v>309</v>
      </c>
      <c r="D41" s="27" t="s">
        <v>298</v>
      </c>
      <c r="E41" s="182">
        <v>67</v>
      </c>
      <c r="F41" s="183">
        <f>IFERROR(VLOOKUP(B41,'PEDIDO JULIO'!$B$10:$AG$200,32,0),"0")</f>
        <v>6</v>
      </c>
      <c r="G41" s="184">
        <f t="shared" si="9"/>
        <v>-61</v>
      </c>
      <c r="H41" s="185">
        <f t="shared" si="0"/>
        <v>0</v>
      </c>
      <c r="I41" s="184">
        <f t="shared" si="1"/>
        <v>0</v>
      </c>
      <c r="J41" s="200">
        <f t="shared" si="2"/>
        <v>0</v>
      </c>
      <c r="K41" s="180">
        <f>VLOOKUP(B41,[6]Z21!$B$2:$M$418,12,0)</f>
        <v>5285.4790000000003</v>
      </c>
      <c r="L41" s="187">
        <f t="shared" si="3"/>
        <v>0</v>
      </c>
      <c r="M41" s="180">
        <f t="shared" si="4"/>
        <v>528.54790000000003</v>
      </c>
      <c r="N41" s="187">
        <f t="shared" si="5"/>
        <v>4756.9310999999998</v>
      </c>
      <c r="O41" s="188">
        <f t="shared" si="10"/>
        <v>0</v>
      </c>
      <c r="P41" s="200">
        <f t="shared" si="6"/>
        <v>6</v>
      </c>
      <c r="Q41" s="180">
        <f>VLOOKUP(B41,[6]Z21!$B$2:$O$418,14,0)</f>
        <v>2717.886</v>
      </c>
      <c r="R41" s="186">
        <f t="shared" si="7"/>
        <v>16307.315999999999</v>
      </c>
      <c r="S41" s="187">
        <f t="shared" si="8"/>
        <v>16307.315999999999</v>
      </c>
    </row>
    <row r="42" spans="1:19" ht="45.75" customHeight="1">
      <c r="A42" s="26">
        <v>89</v>
      </c>
      <c r="B42" s="27" t="s">
        <v>57</v>
      </c>
      <c r="C42" s="28" t="s">
        <v>667</v>
      </c>
      <c r="D42" s="27" t="s">
        <v>298</v>
      </c>
      <c r="E42" s="182">
        <v>35</v>
      </c>
      <c r="F42" s="183" t="str">
        <f>IFERROR(VLOOKUP(B42,'PEDIDO JULIO'!$B$10:$AG$200,32,0),"0")</f>
        <v>0</v>
      </c>
      <c r="G42" s="184">
        <f t="shared" si="9"/>
        <v>-35</v>
      </c>
      <c r="H42" s="185">
        <f t="shared" si="0"/>
        <v>-8.75</v>
      </c>
      <c r="I42" s="184">
        <f t="shared" si="1"/>
        <v>0</v>
      </c>
      <c r="J42" s="200">
        <f t="shared" si="2"/>
        <v>0</v>
      </c>
      <c r="K42" s="180">
        <f>VLOOKUP(B42,[6]Z21!$B$2:$M$418,12,0)</f>
        <v>5285.4790000000003</v>
      </c>
      <c r="L42" s="187">
        <f t="shared" si="3"/>
        <v>0</v>
      </c>
      <c r="M42" s="180">
        <f t="shared" si="4"/>
        <v>528.54790000000003</v>
      </c>
      <c r="N42" s="187">
        <f t="shared" si="5"/>
        <v>4756.9310999999998</v>
      </c>
      <c r="O42" s="188">
        <f t="shared" si="10"/>
        <v>0</v>
      </c>
      <c r="P42" s="200">
        <f t="shared" si="6"/>
        <v>0</v>
      </c>
      <c r="Q42" s="180">
        <f>VLOOKUP(B42,[6]Z21!$B$2:$O$418,14,0)</f>
        <v>2650.6220000000003</v>
      </c>
      <c r="R42" s="186">
        <f t="shared" si="7"/>
        <v>0</v>
      </c>
      <c r="S42" s="187">
        <f t="shared" si="8"/>
        <v>0</v>
      </c>
    </row>
    <row r="43" spans="1:19" ht="45.75" customHeight="1">
      <c r="A43" s="26">
        <v>91</v>
      </c>
      <c r="B43" s="27" t="s">
        <v>58</v>
      </c>
      <c r="C43" s="28" t="s">
        <v>310</v>
      </c>
      <c r="D43" s="27" t="s">
        <v>298</v>
      </c>
      <c r="E43" s="182">
        <v>25</v>
      </c>
      <c r="F43" s="183" t="str">
        <f>IFERROR(VLOOKUP(B43,'PEDIDO JULIO'!$B$10:$AG$200,32,0),"0")</f>
        <v>0</v>
      </c>
      <c r="G43" s="184">
        <f t="shared" si="9"/>
        <v>-25</v>
      </c>
      <c r="H43" s="185">
        <f t="shared" si="0"/>
        <v>-6.25</v>
      </c>
      <c r="I43" s="184">
        <f t="shared" si="1"/>
        <v>0</v>
      </c>
      <c r="J43" s="200">
        <f t="shared" si="2"/>
        <v>0</v>
      </c>
      <c r="K43" s="180">
        <f>VLOOKUP(B43,[6]Z21!$B$2:$M$418,12,0)</f>
        <v>9342.3389999999999</v>
      </c>
      <c r="L43" s="187">
        <f t="shared" si="3"/>
        <v>0</v>
      </c>
      <c r="M43" s="180">
        <f t="shared" si="4"/>
        <v>934.23390000000006</v>
      </c>
      <c r="N43" s="187">
        <f t="shared" si="5"/>
        <v>8408.1051000000007</v>
      </c>
      <c r="O43" s="188">
        <f t="shared" si="10"/>
        <v>0</v>
      </c>
      <c r="P43" s="200">
        <f t="shared" si="6"/>
        <v>0</v>
      </c>
      <c r="Q43" s="180">
        <f>VLOOKUP(B43,[6]Z21!$B$2:$O$418,14,0)</f>
        <v>4364.8029999999999</v>
      </c>
      <c r="R43" s="186">
        <f t="shared" si="7"/>
        <v>0</v>
      </c>
      <c r="S43" s="187">
        <f t="shared" si="8"/>
        <v>0</v>
      </c>
    </row>
    <row r="44" spans="1:19" ht="45.75" customHeight="1">
      <c r="A44" s="26">
        <v>92</v>
      </c>
      <c r="B44" s="27" t="s">
        <v>59</v>
      </c>
      <c r="C44" s="28" t="s">
        <v>310</v>
      </c>
      <c r="D44" s="27" t="s">
        <v>298</v>
      </c>
      <c r="E44" s="182">
        <v>20</v>
      </c>
      <c r="F44" s="183" t="str">
        <f>IFERROR(VLOOKUP(B44,'PEDIDO JULIO'!$B$10:$AG$200,32,0),"0")</f>
        <v>0</v>
      </c>
      <c r="G44" s="184">
        <f t="shared" si="9"/>
        <v>-20</v>
      </c>
      <c r="H44" s="185">
        <f t="shared" si="0"/>
        <v>-5</v>
      </c>
      <c r="I44" s="184">
        <f t="shared" si="1"/>
        <v>0</v>
      </c>
      <c r="J44" s="200">
        <f t="shared" si="2"/>
        <v>0</v>
      </c>
      <c r="K44" s="180">
        <f>VLOOKUP(B44,[6]Z21!$B$2:$M$418,12,0)</f>
        <v>3869.7820000000002</v>
      </c>
      <c r="L44" s="187">
        <f t="shared" si="3"/>
        <v>0</v>
      </c>
      <c r="M44" s="180">
        <f t="shared" si="4"/>
        <v>386.97820000000002</v>
      </c>
      <c r="N44" s="187">
        <f t="shared" si="5"/>
        <v>3482.8038000000001</v>
      </c>
      <c r="O44" s="188">
        <f t="shared" si="10"/>
        <v>0</v>
      </c>
      <c r="P44" s="200">
        <f t="shared" si="6"/>
        <v>0</v>
      </c>
      <c r="Q44" s="180">
        <f>VLOOKUP(B44,[6]Z21!$B$2:$O$418,14,0)</f>
        <v>2380.5149999999999</v>
      </c>
      <c r="R44" s="186">
        <f t="shared" si="7"/>
        <v>0</v>
      </c>
      <c r="S44" s="187">
        <f t="shared" si="8"/>
        <v>0</v>
      </c>
    </row>
    <row r="45" spans="1:19" ht="45.75" customHeight="1">
      <c r="A45" s="26">
        <v>94</v>
      </c>
      <c r="B45" s="27" t="s">
        <v>61</v>
      </c>
      <c r="C45" s="28" t="s">
        <v>311</v>
      </c>
      <c r="D45" s="27" t="s">
        <v>298</v>
      </c>
      <c r="E45" s="182">
        <v>41</v>
      </c>
      <c r="F45" s="183" t="str">
        <f>IFERROR(VLOOKUP(B45,'PEDIDO JULIO'!$B$10:$AG$200,32,0),"0")</f>
        <v>0</v>
      </c>
      <c r="G45" s="184">
        <f t="shared" si="9"/>
        <v>-41</v>
      </c>
      <c r="H45" s="185">
        <f t="shared" si="0"/>
        <v>-10.25</v>
      </c>
      <c r="I45" s="184">
        <f t="shared" si="1"/>
        <v>0</v>
      </c>
      <c r="J45" s="200">
        <f t="shared" si="2"/>
        <v>0</v>
      </c>
      <c r="K45" s="180">
        <f>VLOOKUP(B45,[6]Z21!$B$2:$M$418,12,0)</f>
        <v>16474.424999999999</v>
      </c>
      <c r="L45" s="187">
        <f t="shared" si="3"/>
        <v>0</v>
      </c>
      <c r="M45" s="180">
        <f t="shared" si="4"/>
        <v>1647.4425000000001</v>
      </c>
      <c r="N45" s="187">
        <f t="shared" si="5"/>
        <v>14826.982499999998</v>
      </c>
      <c r="O45" s="188">
        <f t="shared" si="10"/>
        <v>0</v>
      </c>
      <c r="P45" s="200">
        <f t="shared" si="6"/>
        <v>0</v>
      </c>
      <c r="Q45" s="180">
        <f>VLOOKUP(B45,[6]Z21!$B$2:$O$418,14,0)</f>
        <v>3316.9560000000001</v>
      </c>
      <c r="R45" s="186">
        <f t="shared" si="7"/>
        <v>0</v>
      </c>
      <c r="S45" s="187">
        <f t="shared" si="8"/>
        <v>0</v>
      </c>
    </row>
    <row r="46" spans="1:19" ht="45.75" customHeight="1">
      <c r="A46" s="26">
        <v>95</v>
      </c>
      <c r="B46" s="27" t="s">
        <v>62</v>
      </c>
      <c r="C46" s="28" t="s">
        <v>668</v>
      </c>
      <c r="D46" s="27" t="s">
        <v>298</v>
      </c>
      <c r="E46" s="182">
        <v>22</v>
      </c>
      <c r="F46" s="183" t="str">
        <f>IFERROR(VLOOKUP(B46,'PEDIDO JULIO'!$B$10:$AG$200,32,0),"0")</f>
        <v>0</v>
      </c>
      <c r="G46" s="184">
        <f t="shared" si="9"/>
        <v>-22</v>
      </c>
      <c r="H46" s="185">
        <f t="shared" si="0"/>
        <v>-5.5</v>
      </c>
      <c r="I46" s="184">
        <f t="shared" si="1"/>
        <v>0</v>
      </c>
      <c r="J46" s="200">
        <f t="shared" si="2"/>
        <v>0</v>
      </c>
      <c r="K46" s="180">
        <f>VLOOKUP(B46,[6]Z21!$B$2:$M$418,12,0)</f>
        <v>27862.01</v>
      </c>
      <c r="L46" s="187">
        <f t="shared" si="3"/>
        <v>0</v>
      </c>
      <c r="M46" s="180">
        <f t="shared" si="4"/>
        <v>2786.201</v>
      </c>
      <c r="N46" s="187">
        <f t="shared" si="5"/>
        <v>25075.808999999997</v>
      </c>
      <c r="O46" s="188">
        <f t="shared" si="10"/>
        <v>0</v>
      </c>
      <c r="P46" s="200">
        <f t="shared" si="6"/>
        <v>0</v>
      </c>
      <c r="Q46" s="180">
        <f>VLOOKUP(B46,[6]Z21!$B$2:$O$418,14,0)</f>
        <v>11056.52</v>
      </c>
      <c r="R46" s="186">
        <f t="shared" si="7"/>
        <v>0</v>
      </c>
      <c r="S46" s="187">
        <f t="shared" si="8"/>
        <v>0</v>
      </c>
    </row>
    <row r="47" spans="1:19" ht="45.75" customHeight="1">
      <c r="A47" s="26">
        <v>98</v>
      </c>
      <c r="B47" s="27" t="s">
        <v>63</v>
      </c>
      <c r="C47" s="28" t="s">
        <v>312</v>
      </c>
      <c r="D47" s="27" t="s">
        <v>298</v>
      </c>
      <c r="E47" s="182">
        <v>25</v>
      </c>
      <c r="F47" s="183">
        <f>IFERROR(VLOOKUP(B47,'PEDIDO JULIO'!$B$10:$AG$200,32,0),"0")</f>
        <v>10</v>
      </c>
      <c r="G47" s="184">
        <f t="shared" si="9"/>
        <v>-15</v>
      </c>
      <c r="H47" s="185">
        <f t="shared" si="0"/>
        <v>0</v>
      </c>
      <c r="I47" s="184">
        <f t="shared" si="1"/>
        <v>0</v>
      </c>
      <c r="J47" s="200">
        <f t="shared" si="2"/>
        <v>0</v>
      </c>
      <c r="K47" s="180">
        <f>VLOOKUP(B47,[6]Z21!$B$2:$M$418,12,0)</f>
        <v>10559.397000000001</v>
      </c>
      <c r="L47" s="187">
        <f t="shared" si="3"/>
        <v>0</v>
      </c>
      <c r="M47" s="180">
        <f t="shared" si="4"/>
        <v>1055.9397000000001</v>
      </c>
      <c r="N47" s="187">
        <f t="shared" si="5"/>
        <v>9503.4573</v>
      </c>
      <c r="O47" s="188">
        <f t="shared" si="10"/>
        <v>0</v>
      </c>
      <c r="P47" s="200">
        <f t="shared" si="6"/>
        <v>10</v>
      </c>
      <c r="Q47" s="180">
        <f>VLOOKUP(B47,[6]Z21!$B$2:$O$418,14,0)</f>
        <v>6633.9120000000003</v>
      </c>
      <c r="R47" s="186">
        <f t="shared" si="7"/>
        <v>66339.12</v>
      </c>
      <c r="S47" s="187">
        <f t="shared" si="8"/>
        <v>66339.12</v>
      </c>
    </row>
    <row r="48" spans="1:19" ht="45.75" customHeight="1">
      <c r="A48" s="26">
        <v>100</v>
      </c>
      <c r="B48" s="27" t="s">
        <v>64</v>
      </c>
      <c r="C48" s="28" t="s">
        <v>313</v>
      </c>
      <c r="D48" s="27" t="s">
        <v>298</v>
      </c>
      <c r="E48" s="182">
        <v>59</v>
      </c>
      <c r="F48" s="183" t="str">
        <f>IFERROR(VLOOKUP(B48,'PEDIDO JULIO'!$B$10:$AG$200,32,0),"0")</f>
        <v>0</v>
      </c>
      <c r="G48" s="184">
        <f t="shared" si="9"/>
        <v>-59</v>
      </c>
      <c r="H48" s="185">
        <f t="shared" si="0"/>
        <v>-14.75</v>
      </c>
      <c r="I48" s="184">
        <f t="shared" si="1"/>
        <v>0</v>
      </c>
      <c r="J48" s="200">
        <f t="shared" si="2"/>
        <v>0</v>
      </c>
      <c r="K48" s="180">
        <f>VLOOKUP(B48,[6]Z21!$B$2:$M$418,12,0)</f>
        <v>9342.3389999999999</v>
      </c>
      <c r="L48" s="187">
        <f t="shared" si="3"/>
        <v>0</v>
      </c>
      <c r="M48" s="180">
        <f t="shared" si="4"/>
        <v>934.23390000000006</v>
      </c>
      <c r="N48" s="187">
        <f t="shared" si="5"/>
        <v>8408.1051000000007</v>
      </c>
      <c r="O48" s="188">
        <f t="shared" si="10"/>
        <v>0</v>
      </c>
      <c r="P48" s="200">
        <f t="shared" si="6"/>
        <v>0</v>
      </c>
      <c r="Q48" s="180">
        <f>VLOOKUP(B48,[6]Z21!$B$2:$O$418,14,0)</f>
        <v>4364.8029999999999</v>
      </c>
      <c r="R48" s="186">
        <f t="shared" si="7"/>
        <v>0</v>
      </c>
      <c r="S48" s="187">
        <f t="shared" si="8"/>
        <v>0</v>
      </c>
    </row>
    <row r="49" spans="1:19" ht="45.75" customHeight="1">
      <c r="A49" s="26">
        <v>102</v>
      </c>
      <c r="B49" s="27" t="s">
        <v>65</v>
      </c>
      <c r="C49" s="28" t="s">
        <v>314</v>
      </c>
      <c r="D49" s="27" t="s">
        <v>298</v>
      </c>
      <c r="E49" s="182">
        <v>25</v>
      </c>
      <c r="F49" s="183" t="str">
        <f>IFERROR(VLOOKUP(B49,'PEDIDO JULIO'!$B$10:$AG$200,32,0),"0")</f>
        <v>0</v>
      </c>
      <c r="G49" s="184">
        <f t="shared" si="9"/>
        <v>-25</v>
      </c>
      <c r="H49" s="185">
        <f t="shared" si="0"/>
        <v>-6.25</v>
      </c>
      <c r="I49" s="184">
        <f t="shared" si="1"/>
        <v>0</v>
      </c>
      <c r="J49" s="200">
        <f t="shared" si="2"/>
        <v>0</v>
      </c>
      <c r="K49" s="180">
        <f>VLOOKUP(B49,[6]Z21!$B$2:$M$418,12,0)</f>
        <v>6025.3829999999998</v>
      </c>
      <c r="L49" s="187">
        <f t="shared" si="3"/>
        <v>0</v>
      </c>
      <c r="M49" s="180">
        <f t="shared" si="4"/>
        <v>602.53830000000005</v>
      </c>
      <c r="N49" s="187">
        <f t="shared" si="5"/>
        <v>5422.8446999999996</v>
      </c>
      <c r="O49" s="188">
        <f t="shared" si="10"/>
        <v>0</v>
      </c>
      <c r="P49" s="200">
        <f t="shared" si="6"/>
        <v>0</v>
      </c>
      <c r="Q49" s="180">
        <f>VLOOKUP(B49,[6]Z21!$B$2:$O$418,14,0)</f>
        <v>3811.9770000000003</v>
      </c>
      <c r="R49" s="186">
        <f t="shared" si="7"/>
        <v>0</v>
      </c>
      <c r="S49" s="187">
        <f t="shared" si="8"/>
        <v>0</v>
      </c>
    </row>
    <row r="50" spans="1:19" ht="45.75" customHeight="1">
      <c r="A50" s="26">
        <v>103</v>
      </c>
      <c r="B50" s="27" t="s">
        <v>67</v>
      </c>
      <c r="C50" s="28" t="s">
        <v>669</v>
      </c>
      <c r="D50" s="27" t="s">
        <v>298</v>
      </c>
      <c r="E50" s="182">
        <v>56</v>
      </c>
      <c r="F50" s="183" t="str">
        <f>IFERROR(VLOOKUP(B50,'PEDIDO JULIO'!$B$10:$AG$200,32,0),"0")</f>
        <v>0</v>
      </c>
      <c r="G50" s="184">
        <f t="shared" si="9"/>
        <v>-56</v>
      </c>
      <c r="H50" s="185">
        <f t="shared" si="0"/>
        <v>-14</v>
      </c>
      <c r="I50" s="184">
        <f t="shared" si="1"/>
        <v>0</v>
      </c>
      <c r="J50" s="200">
        <f t="shared" si="2"/>
        <v>0</v>
      </c>
      <c r="K50" s="180">
        <f>VLOOKUP(B50,[6]Z21!$B$2:$M$418,12,0)</f>
        <v>18022.547999999999</v>
      </c>
      <c r="L50" s="187">
        <f t="shared" si="3"/>
        <v>0</v>
      </c>
      <c r="M50" s="180">
        <f t="shared" si="4"/>
        <v>1802.2547999999999</v>
      </c>
      <c r="N50" s="187">
        <f t="shared" si="5"/>
        <v>16220.293199999998</v>
      </c>
      <c r="O50" s="188">
        <f t="shared" si="10"/>
        <v>0</v>
      </c>
      <c r="P50" s="200">
        <f t="shared" si="6"/>
        <v>0</v>
      </c>
      <c r="Q50" s="180">
        <f>VLOOKUP(B50,[6]Z21!$B$2:$O$418,14,0)</f>
        <v>18022.547999999999</v>
      </c>
      <c r="R50" s="186">
        <f t="shared" si="7"/>
        <v>0</v>
      </c>
      <c r="S50" s="187">
        <f t="shared" si="8"/>
        <v>0</v>
      </c>
    </row>
    <row r="51" spans="1:19" ht="45.75" customHeight="1">
      <c r="A51" s="26">
        <v>104</v>
      </c>
      <c r="B51" s="27" t="s">
        <v>68</v>
      </c>
      <c r="C51" s="28" t="s">
        <v>670</v>
      </c>
      <c r="D51" s="27" t="s">
        <v>298</v>
      </c>
      <c r="E51" s="182">
        <v>65</v>
      </c>
      <c r="F51" s="183" t="str">
        <f>IFERROR(VLOOKUP(B51,'PEDIDO JULIO'!$B$10:$AG$200,32,0),"0")</f>
        <v>0</v>
      </c>
      <c r="G51" s="184">
        <f t="shared" si="9"/>
        <v>-65</v>
      </c>
      <c r="H51" s="185">
        <f t="shared" si="0"/>
        <v>-16.25</v>
      </c>
      <c r="I51" s="184">
        <f t="shared" si="1"/>
        <v>0</v>
      </c>
      <c r="J51" s="200">
        <f t="shared" si="2"/>
        <v>0</v>
      </c>
      <c r="K51" s="180">
        <f>VLOOKUP(B51,[6]Z21!$B$2:$M$418,12,0)</f>
        <v>18022.547999999999</v>
      </c>
      <c r="L51" s="187">
        <f t="shared" si="3"/>
        <v>0</v>
      </c>
      <c r="M51" s="180">
        <f t="shared" si="4"/>
        <v>1802.2547999999999</v>
      </c>
      <c r="N51" s="187">
        <f t="shared" si="5"/>
        <v>16220.293199999998</v>
      </c>
      <c r="O51" s="188">
        <f t="shared" si="10"/>
        <v>0</v>
      </c>
      <c r="P51" s="200">
        <f t="shared" si="6"/>
        <v>0</v>
      </c>
      <c r="Q51" s="180">
        <f>VLOOKUP(B51,[6]Z21!$B$2:$O$418,14,0)</f>
        <v>18022.547999999999</v>
      </c>
      <c r="R51" s="186">
        <f t="shared" si="7"/>
        <v>0</v>
      </c>
      <c r="S51" s="187">
        <f t="shared" si="8"/>
        <v>0</v>
      </c>
    </row>
    <row r="52" spans="1:19" ht="45.75" customHeight="1">
      <c r="A52" s="26">
        <v>105</v>
      </c>
      <c r="B52" s="27" t="s">
        <v>69</v>
      </c>
      <c r="C52" s="28" t="s">
        <v>671</v>
      </c>
      <c r="D52" s="27" t="s">
        <v>298</v>
      </c>
      <c r="E52" s="182">
        <v>25</v>
      </c>
      <c r="F52" s="183" t="str">
        <f>IFERROR(VLOOKUP(B52,'PEDIDO JULIO'!$B$10:$AG$200,32,0),"0")</f>
        <v>0</v>
      </c>
      <c r="G52" s="184">
        <f t="shared" si="9"/>
        <v>-25</v>
      </c>
      <c r="H52" s="185">
        <f t="shared" si="0"/>
        <v>-6.25</v>
      </c>
      <c r="I52" s="184">
        <f t="shared" si="1"/>
        <v>0</v>
      </c>
      <c r="J52" s="200">
        <f t="shared" si="2"/>
        <v>0</v>
      </c>
      <c r="K52" s="180">
        <f>VLOOKUP(B52,[6]Z21!$B$2:$M$418,12,0)</f>
        <v>30295.075000000001</v>
      </c>
      <c r="L52" s="187">
        <f t="shared" si="3"/>
        <v>0</v>
      </c>
      <c r="M52" s="180">
        <f t="shared" si="4"/>
        <v>3029.5075000000002</v>
      </c>
      <c r="N52" s="187">
        <f t="shared" si="5"/>
        <v>27265.567500000001</v>
      </c>
      <c r="O52" s="188">
        <f t="shared" si="10"/>
        <v>0</v>
      </c>
      <c r="P52" s="200">
        <f t="shared" si="6"/>
        <v>0</v>
      </c>
      <c r="Q52" s="180">
        <f>VLOOKUP(B52,[6]Z21!$B$2:$O$418,14,0)</f>
        <v>27641.3</v>
      </c>
      <c r="R52" s="186">
        <f t="shared" si="7"/>
        <v>0</v>
      </c>
      <c r="S52" s="187">
        <f t="shared" si="8"/>
        <v>0</v>
      </c>
    </row>
    <row r="53" spans="1:19" ht="45.75" customHeight="1">
      <c r="A53" s="31">
        <v>106</v>
      </c>
      <c r="B53" s="32" t="s">
        <v>70</v>
      </c>
      <c r="C53" s="190" t="s">
        <v>672</v>
      </c>
      <c r="D53" s="32" t="s">
        <v>298</v>
      </c>
      <c r="E53" s="182">
        <v>25</v>
      </c>
      <c r="F53" s="183" t="str">
        <f>IFERROR(VLOOKUP(B53,'PEDIDO JULIO'!$B$10:$AG$200,32,0),"0")</f>
        <v>0</v>
      </c>
      <c r="G53" s="184">
        <f t="shared" si="9"/>
        <v>-25</v>
      </c>
      <c r="H53" s="185">
        <f t="shared" si="0"/>
        <v>-6.25</v>
      </c>
      <c r="I53" s="184">
        <f t="shared" si="1"/>
        <v>0</v>
      </c>
      <c r="J53" s="200">
        <f t="shared" si="2"/>
        <v>0</v>
      </c>
      <c r="K53" s="180">
        <f>VLOOKUP(B53,[6]Z21!$B$2:$M$418,12,0)</f>
        <v>30295.075000000001</v>
      </c>
      <c r="L53" s="187">
        <f t="shared" si="3"/>
        <v>0</v>
      </c>
      <c r="M53" s="180">
        <f t="shared" si="4"/>
        <v>3029.5075000000002</v>
      </c>
      <c r="N53" s="187">
        <f t="shared" si="5"/>
        <v>27265.567500000001</v>
      </c>
      <c r="O53" s="188">
        <f t="shared" si="10"/>
        <v>0</v>
      </c>
      <c r="P53" s="200">
        <f t="shared" si="6"/>
        <v>0</v>
      </c>
      <c r="Q53" s="180">
        <f>VLOOKUP(B53,[6]Z21!$B$2:$O$418,14,0)</f>
        <v>0</v>
      </c>
      <c r="R53" s="186">
        <f t="shared" si="7"/>
        <v>0</v>
      </c>
      <c r="S53" s="187">
        <f t="shared" si="8"/>
        <v>0</v>
      </c>
    </row>
    <row r="54" spans="1:19" ht="45.75" customHeight="1">
      <c r="A54" s="26">
        <v>108</v>
      </c>
      <c r="B54" s="27" t="s">
        <v>71</v>
      </c>
      <c r="C54" s="30" t="s">
        <v>673</v>
      </c>
      <c r="D54" s="27" t="s">
        <v>298</v>
      </c>
      <c r="E54" s="182">
        <v>20</v>
      </c>
      <c r="F54" s="183" t="str">
        <f>IFERROR(VLOOKUP(B54,'PEDIDO JULIO'!$B$10:$AG$200,32,0),"0")</f>
        <v>0</v>
      </c>
      <c r="G54" s="184">
        <f t="shared" si="9"/>
        <v>-20</v>
      </c>
      <c r="H54" s="185">
        <f t="shared" si="0"/>
        <v>-5</v>
      </c>
      <c r="I54" s="184">
        <f t="shared" si="1"/>
        <v>0</v>
      </c>
      <c r="J54" s="200">
        <f t="shared" si="2"/>
        <v>0</v>
      </c>
      <c r="K54" s="180">
        <f>VLOOKUP(B54,[6]Z21!$B$2:$M$418,12,0)</f>
        <v>88452.160000000003</v>
      </c>
      <c r="L54" s="187">
        <f t="shared" si="3"/>
        <v>0</v>
      </c>
      <c r="M54" s="180">
        <f t="shared" si="4"/>
        <v>8845.2160000000003</v>
      </c>
      <c r="N54" s="187">
        <f t="shared" si="5"/>
        <v>79606.944000000003</v>
      </c>
      <c r="O54" s="188">
        <f t="shared" si="10"/>
        <v>0</v>
      </c>
      <c r="P54" s="200">
        <f t="shared" si="6"/>
        <v>0</v>
      </c>
      <c r="Q54" s="180">
        <f>VLOOKUP(B54,[6]Z21!$B$2:$O$418,14,0)</f>
        <v>38697.82</v>
      </c>
      <c r="R54" s="186">
        <f t="shared" si="7"/>
        <v>0</v>
      </c>
      <c r="S54" s="187">
        <f t="shared" si="8"/>
        <v>0</v>
      </c>
    </row>
    <row r="55" spans="1:19" ht="45.75" customHeight="1">
      <c r="A55" s="26">
        <v>109</v>
      </c>
      <c r="B55" s="27" t="s">
        <v>72</v>
      </c>
      <c r="C55" s="28" t="s">
        <v>674</v>
      </c>
      <c r="D55" s="27" t="s">
        <v>298</v>
      </c>
      <c r="E55" s="182">
        <v>2</v>
      </c>
      <c r="F55" s="183" t="str">
        <f>IFERROR(VLOOKUP(B55,'PEDIDO JULIO'!$B$10:$AG$200,32,0),"0")</f>
        <v>0</v>
      </c>
      <c r="G55" s="184">
        <f t="shared" si="9"/>
        <v>-2</v>
      </c>
      <c r="H55" s="185">
        <f t="shared" si="0"/>
        <v>-0.5</v>
      </c>
      <c r="I55" s="184">
        <f t="shared" si="1"/>
        <v>0</v>
      </c>
      <c r="J55" s="200">
        <f t="shared" si="2"/>
        <v>0</v>
      </c>
      <c r="K55" s="180">
        <f>VLOOKUP(B55,[6]Z21!$B$2:$M$418,12,0)</f>
        <v>98623.737999999998</v>
      </c>
      <c r="L55" s="187">
        <f t="shared" si="3"/>
        <v>0</v>
      </c>
      <c r="M55" s="180">
        <f t="shared" si="4"/>
        <v>9862.3738000000012</v>
      </c>
      <c r="N55" s="187">
        <f t="shared" si="5"/>
        <v>88761.364199999996</v>
      </c>
      <c r="O55" s="188">
        <f t="shared" si="10"/>
        <v>0</v>
      </c>
      <c r="P55" s="200">
        <f t="shared" si="6"/>
        <v>0</v>
      </c>
      <c r="Q55" s="180">
        <f>VLOOKUP(B55,[6]Z21!$B$2:$O$418,14,0)</f>
        <v>49754.340000000004</v>
      </c>
      <c r="R55" s="186">
        <f t="shared" si="7"/>
        <v>0</v>
      </c>
      <c r="S55" s="187">
        <f t="shared" si="8"/>
        <v>0</v>
      </c>
    </row>
    <row r="56" spans="1:19" ht="45.75" customHeight="1">
      <c r="A56" s="26">
        <v>110</v>
      </c>
      <c r="B56" s="27" t="s">
        <v>73</v>
      </c>
      <c r="C56" s="28" t="s">
        <v>315</v>
      </c>
      <c r="D56" s="27" t="s">
        <v>316</v>
      </c>
      <c r="E56" s="182">
        <v>96</v>
      </c>
      <c r="F56" s="183">
        <f>IFERROR(VLOOKUP(B56,'PEDIDO JULIO'!$B$10:$AG$200,32,0),"0")</f>
        <v>519</v>
      </c>
      <c r="G56" s="184">
        <f t="shared" si="9"/>
        <v>423</v>
      </c>
      <c r="H56" s="185">
        <f t="shared" si="0"/>
        <v>105.75</v>
      </c>
      <c r="I56" s="184">
        <f t="shared" si="1"/>
        <v>105.75</v>
      </c>
      <c r="J56" s="200">
        <f t="shared" si="2"/>
        <v>413.25</v>
      </c>
      <c r="K56" s="180">
        <f>VLOOKUP(B56,[6]Z21!$B$2:$M$418,12,0)</f>
        <v>1602.7750000000001</v>
      </c>
      <c r="L56" s="187">
        <f t="shared" si="3"/>
        <v>662346.76875000005</v>
      </c>
      <c r="M56" s="180">
        <f t="shared" si="4"/>
        <v>160.27750000000003</v>
      </c>
      <c r="N56" s="187">
        <f t="shared" si="5"/>
        <v>1442.4974999999999</v>
      </c>
      <c r="O56" s="188">
        <f t="shared" si="10"/>
        <v>596112.09187499993</v>
      </c>
      <c r="P56" s="200">
        <f t="shared" si="6"/>
        <v>105.75</v>
      </c>
      <c r="Q56" s="180">
        <f>VLOOKUP(B56,[6]Z21!$B$2:$O$418,14,0)</f>
        <v>470.84799999999996</v>
      </c>
      <c r="R56" s="186">
        <f t="shared" si="7"/>
        <v>49792.175999999992</v>
      </c>
      <c r="S56" s="187">
        <f t="shared" si="8"/>
        <v>645904.2678749999</v>
      </c>
    </row>
    <row r="57" spans="1:19" ht="45.75" customHeight="1">
      <c r="A57" s="26">
        <v>118</v>
      </c>
      <c r="B57" s="27" t="s">
        <v>74</v>
      </c>
      <c r="C57" s="28" t="s">
        <v>317</v>
      </c>
      <c r="D57" s="27" t="s">
        <v>316</v>
      </c>
      <c r="E57" s="182">
        <v>96</v>
      </c>
      <c r="F57" s="183">
        <f>IFERROR(VLOOKUP(B57,'PEDIDO JULIO'!$B$10:$AG$200,32,0),"0")</f>
        <v>200</v>
      </c>
      <c r="G57" s="184">
        <f t="shared" si="9"/>
        <v>104</v>
      </c>
      <c r="H57" s="185">
        <f t="shared" si="0"/>
        <v>26</v>
      </c>
      <c r="I57" s="184">
        <f t="shared" si="1"/>
        <v>26</v>
      </c>
      <c r="J57" s="200">
        <f t="shared" si="2"/>
        <v>174</v>
      </c>
      <c r="K57" s="180">
        <f>VLOOKUP(B57,[6]Z21!$B$2:$M$418,12,0)</f>
        <v>4588.6660000000002</v>
      </c>
      <c r="L57" s="187">
        <f t="shared" si="3"/>
        <v>798427.88400000008</v>
      </c>
      <c r="M57" s="180">
        <f t="shared" si="4"/>
        <v>458.86660000000006</v>
      </c>
      <c r="N57" s="187">
        <f t="shared" si="5"/>
        <v>4129.7993999999999</v>
      </c>
      <c r="O57" s="188">
        <f t="shared" si="10"/>
        <v>718585.0956</v>
      </c>
      <c r="P57" s="200">
        <f t="shared" si="6"/>
        <v>26</v>
      </c>
      <c r="Q57" s="180">
        <f>VLOOKUP(B57,[6]Z21!$B$2:$O$418,14,0)</f>
        <v>2455.136</v>
      </c>
      <c r="R57" s="186">
        <f t="shared" si="7"/>
        <v>63833.536</v>
      </c>
      <c r="S57" s="187">
        <f t="shared" si="8"/>
        <v>782418.63159999996</v>
      </c>
    </row>
    <row r="58" spans="1:19" ht="45.75" customHeight="1">
      <c r="A58" s="26">
        <v>119</v>
      </c>
      <c r="B58" s="27" t="s">
        <v>75</v>
      </c>
      <c r="C58" s="28" t="s">
        <v>318</v>
      </c>
      <c r="D58" s="27" t="s">
        <v>316</v>
      </c>
      <c r="E58" s="182">
        <v>96</v>
      </c>
      <c r="F58" s="183" t="str">
        <f>IFERROR(VLOOKUP(B58,'PEDIDO JULIO'!$B$10:$AG$200,32,0),"0")</f>
        <v>0</v>
      </c>
      <c r="G58" s="184">
        <f t="shared" si="9"/>
        <v>-96</v>
      </c>
      <c r="H58" s="185">
        <f t="shared" si="0"/>
        <v>-24</v>
      </c>
      <c r="I58" s="184">
        <f t="shared" si="1"/>
        <v>0</v>
      </c>
      <c r="J58" s="200">
        <f t="shared" si="2"/>
        <v>0</v>
      </c>
      <c r="K58" s="180">
        <f>VLOOKUP(B58,[6]Z21!$B$2:$M$418,12,0)</f>
        <v>4732.6530000000002</v>
      </c>
      <c r="L58" s="187">
        <f t="shared" si="3"/>
        <v>0</v>
      </c>
      <c r="M58" s="180">
        <f t="shared" si="4"/>
        <v>473.26530000000002</v>
      </c>
      <c r="N58" s="187">
        <f t="shared" si="5"/>
        <v>4259.3877000000002</v>
      </c>
      <c r="O58" s="188">
        <f t="shared" si="10"/>
        <v>0</v>
      </c>
      <c r="P58" s="200">
        <f t="shared" si="6"/>
        <v>0</v>
      </c>
      <c r="Q58" s="180">
        <f>VLOOKUP(B58,[6]Z21!$B$2:$O$418,14,0)</f>
        <v>2821.9350000000004</v>
      </c>
      <c r="R58" s="186">
        <f t="shared" si="7"/>
        <v>0</v>
      </c>
      <c r="S58" s="187">
        <f t="shared" si="8"/>
        <v>0</v>
      </c>
    </row>
    <row r="59" spans="1:19" ht="45.75" customHeight="1">
      <c r="A59" s="26">
        <v>120</v>
      </c>
      <c r="B59" s="27" t="s">
        <v>76</v>
      </c>
      <c r="C59" s="28" t="s">
        <v>319</v>
      </c>
      <c r="D59" s="27" t="s">
        <v>316</v>
      </c>
      <c r="E59" s="182">
        <v>96</v>
      </c>
      <c r="F59" s="183" t="str">
        <f>IFERROR(VLOOKUP(B59,'PEDIDO JULIO'!$B$10:$AG$200,32,0),"0")</f>
        <v>0</v>
      </c>
      <c r="G59" s="184">
        <f t="shared" si="9"/>
        <v>-96</v>
      </c>
      <c r="H59" s="185">
        <f t="shared" si="0"/>
        <v>-24</v>
      </c>
      <c r="I59" s="184">
        <f t="shared" si="1"/>
        <v>0</v>
      </c>
      <c r="J59" s="200">
        <f t="shared" si="2"/>
        <v>0</v>
      </c>
      <c r="K59" s="180">
        <f>VLOOKUP(B59,[6]Z21!$B$2:$M$418,12,0)</f>
        <v>4732.6530000000002</v>
      </c>
      <c r="L59" s="187">
        <f t="shared" si="3"/>
        <v>0</v>
      </c>
      <c r="M59" s="180">
        <f t="shared" si="4"/>
        <v>473.26530000000002</v>
      </c>
      <c r="N59" s="187">
        <f t="shared" si="5"/>
        <v>4259.3877000000002</v>
      </c>
      <c r="O59" s="188">
        <f t="shared" si="10"/>
        <v>0</v>
      </c>
      <c r="P59" s="200">
        <f t="shared" si="6"/>
        <v>0</v>
      </c>
      <c r="Q59" s="180">
        <f>VLOOKUP(B59,[6]Z21!$B$2:$O$418,14,0)</f>
        <v>2821.9350000000004</v>
      </c>
      <c r="R59" s="186">
        <f t="shared" si="7"/>
        <v>0</v>
      </c>
      <c r="S59" s="187">
        <f t="shared" si="8"/>
        <v>0</v>
      </c>
    </row>
    <row r="60" spans="1:19" ht="45.75" customHeight="1">
      <c r="A60" s="26">
        <v>122</v>
      </c>
      <c r="B60" s="27" t="s">
        <v>77</v>
      </c>
      <c r="C60" s="28" t="s">
        <v>320</v>
      </c>
      <c r="D60" s="27" t="s">
        <v>316</v>
      </c>
      <c r="E60" s="182">
        <v>96</v>
      </c>
      <c r="F60" s="183" t="str">
        <f>IFERROR(VLOOKUP(B60,'PEDIDO JULIO'!$B$10:$AG$200,32,0),"0")</f>
        <v>0</v>
      </c>
      <c r="G60" s="184">
        <f t="shared" si="9"/>
        <v>-96</v>
      </c>
      <c r="H60" s="185">
        <f t="shared" si="0"/>
        <v>-24</v>
      </c>
      <c r="I60" s="184">
        <f t="shared" si="1"/>
        <v>0</v>
      </c>
      <c r="J60" s="200">
        <f t="shared" si="2"/>
        <v>0</v>
      </c>
      <c r="K60" s="180">
        <f>VLOOKUP(B60,[6]Z21!$B$2:$M$418,12,0)</f>
        <v>6578.2089999999998</v>
      </c>
      <c r="L60" s="187">
        <f t="shared" si="3"/>
        <v>0</v>
      </c>
      <c r="M60" s="180">
        <f t="shared" si="4"/>
        <v>657.82090000000005</v>
      </c>
      <c r="N60" s="187">
        <f t="shared" si="5"/>
        <v>5920.3881000000001</v>
      </c>
      <c r="O60" s="188">
        <f t="shared" si="10"/>
        <v>0</v>
      </c>
      <c r="P60" s="200">
        <f t="shared" si="6"/>
        <v>0</v>
      </c>
      <c r="Q60" s="180">
        <f>VLOOKUP(B60,[6]Z21!$B$2:$O$418,14,0)</f>
        <v>5223.4699999999993</v>
      </c>
      <c r="R60" s="186">
        <f t="shared" si="7"/>
        <v>0</v>
      </c>
      <c r="S60" s="187">
        <f t="shared" si="8"/>
        <v>0</v>
      </c>
    </row>
    <row r="61" spans="1:19" ht="45.75" customHeight="1">
      <c r="A61" s="26">
        <v>123</v>
      </c>
      <c r="B61" s="27" t="s">
        <v>78</v>
      </c>
      <c r="C61" s="28" t="s">
        <v>321</v>
      </c>
      <c r="D61" s="27" t="s">
        <v>316</v>
      </c>
      <c r="E61" s="182">
        <v>97</v>
      </c>
      <c r="F61" s="183" t="str">
        <f>IFERROR(VLOOKUP(B61,'PEDIDO JULIO'!$B$10:$AG$200,32,0),"0")</f>
        <v>0</v>
      </c>
      <c r="G61" s="184">
        <f t="shared" si="9"/>
        <v>-97</v>
      </c>
      <c r="H61" s="185">
        <f t="shared" si="0"/>
        <v>-24.25</v>
      </c>
      <c r="I61" s="184">
        <f t="shared" si="1"/>
        <v>0</v>
      </c>
      <c r="J61" s="200">
        <f t="shared" si="2"/>
        <v>0</v>
      </c>
      <c r="K61" s="180">
        <f>VLOOKUP(B61,[6]Z21!$B$2:$M$418,12,0)</f>
        <v>6854.6220000000003</v>
      </c>
      <c r="L61" s="187">
        <f t="shared" si="3"/>
        <v>0</v>
      </c>
      <c r="M61" s="180">
        <f t="shared" si="4"/>
        <v>685.46220000000005</v>
      </c>
      <c r="N61" s="187">
        <f t="shared" si="5"/>
        <v>6169.1598000000004</v>
      </c>
      <c r="O61" s="188">
        <f t="shared" si="10"/>
        <v>0</v>
      </c>
      <c r="P61" s="200">
        <f t="shared" si="6"/>
        <v>0</v>
      </c>
      <c r="Q61" s="180">
        <f>VLOOKUP(B61,[6]Z21!$B$2:$O$418,14,0)</f>
        <v>5765.7860000000001</v>
      </c>
      <c r="R61" s="186">
        <f t="shared" si="7"/>
        <v>0</v>
      </c>
      <c r="S61" s="187">
        <f t="shared" si="8"/>
        <v>0</v>
      </c>
    </row>
    <row r="62" spans="1:19" ht="45.75" customHeight="1">
      <c r="A62" s="26">
        <v>124</v>
      </c>
      <c r="B62" s="27" t="s">
        <v>79</v>
      </c>
      <c r="C62" s="28" t="s">
        <v>322</v>
      </c>
      <c r="D62" s="27" t="s">
        <v>316</v>
      </c>
      <c r="E62" s="182">
        <v>96</v>
      </c>
      <c r="F62" s="183" t="str">
        <f>IFERROR(VLOOKUP(B62,'PEDIDO JULIO'!$B$10:$AG$200,32,0),"0")</f>
        <v>0</v>
      </c>
      <c r="G62" s="184">
        <f t="shared" si="9"/>
        <v>-96</v>
      </c>
      <c r="H62" s="185">
        <f t="shared" si="0"/>
        <v>-24</v>
      </c>
      <c r="I62" s="184">
        <f t="shared" si="1"/>
        <v>0</v>
      </c>
      <c r="J62" s="200">
        <f t="shared" si="2"/>
        <v>0</v>
      </c>
      <c r="K62" s="180">
        <f>VLOOKUP(B62,[6]Z21!$B$2:$M$418,12,0)</f>
        <v>6854.6220000000003</v>
      </c>
      <c r="L62" s="187">
        <f t="shared" si="3"/>
        <v>0</v>
      </c>
      <c r="M62" s="180">
        <f t="shared" si="4"/>
        <v>685.46220000000005</v>
      </c>
      <c r="N62" s="187">
        <f t="shared" si="5"/>
        <v>6169.1598000000004</v>
      </c>
      <c r="O62" s="188">
        <f t="shared" si="10"/>
        <v>0</v>
      </c>
      <c r="P62" s="200">
        <f t="shared" si="6"/>
        <v>0</v>
      </c>
      <c r="Q62" s="180">
        <f>VLOOKUP(B62,[6]Z21!$B$2:$O$418,14,0)</f>
        <v>5765.7860000000001</v>
      </c>
      <c r="R62" s="186">
        <f t="shared" si="7"/>
        <v>0</v>
      </c>
      <c r="S62" s="187">
        <f t="shared" si="8"/>
        <v>0</v>
      </c>
    </row>
    <row r="63" spans="1:19" ht="45.75" customHeight="1">
      <c r="A63" s="26">
        <v>126</v>
      </c>
      <c r="B63" s="27" t="s">
        <v>80</v>
      </c>
      <c r="C63" s="28" t="s">
        <v>675</v>
      </c>
      <c r="D63" s="27" t="s">
        <v>676</v>
      </c>
      <c r="E63" s="182">
        <v>26</v>
      </c>
      <c r="F63" s="183" t="str">
        <f>IFERROR(VLOOKUP(B63,'PEDIDO JULIO'!$B$10:$AG$200,32,0),"0")</f>
        <v>0</v>
      </c>
      <c r="G63" s="184">
        <f t="shared" si="9"/>
        <v>-26</v>
      </c>
      <c r="H63" s="185">
        <f t="shared" si="0"/>
        <v>-6.5</v>
      </c>
      <c r="I63" s="184">
        <f t="shared" si="1"/>
        <v>0</v>
      </c>
      <c r="J63" s="200">
        <f t="shared" si="2"/>
        <v>0</v>
      </c>
      <c r="K63" s="180">
        <f>VLOOKUP(B63,[6]Z21!$B$2:$M$418,12,0)</f>
        <v>4941.8019999999997</v>
      </c>
      <c r="L63" s="187">
        <f t="shared" si="3"/>
        <v>0</v>
      </c>
      <c r="M63" s="180">
        <f t="shared" si="4"/>
        <v>494.18020000000001</v>
      </c>
      <c r="N63" s="187">
        <f t="shared" si="5"/>
        <v>4447.6217999999999</v>
      </c>
      <c r="O63" s="188">
        <f t="shared" si="10"/>
        <v>0</v>
      </c>
      <c r="P63" s="200">
        <f t="shared" si="6"/>
        <v>0</v>
      </c>
      <c r="Q63" s="180">
        <f>VLOOKUP(B63,[6]Z21!$B$2:$O$418,14,0)</f>
        <v>3316.9560000000001</v>
      </c>
      <c r="R63" s="186">
        <f t="shared" si="7"/>
        <v>0</v>
      </c>
      <c r="S63" s="187">
        <f t="shared" si="8"/>
        <v>0</v>
      </c>
    </row>
    <row r="64" spans="1:19" ht="45.75" customHeight="1">
      <c r="A64" s="26">
        <v>127</v>
      </c>
      <c r="B64" s="27" t="s">
        <v>81</v>
      </c>
      <c r="C64" s="28" t="s">
        <v>677</v>
      </c>
      <c r="D64" s="27" t="s">
        <v>676</v>
      </c>
      <c r="E64" s="182">
        <v>30</v>
      </c>
      <c r="F64" s="183" t="str">
        <f>IFERROR(VLOOKUP(B64,'PEDIDO JULIO'!$B$10:$AG$200,32,0),"0")</f>
        <v>0</v>
      </c>
      <c r="G64" s="184">
        <f t="shared" si="9"/>
        <v>-30</v>
      </c>
      <c r="H64" s="185">
        <f t="shared" si="0"/>
        <v>-7.5</v>
      </c>
      <c r="I64" s="184">
        <f t="shared" si="1"/>
        <v>0</v>
      </c>
      <c r="J64" s="200">
        <f t="shared" si="2"/>
        <v>0</v>
      </c>
      <c r="K64" s="180">
        <f>VLOOKUP(B64,[6]Z21!$B$2:$M$418,12,0)</f>
        <v>4919.7309999999998</v>
      </c>
      <c r="L64" s="187">
        <f t="shared" si="3"/>
        <v>0</v>
      </c>
      <c r="M64" s="180">
        <f t="shared" si="4"/>
        <v>491.97309999999999</v>
      </c>
      <c r="N64" s="187">
        <f t="shared" si="5"/>
        <v>4427.7578999999996</v>
      </c>
      <c r="O64" s="188">
        <f t="shared" si="10"/>
        <v>0</v>
      </c>
      <c r="P64" s="200">
        <f t="shared" si="6"/>
        <v>0</v>
      </c>
      <c r="Q64" s="180">
        <f>VLOOKUP(B64,[6]Z21!$B$2:$O$418,14,0)</f>
        <v>3316.9560000000001</v>
      </c>
      <c r="R64" s="186">
        <f t="shared" si="7"/>
        <v>0</v>
      </c>
      <c r="S64" s="187">
        <f t="shared" si="8"/>
        <v>0</v>
      </c>
    </row>
    <row r="65" spans="1:19" ht="45.75" customHeight="1">
      <c r="A65" s="26">
        <v>129</v>
      </c>
      <c r="B65" s="27" t="s">
        <v>82</v>
      </c>
      <c r="C65" s="28" t="s">
        <v>678</v>
      </c>
      <c r="D65" s="27" t="s">
        <v>676</v>
      </c>
      <c r="E65" s="182">
        <v>30</v>
      </c>
      <c r="F65" s="183" t="str">
        <f>IFERROR(VLOOKUP(B65,'PEDIDO JULIO'!$B$10:$AG$200,32,0),"0")</f>
        <v>0</v>
      </c>
      <c r="G65" s="184">
        <f t="shared" si="9"/>
        <v>-30</v>
      </c>
      <c r="H65" s="185">
        <f t="shared" si="0"/>
        <v>-7.5</v>
      </c>
      <c r="I65" s="184">
        <f t="shared" si="1"/>
        <v>0</v>
      </c>
      <c r="J65" s="200">
        <f t="shared" si="2"/>
        <v>0</v>
      </c>
      <c r="K65" s="180">
        <f>VLOOKUP(B65,[6]Z21!$B$2:$M$418,12,0)</f>
        <v>5804.6729999999998</v>
      </c>
      <c r="L65" s="187">
        <f t="shared" si="3"/>
        <v>0</v>
      </c>
      <c r="M65" s="180">
        <f t="shared" si="4"/>
        <v>580.46730000000002</v>
      </c>
      <c r="N65" s="187">
        <f t="shared" si="5"/>
        <v>5224.2056999999995</v>
      </c>
      <c r="O65" s="188">
        <f t="shared" si="10"/>
        <v>0</v>
      </c>
      <c r="P65" s="200">
        <f t="shared" si="6"/>
        <v>0</v>
      </c>
      <c r="Q65" s="180">
        <f>VLOOKUP(B65,[6]Z21!$B$2:$O$418,14,0)</f>
        <v>3787.8040000000001</v>
      </c>
      <c r="R65" s="186">
        <f t="shared" si="7"/>
        <v>0</v>
      </c>
      <c r="S65" s="187">
        <f t="shared" si="8"/>
        <v>0</v>
      </c>
    </row>
    <row r="66" spans="1:19" ht="45.75" customHeight="1">
      <c r="A66" s="31">
        <v>131</v>
      </c>
      <c r="B66" s="32" t="s">
        <v>83</v>
      </c>
      <c r="C66" s="189" t="s">
        <v>679</v>
      </c>
      <c r="D66" s="32" t="s">
        <v>680</v>
      </c>
      <c r="E66" s="182">
        <v>5</v>
      </c>
      <c r="F66" s="183" t="str">
        <f>IFERROR(VLOOKUP(B66,'PEDIDO JULIO'!$B$10:$AG$200,32,0),"0")</f>
        <v>0</v>
      </c>
      <c r="G66" s="184">
        <f t="shared" si="9"/>
        <v>-5</v>
      </c>
      <c r="H66" s="185">
        <f t="shared" si="0"/>
        <v>-1.25</v>
      </c>
      <c r="I66" s="184">
        <f t="shared" si="1"/>
        <v>0</v>
      </c>
      <c r="J66" s="200">
        <f t="shared" si="2"/>
        <v>0</v>
      </c>
      <c r="K66" s="180">
        <f>VLOOKUP(B66,[6]Z21!$B$2:$M$418,12,0)</f>
        <v>24434.699000000001</v>
      </c>
      <c r="L66" s="187">
        <f t="shared" si="3"/>
        <v>0</v>
      </c>
      <c r="M66" s="180">
        <f t="shared" si="4"/>
        <v>2443.4699000000001</v>
      </c>
      <c r="N66" s="187">
        <f t="shared" si="5"/>
        <v>21991.2291</v>
      </c>
      <c r="O66" s="188">
        <f t="shared" si="10"/>
        <v>0</v>
      </c>
      <c r="P66" s="200">
        <f t="shared" si="6"/>
        <v>0</v>
      </c>
      <c r="Q66" s="180">
        <f>VLOOKUP(B66,[6]Z21!$B$2:$O$418,14,0)</f>
        <v>0</v>
      </c>
      <c r="R66" s="186">
        <f t="shared" si="7"/>
        <v>0</v>
      </c>
      <c r="S66" s="187">
        <f t="shared" si="8"/>
        <v>0</v>
      </c>
    </row>
    <row r="67" spans="1:19" ht="45.75" customHeight="1">
      <c r="A67" s="31">
        <v>132</v>
      </c>
      <c r="B67" s="32" t="s">
        <v>84</v>
      </c>
      <c r="C67" s="189" t="s">
        <v>681</v>
      </c>
      <c r="D67" s="32" t="s">
        <v>676</v>
      </c>
      <c r="E67" s="182">
        <v>7</v>
      </c>
      <c r="F67" s="183" t="str">
        <f>IFERROR(VLOOKUP(B67,'PEDIDO JULIO'!$B$10:$AG$200,32,0),"0")</f>
        <v>0</v>
      </c>
      <c r="G67" s="184">
        <f t="shared" si="9"/>
        <v>-7</v>
      </c>
      <c r="H67" s="185">
        <f t="shared" si="0"/>
        <v>-1.75</v>
      </c>
      <c r="I67" s="184">
        <f t="shared" si="1"/>
        <v>0</v>
      </c>
      <c r="J67" s="200">
        <f t="shared" si="2"/>
        <v>0</v>
      </c>
      <c r="K67" s="180">
        <f>VLOOKUP(B67,[6]Z21!$B$2:$M$418,12,0)</f>
        <v>10559.397000000001</v>
      </c>
      <c r="L67" s="187">
        <f t="shared" si="3"/>
        <v>0</v>
      </c>
      <c r="M67" s="180">
        <f t="shared" si="4"/>
        <v>1055.9397000000001</v>
      </c>
      <c r="N67" s="187">
        <f t="shared" si="5"/>
        <v>9503.4573</v>
      </c>
      <c r="O67" s="188">
        <f t="shared" si="10"/>
        <v>0</v>
      </c>
      <c r="P67" s="200">
        <f t="shared" si="6"/>
        <v>0</v>
      </c>
      <c r="Q67" s="180">
        <f>VLOOKUP(B67,[6]Z21!$B$2:$O$418,14,0)</f>
        <v>0</v>
      </c>
      <c r="R67" s="186">
        <f t="shared" si="7"/>
        <v>0</v>
      </c>
      <c r="S67" s="187">
        <f t="shared" si="8"/>
        <v>0</v>
      </c>
    </row>
    <row r="68" spans="1:19" ht="45.75" customHeight="1">
      <c r="A68" s="31">
        <v>134</v>
      </c>
      <c r="B68" s="32" t="s">
        <v>85</v>
      </c>
      <c r="C68" s="189" t="s">
        <v>682</v>
      </c>
      <c r="D68" s="32" t="s">
        <v>676</v>
      </c>
      <c r="E68" s="182">
        <v>34</v>
      </c>
      <c r="F68" s="183" t="str">
        <f>IFERROR(VLOOKUP(B68,'PEDIDO JULIO'!$B$10:$AG$200,32,0),"0")</f>
        <v>0</v>
      </c>
      <c r="G68" s="184">
        <f t="shared" si="9"/>
        <v>-34</v>
      </c>
      <c r="H68" s="185">
        <f t="shared" ref="H68:H106" si="11">IF(F68&gt;E68,G68*$H$2,0)</f>
        <v>-8.5</v>
      </c>
      <c r="I68" s="184">
        <f t="shared" ref="I68:I107" si="12">IF(H68&lt;=0,0,H68)</f>
        <v>0</v>
      </c>
      <c r="J68" s="200">
        <f t="shared" ref="J68:J106" si="13">IF(I68&lt;=0,0,F68-I68)</f>
        <v>0</v>
      </c>
      <c r="K68" s="180">
        <f>VLOOKUP(B68,[6]Z21!$B$2:$M$418,12,0)</f>
        <v>5085.7889999999998</v>
      </c>
      <c r="L68" s="187">
        <f t="shared" ref="L68:L105" si="14">J68*K68</f>
        <v>0</v>
      </c>
      <c r="M68" s="180">
        <f t="shared" ref="M68:M106" si="15">K68*10%</f>
        <v>508.57889999999998</v>
      </c>
      <c r="N68" s="187">
        <f t="shared" ref="N68:N106" si="16">K68-M68</f>
        <v>4577.2101000000002</v>
      </c>
      <c r="O68" s="188">
        <f t="shared" si="10"/>
        <v>0</v>
      </c>
      <c r="P68" s="200">
        <f t="shared" ref="P68:P106" si="17">F68-J68</f>
        <v>0</v>
      </c>
      <c r="Q68" s="180">
        <f>VLOOKUP(B68,[6]Z21!$B$2:$O$418,14,0)</f>
        <v>0</v>
      </c>
      <c r="R68" s="186">
        <f t="shared" ref="R68:R106" si="18">Q68*P68</f>
        <v>0</v>
      </c>
      <c r="S68" s="187">
        <f t="shared" ref="S68:S106" si="19">R68+O68</f>
        <v>0</v>
      </c>
    </row>
    <row r="69" spans="1:19" ht="45.75" customHeight="1">
      <c r="A69" s="26">
        <v>135</v>
      </c>
      <c r="B69" s="27" t="s">
        <v>86</v>
      </c>
      <c r="C69" s="30" t="s">
        <v>683</v>
      </c>
      <c r="D69" s="27" t="s">
        <v>684</v>
      </c>
      <c r="E69" s="182">
        <v>6</v>
      </c>
      <c r="F69" s="183">
        <f>IFERROR(VLOOKUP(B69,'PEDIDO JULIO'!$B$10:$AG$200,32,0),"0")</f>
        <v>9</v>
      </c>
      <c r="G69" s="184">
        <f t="shared" ref="G69:G106" si="20">F69-E69</f>
        <v>3</v>
      </c>
      <c r="H69" s="185">
        <f t="shared" si="11"/>
        <v>0.75</v>
      </c>
      <c r="I69" s="184">
        <f t="shared" si="12"/>
        <v>0.75</v>
      </c>
      <c r="J69" s="200">
        <f t="shared" si="13"/>
        <v>8.25</v>
      </c>
      <c r="K69" s="180">
        <f>VLOOKUP(B69,[6]Z21!$B$2:$M$418,12,0)</f>
        <v>19128.2</v>
      </c>
      <c r="L69" s="187">
        <f t="shared" si="14"/>
        <v>157807.65</v>
      </c>
      <c r="M69" s="180">
        <f t="shared" si="15"/>
        <v>1912.8200000000002</v>
      </c>
      <c r="N69" s="187">
        <f t="shared" si="16"/>
        <v>17215.38</v>
      </c>
      <c r="O69" s="188">
        <f t="shared" ref="O69:O106" si="21">N69*J69</f>
        <v>142026.88500000001</v>
      </c>
      <c r="P69" s="200">
        <f t="shared" si="17"/>
        <v>0.75</v>
      </c>
      <c r="Q69" s="180">
        <f>VLOOKUP(B69,[6]Z21!$B$2:$O$418,14,0)</f>
        <v>6229.277</v>
      </c>
      <c r="R69" s="186">
        <f t="shared" si="18"/>
        <v>4671.9577499999996</v>
      </c>
      <c r="S69" s="187">
        <f t="shared" si="19"/>
        <v>146698.84275000001</v>
      </c>
    </row>
    <row r="70" spans="1:19" ht="45.75" customHeight="1">
      <c r="A70" s="26">
        <v>137</v>
      </c>
      <c r="B70" s="27" t="s">
        <v>88</v>
      </c>
      <c r="C70" s="30" t="s">
        <v>323</v>
      </c>
      <c r="D70" s="27" t="s">
        <v>324</v>
      </c>
      <c r="E70" s="182">
        <v>10</v>
      </c>
      <c r="F70" s="183" t="str">
        <f>IFERROR(VLOOKUP(B70,'PEDIDO JULIO'!$B$10:$AG$200,32,0),"0")</f>
        <v>0</v>
      </c>
      <c r="G70" s="184">
        <f t="shared" si="20"/>
        <v>-10</v>
      </c>
      <c r="H70" s="185">
        <f t="shared" si="11"/>
        <v>-2.5</v>
      </c>
      <c r="I70" s="184">
        <f t="shared" si="12"/>
        <v>0</v>
      </c>
      <c r="J70" s="200">
        <f t="shared" si="13"/>
        <v>0</v>
      </c>
      <c r="K70" s="180">
        <f>VLOOKUP(B70,[6]Z21!$B$2:$M$418,12,0)</f>
        <v>1714.181</v>
      </c>
      <c r="L70" s="187">
        <f t="shared" si="14"/>
        <v>0</v>
      </c>
      <c r="M70" s="180">
        <f t="shared" si="15"/>
        <v>171.41810000000001</v>
      </c>
      <c r="N70" s="187">
        <f t="shared" si="16"/>
        <v>1542.7628999999999</v>
      </c>
      <c r="O70" s="188">
        <f t="shared" si="21"/>
        <v>0</v>
      </c>
      <c r="P70" s="200">
        <f t="shared" si="17"/>
        <v>0</v>
      </c>
      <c r="Q70" s="180">
        <f>VLOOKUP(B70,[6]Z21!$B$2:$O$418,14,0)</f>
        <v>1245.4349999999999</v>
      </c>
      <c r="R70" s="186">
        <f t="shared" si="18"/>
        <v>0</v>
      </c>
      <c r="S70" s="187">
        <f t="shared" si="19"/>
        <v>0</v>
      </c>
    </row>
    <row r="71" spans="1:19" ht="45.75" customHeight="1">
      <c r="A71" s="26">
        <v>139</v>
      </c>
      <c r="B71" s="27" t="s">
        <v>89</v>
      </c>
      <c r="C71" s="28" t="s">
        <v>325</v>
      </c>
      <c r="D71" s="27" t="s">
        <v>326</v>
      </c>
      <c r="E71" s="182">
        <v>71</v>
      </c>
      <c r="F71" s="183">
        <f>IFERROR(VLOOKUP(B71,'PEDIDO JULIO'!$B$10:$AG$200,32,0),"0")</f>
        <v>6</v>
      </c>
      <c r="G71" s="184">
        <f t="shared" si="20"/>
        <v>-65</v>
      </c>
      <c r="H71" s="185">
        <f t="shared" si="11"/>
        <v>0</v>
      </c>
      <c r="I71" s="184">
        <f t="shared" si="12"/>
        <v>0</v>
      </c>
      <c r="J71" s="200">
        <f t="shared" si="13"/>
        <v>0</v>
      </c>
      <c r="K71" s="180">
        <f>VLOOKUP(B71,[6]Z21!$B$2:$M$418,12,0)</f>
        <v>56941.078000000001</v>
      </c>
      <c r="L71" s="187">
        <f t="shared" si="14"/>
        <v>0</v>
      </c>
      <c r="M71" s="180">
        <f t="shared" si="15"/>
        <v>5694.1078000000007</v>
      </c>
      <c r="N71" s="187">
        <f t="shared" si="16"/>
        <v>51246.970200000003</v>
      </c>
      <c r="O71" s="188">
        <f t="shared" si="21"/>
        <v>0</v>
      </c>
      <c r="P71" s="200">
        <f t="shared" si="17"/>
        <v>6</v>
      </c>
      <c r="Q71" s="180">
        <f>VLOOKUP(B71,[6]Z21!$B$2:$O$418,14,0)</f>
        <v>25429.996000000003</v>
      </c>
      <c r="R71" s="186">
        <f t="shared" si="18"/>
        <v>152579.97600000002</v>
      </c>
      <c r="S71" s="187">
        <f t="shared" si="19"/>
        <v>152579.97600000002</v>
      </c>
    </row>
    <row r="72" spans="1:19" ht="45.75" customHeight="1">
      <c r="A72" s="26">
        <v>151</v>
      </c>
      <c r="B72" s="27" t="s">
        <v>91</v>
      </c>
      <c r="C72" s="28" t="s">
        <v>327</v>
      </c>
      <c r="D72" s="27" t="s">
        <v>298</v>
      </c>
      <c r="E72" s="182">
        <v>310</v>
      </c>
      <c r="F72" s="183">
        <f>IFERROR(VLOOKUP(B72,'PEDIDO JULIO'!$B$10:$AG$200,32,0),"0")</f>
        <v>3589</v>
      </c>
      <c r="G72" s="184">
        <f t="shared" si="20"/>
        <v>3279</v>
      </c>
      <c r="H72" s="185">
        <f t="shared" si="11"/>
        <v>819.75</v>
      </c>
      <c r="I72" s="184">
        <f t="shared" si="12"/>
        <v>819.75</v>
      </c>
      <c r="J72" s="274">
        <f t="shared" si="13"/>
        <v>2769.25</v>
      </c>
      <c r="K72" s="180">
        <f>VLOOKUP(B72,[6]Z21!$B$2:$M$418,12,0)</f>
        <v>8845.2160000000003</v>
      </c>
      <c r="L72" s="187">
        <f t="shared" si="14"/>
        <v>24494614.408</v>
      </c>
      <c r="M72" s="180">
        <f t="shared" si="15"/>
        <v>884.52160000000003</v>
      </c>
      <c r="N72" s="187">
        <f t="shared" si="16"/>
        <v>7960.6944000000003</v>
      </c>
      <c r="O72" s="188">
        <f t="shared" si="21"/>
        <v>22045152.9672</v>
      </c>
      <c r="P72" s="274">
        <f t="shared" si="17"/>
        <v>819.75</v>
      </c>
      <c r="Q72" s="180">
        <f>VLOOKUP(B72,[6]Z21!$B$2:$O$418,14,0)</f>
        <v>4422.6080000000002</v>
      </c>
      <c r="R72" s="186">
        <f t="shared" si="18"/>
        <v>3625432.9080000003</v>
      </c>
      <c r="S72" s="187">
        <f t="shared" si="19"/>
        <v>25670585.8752</v>
      </c>
    </row>
    <row r="73" spans="1:19" ht="45.75" customHeight="1">
      <c r="A73" s="31">
        <v>152</v>
      </c>
      <c r="B73" s="32" t="s">
        <v>92</v>
      </c>
      <c r="C73" s="189" t="s">
        <v>685</v>
      </c>
      <c r="D73" s="32" t="s">
        <v>298</v>
      </c>
      <c r="E73" s="182">
        <v>25</v>
      </c>
      <c r="F73" s="183" t="str">
        <f>IFERROR(VLOOKUP(B73,'PEDIDO JULIO'!$B$10:$AG$200,32,0),"0")</f>
        <v>0</v>
      </c>
      <c r="G73" s="184">
        <f t="shared" si="20"/>
        <v>-25</v>
      </c>
      <c r="H73" s="185">
        <f t="shared" si="11"/>
        <v>-6.25</v>
      </c>
      <c r="I73" s="184">
        <f t="shared" si="12"/>
        <v>0</v>
      </c>
      <c r="J73" s="200">
        <f t="shared" si="13"/>
        <v>0</v>
      </c>
      <c r="K73" s="180">
        <f>VLOOKUP(B73,[6]Z21!$B$2:$M$418,12,0)</f>
        <v>22002.685000000001</v>
      </c>
      <c r="L73" s="187">
        <f t="shared" si="14"/>
        <v>0</v>
      </c>
      <c r="M73" s="180">
        <f t="shared" si="15"/>
        <v>2200.2685000000001</v>
      </c>
      <c r="N73" s="187">
        <f t="shared" si="16"/>
        <v>19802.416499999999</v>
      </c>
      <c r="O73" s="188">
        <f t="shared" si="21"/>
        <v>0</v>
      </c>
      <c r="P73" s="200">
        <f t="shared" si="17"/>
        <v>0</v>
      </c>
      <c r="Q73" s="180">
        <f>VLOOKUP(B73,[6]Z21!$B$2:$O$418,14,0)</f>
        <v>0</v>
      </c>
      <c r="R73" s="186">
        <f t="shared" si="18"/>
        <v>0</v>
      </c>
      <c r="S73" s="187">
        <f t="shared" si="19"/>
        <v>0</v>
      </c>
    </row>
    <row r="74" spans="1:19" ht="45.75" customHeight="1">
      <c r="A74" s="31">
        <v>154</v>
      </c>
      <c r="B74" s="32" t="s">
        <v>94</v>
      </c>
      <c r="C74" s="189" t="s">
        <v>686</v>
      </c>
      <c r="D74" s="32" t="s">
        <v>684</v>
      </c>
      <c r="E74" s="182">
        <v>5</v>
      </c>
      <c r="F74" s="183" t="str">
        <f>IFERROR(VLOOKUP(B74,'PEDIDO JULIO'!$B$10:$AG$200,32,0),"0")</f>
        <v>0</v>
      </c>
      <c r="G74" s="184">
        <f t="shared" si="20"/>
        <v>-5</v>
      </c>
      <c r="H74" s="185">
        <f t="shared" si="11"/>
        <v>-1.25</v>
      </c>
      <c r="I74" s="184">
        <f t="shared" si="12"/>
        <v>0</v>
      </c>
      <c r="J74" s="200">
        <f t="shared" si="13"/>
        <v>0</v>
      </c>
      <c r="K74" s="180">
        <f>VLOOKUP(B74,[6]Z21!$B$2:$M$418,12,0)</f>
        <v>5561.8919999999998</v>
      </c>
      <c r="L74" s="187">
        <f t="shared" si="14"/>
        <v>0</v>
      </c>
      <c r="M74" s="180">
        <f t="shared" si="15"/>
        <v>556.18920000000003</v>
      </c>
      <c r="N74" s="187">
        <f t="shared" si="16"/>
        <v>5005.7028</v>
      </c>
      <c r="O74" s="188">
        <f t="shared" si="21"/>
        <v>0</v>
      </c>
      <c r="P74" s="200">
        <f t="shared" si="17"/>
        <v>0</v>
      </c>
      <c r="Q74" s="180">
        <f>VLOOKUP(B74,[6]Z21!$B$2:$O$418,14,0)</f>
        <v>0</v>
      </c>
      <c r="R74" s="186">
        <f t="shared" si="18"/>
        <v>0</v>
      </c>
      <c r="S74" s="187">
        <f t="shared" si="19"/>
        <v>0</v>
      </c>
    </row>
    <row r="75" spans="1:19" ht="45.75" customHeight="1">
      <c r="A75" s="26">
        <v>155</v>
      </c>
      <c r="B75" s="27" t="s">
        <v>95</v>
      </c>
      <c r="C75" s="28" t="s">
        <v>328</v>
      </c>
      <c r="D75" s="27" t="s">
        <v>329</v>
      </c>
      <c r="E75" s="182">
        <v>96</v>
      </c>
      <c r="F75" s="183">
        <f>IFERROR(VLOOKUP(B75,'PEDIDO JULIO'!$B$10:$AG$200,32,0),"0")</f>
        <v>130</v>
      </c>
      <c r="G75" s="184">
        <f t="shared" si="20"/>
        <v>34</v>
      </c>
      <c r="H75" s="185">
        <f t="shared" si="11"/>
        <v>8.5</v>
      </c>
      <c r="I75" s="184">
        <f t="shared" si="12"/>
        <v>8.5</v>
      </c>
      <c r="J75" s="200">
        <f t="shared" si="13"/>
        <v>121.5</v>
      </c>
      <c r="K75" s="180">
        <f>VLOOKUP(B75,[6]Z21!$B$2:$M$418,12,0)</f>
        <v>5561.8919999999998</v>
      </c>
      <c r="L75" s="187">
        <f t="shared" si="14"/>
        <v>675769.87800000003</v>
      </c>
      <c r="M75" s="180">
        <f t="shared" si="15"/>
        <v>556.18920000000003</v>
      </c>
      <c r="N75" s="187">
        <f t="shared" si="16"/>
        <v>5005.7028</v>
      </c>
      <c r="O75" s="188">
        <f t="shared" si="21"/>
        <v>608192.89020000002</v>
      </c>
      <c r="P75" s="200">
        <f t="shared" si="17"/>
        <v>8.5</v>
      </c>
      <c r="Q75" s="180">
        <f>VLOOKUP(B75,[6]Z21!$B$2:$O$418,14,0)</f>
        <v>3703.7239999999997</v>
      </c>
      <c r="R75" s="186">
        <f t="shared" si="18"/>
        <v>31481.653999999999</v>
      </c>
      <c r="S75" s="187">
        <f t="shared" si="19"/>
        <v>639674.5442</v>
      </c>
    </row>
    <row r="76" spans="1:19" ht="45.75" customHeight="1">
      <c r="A76" s="26">
        <v>156</v>
      </c>
      <c r="B76" s="27" t="s">
        <v>96</v>
      </c>
      <c r="C76" s="28" t="s">
        <v>330</v>
      </c>
      <c r="D76" s="27" t="s">
        <v>331</v>
      </c>
      <c r="E76" s="182">
        <v>70</v>
      </c>
      <c r="F76" s="183" t="str">
        <f>IFERROR(VLOOKUP(B76,'PEDIDO JULIO'!$B$10:$AG$200,32,0),"0")</f>
        <v>0</v>
      </c>
      <c r="G76" s="184">
        <f t="shared" si="20"/>
        <v>-70</v>
      </c>
      <c r="H76" s="185">
        <f t="shared" si="11"/>
        <v>-17.5</v>
      </c>
      <c r="I76" s="184">
        <f t="shared" si="12"/>
        <v>0</v>
      </c>
      <c r="J76" s="200">
        <f t="shared" si="13"/>
        <v>0</v>
      </c>
      <c r="K76" s="180">
        <f>VLOOKUP(B76,[6]Z21!$B$2:$M$418,12,0)</f>
        <v>8568.8029999999999</v>
      </c>
      <c r="L76" s="187">
        <f t="shared" si="14"/>
        <v>0</v>
      </c>
      <c r="M76" s="180">
        <f t="shared" si="15"/>
        <v>856.88030000000003</v>
      </c>
      <c r="N76" s="187">
        <f t="shared" si="16"/>
        <v>7711.9227000000001</v>
      </c>
      <c r="O76" s="188">
        <f t="shared" si="21"/>
        <v>0</v>
      </c>
      <c r="P76" s="200">
        <f t="shared" si="17"/>
        <v>0</v>
      </c>
      <c r="Q76" s="180">
        <f>VLOOKUP(B76,[6]Z21!$B$2:$O$418,14,0)</f>
        <v>4422.6080000000002</v>
      </c>
      <c r="R76" s="186">
        <f t="shared" si="18"/>
        <v>0</v>
      </c>
      <c r="S76" s="187">
        <f t="shared" si="19"/>
        <v>0</v>
      </c>
    </row>
    <row r="77" spans="1:19" ht="45.75" customHeight="1">
      <c r="A77" s="26">
        <v>157</v>
      </c>
      <c r="B77" s="27" t="s">
        <v>97</v>
      </c>
      <c r="C77" s="28" t="s">
        <v>332</v>
      </c>
      <c r="D77" s="27" t="s">
        <v>333</v>
      </c>
      <c r="E77" s="182">
        <v>96</v>
      </c>
      <c r="F77" s="183">
        <f>IFERROR(VLOOKUP(B77,'PEDIDO JULIO'!$B$10:$AG$200,32,0),"0")</f>
        <v>300</v>
      </c>
      <c r="G77" s="184">
        <f t="shared" si="20"/>
        <v>204</v>
      </c>
      <c r="H77" s="185">
        <f t="shared" si="11"/>
        <v>51</v>
      </c>
      <c r="I77" s="184">
        <f t="shared" si="12"/>
        <v>51</v>
      </c>
      <c r="J77" s="200">
        <f t="shared" si="13"/>
        <v>249</v>
      </c>
      <c r="K77" s="180">
        <f>VLOOKUP(B77,[6]Z21!$B$2:$M$418,12,0)</f>
        <v>9950.8680000000004</v>
      </c>
      <c r="L77" s="187">
        <f t="shared" si="14"/>
        <v>2477766.1320000002</v>
      </c>
      <c r="M77" s="180">
        <f t="shared" si="15"/>
        <v>995.08680000000004</v>
      </c>
      <c r="N77" s="187">
        <f t="shared" si="16"/>
        <v>8955.7812000000013</v>
      </c>
      <c r="O77" s="188">
        <f t="shared" si="21"/>
        <v>2229989.5188000002</v>
      </c>
      <c r="P77" s="200">
        <f t="shared" si="17"/>
        <v>51</v>
      </c>
      <c r="Q77" s="180">
        <f>VLOOKUP(B77,[6]Z21!$B$2:$O$418,14,0)</f>
        <v>5970.7309999999998</v>
      </c>
      <c r="R77" s="186">
        <f t="shared" si="18"/>
        <v>304507.28099999996</v>
      </c>
      <c r="S77" s="187">
        <f t="shared" si="19"/>
        <v>2534496.7998000002</v>
      </c>
    </row>
    <row r="78" spans="1:19" ht="45.75" customHeight="1">
      <c r="A78" s="31">
        <v>159</v>
      </c>
      <c r="B78" s="32" t="s">
        <v>98</v>
      </c>
      <c r="C78" s="189" t="s">
        <v>334</v>
      </c>
      <c r="D78" s="32" t="s">
        <v>335</v>
      </c>
      <c r="E78" s="182">
        <v>96</v>
      </c>
      <c r="F78" s="183" t="str">
        <f>IFERROR(VLOOKUP(B78,'PEDIDO JULIO'!$B$10:$AG$200,32,0),"0")</f>
        <v>0</v>
      </c>
      <c r="G78" s="184">
        <f t="shared" si="20"/>
        <v>-96</v>
      </c>
      <c r="H78" s="185">
        <f t="shared" si="11"/>
        <v>-24</v>
      </c>
      <c r="I78" s="184">
        <f t="shared" si="12"/>
        <v>0</v>
      </c>
      <c r="J78" s="200">
        <f t="shared" si="13"/>
        <v>0</v>
      </c>
      <c r="K78" s="180">
        <f>VLOOKUP(B78,[6]Z21!$B$2:$M$418,12,0)</f>
        <v>7463.1509999999998</v>
      </c>
      <c r="L78" s="187">
        <f t="shared" si="14"/>
        <v>0</v>
      </c>
      <c r="M78" s="180">
        <f t="shared" si="15"/>
        <v>746.31510000000003</v>
      </c>
      <c r="N78" s="187">
        <f t="shared" si="16"/>
        <v>6716.8359</v>
      </c>
      <c r="O78" s="188">
        <f t="shared" si="21"/>
        <v>0</v>
      </c>
      <c r="P78" s="200">
        <f t="shared" si="17"/>
        <v>0</v>
      </c>
      <c r="Q78" s="180">
        <f>VLOOKUP(B78,[6]Z21!$B$2:$O$418,14,0)</f>
        <v>0</v>
      </c>
      <c r="R78" s="186">
        <f t="shared" si="18"/>
        <v>0</v>
      </c>
      <c r="S78" s="187">
        <f t="shared" si="19"/>
        <v>0</v>
      </c>
    </row>
    <row r="79" spans="1:19" ht="45.75" customHeight="1">
      <c r="A79" s="26">
        <v>160</v>
      </c>
      <c r="B79" s="27" t="s">
        <v>99</v>
      </c>
      <c r="C79" s="28" t="s">
        <v>336</v>
      </c>
      <c r="D79" s="27" t="s">
        <v>337</v>
      </c>
      <c r="E79" s="182">
        <v>15</v>
      </c>
      <c r="F79" s="183" t="str">
        <f>IFERROR(VLOOKUP(B79,'PEDIDO JULIO'!$B$10:$AG$200,32,0),"0")</f>
        <v>0</v>
      </c>
      <c r="G79" s="184">
        <f t="shared" si="20"/>
        <v>-15</v>
      </c>
      <c r="H79" s="185">
        <f t="shared" si="11"/>
        <v>-3.75</v>
      </c>
      <c r="I79" s="184">
        <f t="shared" si="12"/>
        <v>0</v>
      </c>
      <c r="J79" s="200">
        <f t="shared" si="13"/>
        <v>0</v>
      </c>
      <c r="K79" s="180">
        <f>VLOOKUP(B79,[6]Z21!$B$2:$M$418,12,0)</f>
        <v>3372.6590000000001</v>
      </c>
      <c r="L79" s="187">
        <f t="shared" si="14"/>
        <v>0</v>
      </c>
      <c r="M79" s="180">
        <f t="shared" si="15"/>
        <v>337.26590000000004</v>
      </c>
      <c r="N79" s="187">
        <f t="shared" si="16"/>
        <v>3035.3931000000002</v>
      </c>
      <c r="O79" s="188">
        <f t="shared" si="21"/>
        <v>0</v>
      </c>
      <c r="P79" s="200">
        <f t="shared" si="17"/>
        <v>0</v>
      </c>
      <c r="Q79" s="180">
        <f>VLOOKUP(B79,[6]Z21!$B$2:$O$418,14,0)</f>
        <v>2276.4660000000003</v>
      </c>
      <c r="R79" s="186">
        <f t="shared" si="18"/>
        <v>0</v>
      </c>
      <c r="S79" s="187">
        <f t="shared" si="19"/>
        <v>0</v>
      </c>
    </row>
    <row r="80" spans="1:19" ht="45.75" customHeight="1">
      <c r="A80" s="26">
        <v>161</v>
      </c>
      <c r="B80" s="27" t="s">
        <v>100</v>
      </c>
      <c r="C80" s="28" t="s">
        <v>687</v>
      </c>
      <c r="D80" s="27" t="s">
        <v>298</v>
      </c>
      <c r="E80" s="182">
        <v>18</v>
      </c>
      <c r="F80" s="183" t="str">
        <f>IFERROR(VLOOKUP(B80,'PEDIDO JULIO'!$B$10:$AG$200,32,0),"0")</f>
        <v>0</v>
      </c>
      <c r="G80" s="184">
        <f t="shared" si="20"/>
        <v>-18</v>
      </c>
      <c r="H80" s="185">
        <f t="shared" si="11"/>
        <v>-4.5</v>
      </c>
      <c r="I80" s="184">
        <f t="shared" si="12"/>
        <v>0</v>
      </c>
      <c r="J80" s="200">
        <f t="shared" si="13"/>
        <v>0</v>
      </c>
      <c r="K80" s="180">
        <f>VLOOKUP(B80,[6]Z21!$B$2:$M$418,12,0)</f>
        <v>3703.7240000000002</v>
      </c>
      <c r="L80" s="187">
        <f t="shared" si="14"/>
        <v>0</v>
      </c>
      <c r="M80" s="180">
        <f t="shared" si="15"/>
        <v>370.37240000000003</v>
      </c>
      <c r="N80" s="187">
        <f t="shared" si="16"/>
        <v>3333.3516</v>
      </c>
      <c r="O80" s="188">
        <f t="shared" si="21"/>
        <v>0</v>
      </c>
      <c r="P80" s="200">
        <f t="shared" si="17"/>
        <v>0</v>
      </c>
      <c r="Q80" s="180">
        <f>VLOOKUP(B80,[6]Z21!$B$2:$O$418,14,0)</f>
        <v>2236.5280000000002</v>
      </c>
      <c r="R80" s="186">
        <f t="shared" si="18"/>
        <v>0</v>
      </c>
      <c r="S80" s="187">
        <f t="shared" si="19"/>
        <v>0</v>
      </c>
    </row>
    <row r="81" spans="1:19" ht="45.75" customHeight="1">
      <c r="A81" s="26">
        <v>162</v>
      </c>
      <c r="B81" s="27" t="s">
        <v>101</v>
      </c>
      <c r="C81" s="30" t="s">
        <v>338</v>
      </c>
      <c r="D81" s="27" t="s">
        <v>298</v>
      </c>
      <c r="E81" s="182">
        <v>27</v>
      </c>
      <c r="F81" s="183">
        <f>IFERROR(VLOOKUP(B81,'PEDIDO JULIO'!$B$10:$AG$200,32,0),"0")</f>
        <v>6</v>
      </c>
      <c r="G81" s="184">
        <f t="shared" si="20"/>
        <v>-21</v>
      </c>
      <c r="H81" s="185">
        <f t="shared" si="11"/>
        <v>0</v>
      </c>
      <c r="I81" s="184">
        <f t="shared" si="12"/>
        <v>0</v>
      </c>
      <c r="J81" s="200">
        <f t="shared" si="13"/>
        <v>0</v>
      </c>
      <c r="K81" s="180">
        <f>VLOOKUP(B81,[6]Z21!$B$2:$M$418,12,0)</f>
        <v>4478.3109999999997</v>
      </c>
      <c r="L81" s="187">
        <f t="shared" si="14"/>
        <v>0</v>
      </c>
      <c r="M81" s="180">
        <f t="shared" si="15"/>
        <v>447.83109999999999</v>
      </c>
      <c r="N81" s="187">
        <f t="shared" si="16"/>
        <v>4030.4798999999998</v>
      </c>
      <c r="O81" s="188">
        <f t="shared" si="21"/>
        <v>0</v>
      </c>
      <c r="P81" s="200">
        <f t="shared" si="17"/>
        <v>6</v>
      </c>
      <c r="Q81" s="180">
        <f>VLOOKUP(B81,[6]Z21!$B$2:$O$418,14,0)</f>
        <v>2684.2539999999999</v>
      </c>
      <c r="R81" s="186">
        <f t="shared" si="18"/>
        <v>16105.523999999999</v>
      </c>
      <c r="S81" s="187">
        <f t="shared" si="19"/>
        <v>16105.523999999999</v>
      </c>
    </row>
    <row r="82" spans="1:19" ht="45.75" customHeight="1">
      <c r="A82" s="26">
        <v>164</v>
      </c>
      <c r="B82" s="27" t="s">
        <v>102</v>
      </c>
      <c r="C82" s="28" t="s">
        <v>339</v>
      </c>
      <c r="D82" s="27" t="s">
        <v>298</v>
      </c>
      <c r="E82" s="182">
        <v>30</v>
      </c>
      <c r="F82" s="183" t="str">
        <f>IFERROR(VLOOKUP(B82,'PEDIDO JULIO'!$B$10:$AG$200,32,0),"0")</f>
        <v>0</v>
      </c>
      <c r="G82" s="184">
        <f t="shared" si="20"/>
        <v>-30</v>
      </c>
      <c r="H82" s="185">
        <f t="shared" si="11"/>
        <v>-7.5</v>
      </c>
      <c r="I82" s="184">
        <f t="shared" si="12"/>
        <v>0</v>
      </c>
      <c r="J82" s="200">
        <f t="shared" si="13"/>
        <v>0</v>
      </c>
      <c r="K82" s="180">
        <f>VLOOKUP(B82,[6]Z21!$B$2:$M$418,12,0)</f>
        <v>7242.4409999999998</v>
      </c>
      <c r="L82" s="187">
        <f t="shared" si="14"/>
        <v>0</v>
      </c>
      <c r="M82" s="180">
        <f t="shared" si="15"/>
        <v>724.2441</v>
      </c>
      <c r="N82" s="187">
        <f t="shared" si="16"/>
        <v>6518.1968999999999</v>
      </c>
      <c r="O82" s="188">
        <f t="shared" si="21"/>
        <v>0</v>
      </c>
      <c r="P82" s="200">
        <f t="shared" si="17"/>
        <v>0</v>
      </c>
      <c r="Q82" s="180">
        <f>VLOOKUP(B82,[6]Z21!$B$2:$O$418,14,0)</f>
        <v>1658.4780000000001</v>
      </c>
      <c r="R82" s="186">
        <f t="shared" si="18"/>
        <v>0</v>
      </c>
      <c r="S82" s="187">
        <f t="shared" si="19"/>
        <v>0</v>
      </c>
    </row>
    <row r="83" spans="1:19" ht="45.75" customHeight="1">
      <c r="A83" s="26">
        <v>169</v>
      </c>
      <c r="B83" s="27" t="s">
        <v>104</v>
      </c>
      <c r="C83" s="28" t="s">
        <v>340</v>
      </c>
      <c r="D83" s="27" t="s">
        <v>298</v>
      </c>
      <c r="E83" s="182">
        <v>13</v>
      </c>
      <c r="F83" s="183" t="str">
        <f>IFERROR(VLOOKUP(B83,'PEDIDO JULIO'!$B$10:$AG$200,32,0),"0")</f>
        <v>0</v>
      </c>
      <c r="G83" s="184">
        <f t="shared" si="20"/>
        <v>-13</v>
      </c>
      <c r="H83" s="185">
        <f t="shared" si="11"/>
        <v>-3.25</v>
      </c>
      <c r="I83" s="184">
        <f t="shared" si="12"/>
        <v>0</v>
      </c>
      <c r="J83" s="200">
        <f t="shared" si="13"/>
        <v>0</v>
      </c>
      <c r="K83" s="180">
        <f>VLOOKUP(B83,[6]Z21!$B$2:$M$418,12,0)</f>
        <v>174029.83499999999</v>
      </c>
      <c r="L83" s="187">
        <f t="shared" si="14"/>
        <v>0</v>
      </c>
      <c r="M83" s="180">
        <f t="shared" si="15"/>
        <v>17402.983499999998</v>
      </c>
      <c r="N83" s="187">
        <f t="shared" si="16"/>
        <v>156626.85149999999</v>
      </c>
      <c r="O83" s="188">
        <f t="shared" si="21"/>
        <v>0</v>
      </c>
      <c r="P83" s="200">
        <f t="shared" si="17"/>
        <v>0</v>
      </c>
      <c r="Q83" s="180">
        <f>VLOOKUP(B83,[6]Z21!$B$2:$O$418,14,0)</f>
        <v>85897.178999999989</v>
      </c>
      <c r="R83" s="186">
        <f t="shared" si="18"/>
        <v>0</v>
      </c>
      <c r="S83" s="187">
        <f t="shared" si="19"/>
        <v>0</v>
      </c>
    </row>
    <row r="84" spans="1:19" ht="45.75" customHeight="1">
      <c r="A84" s="26">
        <v>170</v>
      </c>
      <c r="B84" s="27" t="s">
        <v>106</v>
      </c>
      <c r="C84" s="28" t="s">
        <v>341</v>
      </c>
      <c r="D84" s="27" t="s">
        <v>342</v>
      </c>
      <c r="E84" s="182">
        <v>283</v>
      </c>
      <c r="F84" s="183">
        <f>IFERROR(VLOOKUP(B84,'PEDIDO JULIO'!$B$10:$AG$200,32,0),"0")</f>
        <v>500</v>
      </c>
      <c r="G84" s="184">
        <f t="shared" si="20"/>
        <v>217</v>
      </c>
      <c r="H84" s="185">
        <f t="shared" si="11"/>
        <v>54.25</v>
      </c>
      <c r="I84" s="184">
        <f t="shared" si="12"/>
        <v>54.25</v>
      </c>
      <c r="J84" s="200">
        <f t="shared" si="13"/>
        <v>445.75</v>
      </c>
      <c r="K84" s="180">
        <f>VLOOKUP(B84,[6]Z21!$B$2:$M$418,12,0)</f>
        <v>50639.281999999999</v>
      </c>
      <c r="L84" s="187">
        <f t="shared" si="14"/>
        <v>22572459.951499999</v>
      </c>
      <c r="M84" s="180">
        <f t="shared" si="15"/>
        <v>5063.9282000000003</v>
      </c>
      <c r="N84" s="187">
        <f t="shared" si="16"/>
        <v>45575.353799999997</v>
      </c>
      <c r="O84" s="188">
        <f t="shared" si="21"/>
        <v>20315213.956349999</v>
      </c>
      <c r="P84" s="200">
        <f t="shared" si="17"/>
        <v>54.25</v>
      </c>
      <c r="Q84" s="180">
        <f>VLOOKUP(B84,[6]Z21!$B$2:$O$418,14,0)</f>
        <v>19405.664000000001</v>
      </c>
      <c r="R84" s="186">
        <f t="shared" si="18"/>
        <v>1052757.2720000001</v>
      </c>
      <c r="S84" s="187">
        <f t="shared" si="19"/>
        <v>21367971.228349999</v>
      </c>
    </row>
    <row r="85" spans="1:19" ht="45.75" customHeight="1">
      <c r="A85" s="31">
        <v>173</v>
      </c>
      <c r="B85" s="32" t="s">
        <v>107</v>
      </c>
      <c r="C85" s="189" t="s">
        <v>688</v>
      </c>
      <c r="D85" s="32" t="s">
        <v>689</v>
      </c>
      <c r="E85" s="182">
        <v>10</v>
      </c>
      <c r="F85" s="183" t="str">
        <f>IFERROR(VLOOKUP(B85,'PEDIDO JULIO'!$B$10:$AG$200,32,0),"0")</f>
        <v>0</v>
      </c>
      <c r="G85" s="184">
        <f t="shared" si="20"/>
        <v>-10</v>
      </c>
      <c r="H85" s="185">
        <f t="shared" si="11"/>
        <v>-2.5</v>
      </c>
      <c r="I85" s="184">
        <f t="shared" si="12"/>
        <v>0</v>
      </c>
      <c r="J85" s="200">
        <f t="shared" si="13"/>
        <v>0</v>
      </c>
      <c r="K85" s="180">
        <f>VLOOKUP(B85,[6]Z21!$B$2:$M$418,12,0)</f>
        <v>23771.518</v>
      </c>
      <c r="L85" s="187">
        <f t="shared" si="14"/>
        <v>0</v>
      </c>
      <c r="M85" s="180">
        <f t="shared" si="15"/>
        <v>2377.1518000000001</v>
      </c>
      <c r="N85" s="187">
        <f t="shared" si="16"/>
        <v>21394.3662</v>
      </c>
      <c r="O85" s="188">
        <f t="shared" si="21"/>
        <v>0</v>
      </c>
      <c r="P85" s="200">
        <f t="shared" si="17"/>
        <v>0</v>
      </c>
      <c r="Q85" s="180">
        <f>VLOOKUP(B85,[6]Z21!$B$2:$O$418,14,0)</f>
        <v>0</v>
      </c>
      <c r="R85" s="186">
        <f t="shared" si="18"/>
        <v>0</v>
      </c>
      <c r="S85" s="187">
        <f t="shared" si="19"/>
        <v>0</v>
      </c>
    </row>
    <row r="86" spans="1:19" ht="45.75" customHeight="1">
      <c r="A86" s="26">
        <v>174</v>
      </c>
      <c r="B86" s="27" t="s">
        <v>109</v>
      </c>
      <c r="C86" s="28" t="s">
        <v>343</v>
      </c>
      <c r="D86" s="27" t="s">
        <v>344</v>
      </c>
      <c r="E86" s="182">
        <v>96</v>
      </c>
      <c r="F86" s="183" t="str">
        <f>IFERROR(VLOOKUP(B86,'PEDIDO JULIO'!$B$10:$AG$200,32,0),"0")</f>
        <v>0</v>
      </c>
      <c r="G86" s="184">
        <f t="shared" si="20"/>
        <v>-96</v>
      </c>
      <c r="H86" s="185">
        <f t="shared" si="11"/>
        <v>-24</v>
      </c>
      <c r="I86" s="184">
        <f t="shared" si="12"/>
        <v>0</v>
      </c>
      <c r="J86" s="200">
        <f t="shared" si="13"/>
        <v>0</v>
      </c>
      <c r="K86" s="180">
        <f>VLOOKUP(B86,[6]Z21!$B$2:$M$418,12,0)</f>
        <v>11166.875</v>
      </c>
      <c r="L86" s="187">
        <f t="shared" si="14"/>
        <v>0</v>
      </c>
      <c r="M86" s="180">
        <f t="shared" si="15"/>
        <v>1116.6875</v>
      </c>
      <c r="N86" s="187">
        <f t="shared" si="16"/>
        <v>10050.1875</v>
      </c>
      <c r="O86" s="188">
        <f t="shared" si="21"/>
        <v>0</v>
      </c>
      <c r="P86" s="200">
        <f t="shared" si="17"/>
        <v>0</v>
      </c>
      <c r="Q86" s="180">
        <f>VLOOKUP(B86,[6]Z21!$B$2:$O$418,14,0)</f>
        <v>6081.0860000000002</v>
      </c>
      <c r="R86" s="186">
        <f t="shared" si="18"/>
        <v>0</v>
      </c>
      <c r="S86" s="187">
        <f t="shared" si="19"/>
        <v>0</v>
      </c>
    </row>
    <row r="87" spans="1:19" ht="45.75" customHeight="1">
      <c r="A87" s="26">
        <v>176</v>
      </c>
      <c r="B87" s="27" t="s">
        <v>110</v>
      </c>
      <c r="C87" s="28" t="s">
        <v>343</v>
      </c>
      <c r="D87" s="27" t="s">
        <v>342</v>
      </c>
      <c r="E87" s="182">
        <v>3</v>
      </c>
      <c r="F87" s="183" t="str">
        <f>IFERROR(VLOOKUP(B87,'PEDIDO JULIO'!$B$10:$AG$200,32,0),"0")</f>
        <v>0</v>
      </c>
      <c r="G87" s="184">
        <f t="shared" si="20"/>
        <v>-3</v>
      </c>
      <c r="H87" s="185">
        <f t="shared" si="11"/>
        <v>-0.75</v>
      </c>
      <c r="I87" s="184">
        <f t="shared" si="12"/>
        <v>0</v>
      </c>
      <c r="J87" s="200">
        <f t="shared" si="13"/>
        <v>0</v>
      </c>
      <c r="K87" s="180">
        <f>VLOOKUP(B87,[6]Z21!$B$2:$M$418,12,0)</f>
        <v>4201.8980000000001</v>
      </c>
      <c r="L87" s="187">
        <f t="shared" si="14"/>
        <v>0</v>
      </c>
      <c r="M87" s="180">
        <f t="shared" si="15"/>
        <v>420.18980000000005</v>
      </c>
      <c r="N87" s="187">
        <f t="shared" si="16"/>
        <v>3781.7082</v>
      </c>
      <c r="O87" s="188">
        <f t="shared" si="21"/>
        <v>0</v>
      </c>
      <c r="P87" s="200">
        <f t="shared" si="17"/>
        <v>0</v>
      </c>
      <c r="Q87" s="180">
        <f>VLOOKUP(B87,[6]Z21!$B$2:$O$418,14,0)</f>
        <v>2749.4160000000002</v>
      </c>
      <c r="R87" s="186">
        <f t="shared" si="18"/>
        <v>0</v>
      </c>
      <c r="S87" s="187">
        <f t="shared" si="19"/>
        <v>0</v>
      </c>
    </row>
    <row r="88" spans="1:19" ht="45.75" customHeight="1">
      <c r="A88" s="26">
        <v>192</v>
      </c>
      <c r="B88" s="27" t="s">
        <v>111</v>
      </c>
      <c r="C88" s="28" t="s">
        <v>345</v>
      </c>
      <c r="D88" s="27" t="s">
        <v>346</v>
      </c>
      <c r="E88" s="182">
        <v>56</v>
      </c>
      <c r="F88" s="183">
        <f>IFERROR(VLOOKUP(B88,'PEDIDO JULIO'!$B$10:$AG$200,32,0),"0")</f>
        <v>431</v>
      </c>
      <c r="G88" s="184">
        <f t="shared" si="20"/>
        <v>375</v>
      </c>
      <c r="H88" s="185">
        <f t="shared" si="11"/>
        <v>93.75</v>
      </c>
      <c r="I88" s="184">
        <f t="shared" si="12"/>
        <v>93.75</v>
      </c>
      <c r="J88" s="200">
        <f t="shared" si="13"/>
        <v>337.25</v>
      </c>
      <c r="K88" s="180">
        <f>VLOOKUP(B88,[6]Z21!$B$2:$M$418,12,0)</f>
        <v>7629.2089999999998</v>
      </c>
      <c r="L88" s="187">
        <f t="shared" si="14"/>
        <v>2572950.7352499999</v>
      </c>
      <c r="M88" s="180">
        <f t="shared" si="15"/>
        <v>762.92090000000007</v>
      </c>
      <c r="N88" s="187">
        <f t="shared" si="16"/>
        <v>6866.2880999999998</v>
      </c>
      <c r="O88" s="188">
        <f t="shared" si="21"/>
        <v>2315655.661725</v>
      </c>
      <c r="P88" s="200">
        <f t="shared" si="17"/>
        <v>93.75</v>
      </c>
      <c r="Q88" s="180">
        <f>VLOOKUP(B88,[6]Z21!$B$2:$O$418,14,0)</f>
        <v>3930.7400000000002</v>
      </c>
      <c r="R88" s="186">
        <f t="shared" si="18"/>
        <v>368506.875</v>
      </c>
      <c r="S88" s="187">
        <f t="shared" si="19"/>
        <v>2684162.536725</v>
      </c>
    </row>
    <row r="89" spans="1:19" ht="45.75" customHeight="1">
      <c r="A89" s="26">
        <v>195</v>
      </c>
      <c r="B89" s="27" t="s">
        <v>112</v>
      </c>
      <c r="C89" s="28" t="s">
        <v>347</v>
      </c>
      <c r="D89" s="27" t="s">
        <v>346</v>
      </c>
      <c r="E89" s="182">
        <v>56</v>
      </c>
      <c r="F89" s="183">
        <f>IFERROR(VLOOKUP(B89,'PEDIDO JULIO'!$B$10:$AG$200,32,0),"0")</f>
        <v>690</v>
      </c>
      <c r="G89" s="184">
        <f t="shared" si="20"/>
        <v>634</v>
      </c>
      <c r="H89" s="185">
        <f t="shared" si="11"/>
        <v>158.5</v>
      </c>
      <c r="I89" s="184">
        <f t="shared" si="12"/>
        <v>158.5</v>
      </c>
      <c r="J89" s="200">
        <f t="shared" si="13"/>
        <v>531.5</v>
      </c>
      <c r="K89" s="180">
        <f>VLOOKUP(B89,[6]Z21!$B$2:$M$418,12,0)</f>
        <v>11885.759</v>
      </c>
      <c r="L89" s="187">
        <f t="shared" si="14"/>
        <v>6317280.9084999999</v>
      </c>
      <c r="M89" s="180">
        <f t="shared" si="15"/>
        <v>1188.5759</v>
      </c>
      <c r="N89" s="187">
        <f t="shared" si="16"/>
        <v>10697.1831</v>
      </c>
      <c r="O89" s="188">
        <f t="shared" si="21"/>
        <v>5685552.8176500006</v>
      </c>
      <c r="P89" s="200">
        <f t="shared" si="17"/>
        <v>158.5</v>
      </c>
      <c r="Q89" s="180">
        <f>VLOOKUP(B89,[6]Z21!$B$2:$O$418,14,0)</f>
        <v>6431.0690000000004</v>
      </c>
      <c r="R89" s="186">
        <f t="shared" si="18"/>
        <v>1019324.4365000001</v>
      </c>
      <c r="S89" s="187">
        <f t="shared" si="19"/>
        <v>6704877.2541500004</v>
      </c>
    </row>
    <row r="90" spans="1:19" ht="45.75" customHeight="1">
      <c r="A90" s="26">
        <v>204</v>
      </c>
      <c r="B90" s="27" t="s">
        <v>113</v>
      </c>
      <c r="C90" s="28" t="s">
        <v>348</v>
      </c>
      <c r="D90" s="27" t="s">
        <v>349</v>
      </c>
      <c r="E90" s="182">
        <v>93</v>
      </c>
      <c r="F90" s="183">
        <f>IFERROR(VLOOKUP(B90,'PEDIDO JULIO'!$B$10:$AG$200,32,0),"0")</f>
        <v>289</v>
      </c>
      <c r="G90" s="184">
        <f t="shared" si="20"/>
        <v>196</v>
      </c>
      <c r="H90" s="185">
        <f t="shared" si="11"/>
        <v>49</v>
      </c>
      <c r="I90" s="184">
        <f t="shared" si="12"/>
        <v>49</v>
      </c>
      <c r="J90" s="200">
        <f t="shared" si="13"/>
        <v>240</v>
      </c>
      <c r="K90" s="180">
        <f>VLOOKUP(B90,[6]Z21!$B$2:$M$418,12,0)</f>
        <v>28526.241999999998</v>
      </c>
      <c r="L90" s="187">
        <f t="shared" si="14"/>
        <v>6846298.0800000001</v>
      </c>
      <c r="M90" s="180">
        <f t="shared" si="15"/>
        <v>2852.6242000000002</v>
      </c>
      <c r="N90" s="187">
        <f t="shared" si="16"/>
        <v>25673.6178</v>
      </c>
      <c r="O90" s="188">
        <f t="shared" si="21"/>
        <v>6161668.2719999999</v>
      </c>
      <c r="P90" s="200">
        <f t="shared" si="17"/>
        <v>49</v>
      </c>
      <c r="Q90" s="180">
        <f>VLOOKUP(B90,[6]Z21!$B$2:$O$418,14,0)</f>
        <v>14760.243999999999</v>
      </c>
      <c r="R90" s="186">
        <f t="shared" si="18"/>
        <v>723251.95599999989</v>
      </c>
      <c r="S90" s="187">
        <f t="shared" si="19"/>
        <v>6884920.2280000001</v>
      </c>
    </row>
    <row r="91" spans="1:19" ht="45.75" customHeight="1">
      <c r="A91" s="26">
        <v>205</v>
      </c>
      <c r="B91" s="27" t="s">
        <v>114</v>
      </c>
      <c r="C91" s="28" t="s">
        <v>350</v>
      </c>
      <c r="D91" s="27" t="s">
        <v>298</v>
      </c>
      <c r="E91" s="182">
        <v>4</v>
      </c>
      <c r="F91" s="183" t="str">
        <f>IFERROR(VLOOKUP(B91,'PEDIDO JULIO'!$B$10:$AG$200,32,0),"0")</f>
        <v>0</v>
      </c>
      <c r="G91" s="184">
        <f t="shared" si="20"/>
        <v>-4</v>
      </c>
      <c r="H91" s="185">
        <f t="shared" si="11"/>
        <v>-1</v>
      </c>
      <c r="I91" s="184">
        <f t="shared" si="12"/>
        <v>0</v>
      </c>
      <c r="J91" s="200">
        <f t="shared" si="13"/>
        <v>0</v>
      </c>
      <c r="K91" s="180">
        <f>VLOOKUP(B91,[6]Z21!$B$2:$M$418,12,0)</f>
        <v>36265.805999999997</v>
      </c>
      <c r="L91" s="187">
        <f t="shared" si="14"/>
        <v>0</v>
      </c>
      <c r="M91" s="180">
        <f t="shared" si="15"/>
        <v>3626.5805999999998</v>
      </c>
      <c r="N91" s="187">
        <f t="shared" si="16"/>
        <v>32639.225399999996</v>
      </c>
      <c r="O91" s="188">
        <f t="shared" si="21"/>
        <v>0</v>
      </c>
      <c r="P91" s="200">
        <f t="shared" si="17"/>
        <v>0</v>
      </c>
      <c r="Q91" s="180">
        <f>VLOOKUP(B91,[6]Z21!$B$2:$O$418,14,0)</f>
        <v>17690.432000000001</v>
      </c>
      <c r="R91" s="186">
        <f t="shared" si="18"/>
        <v>0</v>
      </c>
      <c r="S91" s="187">
        <f t="shared" si="19"/>
        <v>0</v>
      </c>
    </row>
    <row r="92" spans="1:19" ht="45.75" customHeight="1">
      <c r="A92" s="26">
        <v>207</v>
      </c>
      <c r="B92" s="27" t="s">
        <v>115</v>
      </c>
      <c r="C92" s="28" t="s">
        <v>351</v>
      </c>
      <c r="D92" s="27" t="s">
        <v>298</v>
      </c>
      <c r="E92" s="182">
        <v>9</v>
      </c>
      <c r="F92" s="183" t="str">
        <f>IFERROR(VLOOKUP(B92,'PEDIDO JULIO'!$B$10:$AG$200,32,0),"0")</f>
        <v>0</v>
      </c>
      <c r="G92" s="184">
        <f t="shared" si="20"/>
        <v>-9</v>
      </c>
      <c r="H92" s="185">
        <f t="shared" si="11"/>
        <v>-2.25</v>
      </c>
      <c r="I92" s="184">
        <f t="shared" si="12"/>
        <v>0</v>
      </c>
      <c r="J92" s="200">
        <f t="shared" si="13"/>
        <v>0</v>
      </c>
      <c r="K92" s="180">
        <f>VLOOKUP(B92,[6]Z21!$B$2:$M$418,12,0)</f>
        <v>9121.6290000000008</v>
      </c>
      <c r="L92" s="187">
        <f t="shared" si="14"/>
        <v>0</v>
      </c>
      <c r="M92" s="180">
        <f t="shared" si="15"/>
        <v>912.16290000000015</v>
      </c>
      <c r="N92" s="187">
        <f t="shared" si="16"/>
        <v>8209.4661000000015</v>
      </c>
      <c r="O92" s="188">
        <f t="shared" si="21"/>
        <v>0</v>
      </c>
      <c r="P92" s="200">
        <f t="shared" si="17"/>
        <v>0</v>
      </c>
      <c r="Q92" s="180">
        <f>VLOOKUP(B92,[6]Z21!$B$2:$O$418,14,0)</f>
        <v>7186.7380000000003</v>
      </c>
      <c r="R92" s="186">
        <f t="shared" si="18"/>
        <v>0</v>
      </c>
      <c r="S92" s="187">
        <f t="shared" si="19"/>
        <v>0</v>
      </c>
    </row>
    <row r="93" spans="1:19" ht="45.75" customHeight="1">
      <c r="A93" s="26">
        <v>208</v>
      </c>
      <c r="B93" s="27" t="s">
        <v>634</v>
      </c>
      <c r="C93" s="28" t="s">
        <v>690</v>
      </c>
      <c r="D93" s="27" t="s">
        <v>298</v>
      </c>
      <c r="E93" s="182">
        <v>14</v>
      </c>
      <c r="F93" s="183" t="str">
        <f>IFERROR(VLOOKUP(B93,'PEDIDO JULIO'!$B$10:$AG$200,32,0),"0")</f>
        <v>0</v>
      </c>
      <c r="G93" s="184">
        <f t="shared" si="20"/>
        <v>-14</v>
      </c>
      <c r="H93" s="185">
        <f t="shared" si="11"/>
        <v>-3.5</v>
      </c>
      <c r="I93" s="184">
        <f t="shared" si="12"/>
        <v>0</v>
      </c>
      <c r="J93" s="200">
        <f t="shared" si="13"/>
        <v>0</v>
      </c>
      <c r="K93" s="180">
        <f>VLOOKUP(B93,[6]Z21!$B$2:$M$418,12,0)</f>
        <v>80822.951000000001</v>
      </c>
      <c r="L93" s="187">
        <f t="shared" si="14"/>
        <v>0</v>
      </c>
      <c r="M93" s="180">
        <f t="shared" si="15"/>
        <v>8082.2951000000003</v>
      </c>
      <c r="N93" s="187">
        <f t="shared" si="16"/>
        <v>72740.655899999998</v>
      </c>
      <c r="O93" s="188">
        <f t="shared" si="21"/>
        <v>0</v>
      </c>
      <c r="P93" s="200">
        <f t="shared" si="17"/>
        <v>0</v>
      </c>
      <c r="Q93" s="180">
        <f>VLOOKUP(B93,[6]Z21!$B$2:$O$418,14,0)</f>
        <v>50779.065000000002</v>
      </c>
      <c r="R93" s="186">
        <f t="shared" si="18"/>
        <v>0</v>
      </c>
      <c r="S93" s="187">
        <f t="shared" si="19"/>
        <v>0</v>
      </c>
    </row>
    <row r="94" spans="1:19" ht="45.75" customHeight="1">
      <c r="A94" s="26">
        <v>209</v>
      </c>
      <c r="B94" s="27" t="s">
        <v>635</v>
      </c>
      <c r="C94" s="28" t="s">
        <v>691</v>
      </c>
      <c r="D94" s="27" t="s">
        <v>298</v>
      </c>
      <c r="E94" s="182">
        <v>1</v>
      </c>
      <c r="F94" s="183" t="str">
        <f>IFERROR(VLOOKUP(B94,'PEDIDO JULIO'!$B$10:$AG$200,32,0),"0")</f>
        <v>0</v>
      </c>
      <c r="G94" s="184">
        <f t="shared" si="20"/>
        <v>-1</v>
      </c>
      <c r="H94" s="185">
        <f t="shared" si="11"/>
        <v>-0.25</v>
      </c>
      <c r="I94" s="184">
        <f t="shared" si="12"/>
        <v>0</v>
      </c>
      <c r="J94" s="200">
        <f t="shared" si="13"/>
        <v>0</v>
      </c>
      <c r="K94" s="180">
        <f>VLOOKUP(B94,[6]Z21!$B$2:$M$418,12,0)</f>
        <v>57273.194000000003</v>
      </c>
      <c r="L94" s="187">
        <f t="shared" si="14"/>
        <v>0</v>
      </c>
      <c r="M94" s="180">
        <f t="shared" si="15"/>
        <v>5727.3194000000003</v>
      </c>
      <c r="N94" s="187">
        <f t="shared" si="16"/>
        <v>51545.874600000003</v>
      </c>
      <c r="O94" s="188">
        <f t="shared" si="21"/>
        <v>0</v>
      </c>
      <c r="P94" s="200">
        <f t="shared" si="17"/>
        <v>0</v>
      </c>
      <c r="Q94" s="180">
        <f>VLOOKUP(B94,[6]Z21!$B$2:$O$418,14,0)</f>
        <v>37357.794999999998</v>
      </c>
      <c r="R94" s="186">
        <f t="shared" si="18"/>
        <v>0</v>
      </c>
      <c r="S94" s="187">
        <f t="shared" si="19"/>
        <v>0</v>
      </c>
    </row>
    <row r="95" spans="1:19" ht="45.75" customHeight="1">
      <c r="A95" s="26">
        <v>210</v>
      </c>
      <c r="B95" s="27" t="s">
        <v>636</v>
      </c>
      <c r="C95" s="28" t="s">
        <v>692</v>
      </c>
      <c r="D95" s="27" t="s">
        <v>298</v>
      </c>
      <c r="E95" s="182">
        <v>14</v>
      </c>
      <c r="F95" s="183" t="str">
        <f>IFERROR(VLOOKUP(B95,'PEDIDO JULIO'!$B$10:$AG$200,32,0),"0")</f>
        <v>0</v>
      </c>
      <c r="G95" s="184">
        <f t="shared" si="20"/>
        <v>-14</v>
      </c>
      <c r="H95" s="185">
        <f t="shared" si="11"/>
        <v>-3.5</v>
      </c>
      <c r="I95" s="184">
        <f t="shared" si="12"/>
        <v>0</v>
      </c>
      <c r="J95" s="200">
        <f t="shared" si="13"/>
        <v>0</v>
      </c>
      <c r="K95" s="180">
        <f>VLOOKUP(B95,[6]Z21!$B$2:$M$418,12,0)</f>
        <v>43673.254000000001</v>
      </c>
      <c r="L95" s="187">
        <f t="shared" si="14"/>
        <v>0</v>
      </c>
      <c r="M95" s="180">
        <f t="shared" si="15"/>
        <v>4367.3254000000006</v>
      </c>
      <c r="N95" s="187">
        <f t="shared" si="16"/>
        <v>39305.928599999999</v>
      </c>
      <c r="O95" s="188">
        <f t="shared" si="21"/>
        <v>0</v>
      </c>
      <c r="P95" s="200">
        <f t="shared" si="17"/>
        <v>0</v>
      </c>
      <c r="Q95" s="180">
        <f>VLOOKUP(B95,[6]Z21!$B$2:$O$418,14,0)</f>
        <v>22537.643999999997</v>
      </c>
      <c r="R95" s="186">
        <f t="shared" si="18"/>
        <v>0</v>
      </c>
      <c r="S95" s="187">
        <f t="shared" si="19"/>
        <v>0</v>
      </c>
    </row>
    <row r="96" spans="1:19" ht="45.75" customHeight="1">
      <c r="A96" s="26">
        <v>211</v>
      </c>
      <c r="B96" s="27" t="s">
        <v>637</v>
      </c>
      <c r="C96" s="28" t="s">
        <v>693</v>
      </c>
      <c r="D96" s="27" t="s">
        <v>298</v>
      </c>
      <c r="E96" s="182">
        <v>7</v>
      </c>
      <c r="F96" s="183" t="str">
        <f>IFERROR(VLOOKUP(B96,'PEDIDO JULIO'!$B$10:$AG$200,32,0),"0")</f>
        <v>0</v>
      </c>
      <c r="G96" s="184">
        <f t="shared" si="20"/>
        <v>-7</v>
      </c>
      <c r="H96" s="185">
        <f t="shared" si="11"/>
        <v>-1.75</v>
      </c>
      <c r="I96" s="184">
        <f t="shared" si="12"/>
        <v>0</v>
      </c>
      <c r="J96" s="200">
        <f t="shared" si="13"/>
        <v>0</v>
      </c>
      <c r="K96" s="180">
        <f>VLOOKUP(B96,[6]Z21!$B$2:$M$418,12,0)</f>
        <v>32837.444000000003</v>
      </c>
      <c r="L96" s="187">
        <f t="shared" si="14"/>
        <v>0</v>
      </c>
      <c r="M96" s="180">
        <f t="shared" si="15"/>
        <v>3283.7444000000005</v>
      </c>
      <c r="N96" s="187">
        <f t="shared" si="16"/>
        <v>29553.699600000004</v>
      </c>
      <c r="O96" s="188">
        <f t="shared" si="21"/>
        <v>0</v>
      </c>
      <c r="P96" s="200">
        <f t="shared" si="17"/>
        <v>0</v>
      </c>
      <c r="Q96" s="180">
        <f>VLOOKUP(B96,[6]Z21!$B$2:$O$418,14,0)</f>
        <v>15992.016</v>
      </c>
      <c r="R96" s="186">
        <f t="shared" si="18"/>
        <v>0</v>
      </c>
      <c r="S96" s="187">
        <f t="shared" si="19"/>
        <v>0</v>
      </c>
    </row>
    <row r="97" spans="1:22" ht="45.75" customHeight="1">
      <c r="A97" s="26">
        <v>212</v>
      </c>
      <c r="B97" s="27" t="s">
        <v>116</v>
      </c>
      <c r="C97" s="28" t="s">
        <v>352</v>
      </c>
      <c r="D97" s="27" t="s">
        <v>298</v>
      </c>
      <c r="E97" s="182">
        <v>37</v>
      </c>
      <c r="F97" s="183" t="str">
        <f>IFERROR(VLOOKUP(B97,'PEDIDO JULIO'!$B$10:$AG$200,32,0),"0")</f>
        <v>0</v>
      </c>
      <c r="G97" s="184">
        <f t="shared" si="20"/>
        <v>-37</v>
      </c>
      <c r="H97" s="185">
        <f t="shared" si="11"/>
        <v>-9.25</v>
      </c>
      <c r="I97" s="184">
        <f t="shared" si="12"/>
        <v>0</v>
      </c>
      <c r="J97" s="200">
        <f t="shared" si="13"/>
        <v>0</v>
      </c>
      <c r="K97" s="180">
        <f>VLOOKUP(B97,[6]Z21!$B$2:$M$418,12,0)</f>
        <v>3703.7240000000002</v>
      </c>
      <c r="L97" s="187">
        <f t="shared" si="14"/>
        <v>0</v>
      </c>
      <c r="M97" s="180">
        <f t="shared" si="15"/>
        <v>370.37240000000003</v>
      </c>
      <c r="N97" s="187">
        <f t="shared" si="16"/>
        <v>3333.3516</v>
      </c>
      <c r="O97" s="188">
        <f t="shared" si="21"/>
        <v>0</v>
      </c>
      <c r="P97" s="200">
        <f t="shared" si="17"/>
        <v>0</v>
      </c>
      <c r="Q97" s="180">
        <f>VLOOKUP(B97,[6]Z21!$B$2:$O$418,14,0)</f>
        <v>2505.5839999999998</v>
      </c>
      <c r="R97" s="186">
        <f t="shared" si="18"/>
        <v>0</v>
      </c>
      <c r="S97" s="187">
        <f t="shared" si="19"/>
        <v>0</v>
      </c>
    </row>
    <row r="98" spans="1:22" ht="45.75" customHeight="1">
      <c r="A98" s="31">
        <v>213</v>
      </c>
      <c r="B98" s="32" t="s">
        <v>638</v>
      </c>
      <c r="C98" s="189" t="s">
        <v>694</v>
      </c>
      <c r="D98" s="32" t="s">
        <v>298</v>
      </c>
      <c r="E98" s="182">
        <v>1</v>
      </c>
      <c r="F98" s="183" t="str">
        <f>IFERROR(VLOOKUP(B98,'PEDIDO JULIO'!$B$10:$AG$200,32,0),"0")</f>
        <v>0</v>
      </c>
      <c r="G98" s="184">
        <f t="shared" si="20"/>
        <v>-1</v>
      </c>
      <c r="H98" s="185">
        <f t="shared" si="11"/>
        <v>-0.25</v>
      </c>
      <c r="I98" s="184">
        <f t="shared" si="12"/>
        <v>0</v>
      </c>
      <c r="J98" s="200">
        <f t="shared" si="13"/>
        <v>0</v>
      </c>
      <c r="K98" s="180">
        <f>VLOOKUP(B98,[6]Z21!$B$2:$M$418,12,0)</f>
        <v>11609.346</v>
      </c>
      <c r="L98" s="187">
        <f t="shared" si="14"/>
        <v>0</v>
      </c>
      <c r="M98" s="180">
        <f t="shared" si="15"/>
        <v>1160.9346</v>
      </c>
      <c r="N98" s="187">
        <f t="shared" si="16"/>
        <v>10448.411399999999</v>
      </c>
      <c r="O98" s="188">
        <f t="shared" si="21"/>
        <v>0</v>
      </c>
      <c r="P98" s="200">
        <f t="shared" si="17"/>
        <v>0</v>
      </c>
      <c r="Q98" s="180">
        <f>VLOOKUP(B98,[6]Z21!$B$2:$O$418,14,0)</f>
        <v>0</v>
      </c>
      <c r="R98" s="186">
        <f t="shared" si="18"/>
        <v>0</v>
      </c>
      <c r="S98" s="187">
        <f t="shared" si="19"/>
        <v>0</v>
      </c>
    </row>
    <row r="99" spans="1:22" ht="45.75" customHeight="1">
      <c r="A99" s="26">
        <v>215</v>
      </c>
      <c r="B99" s="27" t="s">
        <v>639</v>
      </c>
      <c r="C99" s="28" t="s">
        <v>695</v>
      </c>
      <c r="D99" s="27" t="s">
        <v>298</v>
      </c>
      <c r="E99" s="182">
        <v>15</v>
      </c>
      <c r="F99" s="183" t="str">
        <f>IFERROR(VLOOKUP(B99,'PEDIDO JULIO'!$B$10:$AG$200,32,0),"0")</f>
        <v>0</v>
      </c>
      <c r="G99" s="184">
        <f t="shared" si="20"/>
        <v>-15</v>
      </c>
      <c r="H99" s="185">
        <f t="shared" si="11"/>
        <v>-3.75</v>
      </c>
      <c r="I99" s="184">
        <f t="shared" si="12"/>
        <v>0</v>
      </c>
      <c r="J99" s="200">
        <f t="shared" si="13"/>
        <v>0</v>
      </c>
      <c r="K99" s="180">
        <f>VLOOKUP(B99,[6]Z21!$B$2:$M$418,12,0)</f>
        <v>35270.508999999998</v>
      </c>
      <c r="L99" s="187">
        <f t="shared" si="14"/>
        <v>0</v>
      </c>
      <c r="M99" s="180">
        <f t="shared" si="15"/>
        <v>3527.0509000000002</v>
      </c>
      <c r="N99" s="187">
        <f t="shared" si="16"/>
        <v>31743.458099999996</v>
      </c>
      <c r="O99" s="188">
        <f t="shared" si="21"/>
        <v>0</v>
      </c>
      <c r="P99" s="200">
        <f t="shared" si="17"/>
        <v>0</v>
      </c>
      <c r="Q99" s="180">
        <f>VLOOKUP(B99,[6]Z21!$B$2:$O$418,14,0)</f>
        <v>10476.367999999999</v>
      </c>
      <c r="R99" s="186">
        <f t="shared" si="18"/>
        <v>0</v>
      </c>
      <c r="S99" s="187">
        <f t="shared" si="19"/>
        <v>0</v>
      </c>
    </row>
    <row r="100" spans="1:22" ht="45.75" customHeight="1">
      <c r="A100" s="26">
        <v>216</v>
      </c>
      <c r="B100" s="27" t="s">
        <v>640</v>
      </c>
      <c r="C100" s="28" t="s">
        <v>696</v>
      </c>
      <c r="D100" s="27" t="s">
        <v>298</v>
      </c>
      <c r="E100" s="182">
        <v>37</v>
      </c>
      <c r="F100" s="183" t="str">
        <f>IFERROR(VLOOKUP(B100,'PEDIDO JULIO'!$B$10:$AG$200,32,0),"0")</f>
        <v>0</v>
      </c>
      <c r="G100" s="184">
        <f t="shared" si="20"/>
        <v>-37</v>
      </c>
      <c r="H100" s="185">
        <f t="shared" si="11"/>
        <v>-9.25</v>
      </c>
      <c r="I100" s="184">
        <f t="shared" si="12"/>
        <v>0</v>
      </c>
      <c r="J100" s="200">
        <f t="shared" si="13"/>
        <v>0</v>
      </c>
      <c r="K100" s="180">
        <f>VLOOKUP(B100,[6]Z21!$B$2:$M$418,12,0)</f>
        <v>5694.3180000000002</v>
      </c>
      <c r="L100" s="187">
        <f t="shared" si="14"/>
        <v>0</v>
      </c>
      <c r="M100" s="180">
        <f t="shared" si="15"/>
        <v>569.43180000000007</v>
      </c>
      <c r="N100" s="187">
        <f t="shared" si="16"/>
        <v>5124.8861999999999</v>
      </c>
      <c r="O100" s="188">
        <f t="shared" si="21"/>
        <v>0</v>
      </c>
      <c r="P100" s="200">
        <f t="shared" si="17"/>
        <v>0</v>
      </c>
      <c r="Q100" s="180">
        <f>VLOOKUP(B100,[6]Z21!$B$2:$O$418,14,0)</f>
        <v>3954.9129999999996</v>
      </c>
      <c r="R100" s="186">
        <f t="shared" si="18"/>
        <v>0</v>
      </c>
      <c r="S100" s="187">
        <f t="shared" si="19"/>
        <v>0</v>
      </c>
    </row>
    <row r="101" spans="1:22" ht="45.75" customHeight="1">
      <c r="A101" s="26">
        <v>218</v>
      </c>
      <c r="B101" s="27" t="s">
        <v>117</v>
      </c>
      <c r="C101" s="28" t="s">
        <v>353</v>
      </c>
      <c r="D101" s="27" t="s">
        <v>298</v>
      </c>
      <c r="E101" s="182">
        <v>40</v>
      </c>
      <c r="F101" s="183" t="str">
        <f>IFERROR(VLOOKUP(B101,'PEDIDO JULIO'!$B$10:$AG$200,32,0),"0")</f>
        <v>0</v>
      </c>
      <c r="G101" s="184">
        <f t="shared" si="20"/>
        <v>-40</v>
      </c>
      <c r="H101" s="185">
        <f t="shared" si="11"/>
        <v>-10</v>
      </c>
      <c r="I101" s="184">
        <f t="shared" si="12"/>
        <v>0</v>
      </c>
      <c r="J101" s="200">
        <f t="shared" si="13"/>
        <v>0</v>
      </c>
      <c r="K101" s="180">
        <f>VLOOKUP(B101,[6]Z21!$B$2:$M$418,12,0)</f>
        <v>2874.4850000000001</v>
      </c>
      <c r="L101" s="187">
        <f t="shared" si="14"/>
        <v>0</v>
      </c>
      <c r="M101" s="180">
        <f t="shared" si="15"/>
        <v>287.44850000000002</v>
      </c>
      <c r="N101" s="187">
        <f t="shared" si="16"/>
        <v>2587.0365000000002</v>
      </c>
      <c r="O101" s="188">
        <f t="shared" si="21"/>
        <v>0</v>
      </c>
      <c r="P101" s="200">
        <f t="shared" si="17"/>
        <v>0</v>
      </c>
      <c r="Q101" s="180">
        <f>VLOOKUP(B101,[6]Z21!$B$2:$O$418,14,0)</f>
        <v>1437.768</v>
      </c>
      <c r="R101" s="186">
        <f t="shared" si="18"/>
        <v>0</v>
      </c>
      <c r="S101" s="187">
        <f t="shared" si="19"/>
        <v>0</v>
      </c>
    </row>
    <row r="102" spans="1:22" ht="45.75" customHeight="1">
      <c r="A102" s="26">
        <v>251</v>
      </c>
      <c r="B102" s="27" t="s">
        <v>118</v>
      </c>
      <c r="C102" s="34" t="s">
        <v>354</v>
      </c>
      <c r="D102" s="27" t="s">
        <v>355</v>
      </c>
      <c r="E102" s="182">
        <v>24</v>
      </c>
      <c r="F102" s="183" t="str">
        <f>IFERROR(VLOOKUP(B102,'PEDIDO JULIO'!$B$10:$AG$200,32,0),"0")</f>
        <v>0</v>
      </c>
      <c r="G102" s="184">
        <f t="shared" si="20"/>
        <v>-24</v>
      </c>
      <c r="H102" s="185">
        <f t="shared" si="11"/>
        <v>-6</v>
      </c>
      <c r="I102" s="184">
        <f t="shared" si="12"/>
        <v>0</v>
      </c>
      <c r="J102" s="200">
        <f t="shared" si="13"/>
        <v>0</v>
      </c>
      <c r="K102" s="180">
        <f>VLOOKUP(B102,[6]Z21!$B$2:$M$418,12,0)</f>
        <v>22665.866000000002</v>
      </c>
      <c r="L102" s="187">
        <f t="shared" si="14"/>
        <v>0</v>
      </c>
      <c r="M102" s="180">
        <f t="shared" si="15"/>
        <v>2266.5866000000001</v>
      </c>
      <c r="N102" s="187">
        <f t="shared" si="16"/>
        <v>20399.279400000003</v>
      </c>
      <c r="O102" s="188">
        <f t="shared" si="21"/>
        <v>0</v>
      </c>
      <c r="P102" s="200">
        <f t="shared" si="17"/>
        <v>0</v>
      </c>
      <c r="Q102" s="180">
        <f>VLOOKUP(B102,[6]Z21!$B$2:$O$418,14,0)</f>
        <v>16031.954000000002</v>
      </c>
      <c r="R102" s="186">
        <f t="shared" si="18"/>
        <v>0</v>
      </c>
      <c r="S102" s="187">
        <f t="shared" si="19"/>
        <v>0</v>
      </c>
    </row>
    <row r="103" spans="1:22" ht="45.75" customHeight="1">
      <c r="A103" s="26">
        <v>255</v>
      </c>
      <c r="B103" s="27" t="s">
        <v>641</v>
      </c>
      <c r="C103" s="34" t="s">
        <v>697</v>
      </c>
      <c r="D103" s="27" t="s">
        <v>298</v>
      </c>
      <c r="E103" s="182">
        <v>14</v>
      </c>
      <c r="F103" s="183" t="str">
        <f>IFERROR(VLOOKUP(B103,'PEDIDO JULIO'!$B$10:$AG$200,32,0),"0")</f>
        <v>0</v>
      </c>
      <c r="G103" s="184">
        <f t="shared" si="20"/>
        <v>-14</v>
      </c>
      <c r="H103" s="185">
        <f t="shared" si="11"/>
        <v>-3.5</v>
      </c>
      <c r="I103" s="184">
        <f t="shared" si="12"/>
        <v>0</v>
      </c>
      <c r="J103" s="200">
        <f t="shared" si="13"/>
        <v>0</v>
      </c>
      <c r="K103" s="180">
        <f>VLOOKUP(B103,[6]Z21!$B$2:$M$418,12,0)</f>
        <v>46437.383999999998</v>
      </c>
      <c r="L103" s="187">
        <f t="shared" si="14"/>
        <v>0</v>
      </c>
      <c r="M103" s="180">
        <f t="shared" si="15"/>
        <v>4643.7384000000002</v>
      </c>
      <c r="N103" s="187">
        <f t="shared" si="16"/>
        <v>41793.645599999996</v>
      </c>
      <c r="O103" s="188">
        <f t="shared" si="21"/>
        <v>0</v>
      </c>
      <c r="P103" s="200">
        <f t="shared" si="17"/>
        <v>0</v>
      </c>
      <c r="Q103" s="180">
        <f>VLOOKUP(B103,[6]Z21!$B$2:$O$418,14,0)</f>
        <v>29299.777999999998</v>
      </c>
      <c r="R103" s="186">
        <f t="shared" si="18"/>
        <v>0</v>
      </c>
      <c r="S103" s="187">
        <f t="shared" si="19"/>
        <v>0</v>
      </c>
    </row>
    <row r="104" spans="1:22" ht="45.75" customHeight="1">
      <c r="A104" s="26">
        <v>257</v>
      </c>
      <c r="B104" s="27" t="s">
        <v>642</v>
      </c>
      <c r="C104" s="34" t="s">
        <v>698</v>
      </c>
      <c r="D104" s="27" t="s">
        <v>298</v>
      </c>
      <c r="E104" s="182">
        <v>11</v>
      </c>
      <c r="F104" s="183" t="str">
        <f>IFERROR(VLOOKUP(B104,'PEDIDO JULIO'!$B$10:$AG$200,32,0),"0")</f>
        <v>0</v>
      </c>
      <c r="G104" s="184">
        <f t="shared" si="20"/>
        <v>-11</v>
      </c>
      <c r="H104" s="185">
        <f t="shared" si="11"/>
        <v>-2.75</v>
      </c>
      <c r="I104" s="184">
        <f t="shared" si="12"/>
        <v>0</v>
      </c>
      <c r="J104" s="200">
        <f t="shared" si="13"/>
        <v>0</v>
      </c>
      <c r="K104" s="180">
        <f>VLOOKUP(B104,[6]Z21!$B$2:$M$418,12,0)</f>
        <v>59484.498</v>
      </c>
      <c r="L104" s="187">
        <f t="shared" si="14"/>
        <v>0</v>
      </c>
      <c r="M104" s="180">
        <f t="shared" si="15"/>
        <v>5948.4498000000003</v>
      </c>
      <c r="N104" s="187">
        <f t="shared" si="16"/>
        <v>53536.048199999997</v>
      </c>
      <c r="O104" s="188">
        <f t="shared" si="21"/>
        <v>0</v>
      </c>
      <c r="P104" s="200">
        <f t="shared" si="17"/>
        <v>0</v>
      </c>
      <c r="Q104" s="180">
        <f>VLOOKUP(B104,[6]Z21!$B$2:$O$418,14,0)</f>
        <v>18796.084000000003</v>
      </c>
      <c r="R104" s="186">
        <f t="shared" si="18"/>
        <v>0</v>
      </c>
      <c r="S104" s="187">
        <f t="shared" si="19"/>
        <v>0</v>
      </c>
    </row>
    <row r="105" spans="1:22" ht="45.75" customHeight="1">
      <c r="A105" s="26">
        <v>260</v>
      </c>
      <c r="B105" s="27" t="s">
        <v>643</v>
      </c>
      <c r="C105" s="34" t="s">
        <v>699</v>
      </c>
      <c r="D105" s="27" t="s">
        <v>298</v>
      </c>
      <c r="E105" s="182">
        <v>10</v>
      </c>
      <c r="F105" s="183" t="str">
        <f>IFERROR(VLOOKUP(B105,'PEDIDO JULIO'!$B$10:$AG$200,32,0),"0")</f>
        <v>0</v>
      </c>
      <c r="G105" s="184">
        <f t="shared" si="20"/>
        <v>-10</v>
      </c>
      <c r="H105" s="185">
        <f t="shared" si="11"/>
        <v>-2.5</v>
      </c>
      <c r="I105" s="184">
        <f t="shared" si="12"/>
        <v>0</v>
      </c>
      <c r="J105" s="200">
        <f t="shared" si="13"/>
        <v>0</v>
      </c>
      <c r="K105" s="180">
        <f>VLOOKUP(B105,[6]Z21!$B$2:$M$418,12,0)</f>
        <v>9453.7450000000008</v>
      </c>
      <c r="L105" s="187">
        <f t="shared" si="14"/>
        <v>0</v>
      </c>
      <c r="M105" s="180">
        <f t="shared" si="15"/>
        <v>945.37450000000013</v>
      </c>
      <c r="N105" s="187">
        <f t="shared" si="16"/>
        <v>8508.3705000000009</v>
      </c>
      <c r="O105" s="188">
        <f t="shared" si="21"/>
        <v>0</v>
      </c>
      <c r="P105" s="200">
        <f t="shared" si="17"/>
        <v>0</v>
      </c>
      <c r="Q105" s="180">
        <f>VLOOKUP(B105,[6]Z21!$B$2:$O$418,14,0)</f>
        <v>3417.8520000000008</v>
      </c>
      <c r="R105" s="186">
        <f t="shared" si="18"/>
        <v>0</v>
      </c>
      <c r="S105" s="187">
        <f t="shared" si="19"/>
        <v>0</v>
      </c>
    </row>
    <row r="106" spans="1:22" ht="45.75" customHeight="1">
      <c r="A106" s="26">
        <v>291</v>
      </c>
      <c r="B106" s="27" t="s">
        <v>644</v>
      </c>
      <c r="C106" s="34" t="s">
        <v>700</v>
      </c>
      <c r="D106" s="27" t="s">
        <v>298</v>
      </c>
      <c r="E106" s="182">
        <v>3</v>
      </c>
      <c r="F106" s="183" t="str">
        <f>IFERROR(VLOOKUP(B106,'PEDIDO JULIO'!$B$10:$AG$200,32,0),"0")</f>
        <v>0</v>
      </c>
      <c r="G106" s="184">
        <f t="shared" si="20"/>
        <v>-3</v>
      </c>
      <c r="H106" s="185">
        <f t="shared" si="11"/>
        <v>-0.75</v>
      </c>
      <c r="I106" s="184">
        <f t="shared" si="12"/>
        <v>0</v>
      </c>
      <c r="J106" s="200">
        <f t="shared" si="13"/>
        <v>0</v>
      </c>
      <c r="K106" s="180">
        <f>VLOOKUP(B106,[6]Z21!$B$2:$M$418,12,0)</f>
        <v>72862.676999999996</v>
      </c>
      <c r="L106" s="187">
        <f>J106*K106</f>
        <v>0</v>
      </c>
      <c r="M106" s="180">
        <f t="shared" si="15"/>
        <v>7286.2677000000003</v>
      </c>
      <c r="N106" s="187">
        <f t="shared" si="16"/>
        <v>65576.409299999999</v>
      </c>
      <c r="O106" s="188">
        <f t="shared" si="21"/>
        <v>0</v>
      </c>
      <c r="P106" s="200">
        <f t="shared" si="17"/>
        <v>0</v>
      </c>
      <c r="Q106" s="180">
        <f>VLOOKUP(B106,[6]Z21!$B$2:$O$418,14,0)</f>
        <v>20454.562000000005</v>
      </c>
      <c r="R106" s="186">
        <f t="shared" si="18"/>
        <v>0</v>
      </c>
      <c r="S106" s="187">
        <f t="shared" si="19"/>
        <v>0</v>
      </c>
      <c r="T106" s="204">
        <v>0.1</v>
      </c>
      <c r="U106" s="204">
        <v>0.19</v>
      </c>
    </row>
    <row r="107" spans="1:22">
      <c r="E107" s="228">
        <f>SUM(E3:E106)</f>
        <v>4839</v>
      </c>
      <c r="F107" s="227">
        <f>SUM(F3:F106)</f>
        <v>7353</v>
      </c>
      <c r="G107" s="191">
        <f>SUM(G3:G106)</f>
        <v>2520</v>
      </c>
      <c r="I107" s="184">
        <f t="shared" si="12"/>
        <v>0</v>
      </c>
      <c r="J107" s="196">
        <f>SUM(J3:J106)</f>
        <v>5572.25</v>
      </c>
      <c r="L107" s="193"/>
      <c r="O107" s="193">
        <f>SUM(O3:O106)</f>
        <v>63736501.373999998</v>
      </c>
      <c r="P107" s="199">
        <f>SUM(P3:P106)</f>
        <v>1780.75</v>
      </c>
      <c r="R107" s="194">
        <f>SUM(R3:R106)</f>
        <v>9748882.8787500001</v>
      </c>
      <c r="S107" s="198">
        <f>SUM(S3:S106)</f>
        <v>73485384.252749994</v>
      </c>
      <c r="T107" s="51">
        <f>+S107*T106</f>
        <v>7348538.4252749998</v>
      </c>
      <c r="U107" s="51">
        <f>+T107*U106</f>
        <v>1396222.3008022499</v>
      </c>
      <c r="V107" s="51">
        <f>SUM(S107:U107)</f>
        <v>82230144.978827238</v>
      </c>
    </row>
    <row r="108" spans="1:22">
      <c r="G108" s="184">
        <f t="shared" ref="G108" si="22">F108-E108</f>
        <v>0</v>
      </c>
      <c r="J108"/>
    </row>
    <row r="109" spans="1:22">
      <c r="F109" s="195"/>
      <c r="J109" s="197"/>
      <c r="S109" s="187"/>
    </row>
    <row r="110" spans="1:22">
      <c r="F110" s="195"/>
      <c r="J110" s="184"/>
      <c r="S110" s="180"/>
    </row>
    <row r="111" spans="1:22">
      <c r="F111" s="195"/>
    </row>
    <row r="112" spans="1:22">
      <c r="S112" s="187"/>
    </row>
  </sheetData>
  <autoFilter ref="A2:S109" xr:uid="{00000000-0009-0000-0000-00000F000000}">
    <sortState xmlns:xlrd2="http://schemas.microsoft.com/office/spreadsheetml/2017/richdata2" ref="A2:S106">
      <sortCondition ref="J1"/>
    </sortState>
  </autoFilter>
  <conditionalFormatting sqref="G3:G108">
    <cfRule type="cellIs" dxfId="274" priority="2" operator="lessThan">
      <formula>0</formula>
    </cfRule>
  </conditionalFormatting>
  <conditionalFormatting sqref="J3:J106">
    <cfRule type="cellIs" dxfId="273" priority="1" operator="lessThan">
      <formula>0</formula>
    </cfRule>
  </conditionalFormatting>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66FFFF"/>
  </sheetPr>
  <dimension ref="A1:K2606"/>
  <sheetViews>
    <sheetView topLeftCell="F2" zoomScale="132" zoomScaleNormal="110" workbookViewId="0">
      <pane ySplit="3" topLeftCell="A2595" activePane="bottomLeft" state="frozen"/>
      <selection activeCell="D2" sqref="D2"/>
      <selection pane="bottomLeft" activeCell="E2604" sqref="E5:E2604"/>
    </sheetView>
  </sheetViews>
  <sheetFormatPr baseColWidth="10" defaultColWidth="11.7109375" defaultRowHeight="13.5"/>
  <cols>
    <col min="1" max="1" width="5.5703125" style="1" customWidth="1"/>
    <col min="2" max="2" width="8.7109375" style="1" customWidth="1"/>
    <col min="3" max="3" width="44.85546875" style="1" customWidth="1"/>
    <col min="4" max="4" width="49.85546875" style="1" hidden="1" customWidth="1"/>
    <col min="5" max="5" width="44.85546875" style="1" customWidth="1"/>
    <col min="6" max="6" width="16.42578125" style="13" customWidth="1"/>
    <col min="7" max="7" width="11.7109375" style="1" customWidth="1"/>
    <col min="8" max="8" width="15.42578125" style="1" customWidth="1"/>
    <col min="9" max="9" width="13.5703125" style="1" customWidth="1"/>
    <col min="10" max="10" width="13.42578125" style="1" customWidth="1"/>
    <col min="11" max="11" width="15.28515625" style="1" customWidth="1"/>
    <col min="12" max="16384" width="11.7109375" style="1"/>
  </cols>
  <sheetData>
    <row r="1" spans="1:11">
      <c r="B1" s="26"/>
      <c r="F1" s="1"/>
    </row>
    <row r="2" spans="1:11">
      <c r="A2" s="1">
        <v>1</v>
      </c>
      <c r="B2" s="26"/>
      <c r="D2" s="1">
        <v>4</v>
      </c>
      <c r="E2" s="1">
        <v>5</v>
      </c>
      <c r="F2" s="1">
        <v>8</v>
      </c>
    </row>
    <row r="3" spans="1:11">
      <c r="B3" s="26"/>
      <c r="F3" s="1"/>
    </row>
    <row r="4" spans="1:11" s="2" customFormat="1" ht="25.5">
      <c r="A4" s="9" t="s">
        <v>1</v>
      </c>
      <c r="B4" s="9" t="s">
        <v>357</v>
      </c>
      <c r="C4" s="9" t="s">
        <v>2</v>
      </c>
      <c r="D4" s="9" t="s">
        <v>3</v>
      </c>
      <c r="E4" s="9" t="s">
        <v>119</v>
      </c>
      <c r="F4" s="209" t="s">
        <v>4</v>
      </c>
      <c r="G4" s="148" t="s">
        <v>710</v>
      </c>
      <c r="H4" s="20" t="s">
        <v>711</v>
      </c>
      <c r="I4" s="20" t="s">
        <v>146</v>
      </c>
      <c r="J4" s="20" t="s">
        <v>147</v>
      </c>
      <c r="K4" s="20" t="s">
        <v>148</v>
      </c>
    </row>
    <row r="5" spans="1:11" ht="14.45" customHeight="1">
      <c r="A5" s="3">
        <v>1</v>
      </c>
      <c r="B5" s="151">
        <v>3</v>
      </c>
      <c r="C5" s="7" t="s">
        <v>155</v>
      </c>
      <c r="D5" s="4" t="s">
        <v>5</v>
      </c>
      <c r="E5" t="s">
        <v>161</v>
      </c>
      <c r="F5" s="12" t="str">
        <f>IFERROR(VLOOKUP($B5,'INSUMOS  JULIO'!$B$6:$CJ$109,6,0),"")</f>
        <v>0</v>
      </c>
      <c r="G5" s="8">
        <f>IFERROR(VLOOKUP($B5,'INSUMOS  JULIO'!$B$6:$CJ$109,7,0),"")</f>
        <v>7268.7160000000003</v>
      </c>
      <c r="H5" s="19">
        <f>+F5*G5</f>
        <v>0</v>
      </c>
      <c r="I5" s="1">
        <f>+H5*10%</f>
        <v>0</v>
      </c>
      <c r="J5" s="1">
        <f>+I5*19%</f>
        <v>0</v>
      </c>
      <c r="K5" s="19">
        <f>SUM(H5:J5)</f>
        <v>0</v>
      </c>
    </row>
    <row r="6" spans="1:11" ht="17.100000000000001" customHeight="1">
      <c r="A6" s="3">
        <v>2</v>
      </c>
      <c r="B6" s="151">
        <v>5</v>
      </c>
      <c r="C6" s="7" t="s">
        <v>6</v>
      </c>
      <c r="D6" s="4" t="s">
        <v>7</v>
      </c>
      <c r="E6" t="s">
        <v>161</v>
      </c>
      <c r="F6" s="12" t="str">
        <f>IFERROR(VLOOKUP(B6,'INSUMOS  JULIO'!$B$6:$CJ$109,6,0),"")</f>
        <v>0</v>
      </c>
      <c r="G6" s="8">
        <f>IFERROR(VLOOKUP($B6,'INSUMOS  JULIO'!$B$6:$CJ$109,7,0),"")</f>
        <v>6494.1289999999999</v>
      </c>
      <c r="H6" s="19">
        <f t="shared" ref="H6:H69" si="0">+F6*G6</f>
        <v>0</v>
      </c>
      <c r="I6" s="1">
        <f t="shared" ref="I6:I69" si="1">+H6*10%</f>
        <v>0</v>
      </c>
      <c r="J6" s="1">
        <f t="shared" ref="J6:J69" si="2">+I6*19%</f>
        <v>0</v>
      </c>
      <c r="K6" s="19">
        <f t="shared" ref="K6:K69" si="3">SUM(H6:J6)</f>
        <v>0</v>
      </c>
    </row>
    <row r="7" spans="1:11" ht="12.6" customHeight="1">
      <c r="A7" s="3">
        <v>3</v>
      </c>
      <c r="B7" s="151">
        <v>8</v>
      </c>
      <c r="C7" s="7" t="s">
        <v>6</v>
      </c>
      <c r="D7" s="4" t="s">
        <v>8</v>
      </c>
      <c r="E7" t="s">
        <v>161</v>
      </c>
      <c r="F7" s="12">
        <f>IFERROR(VLOOKUP(B7,'INSUMOS  JULIO'!$B$6:$CJ$109,6,0),"")</f>
        <v>0</v>
      </c>
      <c r="G7" s="8">
        <f>IFERROR(VLOOKUP($B7,'INSUMOS  JULIO'!$B$6:$CJ$109,7,0),"")</f>
        <v>2211.3040000000001</v>
      </c>
      <c r="H7" s="19">
        <f t="shared" si="0"/>
        <v>0</v>
      </c>
      <c r="I7" s="1">
        <f t="shared" si="1"/>
        <v>0</v>
      </c>
      <c r="J7" s="1">
        <f t="shared" si="2"/>
        <v>0</v>
      </c>
      <c r="K7" s="19">
        <f t="shared" si="3"/>
        <v>0</v>
      </c>
    </row>
    <row r="8" spans="1:11" ht="12.6" customHeight="1">
      <c r="A8" s="3">
        <v>4</v>
      </c>
      <c r="B8" s="151">
        <v>9</v>
      </c>
      <c r="C8" s="7" t="s">
        <v>9</v>
      </c>
      <c r="D8" s="4" t="s">
        <v>10</v>
      </c>
      <c r="E8" t="s">
        <v>161</v>
      </c>
      <c r="F8" s="12">
        <f>IFERROR(VLOOKUP(B8,'INSUMOS  JULIO'!$B$6:$CJ$109,6,0),"")</f>
        <v>0</v>
      </c>
      <c r="G8" s="8">
        <f>IFERROR(VLOOKUP($B8,'INSUMOS  JULIO'!$B$6:$CJ$109,7,0),"")</f>
        <v>3298.0379999999996</v>
      </c>
      <c r="H8" s="19">
        <f t="shared" si="0"/>
        <v>0</v>
      </c>
      <c r="I8" s="1">
        <f t="shared" si="1"/>
        <v>0</v>
      </c>
      <c r="J8" s="1">
        <f t="shared" si="2"/>
        <v>0</v>
      </c>
      <c r="K8" s="19">
        <f t="shared" si="3"/>
        <v>0</v>
      </c>
    </row>
    <row r="9" spans="1:11" ht="12.6" customHeight="1">
      <c r="A9" s="3">
        <v>5</v>
      </c>
      <c r="B9" s="151">
        <v>11</v>
      </c>
      <c r="C9" s="7" t="s">
        <v>156</v>
      </c>
      <c r="D9" s="4" t="s">
        <v>11</v>
      </c>
      <c r="E9" t="s">
        <v>161</v>
      </c>
      <c r="F9" s="12" t="str">
        <f>IFERROR(VLOOKUP(B9,'INSUMOS  JULIO'!$B$6:$CJ$109,6,0),"")</f>
        <v>0</v>
      </c>
      <c r="G9" s="8">
        <f>IFERROR(VLOOKUP($B9,'INSUMOS  JULIO'!$B$6:$CJ$109,7,0),"")</f>
        <v>7739.5639999999985</v>
      </c>
      <c r="H9" s="19">
        <f t="shared" si="0"/>
        <v>0</v>
      </c>
      <c r="I9" s="1">
        <f t="shared" si="1"/>
        <v>0</v>
      </c>
      <c r="J9" s="1">
        <f t="shared" si="2"/>
        <v>0</v>
      </c>
      <c r="K9" s="19">
        <f t="shared" si="3"/>
        <v>0</v>
      </c>
    </row>
    <row r="10" spans="1:11" ht="12.6" customHeight="1">
      <c r="A10" s="3">
        <v>6</v>
      </c>
      <c r="B10" s="151">
        <v>13</v>
      </c>
      <c r="C10" s="7" t="s">
        <v>157</v>
      </c>
      <c r="D10" s="4" t="s">
        <v>12</v>
      </c>
      <c r="E10" t="s">
        <v>161</v>
      </c>
      <c r="F10" s="12">
        <f>IFERROR(VLOOKUP(B10,'INSUMOS  JULIO'!$B$6:$CJ$109,6,0),"")</f>
        <v>20</v>
      </c>
      <c r="G10" s="8">
        <f>IFERROR(VLOOKUP($B10,'INSUMOS  JULIO'!$B$6:$CJ$109,7,0),"")</f>
        <v>6507.7919999999995</v>
      </c>
      <c r="H10" s="19">
        <f t="shared" si="0"/>
        <v>130155.84</v>
      </c>
      <c r="I10" s="1">
        <f t="shared" si="1"/>
        <v>13015.584000000001</v>
      </c>
      <c r="J10" s="1">
        <f t="shared" si="2"/>
        <v>2472.9609600000003</v>
      </c>
      <c r="K10" s="19">
        <f t="shared" si="3"/>
        <v>145644.38496</v>
      </c>
    </row>
    <row r="11" spans="1:11" ht="12.6" customHeight="1">
      <c r="A11" s="3">
        <v>7</v>
      </c>
      <c r="B11" s="151">
        <v>17</v>
      </c>
      <c r="C11" s="7" t="s">
        <v>13</v>
      </c>
      <c r="D11" s="4" t="s">
        <v>14</v>
      </c>
      <c r="E11" t="s">
        <v>161</v>
      </c>
      <c r="F11" s="12">
        <f>IFERROR(VLOOKUP(B11,'INSUMOS  JULIO'!$B$6:$CJ$109,6,0),"")</f>
        <v>10</v>
      </c>
      <c r="G11" s="8">
        <f>IFERROR(VLOOKUP($B11,'INSUMOS  JULIO'!$B$6:$CJ$109,7,0),"")</f>
        <v>5647.0229999999992</v>
      </c>
      <c r="H11" s="19">
        <f t="shared" si="0"/>
        <v>56470.229999999996</v>
      </c>
      <c r="I11" s="1">
        <f t="shared" si="1"/>
        <v>5647.0230000000001</v>
      </c>
      <c r="J11" s="1">
        <f t="shared" si="2"/>
        <v>1072.9343699999999</v>
      </c>
      <c r="K11" s="19">
        <f t="shared" si="3"/>
        <v>63190.18737</v>
      </c>
    </row>
    <row r="12" spans="1:11" ht="12.6" customHeight="1">
      <c r="A12" s="3">
        <v>8</v>
      </c>
      <c r="B12" s="151">
        <v>20</v>
      </c>
      <c r="C12" s="7" t="s">
        <v>13</v>
      </c>
      <c r="D12" s="4" t="s">
        <v>15</v>
      </c>
      <c r="E12" t="s">
        <v>161</v>
      </c>
      <c r="F12" s="12">
        <f>IFERROR(VLOOKUP(B12,'INSUMOS  JULIO'!$B$6:$CJ$109,6,0),"")</f>
        <v>0</v>
      </c>
      <c r="G12" s="8">
        <f>IFERROR(VLOOKUP($B12,'INSUMOS  JULIO'!$B$6:$CJ$109,7,0),"")</f>
        <v>0</v>
      </c>
      <c r="H12" s="19">
        <f t="shared" si="0"/>
        <v>0</v>
      </c>
      <c r="I12" s="1">
        <f t="shared" si="1"/>
        <v>0</v>
      </c>
      <c r="J12" s="1">
        <f t="shared" si="2"/>
        <v>0</v>
      </c>
      <c r="K12" s="19">
        <f t="shared" si="3"/>
        <v>0</v>
      </c>
    </row>
    <row r="13" spans="1:11" ht="12.6" customHeight="1">
      <c r="A13" s="3">
        <v>9</v>
      </c>
      <c r="B13" s="151">
        <v>21</v>
      </c>
      <c r="C13" s="7" t="s">
        <v>16</v>
      </c>
      <c r="D13" s="4" t="s">
        <v>17</v>
      </c>
      <c r="E13" t="s">
        <v>161</v>
      </c>
      <c r="F13" s="12">
        <f>IFERROR(VLOOKUP(B13,'INSUMOS  JULIO'!$B$6:$CJ$109,6,0),"")</f>
        <v>0</v>
      </c>
      <c r="G13" s="8">
        <f>IFERROR(VLOOKUP($B13,'INSUMOS  JULIO'!$B$6:$CJ$109,7,0),"")</f>
        <v>5932.8950000000013</v>
      </c>
      <c r="H13" s="19">
        <f t="shared" si="0"/>
        <v>0</v>
      </c>
      <c r="I13" s="1">
        <f t="shared" si="1"/>
        <v>0</v>
      </c>
      <c r="J13" s="1">
        <f t="shared" si="2"/>
        <v>0</v>
      </c>
      <c r="K13" s="19">
        <f t="shared" si="3"/>
        <v>0</v>
      </c>
    </row>
    <row r="14" spans="1:11" ht="12.6" customHeight="1">
      <c r="A14" s="3">
        <v>10</v>
      </c>
      <c r="B14" s="151">
        <v>28</v>
      </c>
      <c r="C14" s="7" t="s">
        <v>18</v>
      </c>
      <c r="D14" s="4" t="s">
        <v>19</v>
      </c>
      <c r="E14" t="s">
        <v>161</v>
      </c>
      <c r="F14" s="12">
        <f>IFERROR(VLOOKUP(B14,'INSUMOS  JULIO'!$B$6:$CJ$109,6,0),"")</f>
        <v>0</v>
      </c>
      <c r="G14" s="8">
        <f>IFERROR(VLOOKUP($B14,'INSUMOS  JULIO'!$B$6:$CJ$109,7,0),"")</f>
        <v>2764.13</v>
      </c>
      <c r="H14" s="19">
        <f t="shared" si="0"/>
        <v>0</v>
      </c>
      <c r="I14" s="1">
        <f t="shared" si="1"/>
        <v>0</v>
      </c>
      <c r="J14" s="1">
        <f t="shared" si="2"/>
        <v>0</v>
      </c>
      <c r="K14" s="19">
        <f t="shared" si="3"/>
        <v>0</v>
      </c>
    </row>
    <row r="15" spans="1:11" ht="12.6" customHeight="1">
      <c r="A15" s="3">
        <v>11</v>
      </c>
      <c r="B15" s="151">
        <v>29</v>
      </c>
      <c r="C15" s="7" t="s">
        <v>20</v>
      </c>
      <c r="D15" s="4" t="s">
        <v>21</v>
      </c>
      <c r="E15" t="s">
        <v>161</v>
      </c>
      <c r="F15" s="12" t="str">
        <f>IFERROR(VLOOKUP(B15,'INSUMOS  JULIO'!$B$6:$CJ$109,6,0),"")</f>
        <v>0</v>
      </c>
      <c r="G15" s="8">
        <f>IFERROR(VLOOKUP($B15,'INSUMOS  JULIO'!$B$6:$CJ$109,7,0),"")</f>
        <v>4829.3450000000012</v>
      </c>
      <c r="H15" s="19">
        <f t="shared" si="0"/>
        <v>0</v>
      </c>
      <c r="I15" s="1">
        <f t="shared" si="1"/>
        <v>0</v>
      </c>
      <c r="J15" s="1">
        <f t="shared" si="2"/>
        <v>0</v>
      </c>
      <c r="K15" s="19">
        <f t="shared" si="3"/>
        <v>0</v>
      </c>
    </row>
    <row r="16" spans="1:11" ht="12.6" customHeight="1">
      <c r="A16" s="3">
        <v>12</v>
      </c>
      <c r="B16" s="151">
        <v>32</v>
      </c>
      <c r="C16" s="7" t="s">
        <v>22</v>
      </c>
      <c r="D16" s="4" t="s">
        <v>23</v>
      </c>
      <c r="E16" t="s">
        <v>161</v>
      </c>
      <c r="F16" s="12">
        <f>IFERROR(VLOOKUP(B16,'INSUMOS  JULIO'!$B$6:$CJ$109,6,0),"")</f>
        <v>60</v>
      </c>
      <c r="G16" s="8">
        <f>IFERROR(VLOOKUP($B16,'INSUMOS  JULIO'!$B$6:$CJ$109,7,0),"")</f>
        <v>4115.7160000000003</v>
      </c>
      <c r="H16" s="19">
        <f t="shared" si="0"/>
        <v>246942.96000000002</v>
      </c>
      <c r="I16" s="1">
        <f t="shared" si="1"/>
        <v>24694.296000000002</v>
      </c>
      <c r="J16" s="1">
        <f t="shared" si="2"/>
        <v>4691.9162400000005</v>
      </c>
      <c r="K16" s="19">
        <f t="shared" si="3"/>
        <v>276329.17224000004</v>
      </c>
    </row>
    <row r="17" spans="1:11" ht="14.45" customHeight="1">
      <c r="A17" s="3">
        <v>13</v>
      </c>
      <c r="B17" s="151">
        <v>38</v>
      </c>
      <c r="C17" s="7" t="s">
        <v>18</v>
      </c>
      <c r="D17" s="4" t="s">
        <v>24</v>
      </c>
      <c r="E17" t="s">
        <v>161</v>
      </c>
      <c r="F17" s="12" t="str">
        <f>IFERROR(VLOOKUP(B17,'INSUMOS  JULIO'!$B$6:$CJ$109,6,0),"")</f>
        <v>0</v>
      </c>
      <c r="G17" s="8">
        <f>IFERROR(VLOOKUP($B17,'INSUMOS  JULIO'!$B$6:$CJ$109,7,0),"")</f>
        <v>11100.662</v>
      </c>
      <c r="H17" s="19">
        <f t="shared" si="0"/>
        <v>0</v>
      </c>
      <c r="I17" s="1">
        <f t="shared" si="1"/>
        <v>0</v>
      </c>
      <c r="J17" s="1">
        <f t="shared" si="2"/>
        <v>0</v>
      </c>
      <c r="K17" s="19">
        <f t="shared" si="3"/>
        <v>0</v>
      </c>
    </row>
    <row r="18" spans="1:11" ht="14.45" customHeight="1">
      <c r="A18" s="3">
        <v>14</v>
      </c>
      <c r="B18" s="151">
        <v>41</v>
      </c>
      <c r="C18" s="7" t="s">
        <v>155</v>
      </c>
      <c r="D18" s="4" t="s">
        <v>25</v>
      </c>
      <c r="E18" t="s">
        <v>161</v>
      </c>
      <c r="F18" s="12" t="str">
        <f>IFERROR(VLOOKUP(B18,'INSUMOS  JULIO'!$B$6:$CJ$109,6,0),"")</f>
        <v>0</v>
      </c>
      <c r="G18" s="8">
        <f>IFERROR(VLOOKUP($B18,'INSUMOS  JULIO'!$B$6:$CJ$109,7,0),"")</f>
        <v>7034.3429999999989</v>
      </c>
      <c r="H18" s="19">
        <f t="shared" si="0"/>
        <v>0</v>
      </c>
      <c r="I18" s="1">
        <f t="shared" si="1"/>
        <v>0</v>
      </c>
      <c r="J18" s="1">
        <f t="shared" si="2"/>
        <v>0</v>
      </c>
      <c r="K18" s="19">
        <f t="shared" si="3"/>
        <v>0</v>
      </c>
    </row>
    <row r="19" spans="1:11" ht="12.6" customHeight="1">
      <c r="A19" s="3">
        <v>15</v>
      </c>
      <c r="B19" s="151">
        <v>44</v>
      </c>
      <c r="C19" s="7" t="s">
        <v>16</v>
      </c>
      <c r="D19" s="4" t="s">
        <v>26</v>
      </c>
      <c r="E19" t="s">
        <v>161</v>
      </c>
      <c r="F19" s="12">
        <f>IFERROR(VLOOKUP(B19,'INSUMOS  JULIO'!$B$6:$CJ$109,6,0),"")</f>
        <v>0</v>
      </c>
      <c r="G19" s="8">
        <f>IFERROR(VLOOKUP($B19,'INSUMOS  JULIO'!$B$6:$CJ$109,7,0),"")</f>
        <v>2787.2520000000004</v>
      </c>
      <c r="H19" s="19">
        <f t="shared" si="0"/>
        <v>0</v>
      </c>
      <c r="I19" s="1">
        <f t="shared" si="1"/>
        <v>0</v>
      </c>
      <c r="J19" s="1">
        <f t="shared" si="2"/>
        <v>0</v>
      </c>
      <c r="K19" s="19">
        <f t="shared" si="3"/>
        <v>0</v>
      </c>
    </row>
    <row r="20" spans="1:11" ht="14.45" customHeight="1">
      <c r="A20" s="3">
        <v>16</v>
      </c>
      <c r="B20" s="151">
        <v>46</v>
      </c>
      <c r="C20" s="7" t="s">
        <v>27</v>
      </c>
      <c r="D20" s="4" t="s">
        <v>28</v>
      </c>
      <c r="E20" t="s">
        <v>161</v>
      </c>
      <c r="F20" s="12" t="str">
        <f>IFERROR(VLOOKUP(B20,'INSUMOS  JULIO'!$B$6:$CJ$109,6,0),"")</f>
        <v>0</v>
      </c>
      <c r="G20" s="8">
        <f>IFERROR(VLOOKUP($B20,'INSUMOS  JULIO'!$B$6:$CJ$109,7,0),"")</f>
        <v>7739.5640000000021</v>
      </c>
      <c r="H20" s="19">
        <f t="shared" si="0"/>
        <v>0</v>
      </c>
      <c r="I20" s="1">
        <f t="shared" si="1"/>
        <v>0</v>
      </c>
      <c r="J20" s="1">
        <f t="shared" si="2"/>
        <v>0</v>
      </c>
      <c r="K20" s="19">
        <f t="shared" si="3"/>
        <v>0</v>
      </c>
    </row>
    <row r="21" spans="1:11" ht="12.6" customHeight="1">
      <c r="A21" s="3">
        <v>17</v>
      </c>
      <c r="B21" s="151">
        <v>50</v>
      </c>
      <c r="C21" s="7" t="s">
        <v>13</v>
      </c>
      <c r="D21" s="4" t="s">
        <v>29</v>
      </c>
      <c r="E21" t="s">
        <v>161</v>
      </c>
      <c r="F21" s="12">
        <f>IFERROR(VLOOKUP(B21,'INSUMOS  JULIO'!$B$6:$CJ$109,6,0),"")</f>
        <v>0</v>
      </c>
      <c r="G21" s="8">
        <f>IFERROR(VLOOKUP($B21,'INSUMOS  JULIO'!$B$6:$CJ$109,7,0),"")</f>
        <v>38567.495999999999</v>
      </c>
      <c r="H21" s="19">
        <f t="shared" si="0"/>
        <v>0</v>
      </c>
      <c r="I21" s="1">
        <f t="shared" si="1"/>
        <v>0</v>
      </c>
      <c r="J21" s="1">
        <f t="shared" si="2"/>
        <v>0</v>
      </c>
      <c r="K21" s="19">
        <f t="shared" si="3"/>
        <v>0</v>
      </c>
    </row>
    <row r="22" spans="1:11" ht="12.6" customHeight="1">
      <c r="A22" s="3">
        <v>18</v>
      </c>
      <c r="B22" s="151">
        <v>51</v>
      </c>
      <c r="C22" s="7" t="s">
        <v>13</v>
      </c>
      <c r="D22" s="4" t="s">
        <v>30</v>
      </c>
      <c r="E22" t="s">
        <v>161</v>
      </c>
      <c r="F22" s="12" t="str">
        <f>IFERROR(VLOOKUP(B22,'INSUMOS  JULIO'!$B$6:$CJ$109,6,0),"")</f>
        <v>0</v>
      </c>
      <c r="G22" s="8">
        <f>IFERROR(VLOOKUP($B22,'INSUMOS  JULIO'!$B$6:$CJ$109,7,0),"")</f>
        <v>7739.5640000000021</v>
      </c>
      <c r="H22" s="19">
        <f t="shared" si="0"/>
        <v>0</v>
      </c>
      <c r="I22" s="1">
        <f t="shared" si="1"/>
        <v>0</v>
      </c>
      <c r="J22" s="1">
        <f t="shared" si="2"/>
        <v>0</v>
      </c>
      <c r="K22" s="19">
        <f t="shared" si="3"/>
        <v>0</v>
      </c>
    </row>
    <row r="23" spans="1:11" ht="12.6" customHeight="1">
      <c r="A23" s="3">
        <v>19</v>
      </c>
      <c r="B23" s="151">
        <v>52</v>
      </c>
      <c r="C23" s="7" t="s">
        <v>13</v>
      </c>
      <c r="D23" s="4" t="s">
        <v>31</v>
      </c>
      <c r="E23" t="s">
        <v>161</v>
      </c>
      <c r="F23" s="12">
        <f>IFERROR(VLOOKUP(B23,'INSUMOS  JULIO'!$B$6:$CJ$109,6,0),"")</f>
        <v>20</v>
      </c>
      <c r="G23" s="8">
        <f>IFERROR(VLOOKUP($B23,'INSUMOS  JULIO'!$B$6:$CJ$109,7,0),"")</f>
        <v>6412.1509999999998</v>
      </c>
      <c r="H23" s="19">
        <f t="shared" si="0"/>
        <v>128243.01999999999</v>
      </c>
      <c r="I23" s="1">
        <f t="shared" si="1"/>
        <v>12824.302</v>
      </c>
      <c r="J23" s="1">
        <f t="shared" si="2"/>
        <v>2436.6173800000001</v>
      </c>
      <c r="K23" s="19">
        <f t="shared" si="3"/>
        <v>143503.93938</v>
      </c>
    </row>
    <row r="24" spans="1:11" ht="12.6" customHeight="1">
      <c r="A24" s="3">
        <v>20</v>
      </c>
      <c r="B24" s="151">
        <v>54</v>
      </c>
      <c r="C24" s="7" t="s">
        <v>13</v>
      </c>
      <c r="D24" s="4" t="s">
        <v>32</v>
      </c>
      <c r="E24" t="s">
        <v>161</v>
      </c>
      <c r="F24" s="12">
        <f>IFERROR(VLOOKUP(B24,'INSUMOS  JULIO'!$B$6:$CJ$109,6,0),"")</f>
        <v>0</v>
      </c>
      <c r="G24" s="8">
        <f>IFERROR(VLOOKUP($B24,'INSUMOS  JULIO'!$B$6:$CJ$109,7,0),"")</f>
        <v>5359.049</v>
      </c>
      <c r="H24" s="19">
        <f t="shared" si="0"/>
        <v>0</v>
      </c>
      <c r="I24" s="1">
        <f t="shared" si="1"/>
        <v>0</v>
      </c>
      <c r="J24" s="1">
        <f t="shared" si="2"/>
        <v>0</v>
      </c>
      <c r="K24" s="19">
        <f t="shared" si="3"/>
        <v>0</v>
      </c>
    </row>
    <row r="25" spans="1:11" ht="12.6" customHeight="1">
      <c r="A25" s="3">
        <v>21</v>
      </c>
      <c r="B25" s="151">
        <v>57</v>
      </c>
      <c r="C25" s="7" t="s">
        <v>33</v>
      </c>
      <c r="D25" s="4" t="s">
        <v>34</v>
      </c>
      <c r="E25" t="s">
        <v>161</v>
      </c>
      <c r="F25" s="12">
        <f>IFERROR(VLOOKUP(B25,'INSUMOS  JULIO'!$B$6:$CJ$109,6,0),"")</f>
        <v>0</v>
      </c>
      <c r="G25" s="8">
        <f>IFERROR(VLOOKUP($B25,'INSUMOS  JULIO'!$B$6:$CJ$109,7,0),"")</f>
        <v>12823.251000000004</v>
      </c>
      <c r="H25" s="19">
        <f t="shared" si="0"/>
        <v>0</v>
      </c>
      <c r="I25" s="1">
        <f t="shared" si="1"/>
        <v>0</v>
      </c>
      <c r="J25" s="1">
        <f t="shared" si="2"/>
        <v>0</v>
      </c>
      <c r="K25" s="19">
        <f t="shared" si="3"/>
        <v>0</v>
      </c>
    </row>
    <row r="26" spans="1:11" ht="12.6" customHeight="1">
      <c r="A26" s="3">
        <v>22</v>
      </c>
      <c r="B26" s="151">
        <v>59</v>
      </c>
      <c r="C26" s="7" t="s">
        <v>16</v>
      </c>
      <c r="D26" s="4" t="s">
        <v>35</v>
      </c>
      <c r="E26" t="s">
        <v>161</v>
      </c>
      <c r="F26" s="12" t="str">
        <f>IFERROR(VLOOKUP(B26,'INSUMOS  JULIO'!$B$6:$CJ$109,6,0),"")</f>
        <v>0</v>
      </c>
      <c r="G26" s="8">
        <f>IFERROR(VLOOKUP($B26,'INSUMOS  JULIO'!$B$6:$CJ$109,7,0),"")</f>
        <v>13931.215200000001</v>
      </c>
      <c r="H26" s="19">
        <f t="shared" si="0"/>
        <v>0</v>
      </c>
      <c r="I26" s="1">
        <f t="shared" si="1"/>
        <v>0</v>
      </c>
      <c r="J26" s="1">
        <f t="shared" si="2"/>
        <v>0</v>
      </c>
      <c r="K26" s="19">
        <f t="shared" si="3"/>
        <v>0</v>
      </c>
    </row>
    <row r="27" spans="1:11" ht="12.6" customHeight="1">
      <c r="A27" s="3">
        <v>23</v>
      </c>
      <c r="B27" s="151">
        <v>62</v>
      </c>
      <c r="C27" s="7" t="s">
        <v>36</v>
      </c>
      <c r="D27" s="4" t="s">
        <v>37</v>
      </c>
      <c r="E27" t="s">
        <v>161</v>
      </c>
      <c r="F27" s="12">
        <f>IFERROR(VLOOKUP(B27,'INSUMOS  JULIO'!$B$6:$CJ$109,6,0),"")</f>
        <v>20</v>
      </c>
      <c r="G27" s="8">
        <f>IFERROR(VLOOKUP($B27,'INSUMOS  JULIO'!$B$6:$CJ$109,7,0),"")</f>
        <v>10100.3202</v>
      </c>
      <c r="H27" s="19">
        <f t="shared" si="0"/>
        <v>202006.40400000001</v>
      </c>
      <c r="I27" s="1">
        <f t="shared" si="1"/>
        <v>20200.640400000004</v>
      </c>
      <c r="J27" s="1">
        <f t="shared" si="2"/>
        <v>3838.1216760000007</v>
      </c>
      <c r="K27" s="19">
        <f t="shared" si="3"/>
        <v>226045.16607600002</v>
      </c>
    </row>
    <row r="28" spans="1:11" ht="14.45" customHeight="1">
      <c r="A28" s="3">
        <v>24</v>
      </c>
      <c r="B28" s="151">
        <v>63</v>
      </c>
      <c r="C28" s="7" t="s">
        <v>36</v>
      </c>
      <c r="D28" s="4" t="s">
        <v>38</v>
      </c>
      <c r="E28" t="s">
        <v>161</v>
      </c>
      <c r="F28" s="12">
        <f>IFERROR(VLOOKUP(B28,'INSUMOS  JULIO'!$B$6:$CJ$109,6,0),"")</f>
        <v>40</v>
      </c>
      <c r="G28" s="8">
        <f>IFERROR(VLOOKUP($B28,'INSUMOS  JULIO'!$B$6:$CJ$109,7,0),"")</f>
        <v>11443.4982</v>
      </c>
      <c r="H28" s="19">
        <f t="shared" si="0"/>
        <v>457739.92800000001</v>
      </c>
      <c r="I28" s="1">
        <f t="shared" si="1"/>
        <v>45773.992800000007</v>
      </c>
      <c r="J28" s="1">
        <f t="shared" si="2"/>
        <v>8697.058632000002</v>
      </c>
      <c r="K28" s="19">
        <f t="shared" si="3"/>
        <v>512210.97943200002</v>
      </c>
    </row>
    <row r="29" spans="1:11" ht="14.1" customHeight="1">
      <c r="A29" s="3">
        <v>25</v>
      </c>
      <c r="B29" s="151">
        <v>64</v>
      </c>
      <c r="C29" s="7" t="s">
        <v>39</v>
      </c>
      <c r="D29" s="4" t="s">
        <v>40</v>
      </c>
      <c r="E29" t="s">
        <v>161</v>
      </c>
      <c r="F29" s="12">
        <f>IFERROR(VLOOKUP(B29,'INSUMOS  JULIO'!$B$6:$CJ$109,6,0),"")</f>
        <v>0</v>
      </c>
      <c r="G29" s="8">
        <f>IFERROR(VLOOKUP($B29,'INSUMOS  JULIO'!$B$6:$CJ$109,7,0),"")</f>
        <v>13820.650000000001</v>
      </c>
      <c r="H29" s="19">
        <f t="shared" si="0"/>
        <v>0</v>
      </c>
      <c r="I29" s="1">
        <f t="shared" si="1"/>
        <v>0</v>
      </c>
      <c r="J29" s="1">
        <f t="shared" si="2"/>
        <v>0</v>
      </c>
      <c r="K29" s="19">
        <f t="shared" si="3"/>
        <v>0</v>
      </c>
    </row>
    <row r="30" spans="1:11" ht="14.1" customHeight="1">
      <c r="A30" s="3">
        <v>26</v>
      </c>
      <c r="B30" s="151">
        <v>65</v>
      </c>
      <c r="C30" s="7" t="s">
        <v>39</v>
      </c>
      <c r="D30" s="4" t="s">
        <v>41</v>
      </c>
      <c r="E30" t="s">
        <v>161</v>
      </c>
      <c r="F30" s="12">
        <f>IFERROR(VLOOKUP(B30,'INSUMOS  JULIO'!$B$6:$CJ$109,6,0),"")</f>
        <v>0</v>
      </c>
      <c r="G30" s="8">
        <f>IFERROR(VLOOKUP($B30,'INSUMOS  JULIO'!$B$6:$CJ$109,7,0),"")</f>
        <v>13820.650000000001</v>
      </c>
      <c r="H30" s="19">
        <f t="shared" si="0"/>
        <v>0</v>
      </c>
      <c r="I30" s="1">
        <f t="shared" si="1"/>
        <v>0</v>
      </c>
      <c r="J30" s="1">
        <f t="shared" si="2"/>
        <v>0</v>
      </c>
      <c r="K30" s="19">
        <f t="shared" si="3"/>
        <v>0</v>
      </c>
    </row>
    <row r="31" spans="1:11" ht="14.1" customHeight="1">
      <c r="A31" s="3">
        <v>27</v>
      </c>
      <c r="B31" s="151">
        <v>66</v>
      </c>
      <c r="C31" s="7" t="s">
        <v>151</v>
      </c>
      <c r="D31" s="4" t="s">
        <v>42</v>
      </c>
      <c r="E31" t="s">
        <v>161</v>
      </c>
      <c r="F31" s="12">
        <f>IFERROR(VLOOKUP(B31,'INSUMOS  JULIO'!$B$6:$CJ$109,6,0),"")</f>
        <v>30</v>
      </c>
      <c r="G31" s="8">
        <f>IFERROR(VLOOKUP($B31,'INSUMOS  JULIO'!$B$6:$CJ$109,7,0),"")</f>
        <v>4178.9862000000003</v>
      </c>
      <c r="H31" s="19">
        <f t="shared" si="0"/>
        <v>125369.58600000001</v>
      </c>
      <c r="I31" s="1">
        <f t="shared" si="1"/>
        <v>12536.958600000002</v>
      </c>
      <c r="J31" s="1">
        <f t="shared" si="2"/>
        <v>2382.0221340000003</v>
      </c>
      <c r="K31" s="19">
        <f t="shared" si="3"/>
        <v>140288.56673400002</v>
      </c>
    </row>
    <row r="32" spans="1:11" ht="14.1" customHeight="1">
      <c r="A32" s="3">
        <v>28</v>
      </c>
      <c r="B32" s="151">
        <v>71</v>
      </c>
      <c r="C32" s="7" t="s">
        <v>151</v>
      </c>
      <c r="D32" s="4" t="s">
        <v>43</v>
      </c>
      <c r="E32" t="s">
        <v>161</v>
      </c>
      <c r="F32" s="12" t="str">
        <f>IFERROR(VLOOKUP(B32,'INSUMOS  JULIO'!$B$6:$CJ$109,6,0),"")</f>
        <v>0</v>
      </c>
      <c r="G32" s="8">
        <f>IFERROR(VLOOKUP($B32,'INSUMOS  JULIO'!$B$6:$CJ$109,7,0),"")</f>
        <v>5196.1440000000002</v>
      </c>
      <c r="H32" s="19">
        <f t="shared" si="0"/>
        <v>0</v>
      </c>
      <c r="I32" s="1">
        <f t="shared" si="1"/>
        <v>0</v>
      </c>
      <c r="J32" s="1">
        <f t="shared" si="2"/>
        <v>0</v>
      </c>
      <c r="K32" s="19">
        <f t="shared" si="3"/>
        <v>0</v>
      </c>
    </row>
    <row r="33" spans="1:11" ht="14.1" customHeight="1">
      <c r="A33" s="3">
        <v>29</v>
      </c>
      <c r="B33" s="151">
        <v>72</v>
      </c>
      <c r="C33" s="7" t="s">
        <v>151</v>
      </c>
      <c r="D33" s="4" t="s">
        <v>44</v>
      </c>
      <c r="E33" t="s">
        <v>161</v>
      </c>
      <c r="F33" s="12">
        <f>IFERROR(VLOOKUP(B33,'INSUMOS  JULIO'!$B$6:$CJ$109,6,0),"")</f>
        <v>30</v>
      </c>
      <c r="G33" s="8">
        <f>IFERROR(VLOOKUP($B33,'INSUMOS  JULIO'!$B$6:$CJ$109,7,0),"")</f>
        <v>7861.3749000000007</v>
      </c>
      <c r="H33" s="19">
        <f t="shared" si="0"/>
        <v>235841.24700000003</v>
      </c>
      <c r="I33" s="1">
        <f t="shared" si="1"/>
        <v>23584.124700000004</v>
      </c>
      <c r="J33" s="1">
        <f t="shared" si="2"/>
        <v>4480.983693000001</v>
      </c>
      <c r="K33" s="19">
        <f t="shared" si="3"/>
        <v>263906.35539300006</v>
      </c>
    </row>
    <row r="34" spans="1:11" ht="24.95" customHeight="1">
      <c r="A34" s="3">
        <v>30</v>
      </c>
      <c r="B34" s="151">
        <v>73</v>
      </c>
      <c r="C34" s="7" t="s">
        <v>151</v>
      </c>
      <c r="D34" s="4" t="s">
        <v>45</v>
      </c>
      <c r="E34" t="s">
        <v>161</v>
      </c>
      <c r="F34" s="12">
        <f>IFERROR(VLOOKUP(B34,'INSUMOS  JULIO'!$B$6:$CJ$109,6,0),"")</f>
        <v>20</v>
      </c>
      <c r="G34" s="8">
        <f>IFERROR(VLOOKUP($B34,'INSUMOS  JULIO'!$B$6:$CJ$109,7,0),"")</f>
        <v>21493.685699999998</v>
      </c>
      <c r="H34" s="19">
        <f t="shared" si="0"/>
        <v>429873.71399999998</v>
      </c>
      <c r="I34" s="1">
        <f t="shared" si="1"/>
        <v>42987.371400000004</v>
      </c>
      <c r="J34" s="1">
        <f t="shared" si="2"/>
        <v>8167.600566000001</v>
      </c>
      <c r="K34" s="19">
        <f t="shared" si="3"/>
        <v>481028.68596599996</v>
      </c>
    </row>
    <row r="35" spans="1:11" ht="14.1" customHeight="1">
      <c r="A35" s="3">
        <v>31</v>
      </c>
      <c r="B35" s="151">
        <v>74</v>
      </c>
      <c r="C35" s="7" t="s">
        <v>46</v>
      </c>
      <c r="D35" s="4" t="s">
        <v>47</v>
      </c>
      <c r="E35" t="s">
        <v>161</v>
      </c>
      <c r="F35" s="12">
        <f>IFERROR(VLOOKUP(B35,'INSUMOS  JULIO'!$B$6:$CJ$109,6,0),"")</f>
        <v>0</v>
      </c>
      <c r="G35" s="8">
        <f>IFERROR(VLOOKUP($B35,'INSUMOS  JULIO'!$B$6:$CJ$109,7,0),"")</f>
        <v>3261.2529999999997</v>
      </c>
      <c r="H35" s="19">
        <f t="shared" si="0"/>
        <v>0</v>
      </c>
      <c r="I35" s="1">
        <f t="shared" si="1"/>
        <v>0</v>
      </c>
      <c r="J35" s="1">
        <f t="shared" si="2"/>
        <v>0</v>
      </c>
      <c r="K35" s="19">
        <f t="shared" si="3"/>
        <v>0</v>
      </c>
    </row>
    <row r="36" spans="1:11" ht="14.1" customHeight="1">
      <c r="A36" s="3">
        <v>32</v>
      </c>
      <c r="B36" s="151">
        <v>79</v>
      </c>
      <c r="C36" s="7" t="s">
        <v>159</v>
      </c>
      <c r="D36" s="4" t="s">
        <v>48</v>
      </c>
      <c r="E36" t="s">
        <v>161</v>
      </c>
      <c r="F36" s="12">
        <f>IFERROR(VLOOKUP(B36,'INSUMOS  JULIO'!$B$6:$CJ$109,6,0),"")</f>
        <v>0</v>
      </c>
      <c r="G36" s="8">
        <f>IFERROR(VLOOKUP($B36,'INSUMOS  JULIO'!$B$6:$CJ$109,7,0),"")</f>
        <v>541.2650000000001</v>
      </c>
      <c r="H36" s="19">
        <f t="shared" si="0"/>
        <v>0</v>
      </c>
      <c r="I36" s="1">
        <f t="shared" si="1"/>
        <v>0</v>
      </c>
      <c r="J36" s="1">
        <f t="shared" si="2"/>
        <v>0</v>
      </c>
      <c r="K36" s="19">
        <f t="shared" si="3"/>
        <v>0</v>
      </c>
    </row>
    <row r="37" spans="1:11" ht="14.1" customHeight="1">
      <c r="A37" s="3">
        <v>33</v>
      </c>
      <c r="B37" s="151">
        <v>80</v>
      </c>
      <c r="C37" s="7" t="s">
        <v>159</v>
      </c>
      <c r="D37" s="4" t="s">
        <v>49</v>
      </c>
      <c r="E37" t="s">
        <v>161</v>
      </c>
      <c r="F37" s="12">
        <f>IFERROR(VLOOKUP(B37,'INSUMOS  JULIO'!$B$6:$CJ$109,6,0),"")</f>
        <v>0</v>
      </c>
      <c r="G37" s="8">
        <f>IFERROR(VLOOKUP($B37,'INSUMOS  JULIO'!$B$6:$CJ$109,7,0),"")</f>
        <v>433.01199999999994</v>
      </c>
      <c r="H37" s="19">
        <f t="shared" si="0"/>
        <v>0</v>
      </c>
      <c r="I37" s="1">
        <f t="shared" si="1"/>
        <v>0</v>
      </c>
      <c r="J37" s="1">
        <f t="shared" si="2"/>
        <v>0</v>
      </c>
      <c r="K37" s="19">
        <f t="shared" si="3"/>
        <v>0</v>
      </c>
    </row>
    <row r="38" spans="1:11" ht="14.1" customHeight="1">
      <c r="A38" s="3">
        <v>34</v>
      </c>
      <c r="B38" s="151">
        <v>81</v>
      </c>
      <c r="C38" s="7" t="s">
        <v>159</v>
      </c>
      <c r="D38" s="4" t="s">
        <v>50</v>
      </c>
      <c r="E38" t="s">
        <v>161</v>
      </c>
      <c r="F38" s="12">
        <f>IFERROR(VLOOKUP(B38,'INSUMOS  JULIO'!$B$6:$CJ$109,6,0),"")</f>
        <v>15</v>
      </c>
      <c r="G38" s="8">
        <f>IFERROR(VLOOKUP($B38,'INSUMOS  JULIO'!$B$6:$CJ$109,7,0),"")</f>
        <v>211.251</v>
      </c>
      <c r="H38" s="19">
        <f t="shared" si="0"/>
        <v>3168.7649999999999</v>
      </c>
      <c r="I38" s="1">
        <f t="shared" si="1"/>
        <v>316.87650000000002</v>
      </c>
      <c r="J38" s="1">
        <f t="shared" si="2"/>
        <v>60.206535000000002</v>
      </c>
      <c r="K38" s="19">
        <f t="shared" si="3"/>
        <v>3545.8480349999995</v>
      </c>
    </row>
    <row r="39" spans="1:11" ht="14.1" customHeight="1">
      <c r="A39" s="3">
        <v>35</v>
      </c>
      <c r="B39" s="151">
        <v>82</v>
      </c>
      <c r="C39" s="7" t="s">
        <v>159</v>
      </c>
      <c r="D39" s="4" t="s">
        <v>51</v>
      </c>
      <c r="E39" t="s">
        <v>161</v>
      </c>
      <c r="F39" s="12" t="str">
        <f>IFERROR(VLOOKUP(B39,'INSUMOS  JULIO'!$B$6:$CJ$109,6,0),"")</f>
        <v>0</v>
      </c>
      <c r="G39" s="8">
        <f>IFERROR(VLOOKUP($B39,'INSUMOS  JULIO'!$B$6:$CJ$109,7,0),"")</f>
        <v>1003.7049999999999</v>
      </c>
      <c r="H39" s="19">
        <f t="shared" si="0"/>
        <v>0</v>
      </c>
      <c r="I39" s="1">
        <f t="shared" si="1"/>
        <v>0</v>
      </c>
      <c r="J39" s="1">
        <f t="shared" si="2"/>
        <v>0</v>
      </c>
      <c r="K39" s="19">
        <f t="shared" si="3"/>
        <v>0</v>
      </c>
    </row>
    <row r="40" spans="1:11" ht="14.1" customHeight="1">
      <c r="A40" s="3">
        <v>36</v>
      </c>
      <c r="B40" s="151">
        <v>83</v>
      </c>
      <c r="C40" s="7" t="s">
        <v>159</v>
      </c>
      <c r="D40" s="4" t="s">
        <v>52</v>
      </c>
      <c r="E40" t="s">
        <v>161</v>
      </c>
      <c r="F40" s="12" t="str">
        <f>IFERROR(VLOOKUP(B40,'INSUMOS  JULIO'!$B$6:$CJ$109,6,0),"")</f>
        <v>0</v>
      </c>
      <c r="G40" s="8">
        <f>IFERROR(VLOOKUP($B40,'INSUMOS  JULIO'!$B$6:$CJ$109,7,0),"")</f>
        <v>336.32</v>
      </c>
      <c r="H40" s="19">
        <f t="shared" si="0"/>
        <v>0</v>
      </c>
      <c r="I40" s="1">
        <f t="shared" si="1"/>
        <v>0</v>
      </c>
      <c r="J40" s="1">
        <f t="shared" si="2"/>
        <v>0</v>
      </c>
      <c r="K40" s="19">
        <f t="shared" si="3"/>
        <v>0</v>
      </c>
    </row>
    <row r="41" spans="1:11" ht="14.1" customHeight="1">
      <c r="A41" s="3">
        <v>37</v>
      </c>
      <c r="B41" s="151">
        <v>86</v>
      </c>
      <c r="C41" s="7" t="s">
        <v>53</v>
      </c>
      <c r="D41" s="4" t="s">
        <v>54</v>
      </c>
      <c r="E41" t="s">
        <v>161</v>
      </c>
      <c r="F41" s="12" t="str">
        <f>IFERROR(VLOOKUP(B41,'INSUMOS  JULIO'!$B$6:$CJ$109,6,0),"")</f>
        <v>0</v>
      </c>
      <c r="G41" s="8">
        <f>IFERROR(VLOOKUP($B41,'INSUMOS  JULIO'!$B$6:$CJ$109,7,0),"")</f>
        <v>2792.5070000000005</v>
      </c>
      <c r="H41" s="19">
        <f t="shared" si="0"/>
        <v>0</v>
      </c>
      <c r="I41" s="1">
        <f t="shared" si="1"/>
        <v>0</v>
      </c>
      <c r="J41" s="1">
        <f t="shared" si="2"/>
        <v>0</v>
      </c>
      <c r="K41" s="19">
        <f t="shared" si="3"/>
        <v>0</v>
      </c>
    </row>
    <row r="42" spans="1:11" ht="14.1" customHeight="1">
      <c r="A42" s="3">
        <v>38</v>
      </c>
      <c r="B42" s="151">
        <v>87</v>
      </c>
      <c r="C42" s="7" t="s">
        <v>53</v>
      </c>
      <c r="D42" s="4" t="s">
        <v>55</v>
      </c>
      <c r="E42" t="s">
        <v>161</v>
      </c>
      <c r="F42" s="12" t="str">
        <f>IFERROR(VLOOKUP(B42,'INSUMOS  JULIO'!$B$6:$CJ$109,6,0),"")</f>
        <v>0</v>
      </c>
      <c r="G42" s="8">
        <f>IFERROR(VLOOKUP($B42,'INSUMOS  JULIO'!$B$6:$CJ$109,7,0),"")</f>
        <v>0</v>
      </c>
      <c r="H42" s="19">
        <f t="shared" si="0"/>
        <v>0</v>
      </c>
      <c r="I42" s="1">
        <f t="shared" si="1"/>
        <v>0</v>
      </c>
      <c r="J42" s="1">
        <f t="shared" si="2"/>
        <v>0</v>
      </c>
      <c r="K42" s="19">
        <f t="shared" si="3"/>
        <v>0</v>
      </c>
    </row>
    <row r="43" spans="1:11" ht="14.1" customHeight="1">
      <c r="A43" s="3">
        <v>39</v>
      </c>
      <c r="B43" s="151">
        <v>88</v>
      </c>
      <c r="C43" s="7" t="s">
        <v>53</v>
      </c>
      <c r="D43" s="4" t="s">
        <v>56</v>
      </c>
      <c r="E43" t="s">
        <v>161</v>
      </c>
      <c r="F43" s="12">
        <f>IFERROR(VLOOKUP(B43,'INSUMOS  JULIO'!$B$6:$CJ$109,6,0),"")</f>
        <v>0</v>
      </c>
      <c r="G43" s="8">
        <f>IFERROR(VLOOKUP($B43,'INSUMOS  JULIO'!$B$6:$CJ$109,7,0),"")</f>
        <v>2717.886</v>
      </c>
      <c r="H43" s="19">
        <f t="shared" si="0"/>
        <v>0</v>
      </c>
      <c r="I43" s="1">
        <f t="shared" si="1"/>
        <v>0</v>
      </c>
      <c r="J43" s="1">
        <f t="shared" si="2"/>
        <v>0</v>
      </c>
      <c r="K43" s="19">
        <f t="shared" si="3"/>
        <v>0</v>
      </c>
    </row>
    <row r="44" spans="1:11" ht="14.1" customHeight="1">
      <c r="A44" s="3">
        <v>40</v>
      </c>
      <c r="B44" s="151">
        <v>89</v>
      </c>
      <c r="C44" s="7" t="s">
        <v>53</v>
      </c>
      <c r="D44" s="4" t="s">
        <v>57</v>
      </c>
      <c r="E44" t="s">
        <v>161</v>
      </c>
      <c r="F44" s="12" t="str">
        <f>IFERROR(VLOOKUP(B44,'INSUMOS  JULIO'!$B$6:$CJ$109,6,0),"")</f>
        <v>0</v>
      </c>
      <c r="G44" s="8">
        <f>IFERROR(VLOOKUP($B44,'INSUMOS  JULIO'!$B$6:$CJ$109,7,0),"")</f>
        <v>2650.6220000000003</v>
      </c>
      <c r="H44" s="19">
        <f t="shared" si="0"/>
        <v>0</v>
      </c>
      <c r="I44" s="1">
        <f t="shared" si="1"/>
        <v>0</v>
      </c>
      <c r="J44" s="1">
        <f t="shared" si="2"/>
        <v>0</v>
      </c>
      <c r="K44" s="19">
        <f t="shared" si="3"/>
        <v>0</v>
      </c>
    </row>
    <row r="45" spans="1:11" ht="14.1" customHeight="1">
      <c r="A45" s="3">
        <v>41</v>
      </c>
      <c r="B45" s="151">
        <v>91</v>
      </c>
      <c r="C45" s="7" t="s">
        <v>160</v>
      </c>
      <c r="D45" s="4" t="s">
        <v>58</v>
      </c>
      <c r="E45" t="s">
        <v>161</v>
      </c>
      <c r="F45" s="12" t="str">
        <f>IFERROR(VLOOKUP(B45,'INSUMOS  JULIO'!$B$6:$CJ$109,6,0),"")</f>
        <v>0</v>
      </c>
      <c r="G45" s="8">
        <f>IFERROR(VLOOKUP($B45,'INSUMOS  JULIO'!$B$6:$CJ$109,7,0),"")</f>
        <v>4364.8029999999999</v>
      </c>
      <c r="H45" s="19">
        <f t="shared" si="0"/>
        <v>0</v>
      </c>
      <c r="I45" s="1">
        <f t="shared" si="1"/>
        <v>0</v>
      </c>
      <c r="J45" s="1">
        <f t="shared" si="2"/>
        <v>0</v>
      </c>
      <c r="K45" s="19">
        <f t="shared" si="3"/>
        <v>0</v>
      </c>
    </row>
    <row r="46" spans="1:11" ht="14.1" customHeight="1">
      <c r="A46" s="3">
        <v>42</v>
      </c>
      <c r="B46" s="151">
        <v>92</v>
      </c>
      <c r="C46" s="7" t="s">
        <v>160</v>
      </c>
      <c r="D46" s="4" t="s">
        <v>59</v>
      </c>
      <c r="E46" t="s">
        <v>161</v>
      </c>
      <c r="F46" s="12" t="str">
        <f>IFERROR(VLOOKUP(B46,'INSUMOS  JULIO'!$B$6:$CJ$109,6,0),"")</f>
        <v>0</v>
      </c>
      <c r="G46" s="8">
        <f>IFERROR(VLOOKUP($B46,'INSUMOS  JULIO'!$B$6:$CJ$109,7,0),"")</f>
        <v>2380.5149999999999</v>
      </c>
      <c r="H46" s="19">
        <f t="shared" si="0"/>
        <v>0</v>
      </c>
      <c r="I46" s="1">
        <f t="shared" si="1"/>
        <v>0</v>
      </c>
      <c r="J46" s="1">
        <f t="shared" si="2"/>
        <v>0</v>
      </c>
      <c r="K46" s="19">
        <f t="shared" si="3"/>
        <v>0</v>
      </c>
    </row>
    <row r="47" spans="1:11" ht="14.1" customHeight="1">
      <c r="A47" s="3">
        <v>43</v>
      </c>
      <c r="B47" s="151">
        <v>94</v>
      </c>
      <c r="C47" s="7" t="s">
        <v>60</v>
      </c>
      <c r="D47" s="4" t="s">
        <v>61</v>
      </c>
      <c r="E47" t="s">
        <v>161</v>
      </c>
      <c r="F47" s="12" t="str">
        <f>IFERROR(VLOOKUP(B47,'INSUMOS  JULIO'!$B$6:$CJ$109,6,0),"")</f>
        <v>0</v>
      </c>
      <c r="G47" s="8">
        <f>IFERROR(VLOOKUP($B47,'INSUMOS  JULIO'!$B$6:$CJ$109,7,0),"")</f>
        <v>3316.9560000000001</v>
      </c>
      <c r="H47" s="19">
        <f t="shared" si="0"/>
        <v>0</v>
      </c>
      <c r="I47" s="1">
        <f t="shared" si="1"/>
        <v>0</v>
      </c>
      <c r="J47" s="1">
        <f t="shared" si="2"/>
        <v>0</v>
      </c>
      <c r="K47" s="19">
        <f t="shared" si="3"/>
        <v>0</v>
      </c>
    </row>
    <row r="48" spans="1:11" ht="14.1" customHeight="1">
      <c r="A48" s="3">
        <v>44</v>
      </c>
      <c r="B48" s="151">
        <v>95</v>
      </c>
      <c r="C48" s="7" t="s">
        <v>60</v>
      </c>
      <c r="D48" s="4" t="s">
        <v>62</v>
      </c>
      <c r="E48" t="s">
        <v>161</v>
      </c>
      <c r="F48" s="12" t="str">
        <f>IFERROR(VLOOKUP(B48,'INSUMOS  JULIO'!$B$6:$CJ$109,6,0),"")</f>
        <v>0</v>
      </c>
      <c r="G48" s="8">
        <f>IFERROR(VLOOKUP($B48,'INSUMOS  JULIO'!$B$6:$CJ$109,7,0),"")</f>
        <v>11056.52</v>
      </c>
      <c r="H48" s="19">
        <f t="shared" si="0"/>
        <v>0</v>
      </c>
      <c r="I48" s="1">
        <f t="shared" si="1"/>
        <v>0</v>
      </c>
      <c r="J48" s="1">
        <f t="shared" si="2"/>
        <v>0</v>
      </c>
      <c r="K48" s="19">
        <f t="shared" si="3"/>
        <v>0</v>
      </c>
    </row>
    <row r="49" spans="1:11" ht="14.1" customHeight="1">
      <c r="A49" s="3">
        <v>45</v>
      </c>
      <c r="B49" s="151">
        <v>98</v>
      </c>
      <c r="C49" s="7" t="s">
        <v>151</v>
      </c>
      <c r="D49" s="4" t="s">
        <v>63</v>
      </c>
      <c r="E49" t="s">
        <v>161</v>
      </c>
      <c r="F49" s="12">
        <f>IFERROR(VLOOKUP(B49,'INSUMOS  JULIO'!$B$6:$CJ$109,6,0),"")</f>
        <v>0</v>
      </c>
      <c r="G49" s="8">
        <f>IFERROR(VLOOKUP($B49,'INSUMOS  JULIO'!$B$6:$CJ$109,7,0),"")</f>
        <v>9503.4573</v>
      </c>
      <c r="H49" s="19">
        <f t="shared" si="0"/>
        <v>0</v>
      </c>
      <c r="I49" s="1">
        <f t="shared" si="1"/>
        <v>0</v>
      </c>
      <c r="J49" s="1">
        <f t="shared" si="2"/>
        <v>0</v>
      </c>
      <c r="K49" s="19">
        <f t="shared" si="3"/>
        <v>0</v>
      </c>
    </row>
    <row r="50" spans="1:11" ht="14.1" customHeight="1">
      <c r="A50" s="3">
        <v>46</v>
      </c>
      <c r="B50" s="151">
        <v>100</v>
      </c>
      <c r="C50" s="7" t="s">
        <v>160</v>
      </c>
      <c r="D50" s="4" t="s">
        <v>64</v>
      </c>
      <c r="E50" t="s">
        <v>161</v>
      </c>
      <c r="F50" s="12" t="str">
        <f>IFERROR(VLOOKUP(B50,'INSUMOS  JULIO'!$B$6:$CJ$109,6,0),"")</f>
        <v>0</v>
      </c>
      <c r="G50" s="8">
        <f>IFERROR(VLOOKUP($B50,'INSUMOS  JULIO'!$B$6:$CJ$109,7,0),"")</f>
        <v>4364.8029999999999</v>
      </c>
      <c r="H50" s="19">
        <f t="shared" si="0"/>
        <v>0</v>
      </c>
      <c r="I50" s="1">
        <f t="shared" si="1"/>
        <v>0</v>
      </c>
      <c r="J50" s="1">
        <f t="shared" si="2"/>
        <v>0</v>
      </c>
      <c r="K50" s="19">
        <f t="shared" si="3"/>
        <v>0</v>
      </c>
    </row>
    <row r="51" spans="1:11" ht="14.1" customHeight="1">
      <c r="A51" s="3">
        <v>47</v>
      </c>
      <c r="B51" s="151">
        <v>102</v>
      </c>
      <c r="C51" s="7" t="s">
        <v>60</v>
      </c>
      <c r="D51" s="4" t="s">
        <v>65</v>
      </c>
      <c r="E51" t="s">
        <v>161</v>
      </c>
      <c r="F51" s="12" t="str">
        <f>IFERROR(VLOOKUP(B51,'INSUMOS  JULIO'!$B$6:$CJ$109,6,0),"")</f>
        <v>0</v>
      </c>
      <c r="G51" s="8">
        <f>IFERROR(VLOOKUP($B51,'INSUMOS  JULIO'!$B$6:$CJ$109,7,0),"")</f>
        <v>3811.9770000000003</v>
      </c>
      <c r="H51" s="19">
        <f t="shared" si="0"/>
        <v>0</v>
      </c>
      <c r="I51" s="1">
        <f t="shared" si="1"/>
        <v>0</v>
      </c>
      <c r="J51" s="1">
        <f t="shared" si="2"/>
        <v>0</v>
      </c>
      <c r="K51" s="19">
        <f t="shared" si="3"/>
        <v>0</v>
      </c>
    </row>
    <row r="52" spans="1:11" ht="14.1" customHeight="1">
      <c r="A52" s="3">
        <v>48</v>
      </c>
      <c r="B52" s="151">
        <v>103</v>
      </c>
      <c r="C52" s="7" t="s">
        <v>66</v>
      </c>
      <c r="D52" s="4" t="s">
        <v>67</v>
      </c>
      <c r="E52" t="s">
        <v>161</v>
      </c>
      <c r="F52" s="12" t="str">
        <f>IFERROR(VLOOKUP(B52,'INSUMOS  JULIO'!$B$6:$CJ$109,6,0),"")</f>
        <v>0</v>
      </c>
      <c r="G52" s="8">
        <f>IFERROR(VLOOKUP($B52,'INSUMOS  JULIO'!$B$6:$CJ$109,7,0),"")</f>
        <v>18022.547999999999</v>
      </c>
      <c r="H52" s="19">
        <f t="shared" si="0"/>
        <v>0</v>
      </c>
      <c r="I52" s="1">
        <f t="shared" si="1"/>
        <v>0</v>
      </c>
      <c r="J52" s="1">
        <f t="shared" si="2"/>
        <v>0</v>
      </c>
      <c r="K52" s="19">
        <f t="shared" si="3"/>
        <v>0</v>
      </c>
    </row>
    <row r="53" spans="1:11" ht="14.1" customHeight="1">
      <c r="A53" s="3">
        <v>49</v>
      </c>
      <c r="B53" s="151">
        <v>104</v>
      </c>
      <c r="C53" s="7" t="s">
        <v>66</v>
      </c>
      <c r="D53" s="4" t="s">
        <v>68</v>
      </c>
      <c r="E53" t="s">
        <v>161</v>
      </c>
      <c r="F53" s="12" t="str">
        <f>IFERROR(VLOOKUP(B53,'INSUMOS  JULIO'!$B$6:$CJ$109,6,0),"")</f>
        <v>0</v>
      </c>
      <c r="G53" s="8">
        <f>IFERROR(VLOOKUP($B53,'INSUMOS  JULIO'!$B$6:$CJ$109,7,0),"")</f>
        <v>18022.547999999999</v>
      </c>
      <c r="H53" s="19">
        <f t="shared" si="0"/>
        <v>0</v>
      </c>
      <c r="I53" s="1">
        <f t="shared" si="1"/>
        <v>0</v>
      </c>
      <c r="J53" s="1">
        <f t="shared" si="2"/>
        <v>0</v>
      </c>
      <c r="K53" s="19">
        <f t="shared" si="3"/>
        <v>0</v>
      </c>
    </row>
    <row r="54" spans="1:11" ht="14.1" customHeight="1">
      <c r="A54" s="3">
        <v>50</v>
      </c>
      <c r="B54" s="151">
        <v>105</v>
      </c>
      <c r="C54" s="7" t="s">
        <v>66</v>
      </c>
      <c r="D54" s="4" t="s">
        <v>69</v>
      </c>
      <c r="E54" t="s">
        <v>161</v>
      </c>
      <c r="F54" s="12" t="str">
        <f>IFERROR(VLOOKUP(B54,'INSUMOS  JULIO'!$B$6:$CJ$109,6,0),"")</f>
        <v>0</v>
      </c>
      <c r="G54" s="8">
        <f>IFERROR(VLOOKUP($B54,'INSUMOS  JULIO'!$B$6:$CJ$109,7,0),"")</f>
        <v>27641.3</v>
      </c>
      <c r="H54" s="19">
        <f t="shared" si="0"/>
        <v>0</v>
      </c>
      <c r="I54" s="1">
        <f t="shared" si="1"/>
        <v>0</v>
      </c>
      <c r="J54" s="1">
        <f t="shared" si="2"/>
        <v>0</v>
      </c>
      <c r="K54" s="19">
        <f t="shared" si="3"/>
        <v>0</v>
      </c>
    </row>
    <row r="55" spans="1:11" ht="14.1" customHeight="1">
      <c r="A55" s="3">
        <v>51</v>
      </c>
      <c r="B55" s="151">
        <v>106</v>
      </c>
      <c r="C55" s="7" t="s">
        <v>66</v>
      </c>
      <c r="D55" s="4" t="s">
        <v>70</v>
      </c>
      <c r="E55" t="s">
        <v>161</v>
      </c>
      <c r="F55" s="12" t="str">
        <f>IFERROR(VLOOKUP(B55,'INSUMOS  JULIO'!$B$6:$CJ$109,6,0),"")</f>
        <v>0</v>
      </c>
      <c r="G55" s="8">
        <f>IFERROR(VLOOKUP($B55,'INSUMOS  JULIO'!$B$6:$CJ$109,7,0),"")</f>
        <v>0</v>
      </c>
      <c r="H55" s="19">
        <f t="shared" si="0"/>
        <v>0</v>
      </c>
      <c r="I55" s="1">
        <f t="shared" si="1"/>
        <v>0</v>
      </c>
      <c r="J55" s="1">
        <f t="shared" si="2"/>
        <v>0</v>
      </c>
      <c r="K55" s="19">
        <f t="shared" si="3"/>
        <v>0</v>
      </c>
    </row>
    <row r="56" spans="1:11" ht="14.1" customHeight="1">
      <c r="A56" s="3">
        <v>52</v>
      </c>
      <c r="B56" s="151">
        <v>108</v>
      </c>
      <c r="C56" s="7" t="s">
        <v>66</v>
      </c>
      <c r="D56" s="4" t="s">
        <v>71</v>
      </c>
      <c r="E56" t="s">
        <v>161</v>
      </c>
      <c r="F56" s="12" t="str">
        <f>IFERROR(VLOOKUP(B56,'INSUMOS  JULIO'!$B$6:$CJ$109,6,0),"")</f>
        <v>0</v>
      </c>
      <c r="G56" s="8">
        <f>IFERROR(VLOOKUP($B56,'INSUMOS  JULIO'!$B$6:$CJ$109,7,0),"")</f>
        <v>38697.82</v>
      </c>
      <c r="H56" s="19">
        <f t="shared" si="0"/>
        <v>0</v>
      </c>
      <c r="I56" s="1">
        <f t="shared" si="1"/>
        <v>0</v>
      </c>
      <c r="J56" s="1">
        <f t="shared" si="2"/>
        <v>0</v>
      </c>
      <c r="K56" s="19">
        <f t="shared" si="3"/>
        <v>0</v>
      </c>
    </row>
    <row r="57" spans="1:11" ht="14.1" customHeight="1">
      <c r="A57" s="3">
        <v>53</v>
      </c>
      <c r="B57" s="151">
        <v>109</v>
      </c>
      <c r="C57" s="7" t="s">
        <v>66</v>
      </c>
      <c r="D57" s="4" t="s">
        <v>72</v>
      </c>
      <c r="E57" t="s">
        <v>161</v>
      </c>
      <c r="F57" s="12" t="str">
        <f>IFERROR(VLOOKUP(B57,'INSUMOS  JULIO'!$B$6:$CJ$109,6,0),"")</f>
        <v>0</v>
      </c>
      <c r="G57" s="8">
        <f>IFERROR(VLOOKUP($B57,'INSUMOS  JULIO'!$B$6:$CJ$109,7,0),"")</f>
        <v>49754.340000000004</v>
      </c>
      <c r="H57" s="19">
        <f t="shared" si="0"/>
        <v>0</v>
      </c>
      <c r="I57" s="1">
        <f t="shared" si="1"/>
        <v>0</v>
      </c>
      <c r="J57" s="1">
        <f t="shared" si="2"/>
        <v>0</v>
      </c>
      <c r="K57" s="19">
        <f t="shared" si="3"/>
        <v>0</v>
      </c>
    </row>
    <row r="58" spans="1:11" ht="14.1" customHeight="1">
      <c r="A58" s="3">
        <v>54</v>
      </c>
      <c r="B58" s="151">
        <v>110</v>
      </c>
      <c r="C58" s="7" t="s">
        <v>158</v>
      </c>
      <c r="D58" s="4" t="s">
        <v>73</v>
      </c>
      <c r="E58" t="s">
        <v>161</v>
      </c>
      <c r="F58" s="12">
        <f>IFERROR(VLOOKUP(B58,'INSUMOS  JULIO'!$B$6:$CJ$109,6,0),"")</f>
        <v>350</v>
      </c>
      <c r="G58" s="8">
        <f>IFERROR(VLOOKUP($B58,'INSUMOS  JULIO'!$B$6:$CJ$109,7,0),"")</f>
        <v>1442.4974999999999</v>
      </c>
      <c r="H58" s="19">
        <f t="shared" si="0"/>
        <v>504874.125</v>
      </c>
      <c r="I58" s="1">
        <f t="shared" si="1"/>
        <v>50487.412500000006</v>
      </c>
      <c r="J58" s="1">
        <f t="shared" si="2"/>
        <v>9592.6083750000016</v>
      </c>
      <c r="K58" s="19">
        <f t="shared" si="3"/>
        <v>564954.14587499993</v>
      </c>
    </row>
    <row r="59" spans="1:11" ht="14.1" customHeight="1">
      <c r="A59" s="3">
        <v>55</v>
      </c>
      <c r="B59" s="151">
        <v>118</v>
      </c>
      <c r="C59" s="7" t="s">
        <v>158</v>
      </c>
      <c r="D59" s="4" t="s">
        <v>74</v>
      </c>
      <c r="E59" t="s">
        <v>161</v>
      </c>
      <c r="F59" s="12">
        <f>IFERROR(VLOOKUP(B59,'INSUMOS  JULIO'!$B$6:$CJ$109,6,0),"")</f>
        <v>200</v>
      </c>
      <c r="G59" s="8">
        <f>IFERROR(VLOOKUP($B59,'INSUMOS  JULIO'!$B$6:$CJ$109,7,0),"")</f>
        <v>4129.7993999999999</v>
      </c>
      <c r="H59" s="19">
        <f t="shared" si="0"/>
        <v>825959.88</v>
      </c>
      <c r="I59" s="1">
        <f t="shared" si="1"/>
        <v>82595.988000000012</v>
      </c>
      <c r="J59" s="1">
        <f t="shared" si="2"/>
        <v>15693.237720000003</v>
      </c>
      <c r="K59" s="19">
        <f t="shared" si="3"/>
        <v>924249.10571999999</v>
      </c>
    </row>
    <row r="60" spans="1:11" ht="14.1" customHeight="1">
      <c r="A60" s="3">
        <v>56</v>
      </c>
      <c r="B60" s="151">
        <v>119</v>
      </c>
      <c r="C60" s="7" t="s">
        <v>158</v>
      </c>
      <c r="D60" s="4" t="s">
        <v>75</v>
      </c>
      <c r="E60" t="s">
        <v>161</v>
      </c>
      <c r="F60" s="12" t="str">
        <f>IFERROR(VLOOKUP(B60,'INSUMOS  JULIO'!$B$6:$CJ$109,6,0),"")</f>
        <v>0</v>
      </c>
      <c r="G60" s="8">
        <f>IFERROR(VLOOKUP($B60,'INSUMOS  JULIO'!$B$6:$CJ$109,7,0),"")</f>
        <v>2821.9350000000004</v>
      </c>
      <c r="H60" s="19">
        <f t="shared" si="0"/>
        <v>0</v>
      </c>
      <c r="I60" s="1">
        <f t="shared" si="1"/>
        <v>0</v>
      </c>
      <c r="J60" s="1">
        <f t="shared" si="2"/>
        <v>0</v>
      </c>
      <c r="K60" s="19">
        <f t="shared" si="3"/>
        <v>0</v>
      </c>
    </row>
    <row r="61" spans="1:11" ht="14.1" customHeight="1">
      <c r="A61" s="3">
        <v>57</v>
      </c>
      <c r="B61" s="151">
        <v>120</v>
      </c>
      <c r="C61" s="7" t="s">
        <v>158</v>
      </c>
      <c r="D61" s="4" t="s">
        <v>76</v>
      </c>
      <c r="E61" t="s">
        <v>161</v>
      </c>
      <c r="F61" s="12" t="str">
        <f>IFERROR(VLOOKUP(B61,'INSUMOS  JULIO'!$B$6:$CJ$109,6,0),"")</f>
        <v>0</v>
      </c>
      <c r="G61" s="8">
        <f>IFERROR(VLOOKUP($B61,'INSUMOS  JULIO'!$B$6:$CJ$109,7,0),"")</f>
        <v>2821.9350000000004</v>
      </c>
      <c r="H61" s="19">
        <f t="shared" si="0"/>
        <v>0</v>
      </c>
      <c r="I61" s="1">
        <f t="shared" si="1"/>
        <v>0</v>
      </c>
      <c r="J61" s="1">
        <f t="shared" si="2"/>
        <v>0</v>
      </c>
      <c r="K61" s="19">
        <f t="shared" si="3"/>
        <v>0</v>
      </c>
    </row>
    <row r="62" spans="1:11" ht="14.1" customHeight="1">
      <c r="A62" s="3">
        <v>58</v>
      </c>
      <c r="B62" s="151">
        <v>122</v>
      </c>
      <c r="C62" s="7" t="s">
        <v>158</v>
      </c>
      <c r="D62" s="4" t="s">
        <v>77</v>
      </c>
      <c r="E62" t="s">
        <v>161</v>
      </c>
      <c r="F62" s="12" t="str">
        <f>IFERROR(VLOOKUP(B62,'INSUMOS  JULIO'!$B$6:$CJ$109,6,0),"")</f>
        <v>0</v>
      </c>
      <c r="G62" s="8">
        <f>IFERROR(VLOOKUP($B62,'INSUMOS  JULIO'!$B$6:$CJ$109,7,0),"")</f>
        <v>5223.4699999999993</v>
      </c>
      <c r="H62" s="19">
        <f t="shared" si="0"/>
        <v>0</v>
      </c>
      <c r="I62" s="1">
        <f t="shared" si="1"/>
        <v>0</v>
      </c>
      <c r="J62" s="1">
        <f t="shared" si="2"/>
        <v>0</v>
      </c>
      <c r="K62" s="19">
        <f t="shared" si="3"/>
        <v>0</v>
      </c>
    </row>
    <row r="63" spans="1:11" ht="14.1" customHeight="1">
      <c r="A63" s="3">
        <v>59</v>
      </c>
      <c r="B63" s="151">
        <v>123</v>
      </c>
      <c r="C63" s="7" t="s">
        <v>158</v>
      </c>
      <c r="D63" s="4" t="s">
        <v>78</v>
      </c>
      <c r="E63" t="s">
        <v>161</v>
      </c>
      <c r="F63" s="12" t="str">
        <f>IFERROR(VLOOKUP(B63,'INSUMOS  JULIO'!$B$6:$CJ$109,6,0),"")</f>
        <v>0</v>
      </c>
      <c r="G63" s="8">
        <f>IFERROR(VLOOKUP($B63,'INSUMOS  JULIO'!$B$6:$CJ$109,7,0),"")</f>
        <v>5765.7860000000001</v>
      </c>
      <c r="H63" s="19">
        <f t="shared" si="0"/>
        <v>0</v>
      </c>
      <c r="I63" s="1">
        <f t="shared" si="1"/>
        <v>0</v>
      </c>
      <c r="J63" s="1">
        <f t="shared" si="2"/>
        <v>0</v>
      </c>
      <c r="K63" s="19">
        <f t="shared" si="3"/>
        <v>0</v>
      </c>
    </row>
    <row r="64" spans="1:11" ht="14.1" customHeight="1">
      <c r="A64" s="3">
        <v>60</v>
      </c>
      <c r="B64" s="151">
        <v>124</v>
      </c>
      <c r="C64" s="7" t="s">
        <v>158</v>
      </c>
      <c r="D64" s="4" t="s">
        <v>79</v>
      </c>
      <c r="E64" t="s">
        <v>161</v>
      </c>
      <c r="F64" s="12" t="str">
        <f>IFERROR(VLOOKUP(B64,'INSUMOS  JULIO'!$B$6:$CJ$109,6,0),"")</f>
        <v>0</v>
      </c>
      <c r="G64" s="8">
        <f>IFERROR(VLOOKUP($B64,'INSUMOS  JULIO'!$B$6:$CJ$109,7,0),"")</f>
        <v>5765.7860000000001</v>
      </c>
      <c r="H64" s="19">
        <f t="shared" si="0"/>
        <v>0</v>
      </c>
      <c r="I64" s="1">
        <f t="shared" si="1"/>
        <v>0</v>
      </c>
      <c r="J64" s="1">
        <f t="shared" si="2"/>
        <v>0</v>
      </c>
      <c r="K64" s="19">
        <f t="shared" si="3"/>
        <v>0</v>
      </c>
    </row>
    <row r="65" spans="1:11" ht="15">
      <c r="A65" s="3">
        <v>108</v>
      </c>
      <c r="B65" s="151">
        <v>126</v>
      </c>
      <c r="C65" s="7" t="s">
        <v>9</v>
      </c>
      <c r="D65" s="4" t="s">
        <v>80</v>
      </c>
      <c r="E65" t="s">
        <v>161</v>
      </c>
      <c r="F65" s="12" t="str">
        <f>IFERROR(VLOOKUP(B65,'INSUMOS  JULIO'!$B$6:$CJ$109,6,0),"")</f>
        <v>0</v>
      </c>
      <c r="G65" s="8">
        <f>IFERROR(VLOOKUP($B65,'INSUMOS  JULIO'!$B$6:$CJ$109,7,0),"")</f>
        <v>3316.9560000000001</v>
      </c>
      <c r="H65" s="19">
        <f t="shared" si="0"/>
        <v>0</v>
      </c>
      <c r="I65" s="1">
        <f t="shared" si="1"/>
        <v>0</v>
      </c>
      <c r="J65" s="1">
        <f t="shared" si="2"/>
        <v>0</v>
      </c>
      <c r="K65" s="19">
        <f t="shared" si="3"/>
        <v>0</v>
      </c>
    </row>
    <row r="66" spans="1:11" ht="15">
      <c r="A66" s="3">
        <v>109</v>
      </c>
      <c r="B66" s="151">
        <v>127</v>
      </c>
      <c r="C66" s="7" t="s">
        <v>156</v>
      </c>
      <c r="D66" s="4" t="s">
        <v>81</v>
      </c>
      <c r="E66" t="s">
        <v>161</v>
      </c>
      <c r="F66" s="12" t="str">
        <f>IFERROR(VLOOKUP(B66,'INSUMOS  JULIO'!$B$6:$CJ$109,6,0),"")</f>
        <v>0</v>
      </c>
      <c r="G66" s="8">
        <f>IFERROR(VLOOKUP($B66,'INSUMOS  JULIO'!$B$6:$CJ$109,7,0),"")</f>
        <v>3316.9560000000001</v>
      </c>
      <c r="H66" s="19">
        <f t="shared" si="0"/>
        <v>0</v>
      </c>
      <c r="I66" s="1">
        <f t="shared" si="1"/>
        <v>0</v>
      </c>
      <c r="J66" s="1">
        <f t="shared" si="2"/>
        <v>0</v>
      </c>
      <c r="K66" s="19">
        <f t="shared" si="3"/>
        <v>0</v>
      </c>
    </row>
    <row r="67" spans="1:11" ht="15">
      <c r="A67" s="3">
        <v>110</v>
      </c>
      <c r="B67" s="151">
        <v>129</v>
      </c>
      <c r="C67" s="7" t="s">
        <v>157</v>
      </c>
      <c r="D67" s="4" t="s">
        <v>82</v>
      </c>
      <c r="E67" t="s">
        <v>161</v>
      </c>
      <c r="F67" s="12" t="str">
        <f>IFERROR(VLOOKUP(B67,'INSUMOS  JULIO'!$B$6:$CJ$109,6,0),"")</f>
        <v>0</v>
      </c>
      <c r="G67" s="8">
        <f>IFERROR(VLOOKUP($B67,'INSUMOS  JULIO'!$B$6:$CJ$109,7,0),"")</f>
        <v>3787.8040000000001</v>
      </c>
      <c r="H67" s="19">
        <f t="shared" si="0"/>
        <v>0</v>
      </c>
      <c r="I67" s="1">
        <f t="shared" si="1"/>
        <v>0</v>
      </c>
      <c r="J67" s="1">
        <f t="shared" si="2"/>
        <v>0</v>
      </c>
      <c r="K67" s="19">
        <f t="shared" si="3"/>
        <v>0</v>
      </c>
    </row>
    <row r="68" spans="1:11" ht="15">
      <c r="A68" s="3">
        <v>111</v>
      </c>
      <c r="B68" s="151">
        <v>131</v>
      </c>
      <c r="C68" s="7" t="s">
        <v>13</v>
      </c>
      <c r="D68" s="4" t="s">
        <v>83</v>
      </c>
      <c r="E68" t="s">
        <v>161</v>
      </c>
      <c r="F68" s="12" t="str">
        <f>IFERROR(VLOOKUP(B68,'INSUMOS  JULIO'!$B$6:$CJ$109,6,0),"")</f>
        <v>0</v>
      </c>
      <c r="G68" s="8">
        <f>IFERROR(VLOOKUP($B68,'INSUMOS  JULIO'!$B$6:$CJ$109,7,0),"")</f>
        <v>0</v>
      </c>
      <c r="H68" s="19">
        <f t="shared" si="0"/>
        <v>0</v>
      </c>
      <c r="I68" s="1">
        <f t="shared" si="1"/>
        <v>0</v>
      </c>
      <c r="J68" s="1">
        <f t="shared" si="2"/>
        <v>0</v>
      </c>
      <c r="K68" s="19">
        <f t="shared" si="3"/>
        <v>0</v>
      </c>
    </row>
    <row r="69" spans="1:11" ht="15">
      <c r="A69" s="3">
        <v>112</v>
      </c>
      <c r="B69" s="151">
        <v>132</v>
      </c>
      <c r="C69" s="7" t="s">
        <v>13</v>
      </c>
      <c r="D69" s="4" t="s">
        <v>84</v>
      </c>
      <c r="E69" t="s">
        <v>161</v>
      </c>
      <c r="F69" s="12" t="str">
        <f>IFERROR(VLOOKUP(B69,'INSUMOS  JULIO'!$B$6:$CJ$109,6,0),"")</f>
        <v>0</v>
      </c>
      <c r="G69" s="8">
        <f>IFERROR(VLOOKUP($B69,'INSUMOS  JULIO'!$B$6:$CJ$109,7,0),"")</f>
        <v>0</v>
      </c>
      <c r="H69" s="19">
        <f t="shared" si="0"/>
        <v>0</v>
      </c>
      <c r="I69" s="1">
        <f t="shared" si="1"/>
        <v>0</v>
      </c>
      <c r="J69" s="1">
        <f t="shared" si="2"/>
        <v>0</v>
      </c>
      <c r="K69" s="19">
        <f t="shared" si="3"/>
        <v>0</v>
      </c>
    </row>
    <row r="70" spans="1:11" ht="15">
      <c r="A70" s="3">
        <v>113</v>
      </c>
      <c r="B70" s="151">
        <v>134</v>
      </c>
      <c r="C70" s="7" t="s">
        <v>16</v>
      </c>
      <c r="D70" s="4" t="s">
        <v>85</v>
      </c>
      <c r="E70" t="s">
        <v>161</v>
      </c>
      <c r="F70" s="12" t="str">
        <f>IFERROR(VLOOKUP(B70,'INSUMOS  JULIO'!$B$6:$CJ$109,6,0),"")</f>
        <v>0</v>
      </c>
      <c r="G70" s="8">
        <f>IFERROR(VLOOKUP($B70,'INSUMOS  JULIO'!$B$6:$CJ$109,7,0),"")</f>
        <v>0</v>
      </c>
      <c r="H70" s="19">
        <f t="shared" ref="H70:H133" si="4">+F70*G70</f>
        <v>0</v>
      </c>
      <c r="I70" s="1">
        <f t="shared" ref="I70:I133" si="5">+H70*10%</f>
        <v>0</v>
      </c>
      <c r="J70" s="1">
        <f t="shared" ref="J70:J133" si="6">+I70*19%</f>
        <v>0</v>
      </c>
      <c r="K70" s="19">
        <f t="shared" ref="K70:K133" si="7">SUM(H70:J70)</f>
        <v>0</v>
      </c>
    </row>
    <row r="71" spans="1:11" ht="15">
      <c r="A71" s="3">
        <v>114</v>
      </c>
      <c r="B71" s="151">
        <v>135</v>
      </c>
      <c r="C71" s="7" t="s">
        <v>18</v>
      </c>
      <c r="D71" s="4" t="s">
        <v>86</v>
      </c>
      <c r="E71" t="s">
        <v>161</v>
      </c>
      <c r="F71" s="12">
        <f>IFERROR(VLOOKUP(B71,'INSUMOS  JULIO'!$B$6:$CJ$109,6,0),"")</f>
        <v>0</v>
      </c>
      <c r="G71" s="8">
        <f>IFERROR(VLOOKUP($B71,'INSUMOS  JULIO'!$B$6:$CJ$109,7,0),"")</f>
        <v>6229.277</v>
      </c>
      <c r="H71" s="19">
        <f t="shared" si="4"/>
        <v>0</v>
      </c>
      <c r="I71" s="1">
        <f t="shared" si="5"/>
        <v>0</v>
      </c>
      <c r="J71" s="1">
        <f t="shared" si="6"/>
        <v>0</v>
      </c>
      <c r="K71" s="19">
        <f t="shared" si="7"/>
        <v>0</v>
      </c>
    </row>
    <row r="72" spans="1:11" ht="15">
      <c r="A72" s="3">
        <v>115</v>
      </c>
      <c r="B72" s="151">
        <v>137</v>
      </c>
      <c r="C72" s="7" t="s">
        <v>20</v>
      </c>
      <c r="D72" s="4" t="s">
        <v>88</v>
      </c>
      <c r="E72" t="s">
        <v>161</v>
      </c>
      <c r="F72" s="12" t="str">
        <f>IFERROR(VLOOKUP(B72,'INSUMOS  JULIO'!$B$6:$CJ$109,6,0),"")</f>
        <v>0</v>
      </c>
      <c r="G72" s="8">
        <f>IFERROR(VLOOKUP($B72,'INSUMOS  JULIO'!$B$6:$CJ$109,7,0),"")</f>
        <v>1245.4349999999999</v>
      </c>
      <c r="H72" s="19">
        <f t="shared" si="4"/>
        <v>0</v>
      </c>
      <c r="I72" s="1">
        <f t="shared" si="5"/>
        <v>0</v>
      </c>
      <c r="J72" s="1">
        <f t="shared" si="6"/>
        <v>0</v>
      </c>
      <c r="K72" s="19">
        <f t="shared" si="7"/>
        <v>0</v>
      </c>
    </row>
    <row r="73" spans="1:11" ht="15">
      <c r="A73" s="3">
        <v>116</v>
      </c>
      <c r="B73" s="151">
        <v>139</v>
      </c>
      <c r="C73" s="7" t="s">
        <v>22</v>
      </c>
      <c r="D73" s="4" t="s">
        <v>89</v>
      </c>
      <c r="E73" t="s">
        <v>161</v>
      </c>
      <c r="F73" s="12">
        <f>IFERROR(VLOOKUP(B73,'INSUMOS  JULIO'!$B$6:$CJ$109,6,0),"")</f>
        <v>0</v>
      </c>
      <c r="G73" s="8">
        <f>IFERROR(VLOOKUP($B73,'INSUMOS  JULIO'!$B$6:$CJ$109,7,0),"")</f>
        <v>51246.970200000003</v>
      </c>
      <c r="H73" s="19">
        <f t="shared" si="4"/>
        <v>0</v>
      </c>
      <c r="I73" s="1">
        <f t="shared" si="5"/>
        <v>0</v>
      </c>
      <c r="J73" s="1">
        <f t="shared" si="6"/>
        <v>0</v>
      </c>
      <c r="K73" s="19">
        <f t="shared" si="7"/>
        <v>0</v>
      </c>
    </row>
    <row r="74" spans="1:11" ht="15">
      <c r="A74" s="3">
        <v>117</v>
      </c>
      <c r="B74" s="151">
        <v>151</v>
      </c>
      <c r="C74" s="7" t="s">
        <v>18</v>
      </c>
      <c r="D74" s="4" t="s">
        <v>91</v>
      </c>
      <c r="E74" t="s">
        <v>161</v>
      </c>
      <c r="F74" s="12">
        <f>IFERROR(VLOOKUP(B74,'INSUMOS  JULIO'!$B$6:$CJ$109,6,0),"")</f>
        <v>3120</v>
      </c>
      <c r="G74" s="8">
        <f>IFERROR(VLOOKUP($B74,'INSUMOS  JULIO'!$B$6:$CJ$109,7,0),"")</f>
        <v>7960.6944000000003</v>
      </c>
      <c r="H74" s="19">
        <f t="shared" si="4"/>
        <v>24837366.528000001</v>
      </c>
      <c r="I74" s="1">
        <f t="shared" si="5"/>
        <v>2483736.6528000003</v>
      </c>
      <c r="J74" s="1">
        <f t="shared" si="6"/>
        <v>471909.96403200005</v>
      </c>
      <c r="K74" s="19">
        <f t="shared" si="7"/>
        <v>27793013.144832004</v>
      </c>
    </row>
    <row r="75" spans="1:11" ht="15">
      <c r="A75" s="3">
        <v>118</v>
      </c>
      <c r="B75" s="151">
        <v>152</v>
      </c>
      <c r="C75" s="7" t="s">
        <v>155</v>
      </c>
      <c r="D75" s="4" t="s">
        <v>92</v>
      </c>
      <c r="E75" t="s">
        <v>161</v>
      </c>
      <c r="F75" s="12" t="str">
        <f>IFERROR(VLOOKUP(B75,'INSUMOS  JULIO'!$B$6:$CJ$109,6,0),"")</f>
        <v>0</v>
      </c>
      <c r="G75" s="8">
        <f>IFERROR(VLOOKUP($B75,'INSUMOS  JULIO'!$B$6:$CJ$109,7,0),"")</f>
        <v>0</v>
      </c>
      <c r="H75" s="19">
        <f t="shared" si="4"/>
        <v>0</v>
      </c>
      <c r="I75" s="1">
        <f t="shared" si="5"/>
        <v>0</v>
      </c>
      <c r="J75" s="1">
        <f t="shared" si="6"/>
        <v>0</v>
      </c>
      <c r="K75" s="19">
        <f t="shared" si="7"/>
        <v>0</v>
      </c>
    </row>
    <row r="76" spans="1:11" ht="15">
      <c r="A76" s="3">
        <v>119</v>
      </c>
      <c r="B76" s="151">
        <v>154</v>
      </c>
      <c r="C76" s="7" t="s">
        <v>16</v>
      </c>
      <c r="D76" s="4" t="s">
        <v>94</v>
      </c>
      <c r="E76" t="s">
        <v>161</v>
      </c>
      <c r="F76" s="12" t="str">
        <f>IFERROR(VLOOKUP(B76,'INSUMOS  JULIO'!$B$6:$CJ$109,6,0),"")</f>
        <v>0</v>
      </c>
      <c r="G76" s="8">
        <f>IFERROR(VLOOKUP($B76,'INSUMOS  JULIO'!$B$6:$CJ$109,7,0),"")</f>
        <v>5005.7028</v>
      </c>
      <c r="H76" s="19">
        <f t="shared" si="4"/>
        <v>0</v>
      </c>
      <c r="I76" s="1">
        <f t="shared" si="5"/>
        <v>0</v>
      </c>
      <c r="J76" s="1">
        <f t="shared" si="6"/>
        <v>0</v>
      </c>
      <c r="K76" s="19">
        <f t="shared" si="7"/>
        <v>0</v>
      </c>
    </row>
    <row r="77" spans="1:11" ht="15">
      <c r="A77" s="3">
        <v>120</v>
      </c>
      <c r="B77" s="151">
        <v>155</v>
      </c>
      <c r="C77" s="7" t="s">
        <v>27</v>
      </c>
      <c r="D77" s="4" t="s">
        <v>95</v>
      </c>
      <c r="E77" t="s">
        <v>161</v>
      </c>
      <c r="F77" s="12">
        <f>IFERROR(VLOOKUP(B77,'INSUMOS  JULIO'!$B$6:$CJ$109,6,0),"")</f>
        <v>0</v>
      </c>
      <c r="G77" s="8">
        <f>IFERROR(VLOOKUP($B77,'INSUMOS  JULIO'!$B$6:$CJ$109,7,0),"")</f>
        <v>5005.7028</v>
      </c>
      <c r="H77" s="19">
        <f t="shared" si="4"/>
        <v>0</v>
      </c>
      <c r="I77" s="1">
        <f t="shared" si="5"/>
        <v>0</v>
      </c>
      <c r="J77" s="1">
        <f t="shared" si="6"/>
        <v>0</v>
      </c>
      <c r="K77" s="19">
        <f t="shared" si="7"/>
        <v>0</v>
      </c>
    </row>
    <row r="78" spans="1:11" ht="15">
      <c r="A78" s="3">
        <v>121</v>
      </c>
      <c r="B78" s="151">
        <v>156</v>
      </c>
      <c r="C78" s="7" t="s">
        <v>13</v>
      </c>
      <c r="D78" s="4" t="s">
        <v>96</v>
      </c>
      <c r="E78" t="s">
        <v>161</v>
      </c>
      <c r="F78" s="12" t="str">
        <f>IFERROR(VLOOKUP(B78,'INSUMOS  JULIO'!$B$6:$CJ$109,6,0),"")</f>
        <v>0</v>
      </c>
      <c r="G78" s="8">
        <f>IFERROR(VLOOKUP($B78,'INSUMOS  JULIO'!$B$6:$CJ$109,7,0),"")</f>
        <v>4422.6080000000002</v>
      </c>
      <c r="H78" s="19">
        <f t="shared" si="4"/>
        <v>0</v>
      </c>
      <c r="I78" s="1">
        <f t="shared" si="5"/>
        <v>0</v>
      </c>
      <c r="J78" s="1">
        <f t="shared" si="6"/>
        <v>0</v>
      </c>
      <c r="K78" s="19">
        <f t="shared" si="7"/>
        <v>0</v>
      </c>
    </row>
    <row r="79" spans="1:11" ht="15">
      <c r="A79" s="3">
        <v>122</v>
      </c>
      <c r="B79" s="151">
        <v>157</v>
      </c>
      <c r="C79" s="7" t="s">
        <v>13</v>
      </c>
      <c r="D79" s="4" t="s">
        <v>97</v>
      </c>
      <c r="E79" t="s">
        <v>161</v>
      </c>
      <c r="F79" s="12">
        <f>IFERROR(VLOOKUP(B79,'INSUMOS  JULIO'!$B$6:$CJ$109,6,0),"")</f>
        <v>300</v>
      </c>
      <c r="G79" s="8">
        <f>IFERROR(VLOOKUP($B79,'INSUMOS  JULIO'!$B$6:$CJ$109,7,0),"")</f>
        <v>8955.7812000000013</v>
      </c>
      <c r="H79" s="19">
        <f t="shared" si="4"/>
        <v>2686734.3600000003</v>
      </c>
      <c r="I79" s="1">
        <f t="shared" si="5"/>
        <v>268673.43600000005</v>
      </c>
      <c r="J79" s="1">
        <f t="shared" si="6"/>
        <v>51047.952840000013</v>
      </c>
      <c r="K79" s="19">
        <f t="shared" si="7"/>
        <v>3006455.7488400005</v>
      </c>
    </row>
    <row r="80" spans="1:11" ht="15">
      <c r="A80" s="3">
        <v>123</v>
      </c>
      <c r="B80" s="151">
        <v>159</v>
      </c>
      <c r="C80" s="7" t="s">
        <v>13</v>
      </c>
      <c r="D80" s="4" t="s">
        <v>98</v>
      </c>
      <c r="E80" t="s">
        <v>161</v>
      </c>
      <c r="F80" s="12" t="str">
        <f>IFERROR(VLOOKUP(B80,'INSUMOS  JULIO'!$B$6:$CJ$109,6,0),"")</f>
        <v>0</v>
      </c>
      <c r="G80" s="8">
        <f>IFERROR(VLOOKUP($B80,'INSUMOS  JULIO'!$B$6:$CJ$109,7,0),"")</f>
        <v>6716.8359</v>
      </c>
      <c r="H80" s="19">
        <f t="shared" si="4"/>
        <v>0</v>
      </c>
      <c r="I80" s="1">
        <f t="shared" si="5"/>
        <v>0</v>
      </c>
      <c r="J80" s="1">
        <f t="shared" si="6"/>
        <v>0</v>
      </c>
      <c r="K80" s="19">
        <f t="shared" si="7"/>
        <v>0</v>
      </c>
    </row>
    <row r="81" spans="1:11" ht="15">
      <c r="A81" s="3">
        <v>124</v>
      </c>
      <c r="B81" s="151">
        <v>160</v>
      </c>
      <c r="C81" s="7" t="s">
        <v>13</v>
      </c>
      <c r="D81" s="4" t="s">
        <v>99</v>
      </c>
      <c r="E81" t="s">
        <v>161</v>
      </c>
      <c r="F81" s="12" t="str">
        <f>IFERROR(VLOOKUP(B81,'INSUMOS  JULIO'!$B$6:$CJ$109,6,0),"")</f>
        <v>0</v>
      </c>
      <c r="G81" s="8">
        <f>IFERROR(VLOOKUP($B81,'INSUMOS  JULIO'!$B$6:$CJ$109,7,0),"")</f>
        <v>3035.3931000000002</v>
      </c>
      <c r="H81" s="19">
        <f t="shared" si="4"/>
        <v>0</v>
      </c>
      <c r="I81" s="1">
        <f t="shared" si="5"/>
        <v>0</v>
      </c>
      <c r="J81" s="1">
        <f t="shared" si="6"/>
        <v>0</v>
      </c>
      <c r="K81" s="19">
        <f t="shared" si="7"/>
        <v>0</v>
      </c>
    </row>
    <row r="82" spans="1:11" ht="15">
      <c r="A82" s="3">
        <v>125</v>
      </c>
      <c r="B82" s="151">
        <v>161</v>
      </c>
      <c r="C82" s="7" t="s">
        <v>33</v>
      </c>
      <c r="D82" s="4" t="s">
        <v>100</v>
      </c>
      <c r="E82" t="s">
        <v>161</v>
      </c>
      <c r="F82" s="12" t="str">
        <f>IFERROR(VLOOKUP(B82,'INSUMOS  JULIO'!$B$6:$CJ$109,6,0),"")</f>
        <v>0</v>
      </c>
      <c r="G82" s="8">
        <f>IFERROR(VLOOKUP($B82,'INSUMOS  JULIO'!$B$6:$CJ$109,7,0),"")</f>
        <v>2236.5280000000002</v>
      </c>
      <c r="H82" s="19">
        <f t="shared" si="4"/>
        <v>0</v>
      </c>
      <c r="I82" s="1">
        <f t="shared" si="5"/>
        <v>0</v>
      </c>
      <c r="J82" s="1">
        <f t="shared" si="6"/>
        <v>0</v>
      </c>
      <c r="K82" s="19">
        <f t="shared" si="7"/>
        <v>0</v>
      </c>
    </row>
    <row r="83" spans="1:11" ht="15">
      <c r="A83" s="3">
        <v>126</v>
      </c>
      <c r="B83" s="151">
        <v>162</v>
      </c>
      <c r="C83" s="7" t="s">
        <v>16</v>
      </c>
      <c r="D83" s="4" t="s">
        <v>101</v>
      </c>
      <c r="E83" t="s">
        <v>161</v>
      </c>
      <c r="F83" s="12">
        <f>IFERROR(VLOOKUP(B83,'INSUMOS  JULIO'!$B$6:$CJ$109,6,0),"")</f>
        <v>0</v>
      </c>
      <c r="G83" s="8">
        <f>IFERROR(VLOOKUP($B83,'INSUMOS  JULIO'!$B$6:$CJ$109,7,0),"")</f>
        <v>2684.2539999999999</v>
      </c>
      <c r="H83" s="19">
        <f t="shared" si="4"/>
        <v>0</v>
      </c>
      <c r="I83" s="1">
        <f t="shared" si="5"/>
        <v>0</v>
      </c>
      <c r="J83" s="1">
        <f t="shared" si="6"/>
        <v>0</v>
      </c>
      <c r="K83" s="19">
        <f t="shared" si="7"/>
        <v>0</v>
      </c>
    </row>
    <row r="84" spans="1:11" ht="15">
      <c r="A84" s="3">
        <v>127</v>
      </c>
      <c r="B84" s="151">
        <v>164</v>
      </c>
      <c r="C84" s="7" t="s">
        <v>36</v>
      </c>
      <c r="D84" s="4" t="s">
        <v>102</v>
      </c>
      <c r="E84" t="s">
        <v>161</v>
      </c>
      <c r="F84" s="12" t="str">
        <f>IFERROR(VLOOKUP(B84,'INSUMOS  JULIO'!$B$6:$CJ$109,6,0),"")</f>
        <v>0</v>
      </c>
      <c r="G84" s="8">
        <f>IFERROR(VLOOKUP($B84,'INSUMOS  JULIO'!$B$6:$CJ$109,7,0),"")</f>
        <v>1658.4780000000001</v>
      </c>
      <c r="H84" s="19">
        <f t="shared" si="4"/>
        <v>0</v>
      </c>
      <c r="I84" s="1">
        <f t="shared" si="5"/>
        <v>0</v>
      </c>
      <c r="J84" s="1">
        <f t="shared" si="6"/>
        <v>0</v>
      </c>
      <c r="K84" s="19">
        <f t="shared" si="7"/>
        <v>0</v>
      </c>
    </row>
    <row r="85" spans="1:11" ht="15">
      <c r="A85" s="3">
        <v>128</v>
      </c>
      <c r="B85" s="151">
        <v>169</v>
      </c>
      <c r="C85" s="7" t="s">
        <v>36</v>
      </c>
      <c r="D85" s="4" t="s">
        <v>104</v>
      </c>
      <c r="E85" t="s">
        <v>161</v>
      </c>
      <c r="F85" s="12" t="str">
        <f>IFERROR(VLOOKUP(B85,'INSUMOS  JULIO'!$B$6:$CJ$109,6,0),"")</f>
        <v>0</v>
      </c>
      <c r="G85" s="8">
        <f>IFERROR(VLOOKUP($B85,'INSUMOS  JULIO'!$B$6:$CJ$109,7,0),"")</f>
        <v>85897.178999999989</v>
      </c>
      <c r="H85" s="19">
        <f t="shared" si="4"/>
        <v>0</v>
      </c>
      <c r="I85" s="1">
        <f t="shared" si="5"/>
        <v>0</v>
      </c>
      <c r="J85" s="1">
        <f t="shared" si="6"/>
        <v>0</v>
      </c>
      <c r="K85" s="19">
        <f t="shared" si="7"/>
        <v>0</v>
      </c>
    </row>
    <row r="86" spans="1:11" ht="15">
      <c r="A86" s="3">
        <v>129</v>
      </c>
      <c r="B86" s="151">
        <v>170</v>
      </c>
      <c r="C86" s="7" t="s">
        <v>39</v>
      </c>
      <c r="D86" s="4" t="s">
        <v>106</v>
      </c>
      <c r="E86" t="s">
        <v>161</v>
      </c>
      <c r="F86" s="12">
        <f>IFERROR(VLOOKUP(B86,'INSUMOS  JULIO'!$B$6:$CJ$109,6,0),"")</f>
        <v>500</v>
      </c>
      <c r="G86" s="8">
        <f>IFERROR(VLOOKUP($B86,'INSUMOS  JULIO'!$B$6:$CJ$109,7,0),"")</f>
        <v>19405.664000000001</v>
      </c>
      <c r="H86" s="19">
        <f t="shared" si="4"/>
        <v>9702832</v>
      </c>
      <c r="I86" s="1">
        <f t="shared" si="5"/>
        <v>970283.20000000007</v>
      </c>
      <c r="J86" s="1">
        <f t="shared" si="6"/>
        <v>184353.80800000002</v>
      </c>
      <c r="K86" s="19">
        <f t="shared" si="7"/>
        <v>10857469.007999999</v>
      </c>
    </row>
    <row r="87" spans="1:11" ht="15">
      <c r="A87" s="3">
        <v>130</v>
      </c>
      <c r="B87" s="151">
        <v>173</v>
      </c>
      <c r="C87" s="7" t="s">
        <v>39</v>
      </c>
      <c r="D87" s="4" t="s">
        <v>107</v>
      </c>
      <c r="E87" t="s">
        <v>161</v>
      </c>
      <c r="F87" s="12" t="str">
        <f>IFERROR(VLOOKUP(B87,'INSUMOS  JULIO'!$B$6:$CJ$109,6,0),"")</f>
        <v>0</v>
      </c>
      <c r="G87" s="8">
        <f>IFERROR(VLOOKUP($B87,'INSUMOS  JULIO'!$B$6:$CJ$109,7,0),"")</f>
        <v>21394.3662</v>
      </c>
      <c r="H87" s="19">
        <f t="shared" si="4"/>
        <v>0</v>
      </c>
      <c r="I87" s="1">
        <f t="shared" si="5"/>
        <v>0</v>
      </c>
      <c r="J87" s="1">
        <f t="shared" si="6"/>
        <v>0</v>
      </c>
      <c r="K87" s="19">
        <f t="shared" si="7"/>
        <v>0</v>
      </c>
    </row>
    <row r="88" spans="1:11" ht="15">
      <c r="A88" s="3">
        <v>131</v>
      </c>
      <c r="B88" s="151">
        <v>174</v>
      </c>
      <c r="C88" s="7" t="s">
        <v>108</v>
      </c>
      <c r="D88" s="4" t="s">
        <v>109</v>
      </c>
      <c r="E88" t="s">
        <v>161</v>
      </c>
      <c r="F88" s="12" t="str">
        <f>IFERROR(VLOOKUP(B88,'INSUMOS  JULIO'!$B$6:$CJ$109,6,0),"")</f>
        <v>0</v>
      </c>
      <c r="G88" s="8">
        <f>IFERROR(VLOOKUP($B88,'INSUMOS  JULIO'!$B$6:$CJ$109,7,0),"")</f>
        <v>6081.0860000000002</v>
      </c>
      <c r="H88" s="19">
        <f t="shared" si="4"/>
        <v>0</v>
      </c>
      <c r="I88" s="1">
        <f t="shared" si="5"/>
        <v>0</v>
      </c>
      <c r="J88" s="1">
        <f t="shared" si="6"/>
        <v>0</v>
      </c>
      <c r="K88" s="19">
        <f t="shared" si="7"/>
        <v>0</v>
      </c>
    </row>
    <row r="89" spans="1:11" ht="15">
      <c r="A89" s="3">
        <v>132</v>
      </c>
      <c r="B89" s="151">
        <v>176</v>
      </c>
      <c r="C89" s="7" t="s">
        <v>108</v>
      </c>
      <c r="D89" s="4" t="s">
        <v>110</v>
      </c>
      <c r="E89" t="s">
        <v>161</v>
      </c>
      <c r="F89" s="12" t="str">
        <f>IFERROR(VLOOKUP(B89,'INSUMOS  JULIO'!$B$6:$CJ$109,6,0),"")</f>
        <v>0</v>
      </c>
      <c r="G89" s="8">
        <f>IFERROR(VLOOKUP($B89,'INSUMOS  JULIO'!$B$6:$CJ$109,7,0),"")</f>
        <v>3781.7082</v>
      </c>
      <c r="H89" s="19">
        <f t="shared" si="4"/>
        <v>0</v>
      </c>
      <c r="I89" s="1">
        <f t="shared" si="5"/>
        <v>0</v>
      </c>
      <c r="J89" s="1">
        <f t="shared" si="6"/>
        <v>0</v>
      </c>
      <c r="K89" s="19">
        <f t="shared" si="7"/>
        <v>0</v>
      </c>
    </row>
    <row r="90" spans="1:11" ht="15">
      <c r="A90" s="3">
        <v>133</v>
      </c>
      <c r="B90" s="151">
        <v>192</v>
      </c>
      <c r="C90" s="7" t="s">
        <v>149</v>
      </c>
      <c r="D90" s="4" t="s">
        <v>111</v>
      </c>
      <c r="E90" t="s">
        <v>161</v>
      </c>
      <c r="F90" s="12">
        <f>IFERROR(VLOOKUP(B90,'INSUMOS  JULIO'!$B$6:$CJ$109,6,0),"")</f>
        <v>200</v>
      </c>
      <c r="G90" s="8">
        <f>IFERROR(VLOOKUP($B90,'INSUMOS  JULIO'!$B$6:$CJ$109,7,0),"")</f>
        <v>6866.2880999999998</v>
      </c>
      <c r="H90" s="19">
        <f t="shared" si="4"/>
        <v>1373257.6199999999</v>
      </c>
      <c r="I90" s="1">
        <f t="shared" si="5"/>
        <v>137325.76199999999</v>
      </c>
      <c r="J90" s="1">
        <f t="shared" si="6"/>
        <v>26091.894779999999</v>
      </c>
      <c r="K90" s="19">
        <f t="shared" si="7"/>
        <v>1536675.2767799997</v>
      </c>
    </row>
    <row r="91" spans="1:11" ht="15">
      <c r="A91" s="3">
        <v>134</v>
      </c>
      <c r="B91" s="151">
        <v>195</v>
      </c>
      <c r="C91" s="7" t="s">
        <v>151</v>
      </c>
      <c r="D91" s="4" t="s">
        <v>112</v>
      </c>
      <c r="E91" t="s">
        <v>161</v>
      </c>
      <c r="F91" s="12">
        <f>IFERROR(VLOOKUP(B91,'INSUMOS  JULIO'!$B$6:$CJ$109,6,0),"")</f>
        <v>200</v>
      </c>
      <c r="G91" s="8">
        <f>IFERROR(VLOOKUP($B91,'INSUMOS  JULIO'!$B$6:$CJ$109,7,0),"")</f>
        <v>10697.1831</v>
      </c>
      <c r="H91" s="19">
        <f t="shared" si="4"/>
        <v>2139436.62</v>
      </c>
      <c r="I91" s="1">
        <f t="shared" si="5"/>
        <v>213943.66200000001</v>
      </c>
      <c r="J91" s="1">
        <f t="shared" si="6"/>
        <v>40649.29578</v>
      </c>
      <c r="K91" s="19">
        <f t="shared" si="7"/>
        <v>2394029.5777799999</v>
      </c>
    </row>
    <row r="92" spans="1:11" ht="15">
      <c r="A92" s="3">
        <v>135</v>
      </c>
      <c r="B92" s="151">
        <v>204</v>
      </c>
      <c r="C92" s="7" t="s">
        <v>46</v>
      </c>
      <c r="D92" s="4" t="s">
        <v>113</v>
      </c>
      <c r="E92" t="s">
        <v>161</v>
      </c>
      <c r="F92" s="12">
        <f>IFERROR(VLOOKUP(B92,'INSUMOS  JULIO'!$B$6:$CJ$109,6,0),"")</f>
        <v>50</v>
      </c>
      <c r="G92" s="8">
        <f>IFERROR(VLOOKUP($B92,'INSUMOS  JULIO'!$B$6:$CJ$109,7,0),"")</f>
        <v>25673.6178</v>
      </c>
      <c r="H92" s="19">
        <f t="shared" si="4"/>
        <v>1283680.8899999999</v>
      </c>
      <c r="I92" s="1">
        <f t="shared" si="5"/>
        <v>128368.08899999999</v>
      </c>
      <c r="J92" s="1">
        <f t="shared" si="6"/>
        <v>24389.93691</v>
      </c>
      <c r="K92" s="19">
        <f t="shared" si="7"/>
        <v>1436438.9159099997</v>
      </c>
    </row>
    <row r="93" spans="1:11" ht="27">
      <c r="A93" s="3">
        <v>136</v>
      </c>
      <c r="B93" s="151">
        <v>205</v>
      </c>
      <c r="C93" s="7" t="s">
        <v>159</v>
      </c>
      <c r="D93" s="4" t="s">
        <v>114</v>
      </c>
      <c r="E93" t="s">
        <v>161</v>
      </c>
      <c r="F93" s="12" t="str">
        <f>IFERROR(VLOOKUP(B93,'INSUMOS  JULIO'!$B$6:$CJ$109,6,0),"")</f>
        <v>0</v>
      </c>
      <c r="G93" s="8">
        <f>IFERROR(VLOOKUP($B93,'INSUMOS  JULIO'!$B$6:$CJ$109,7,0),"")</f>
        <v>32639.225399999996</v>
      </c>
      <c r="H93" s="19">
        <f t="shared" si="4"/>
        <v>0</v>
      </c>
      <c r="I93" s="1">
        <f t="shared" si="5"/>
        <v>0</v>
      </c>
      <c r="J93" s="1">
        <f t="shared" si="6"/>
        <v>0</v>
      </c>
      <c r="K93" s="19">
        <f t="shared" si="7"/>
        <v>0</v>
      </c>
    </row>
    <row r="94" spans="1:11" ht="15">
      <c r="A94" s="3">
        <v>137</v>
      </c>
      <c r="B94" s="151">
        <v>207</v>
      </c>
      <c r="C94" s="7" t="s">
        <v>159</v>
      </c>
      <c r="D94" s="4" t="s">
        <v>115</v>
      </c>
      <c r="E94" t="s">
        <v>161</v>
      </c>
      <c r="F94" s="12" t="str">
        <f>IFERROR(VLOOKUP(B94,'INSUMOS  JULIO'!$B$6:$CJ$109,6,0),"")</f>
        <v>0</v>
      </c>
      <c r="G94" s="8">
        <f>IFERROR(VLOOKUP($B94,'INSUMOS  JULIO'!$B$6:$CJ$109,7,0),"")</f>
        <v>7186.7380000000003</v>
      </c>
      <c r="H94" s="19">
        <f t="shared" si="4"/>
        <v>0</v>
      </c>
      <c r="I94" s="1">
        <f t="shared" si="5"/>
        <v>0</v>
      </c>
      <c r="J94" s="1">
        <f t="shared" si="6"/>
        <v>0</v>
      </c>
      <c r="K94" s="19">
        <f t="shared" si="7"/>
        <v>0</v>
      </c>
    </row>
    <row r="95" spans="1:11" ht="15">
      <c r="A95" s="3">
        <v>138</v>
      </c>
      <c r="B95" s="151">
        <v>208</v>
      </c>
      <c r="C95" s="7" t="s">
        <v>159</v>
      </c>
      <c r="D95" s="4" t="s">
        <v>634</v>
      </c>
      <c r="E95" t="s">
        <v>161</v>
      </c>
      <c r="F95" s="12" t="str">
        <f>IFERROR(VLOOKUP(B95,'INSUMOS  JULIO'!$B$6:$CJ$109,6,0),"")</f>
        <v>0</v>
      </c>
      <c r="G95" s="8">
        <f>IFERROR(VLOOKUP($B95,'INSUMOS  JULIO'!$B$6:$CJ$109,7,0),"")</f>
        <v>50779.065000000002</v>
      </c>
      <c r="H95" s="19">
        <f t="shared" si="4"/>
        <v>0</v>
      </c>
      <c r="I95" s="1">
        <f t="shared" si="5"/>
        <v>0</v>
      </c>
      <c r="J95" s="1">
        <f t="shared" si="6"/>
        <v>0</v>
      </c>
      <c r="K95" s="19">
        <f t="shared" si="7"/>
        <v>0</v>
      </c>
    </row>
    <row r="96" spans="1:11" ht="15">
      <c r="A96" s="3">
        <v>139</v>
      </c>
      <c r="B96" s="151">
        <v>209</v>
      </c>
      <c r="C96" s="7" t="s">
        <v>159</v>
      </c>
      <c r="D96" s="4" t="s">
        <v>635</v>
      </c>
      <c r="E96" t="s">
        <v>161</v>
      </c>
      <c r="F96" s="12" t="str">
        <f>IFERROR(VLOOKUP(B96,'INSUMOS  JULIO'!$B$6:$CJ$109,6,0),"")</f>
        <v>0</v>
      </c>
      <c r="G96" s="8">
        <f>IFERROR(VLOOKUP($B96,'INSUMOS  JULIO'!$B$6:$CJ$109,7,0),"")</f>
        <v>51545.874600000003</v>
      </c>
      <c r="H96" s="19">
        <f t="shared" si="4"/>
        <v>0</v>
      </c>
      <c r="I96" s="1">
        <f t="shared" si="5"/>
        <v>0</v>
      </c>
      <c r="J96" s="1">
        <f t="shared" si="6"/>
        <v>0</v>
      </c>
      <c r="K96" s="19">
        <f t="shared" si="7"/>
        <v>0</v>
      </c>
    </row>
    <row r="97" spans="1:11" ht="15">
      <c r="A97" s="3">
        <v>140</v>
      </c>
      <c r="B97" s="151">
        <v>210</v>
      </c>
      <c r="C97" s="7" t="s">
        <v>159</v>
      </c>
      <c r="D97" s="4" t="s">
        <v>636</v>
      </c>
      <c r="E97" t="s">
        <v>161</v>
      </c>
      <c r="F97" s="12" t="str">
        <f>IFERROR(VLOOKUP(B97,'INSUMOS  JULIO'!$B$6:$CJ$109,6,0),"")</f>
        <v>0</v>
      </c>
      <c r="G97" s="8">
        <f>IFERROR(VLOOKUP($B97,'INSUMOS  JULIO'!$B$6:$CJ$109,7,0),"")</f>
        <v>22537.643999999997</v>
      </c>
      <c r="H97" s="19">
        <f t="shared" si="4"/>
        <v>0</v>
      </c>
      <c r="I97" s="1">
        <f t="shared" si="5"/>
        <v>0</v>
      </c>
      <c r="J97" s="1">
        <f t="shared" si="6"/>
        <v>0</v>
      </c>
      <c r="K97" s="19">
        <f t="shared" si="7"/>
        <v>0</v>
      </c>
    </row>
    <row r="98" spans="1:11" ht="15">
      <c r="A98" s="3">
        <v>141</v>
      </c>
      <c r="B98" s="151">
        <v>211</v>
      </c>
      <c r="C98" s="7" t="s">
        <v>53</v>
      </c>
      <c r="D98" s="4" t="s">
        <v>637</v>
      </c>
      <c r="E98" t="s">
        <v>161</v>
      </c>
      <c r="F98" s="12" t="str">
        <f>IFERROR(VLOOKUP(B98,'INSUMOS  JULIO'!$B$6:$CJ$109,6,0),"")</f>
        <v>0</v>
      </c>
      <c r="G98" s="8">
        <f>IFERROR(VLOOKUP($B98,'INSUMOS  JULIO'!$B$6:$CJ$109,7,0),"")</f>
        <v>29553.699600000004</v>
      </c>
      <c r="H98" s="19">
        <f t="shared" si="4"/>
        <v>0</v>
      </c>
      <c r="I98" s="1">
        <f t="shared" si="5"/>
        <v>0</v>
      </c>
      <c r="J98" s="1">
        <f t="shared" si="6"/>
        <v>0</v>
      </c>
      <c r="K98" s="19">
        <f t="shared" si="7"/>
        <v>0</v>
      </c>
    </row>
    <row r="99" spans="1:11" ht="15">
      <c r="A99" s="3">
        <v>142</v>
      </c>
      <c r="B99" s="151">
        <v>212</v>
      </c>
      <c r="C99" s="7" t="s">
        <v>53</v>
      </c>
      <c r="D99" s="4" t="s">
        <v>116</v>
      </c>
      <c r="E99" t="s">
        <v>161</v>
      </c>
      <c r="F99" s="12" t="str">
        <f>IFERROR(VLOOKUP(B99,'INSUMOS  JULIO'!$B$6:$CJ$109,6,0),"")</f>
        <v>0</v>
      </c>
      <c r="G99" s="8">
        <f>IFERROR(VLOOKUP($B99,'INSUMOS  JULIO'!$B$6:$CJ$109,7,0),"")</f>
        <v>2505.5839999999998</v>
      </c>
      <c r="H99" s="19">
        <f t="shared" si="4"/>
        <v>0</v>
      </c>
      <c r="I99" s="1">
        <f t="shared" si="5"/>
        <v>0</v>
      </c>
      <c r="J99" s="1">
        <f t="shared" si="6"/>
        <v>0</v>
      </c>
      <c r="K99" s="19">
        <f t="shared" si="7"/>
        <v>0</v>
      </c>
    </row>
    <row r="100" spans="1:11" ht="15">
      <c r="A100" s="3">
        <v>143</v>
      </c>
      <c r="B100" s="151">
        <v>213</v>
      </c>
      <c r="C100" s="7" t="s">
        <v>53</v>
      </c>
      <c r="D100" s="4" t="s">
        <v>638</v>
      </c>
      <c r="E100" t="s">
        <v>161</v>
      </c>
      <c r="F100" s="12" t="str">
        <f>IFERROR(VLOOKUP(B100,'INSUMOS  JULIO'!$B$6:$CJ$109,6,0),"")</f>
        <v>0</v>
      </c>
      <c r="G100" s="8">
        <f>IFERROR(VLOOKUP($B100,'INSUMOS  JULIO'!$B$6:$CJ$109,7,0),"")</f>
        <v>0</v>
      </c>
      <c r="H100" s="19">
        <f t="shared" si="4"/>
        <v>0</v>
      </c>
      <c r="I100" s="1">
        <f t="shared" si="5"/>
        <v>0</v>
      </c>
      <c r="J100" s="1">
        <f t="shared" si="6"/>
        <v>0</v>
      </c>
      <c r="K100" s="19">
        <f t="shared" si="7"/>
        <v>0</v>
      </c>
    </row>
    <row r="101" spans="1:11" ht="15">
      <c r="A101" s="3">
        <v>144</v>
      </c>
      <c r="B101" s="151">
        <v>215</v>
      </c>
      <c r="C101" s="7" t="s">
        <v>53</v>
      </c>
      <c r="D101" s="4" t="s">
        <v>639</v>
      </c>
      <c r="E101" t="s">
        <v>161</v>
      </c>
      <c r="F101" s="12" t="str">
        <f>IFERROR(VLOOKUP(B101,'INSUMOS  JULIO'!$B$6:$CJ$109,6,0),"")</f>
        <v>0</v>
      </c>
      <c r="G101" s="8">
        <f>IFERROR(VLOOKUP($B101,'INSUMOS  JULIO'!$B$6:$CJ$109,7,0),"")</f>
        <v>10476.367999999999</v>
      </c>
      <c r="H101" s="19">
        <f t="shared" si="4"/>
        <v>0</v>
      </c>
      <c r="I101" s="1">
        <f t="shared" si="5"/>
        <v>0</v>
      </c>
      <c r="J101" s="1">
        <f t="shared" si="6"/>
        <v>0</v>
      </c>
      <c r="K101" s="19">
        <f t="shared" si="7"/>
        <v>0</v>
      </c>
    </row>
    <row r="102" spans="1:11" ht="15">
      <c r="A102" s="3">
        <v>145</v>
      </c>
      <c r="B102" s="151">
        <v>216</v>
      </c>
      <c r="C102" s="7" t="s">
        <v>160</v>
      </c>
      <c r="D102" s="4" t="s">
        <v>640</v>
      </c>
      <c r="E102" t="s">
        <v>161</v>
      </c>
      <c r="F102" s="12" t="str">
        <f>IFERROR(VLOOKUP(B102,'INSUMOS  JULIO'!$B$6:$CJ$109,6,0),"")</f>
        <v>0</v>
      </c>
      <c r="G102" s="8">
        <f>IFERROR(VLOOKUP($B102,'INSUMOS  JULIO'!$B$6:$CJ$109,7,0),"")</f>
        <v>3954.9129999999996</v>
      </c>
      <c r="H102" s="19">
        <f t="shared" si="4"/>
        <v>0</v>
      </c>
      <c r="I102" s="1">
        <f t="shared" si="5"/>
        <v>0</v>
      </c>
      <c r="J102" s="1">
        <f t="shared" si="6"/>
        <v>0</v>
      </c>
      <c r="K102" s="19">
        <f t="shared" si="7"/>
        <v>0</v>
      </c>
    </row>
    <row r="103" spans="1:11" ht="15">
      <c r="A103" s="3">
        <v>146</v>
      </c>
      <c r="B103" s="151">
        <v>218</v>
      </c>
      <c r="C103" s="7" t="s">
        <v>160</v>
      </c>
      <c r="D103" s="4" t="s">
        <v>117</v>
      </c>
      <c r="E103" t="s">
        <v>161</v>
      </c>
      <c r="F103" s="12" t="str">
        <f>IFERROR(VLOOKUP(B103,'INSUMOS  JULIO'!$B$6:$CJ$109,6,0),"")</f>
        <v>0</v>
      </c>
      <c r="G103" s="8">
        <f>IFERROR(VLOOKUP($B103,'INSUMOS  JULIO'!$B$6:$CJ$109,7,0),"")</f>
        <v>2587.0365000000002</v>
      </c>
      <c r="H103" s="19">
        <f t="shared" si="4"/>
        <v>0</v>
      </c>
      <c r="I103" s="1">
        <f t="shared" si="5"/>
        <v>0</v>
      </c>
      <c r="J103" s="1">
        <f t="shared" si="6"/>
        <v>0</v>
      </c>
      <c r="K103" s="19">
        <f t="shared" si="7"/>
        <v>0</v>
      </c>
    </row>
    <row r="104" spans="1:11" ht="15">
      <c r="A104" s="3">
        <v>147</v>
      </c>
      <c r="B104" s="151">
        <v>251</v>
      </c>
      <c r="C104" s="7" t="s">
        <v>60</v>
      </c>
      <c r="D104" s="4" t="s">
        <v>118</v>
      </c>
      <c r="E104" t="s">
        <v>161</v>
      </c>
      <c r="F104" s="12" t="str">
        <f>IFERROR(VLOOKUP(B104,'INSUMOS  JULIO'!$B$6:$CJ$109,6,0),"")</f>
        <v>0</v>
      </c>
      <c r="G104" s="8">
        <f>IFERROR(VLOOKUP($B104,'INSUMOS  JULIO'!$B$6:$CJ$109,7,0),"")</f>
        <v>16031.954000000002</v>
      </c>
      <c r="H104" s="19">
        <f t="shared" si="4"/>
        <v>0</v>
      </c>
      <c r="I104" s="1">
        <f t="shared" si="5"/>
        <v>0</v>
      </c>
      <c r="J104" s="1">
        <f t="shared" si="6"/>
        <v>0</v>
      </c>
      <c r="K104" s="19">
        <f t="shared" si="7"/>
        <v>0</v>
      </c>
    </row>
    <row r="105" spans="1:11" ht="15">
      <c r="A105" s="3">
        <v>148</v>
      </c>
      <c r="B105" s="151">
        <v>255</v>
      </c>
      <c r="C105" s="7" t="s">
        <v>60</v>
      </c>
      <c r="D105" s="4" t="s">
        <v>641</v>
      </c>
      <c r="E105" t="s">
        <v>161</v>
      </c>
      <c r="F105" s="12" t="str">
        <f>IFERROR(VLOOKUP(B105,'INSUMOS  JULIO'!$B$6:$CJ$109,6,0),"")</f>
        <v>0</v>
      </c>
      <c r="G105" s="8">
        <f>IFERROR(VLOOKUP($B105,'INSUMOS  JULIO'!$B$6:$CJ$109,7,0),"")</f>
        <v>29299.777999999998</v>
      </c>
      <c r="H105" s="19">
        <f t="shared" si="4"/>
        <v>0</v>
      </c>
      <c r="I105" s="1">
        <f t="shared" si="5"/>
        <v>0</v>
      </c>
      <c r="J105" s="1">
        <f t="shared" si="6"/>
        <v>0</v>
      </c>
      <c r="K105" s="19">
        <f t="shared" si="7"/>
        <v>0</v>
      </c>
    </row>
    <row r="106" spans="1:11" ht="15">
      <c r="A106" s="3">
        <v>149</v>
      </c>
      <c r="B106" s="151">
        <v>257</v>
      </c>
      <c r="C106" s="7" t="s">
        <v>151</v>
      </c>
      <c r="D106" s="4" t="s">
        <v>642</v>
      </c>
      <c r="E106" t="s">
        <v>161</v>
      </c>
      <c r="F106" s="12" t="str">
        <f>IFERROR(VLOOKUP(B106,'INSUMOS  JULIO'!$B$6:$CJ$109,6,0),"")</f>
        <v>0</v>
      </c>
      <c r="G106" s="8">
        <f>IFERROR(VLOOKUP($B106,'INSUMOS  JULIO'!$B$6:$CJ$109,7,0),"")</f>
        <v>18796.084000000003</v>
      </c>
      <c r="H106" s="19">
        <f t="shared" si="4"/>
        <v>0</v>
      </c>
      <c r="I106" s="1">
        <f t="shared" si="5"/>
        <v>0</v>
      </c>
      <c r="J106" s="1">
        <f t="shared" si="6"/>
        <v>0</v>
      </c>
      <c r="K106" s="19">
        <f t="shared" si="7"/>
        <v>0</v>
      </c>
    </row>
    <row r="107" spans="1:11" ht="15">
      <c r="A107" s="3">
        <v>150</v>
      </c>
      <c r="B107" s="151">
        <v>260</v>
      </c>
      <c r="C107" s="7" t="s">
        <v>160</v>
      </c>
      <c r="D107" s="4" t="s">
        <v>643</v>
      </c>
      <c r="E107" t="s">
        <v>161</v>
      </c>
      <c r="F107" s="12" t="str">
        <f>IFERROR(VLOOKUP(B107,'INSUMOS  JULIO'!$B$6:$CJ$109,6,0),"")</f>
        <v>0</v>
      </c>
      <c r="G107" s="8">
        <f>IFERROR(VLOOKUP($B107,'INSUMOS  JULIO'!$B$6:$CJ$109,7,0),"")</f>
        <v>3417.8520000000008</v>
      </c>
      <c r="H107" s="19">
        <f t="shared" si="4"/>
        <v>0</v>
      </c>
      <c r="I107" s="1">
        <f t="shared" si="5"/>
        <v>0</v>
      </c>
      <c r="J107" s="1">
        <f t="shared" si="6"/>
        <v>0</v>
      </c>
      <c r="K107" s="19">
        <f t="shared" si="7"/>
        <v>0</v>
      </c>
    </row>
    <row r="108" spans="1:11" ht="15">
      <c r="A108" s="3">
        <v>151</v>
      </c>
      <c r="B108" s="151">
        <v>291</v>
      </c>
      <c r="C108" s="7" t="s">
        <v>60</v>
      </c>
      <c r="D108" s="4" t="s">
        <v>644</v>
      </c>
      <c r="E108" t="s">
        <v>161</v>
      </c>
      <c r="F108" s="12" t="str">
        <f>IFERROR(VLOOKUP(B108,'INSUMOS  JULIO'!$B$6:$CJ$109,6,0),"")</f>
        <v>0</v>
      </c>
      <c r="G108" s="8">
        <f>IFERROR(VLOOKUP($B108,'INSUMOS  JULIO'!$B$6:$CJ$109,7,0),"")</f>
        <v>20454.562000000005</v>
      </c>
      <c r="H108" s="19">
        <f t="shared" si="4"/>
        <v>0</v>
      </c>
      <c r="I108" s="1">
        <f t="shared" si="5"/>
        <v>0</v>
      </c>
      <c r="J108" s="1">
        <f t="shared" si="6"/>
        <v>0</v>
      </c>
      <c r="K108" s="19">
        <f t="shared" si="7"/>
        <v>0</v>
      </c>
    </row>
    <row r="109" spans="1:11" ht="15">
      <c r="A109" s="3">
        <v>152</v>
      </c>
      <c r="B109" s="151">
        <v>3</v>
      </c>
      <c r="C109" s="7" t="s">
        <v>155</v>
      </c>
      <c r="D109" s="4" t="s">
        <v>5</v>
      </c>
      <c r="E109" t="s">
        <v>162</v>
      </c>
      <c r="F109" s="12" t="str">
        <f>IFERROR(VLOOKUP($B109,'INSUMOS  JULIO'!$B$6:$CJ$109,9,0),"")</f>
        <v>0</v>
      </c>
      <c r="G109" s="8">
        <f>IFERROR(VLOOKUP($B109,'INSUMOS  JULIO'!$B$6:$CJ$109,10,0),"")</f>
        <v>7268.7160000000003</v>
      </c>
      <c r="H109" s="19">
        <f t="shared" si="4"/>
        <v>0</v>
      </c>
      <c r="I109" s="1">
        <f t="shared" si="5"/>
        <v>0</v>
      </c>
      <c r="J109" s="1">
        <f t="shared" si="6"/>
        <v>0</v>
      </c>
      <c r="K109" s="19">
        <f t="shared" si="7"/>
        <v>0</v>
      </c>
    </row>
    <row r="110" spans="1:11" ht="15">
      <c r="A110" s="3">
        <v>153</v>
      </c>
      <c r="B110" s="151">
        <v>5</v>
      </c>
      <c r="C110" s="7" t="s">
        <v>6</v>
      </c>
      <c r="D110" s="4" t="s">
        <v>7</v>
      </c>
      <c r="E110" t="s">
        <v>162</v>
      </c>
      <c r="F110" s="12" t="str">
        <f>IFERROR(VLOOKUP(B110,'INSUMOS  JULIO'!$B$6:$CJ$109,9,0),"")</f>
        <v>0</v>
      </c>
      <c r="G110" s="8">
        <f>IFERROR(VLOOKUP($B110,'INSUMOS  JULIO'!$B$6:$CJ$109,10,0),"")</f>
        <v>6494.1289999999999</v>
      </c>
      <c r="H110" s="19">
        <f t="shared" si="4"/>
        <v>0</v>
      </c>
      <c r="I110" s="1">
        <f t="shared" si="5"/>
        <v>0</v>
      </c>
      <c r="J110" s="1">
        <f t="shared" si="6"/>
        <v>0</v>
      </c>
      <c r="K110" s="19">
        <f t="shared" si="7"/>
        <v>0</v>
      </c>
    </row>
    <row r="111" spans="1:11" ht="15">
      <c r="A111" s="3">
        <v>154</v>
      </c>
      <c r="B111" s="151">
        <v>8</v>
      </c>
      <c r="C111" s="7" t="s">
        <v>6</v>
      </c>
      <c r="D111" s="4" t="s">
        <v>8</v>
      </c>
      <c r="E111" t="s">
        <v>162</v>
      </c>
      <c r="F111" s="12">
        <f>IFERROR(VLOOKUP(B111,'INSUMOS  JULIO'!$B$6:$CJ$109,9,0),"")</f>
        <v>0</v>
      </c>
      <c r="G111" s="8">
        <f>IFERROR(VLOOKUP($B111,'INSUMOS  JULIO'!$B$6:$CJ$109,10,0),"")</f>
        <v>2211.3040000000001</v>
      </c>
      <c r="H111" s="19">
        <f t="shared" si="4"/>
        <v>0</v>
      </c>
      <c r="I111" s="1">
        <f t="shared" si="5"/>
        <v>0</v>
      </c>
      <c r="J111" s="1">
        <f t="shared" si="6"/>
        <v>0</v>
      </c>
      <c r="K111" s="19">
        <f t="shared" si="7"/>
        <v>0</v>
      </c>
    </row>
    <row r="112" spans="1:11" ht="15">
      <c r="A112" s="3">
        <v>155</v>
      </c>
      <c r="B112" s="151">
        <v>9</v>
      </c>
      <c r="C112" s="7" t="s">
        <v>9</v>
      </c>
      <c r="D112" s="4" t="s">
        <v>10</v>
      </c>
      <c r="E112" t="s">
        <v>162</v>
      </c>
      <c r="F112" s="12">
        <f>IFERROR(VLOOKUP(B112,'INSUMOS  JULIO'!$B$6:$CJ$109,9,0),"")</f>
        <v>0</v>
      </c>
      <c r="G112" s="8">
        <f>IFERROR(VLOOKUP($B112,'INSUMOS  JULIO'!$B$6:$CJ$109,10,0),"")</f>
        <v>3298.0379999999996</v>
      </c>
      <c r="H112" s="19">
        <f t="shared" si="4"/>
        <v>0</v>
      </c>
      <c r="I112" s="1">
        <f t="shared" si="5"/>
        <v>0</v>
      </c>
      <c r="J112" s="1">
        <f t="shared" si="6"/>
        <v>0</v>
      </c>
      <c r="K112" s="19">
        <f t="shared" si="7"/>
        <v>0</v>
      </c>
    </row>
    <row r="113" spans="1:11" ht="15">
      <c r="A113" s="3">
        <v>156</v>
      </c>
      <c r="B113" s="151">
        <v>11</v>
      </c>
      <c r="C113" s="7" t="s">
        <v>156</v>
      </c>
      <c r="D113" s="4" t="s">
        <v>11</v>
      </c>
      <c r="E113" t="s">
        <v>162</v>
      </c>
      <c r="F113" s="12" t="str">
        <f>IFERROR(VLOOKUP(B113,'INSUMOS  JULIO'!$B$6:$CJ$109,9,0),"")</f>
        <v>0</v>
      </c>
      <c r="G113" s="8">
        <f>IFERROR(VLOOKUP($B113,'INSUMOS  JULIO'!$B$6:$CJ$109,10,0),"")</f>
        <v>7739.5639999999985</v>
      </c>
      <c r="H113" s="19">
        <f t="shared" si="4"/>
        <v>0</v>
      </c>
      <c r="I113" s="1">
        <f t="shared" si="5"/>
        <v>0</v>
      </c>
      <c r="J113" s="1">
        <f t="shared" si="6"/>
        <v>0</v>
      </c>
      <c r="K113" s="19">
        <f t="shared" si="7"/>
        <v>0</v>
      </c>
    </row>
    <row r="114" spans="1:11" ht="15">
      <c r="A114" s="3">
        <v>157</v>
      </c>
      <c r="B114" s="151">
        <v>13</v>
      </c>
      <c r="C114" s="7" t="s">
        <v>157</v>
      </c>
      <c r="D114" s="4" t="s">
        <v>12</v>
      </c>
      <c r="E114" t="s">
        <v>162</v>
      </c>
      <c r="F114" s="12">
        <f>IFERROR(VLOOKUP(B114,'INSUMOS  JULIO'!$B$6:$CJ$109,9,0),"")</f>
        <v>0</v>
      </c>
      <c r="G114" s="8">
        <f>IFERROR(VLOOKUP($B114,'INSUMOS  JULIO'!$B$6:$CJ$109,10,0),"")</f>
        <v>6507.7919999999995</v>
      </c>
      <c r="H114" s="19">
        <f t="shared" si="4"/>
        <v>0</v>
      </c>
      <c r="I114" s="1">
        <f t="shared" si="5"/>
        <v>0</v>
      </c>
      <c r="J114" s="1">
        <f t="shared" si="6"/>
        <v>0</v>
      </c>
      <c r="K114" s="19">
        <f t="shared" si="7"/>
        <v>0</v>
      </c>
    </row>
    <row r="115" spans="1:11" ht="15">
      <c r="A115" s="3">
        <v>158</v>
      </c>
      <c r="B115" s="151">
        <v>17</v>
      </c>
      <c r="C115" s="7" t="s">
        <v>13</v>
      </c>
      <c r="D115" s="4" t="s">
        <v>14</v>
      </c>
      <c r="E115" t="s">
        <v>162</v>
      </c>
      <c r="F115" s="12">
        <f>IFERROR(VLOOKUP(B115,'INSUMOS  JULIO'!$B$6:$CJ$109,9,0),"")</f>
        <v>0</v>
      </c>
      <c r="G115" s="8">
        <f>IFERROR(VLOOKUP($B115,'INSUMOS  JULIO'!$B$6:$CJ$109,10,0),"")</f>
        <v>5647.0229999999992</v>
      </c>
      <c r="H115" s="19">
        <f t="shared" si="4"/>
        <v>0</v>
      </c>
      <c r="I115" s="1">
        <f t="shared" si="5"/>
        <v>0</v>
      </c>
      <c r="J115" s="1">
        <f t="shared" si="6"/>
        <v>0</v>
      </c>
      <c r="K115" s="19">
        <f t="shared" si="7"/>
        <v>0</v>
      </c>
    </row>
    <row r="116" spans="1:11" ht="15">
      <c r="A116" s="3">
        <v>159</v>
      </c>
      <c r="B116" s="151">
        <v>20</v>
      </c>
      <c r="C116" s="7" t="s">
        <v>13</v>
      </c>
      <c r="D116" s="4" t="s">
        <v>15</v>
      </c>
      <c r="E116" t="s">
        <v>162</v>
      </c>
      <c r="F116" s="12">
        <f>IFERROR(VLOOKUP(B116,'INSUMOS  JULIO'!$B$6:$CJ$109,9,0),"")</f>
        <v>0</v>
      </c>
      <c r="G116" s="8">
        <f>IFERROR(VLOOKUP($B116,'INSUMOS  JULIO'!$B$6:$CJ$109,10,0),"")</f>
        <v>0</v>
      </c>
      <c r="H116" s="19">
        <f t="shared" si="4"/>
        <v>0</v>
      </c>
      <c r="I116" s="1">
        <f t="shared" si="5"/>
        <v>0</v>
      </c>
      <c r="J116" s="1">
        <f t="shared" si="6"/>
        <v>0</v>
      </c>
      <c r="K116" s="19">
        <f t="shared" si="7"/>
        <v>0</v>
      </c>
    </row>
    <row r="117" spans="1:11" ht="15">
      <c r="A117" s="3">
        <v>160</v>
      </c>
      <c r="B117" s="151">
        <v>21</v>
      </c>
      <c r="C117" s="7" t="s">
        <v>16</v>
      </c>
      <c r="D117" s="4" t="s">
        <v>17</v>
      </c>
      <c r="E117" t="s">
        <v>162</v>
      </c>
      <c r="F117" s="12">
        <f>IFERROR(VLOOKUP(B117,'INSUMOS  JULIO'!$B$6:$CJ$109,9,0),"")</f>
        <v>0</v>
      </c>
      <c r="G117" s="8">
        <f>IFERROR(VLOOKUP($B117,'INSUMOS  JULIO'!$B$6:$CJ$109,10,0),"")</f>
        <v>5932.8950000000013</v>
      </c>
      <c r="H117" s="19">
        <f t="shared" si="4"/>
        <v>0</v>
      </c>
      <c r="I117" s="1">
        <f t="shared" si="5"/>
        <v>0</v>
      </c>
      <c r="J117" s="1">
        <f t="shared" si="6"/>
        <v>0</v>
      </c>
      <c r="K117" s="19">
        <f t="shared" si="7"/>
        <v>0</v>
      </c>
    </row>
    <row r="118" spans="1:11" ht="15">
      <c r="A118" s="3">
        <v>161</v>
      </c>
      <c r="B118" s="151">
        <v>28</v>
      </c>
      <c r="C118" s="7" t="s">
        <v>18</v>
      </c>
      <c r="D118" s="4" t="s">
        <v>19</v>
      </c>
      <c r="E118" t="s">
        <v>162</v>
      </c>
      <c r="F118" s="12">
        <f>IFERROR(VLOOKUP(B118,'INSUMOS  JULIO'!$B$6:$CJ$109,9,0),"")</f>
        <v>0</v>
      </c>
      <c r="G118" s="8">
        <f>IFERROR(VLOOKUP($B118,'INSUMOS  JULIO'!$B$6:$CJ$109,10,0),"")</f>
        <v>2764.13</v>
      </c>
      <c r="H118" s="19">
        <f t="shared" si="4"/>
        <v>0</v>
      </c>
      <c r="I118" s="1">
        <f t="shared" si="5"/>
        <v>0</v>
      </c>
      <c r="J118" s="1">
        <f t="shared" si="6"/>
        <v>0</v>
      </c>
      <c r="K118" s="19">
        <f t="shared" si="7"/>
        <v>0</v>
      </c>
    </row>
    <row r="119" spans="1:11" ht="15">
      <c r="A119" s="3">
        <v>162</v>
      </c>
      <c r="B119" s="151">
        <v>29</v>
      </c>
      <c r="C119" s="7" t="s">
        <v>20</v>
      </c>
      <c r="D119" s="4" t="s">
        <v>21</v>
      </c>
      <c r="E119" t="s">
        <v>162</v>
      </c>
      <c r="F119" s="12" t="str">
        <f>IFERROR(VLOOKUP(B119,'INSUMOS  JULIO'!$B$6:$CJ$109,9,0),"")</f>
        <v>0</v>
      </c>
      <c r="G119" s="8">
        <f>IFERROR(VLOOKUP($B119,'INSUMOS  JULIO'!$B$6:$CJ$109,10,0),"")</f>
        <v>4829.3450000000012</v>
      </c>
      <c r="H119" s="19">
        <f t="shared" si="4"/>
        <v>0</v>
      </c>
      <c r="I119" s="1">
        <f t="shared" si="5"/>
        <v>0</v>
      </c>
      <c r="J119" s="1">
        <f t="shared" si="6"/>
        <v>0</v>
      </c>
      <c r="K119" s="19">
        <f t="shared" si="7"/>
        <v>0</v>
      </c>
    </row>
    <row r="120" spans="1:11" ht="15">
      <c r="A120" s="3">
        <v>163</v>
      </c>
      <c r="B120" s="151">
        <v>32</v>
      </c>
      <c r="C120" s="7" t="s">
        <v>22</v>
      </c>
      <c r="D120" s="4" t="s">
        <v>23</v>
      </c>
      <c r="E120" t="s">
        <v>162</v>
      </c>
      <c r="F120" s="12">
        <f>IFERROR(VLOOKUP(B120,'INSUMOS  JULIO'!$B$6:$CJ$109,9,0),"")</f>
        <v>0</v>
      </c>
      <c r="G120" s="8">
        <f>IFERROR(VLOOKUP($B120,'INSUMOS  JULIO'!$B$6:$CJ$109,10,0),"")</f>
        <v>4115.7160000000003</v>
      </c>
      <c r="H120" s="19">
        <f t="shared" si="4"/>
        <v>0</v>
      </c>
      <c r="I120" s="1">
        <f t="shared" si="5"/>
        <v>0</v>
      </c>
      <c r="J120" s="1">
        <f t="shared" si="6"/>
        <v>0</v>
      </c>
      <c r="K120" s="19">
        <f t="shared" si="7"/>
        <v>0</v>
      </c>
    </row>
    <row r="121" spans="1:11" ht="15">
      <c r="A121" s="3">
        <v>164</v>
      </c>
      <c r="B121" s="151">
        <v>38</v>
      </c>
      <c r="C121" s="7" t="s">
        <v>18</v>
      </c>
      <c r="D121" s="4" t="s">
        <v>24</v>
      </c>
      <c r="E121" t="s">
        <v>162</v>
      </c>
      <c r="F121" s="12" t="str">
        <f>IFERROR(VLOOKUP(B121,'INSUMOS  JULIO'!$B$6:$CJ$109,9,0),"")</f>
        <v>0</v>
      </c>
      <c r="G121" s="8">
        <f>IFERROR(VLOOKUP($B121,'INSUMOS  JULIO'!$B$6:$CJ$109,10,0),"")</f>
        <v>11100.662</v>
      </c>
      <c r="H121" s="19">
        <f t="shared" si="4"/>
        <v>0</v>
      </c>
      <c r="I121" s="1">
        <f t="shared" si="5"/>
        <v>0</v>
      </c>
      <c r="J121" s="1">
        <f t="shared" si="6"/>
        <v>0</v>
      </c>
      <c r="K121" s="19">
        <f t="shared" si="7"/>
        <v>0</v>
      </c>
    </row>
    <row r="122" spans="1:11" ht="15">
      <c r="A122" s="3">
        <v>165</v>
      </c>
      <c r="B122" s="151">
        <v>41</v>
      </c>
      <c r="C122" s="7" t="s">
        <v>155</v>
      </c>
      <c r="D122" s="4" t="s">
        <v>25</v>
      </c>
      <c r="E122" t="s">
        <v>162</v>
      </c>
      <c r="F122" s="12" t="str">
        <f>IFERROR(VLOOKUP(B122,'INSUMOS  JULIO'!$B$6:$CJ$109,9,0),"")</f>
        <v>0</v>
      </c>
      <c r="G122" s="8">
        <f>IFERROR(VLOOKUP($B122,'INSUMOS  JULIO'!$B$6:$CJ$109,10,0),"")</f>
        <v>7034.3429999999989</v>
      </c>
      <c r="H122" s="19">
        <f t="shared" si="4"/>
        <v>0</v>
      </c>
      <c r="I122" s="1">
        <f t="shared" si="5"/>
        <v>0</v>
      </c>
      <c r="J122" s="1">
        <f t="shared" si="6"/>
        <v>0</v>
      </c>
      <c r="K122" s="19">
        <f t="shared" si="7"/>
        <v>0</v>
      </c>
    </row>
    <row r="123" spans="1:11" ht="15">
      <c r="A123" s="3">
        <v>166</v>
      </c>
      <c r="B123" s="151">
        <v>44</v>
      </c>
      <c r="C123" s="7" t="s">
        <v>16</v>
      </c>
      <c r="D123" s="4" t="s">
        <v>26</v>
      </c>
      <c r="E123" t="s">
        <v>162</v>
      </c>
      <c r="F123" s="12">
        <f>IFERROR(VLOOKUP(B123,'INSUMOS  JULIO'!$B$6:$CJ$109,9,0),"")</f>
        <v>0</v>
      </c>
      <c r="G123" s="8">
        <f>IFERROR(VLOOKUP($B123,'INSUMOS  JULIO'!$B$6:$CJ$109,10,0),"")</f>
        <v>2787.2520000000004</v>
      </c>
      <c r="H123" s="19">
        <f t="shared" si="4"/>
        <v>0</v>
      </c>
      <c r="I123" s="1">
        <f t="shared" si="5"/>
        <v>0</v>
      </c>
      <c r="J123" s="1">
        <f t="shared" si="6"/>
        <v>0</v>
      </c>
      <c r="K123" s="19">
        <f t="shared" si="7"/>
        <v>0</v>
      </c>
    </row>
    <row r="124" spans="1:11" ht="15">
      <c r="A124" s="3">
        <v>167</v>
      </c>
      <c r="B124" s="151">
        <v>46</v>
      </c>
      <c r="C124" s="7" t="s">
        <v>27</v>
      </c>
      <c r="D124" s="4" t="s">
        <v>28</v>
      </c>
      <c r="E124" t="s">
        <v>162</v>
      </c>
      <c r="F124" s="12" t="str">
        <f>IFERROR(VLOOKUP(B124,'INSUMOS  JULIO'!$B$6:$CJ$109,9,0),"")</f>
        <v>0</v>
      </c>
      <c r="G124" s="8">
        <f>IFERROR(VLOOKUP($B124,'INSUMOS  JULIO'!$B$6:$CJ$109,10,0),"")</f>
        <v>7739.5640000000021</v>
      </c>
      <c r="H124" s="19">
        <f t="shared" si="4"/>
        <v>0</v>
      </c>
      <c r="I124" s="1">
        <f t="shared" si="5"/>
        <v>0</v>
      </c>
      <c r="J124" s="1">
        <f t="shared" si="6"/>
        <v>0</v>
      </c>
      <c r="K124" s="19">
        <f t="shared" si="7"/>
        <v>0</v>
      </c>
    </row>
    <row r="125" spans="1:11" ht="15">
      <c r="A125" s="3">
        <v>168</v>
      </c>
      <c r="B125" s="151">
        <v>50</v>
      </c>
      <c r="C125" s="7" t="s">
        <v>13</v>
      </c>
      <c r="D125" s="4" t="s">
        <v>29</v>
      </c>
      <c r="E125" t="s">
        <v>162</v>
      </c>
      <c r="F125" s="12">
        <f>IFERROR(VLOOKUP(B125,'INSUMOS  JULIO'!$B$6:$CJ$109,9,0),"")</f>
        <v>0</v>
      </c>
      <c r="G125" s="8">
        <f>IFERROR(VLOOKUP($B125,'INSUMOS  JULIO'!$B$6:$CJ$109,10,0),"")</f>
        <v>38567.495999999999</v>
      </c>
      <c r="H125" s="19">
        <f t="shared" si="4"/>
        <v>0</v>
      </c>
      <c r="I125" s="1">
        <f t="shared" si="5"/>
        <v>0</v>
      </c>
      <c r="J125" s="1">
        <f t="shared" si="6"/>
        <v>0</v>
      </c>
      <c r="K125" s="19">
        <f t="shared" si="7"/>
        <v>0</v>
      </c>
    </row>
    <row r="126" spans="1:11" ht="15">
      <c r="A126" s="3">
        <v>169</v>
      </c>
      <c r="B126" s="151">
        <v>51</v>
      </c>
      <c r="C126" s="7" t="s">
        <v>13</v>
      </c>
      <c r="D126" s="4" t="s">
        <v>30</v>
      </c>
      <c r="E126" t="s">
        <v>162</v>
      </c>
      <c r="F126" s="12" t="str">
        <f>IFERROR(VLOOKUP(B126,'INSUMOS  JULIO'!$B$6:$CJ$109,9,0),"")</f>
        <v>0</v>
      </c>
      <c r="G126" s="8">
        <f>IFERROR(VLOOKUP($B126,'INSUMOS  JULIO'!$B$6:$CJ$109,10,0),"")</f>
        <v>7739.5640000000021</v>
      </c>
      <c r="H126" s="19">
        <f t="shared" si="4"/>
        <v>0</v>
      </c>
      <c r="I126" s="1">
        <f t="shared" si="5"/>
        <v>0</v>
      </c>
      <c r="J126" s="1">
        <f t="shared" si="6"/>
        <v>0</v>
      </c>
      <c r="K126" s="19">
        <f t="shared" si="7"/>
        <v>0</v>
      </c>
    </row>
    <row r="127" spans="1:11" ht="15">
      <c r="A127" s="3">
        <v>170</v>
      </c>
      <c r="B127" s="151">
        <v>52</v>
      </c>
      <c r="C127" s="7" t="s">
        <v>13</v>
      </c>
      <c r="D127" s="4" t="s">
        <v>31</v>
      </c>
      <c r="E127" t="s">
        <v>162</v>
      </c>
      <c r="F127" s="12">
        <f>IFERROR(VLOOKUP(B127,'INSUMOS  JULIO'!$B$6:$CJ$109,9,0),"")</f>
        <v>0</v>
      </c>
      <c r="G127" s="8">
        <f>IFERROR(VLOOKUP($B127,'INSUMOS  JULIO'!$B$6:$CJ$109,10,0),"")</f>
        <v>6412.1509999999998</v>
      </c>
      <c r="H127" s="19">
        <f t="shared" si="4"/>
        <v>0</v>
      </c>
      <c r="I127" s="1">
        <f t="shared" si="5"/>
        <v>0</v>
      </c>
      <c r="J127" s="1">
        <f t="shared" si="6"/>
        <v>0</v>
      </c>
      <c r="K127" s="19">
        <f t="shared" si="7"/>
        <v>0</v>
      </c>
    </row>
    <row r="128" spans="1:11" ht="15">
      <c r="A128" s="3">
        <v>171</v>
      </c>
      <c r="B128" s="151">
        <v>54</v>
      </c>
      <c r="C128" s="7" t="s">
        <v>13</v>
      </c>
      <c r="D128" s="4" t="s">
        <v>32</v>
      </c>
      <c r="E128" t="s">
        <v>162</v>
      </c>
      <c r="F128" s="12">
        <f>IFERROR(VLOOKUP(B128,'INSUMOS  JULIO'!$B$6:$CJ$109,9,0),"")</f>
        <v>0</v>
      </c>
      <c r="G128" s="8">
        <f>IFERROR(VLOOKUP($B128,'INSUMOS  JULIO'!$B$6:$CJ$109,10,0),"")</f>
        <v>5359.049</v>
      </c>
      <c r="H128" s="19">
        <f t="shared" si="4"/>
        <v>0</v>
      </c>
      <c r="I128" s="1">
        <f t="shared" si="5"/>
        <v>0</v>
      </c>
      <c r="J128" s="1">
        <f t="shared" si="6"/>
        <v>0</v>
      </c>
      <c r="K128" s="19">
        <f t="shared" si="7"/>
        <v>0</v>
      </c>
    </row>
    <row r="129" spans="1:11" ht="15">
      <c r="A129" s="3">
        <v>172</v>
      </c>
      <c r="B129" s="151">
        <v>57</v>
      </c>
      <c r="C129" s="7" t="s">
        <v>33</v>
      </c>
      <c r="D129" s="4" t="s">
        <v>34</v>
      </c>
      <c r="E129" t="s">
        <v>162</v>
      </c>
      <c r="F129" s="12">
        <f>IFERROR(VLOOKUP(B129,'INSUMOS  JULIO'!$B$6:$CJ$109,9,0),"")</f>
        <v>0</v>
      </c>
      <c r="G129" s="8">
        <f>IFERROR(VLOOKUP($B129,'INSUMOS  JULIO'!$B$6:$CJ$109,10,0),"")</f>
        <v>12823.251000000004</v>
      </c>
      <c r="H129" s="19">
        <f t="shared" si="4"/>
        <v>0</v>
      </c>
      <c r="I129" s="1">
        <f t="shared" si="5"/>
        <v>0</v>
      </c>
      <c r="J129" s="1">
        <f t="shared" si="6"/>
        <v>0</v>
      </c>
      <c r="K129" s="19">
        <f t="shared" si="7"/>
        <v>0</v>
      </c>
    </row>
    <row r="130" spans="1:11" ht="15">
      <c r="A130" s="3">
        <v>209</v>
      </c>
      <c r="B130" s="151">
        <v>59</v>
      </c>
      <c r="C130" s="7" t="s">
        <v>16</v>
      </c>
      <c r="D130" s="4" t="s">
        <v>35</v>
      </c>
      <c r="E130" t="s">
        <v>162</v>
      </c>
      <c r="F130" s="12" t="str">
        <f>IFERROR(VLOOKUP(B130,'INSUMOS  JULIO'!$B$6:$CJ$109,9,0),"")</f>
        <v>0</v>
      </c>
      <c r="G130" s="8">
        <f>IFERROR(VLOOKUP($B130,'INSUMOS  JULIO'!$B$6:$CJ$109,10,0),"")</f>
        <v>13931.215200000001</v>
      </c>
      <c r="H130" s="19">
        <f t="shared" si="4"/>
        <v>0</v>
      </c>
      <c r="I130" s="1">
        <f t="shared" si="5"/>
        <v>0</v>
      </c>
      <c r="J130" s="1">
        <f t="shared" si="6"/>
        <v>0</v>
      </c>
      <c r="K130" s="19">
        <f t="shared" si="7"/>
        <v>0</v>
      </c>
    </row>
    <row r="131" spans="1:11" ht="15">
      <c r="A131" s="3">
        <v>210</v>
      </c>
      <c r="B131" s="151">
        <v>62</v>
      </c>
      <c r="C131" s="7" t="s">
        <v>36</v>
      </c>
      <c r="D131" s="4" t="s">
        <v>37</v>
      </c>
      <c r="E131" t="s">
        <v>162</v>
      </c>
      <c r="F131" s="12">
        <f>IFERROR(VLOOKUP(B131,'INSUMOS  JULIO'!$B$6:$CJ$109,9,0),"")</f>
        <v>0</v>
      </c>
      <c r="G131" s="8">
        <f>IFERROR(VLOOKUP($B131,'INSUMOS  JULIO'!$B$6:$CJ$109,10,0),"")</f>
        <v>10100.3202</v>
      </c>
      <c r="H131" s="19">
        <f t="shared" si="4"/>
        <v>0</v>
      </c>
      <c r="I131" s="1">
        <f t="shared" si="5"/>
        <v>0</v>
      </c>
      <c r="J131" s="1">
        <f t="shared" si="6"/>
        <v>0</v>
      </c>
      <c r="K131" s="19">
        <f t="shared" si="7"/>
        <v>0</v>
      </c>
    </row>
    <row r="132" spans="1:11" ht="15">
      <c r="A132" s="3">
        <v>211</v>
      </c>
      <c r="B132" s="151">
        <v>63</v>
      </c>
      <c r="C132" s="7" t="s">
        <v>36</v>
      </c>
      <c r="D132" s="4" t="s">
        <v>38</v>
      </c>
      <c r="E132" t="s">
        <v>162</v>
      </c>
      <c r="F132" s="12">
        <f>IFERROR(VLOOKUP(B132,'INSUMOS  JULIO'!$B$6:$CJ$109,9,0),"")</f>
        <v>0</v>
      </c>
      <c r="G132" s="8">
        <f>IFERROR(VLOOKUP($B132,'INSUMOS  JULIO'!$B$6:$CJ$109,10,0),"")</f>
        <v>11443.4982</v>
      </c>
      <c r="H132" s="19">
        <f t="shared" si="4"/>
        <v>0</v>
      </c>
      <c r="I132" s="1">
        <f t="shared" si="5"/>
        <v>0</v>
      </c>
      <c r="J132" s="1">
        <f t="shared" si="6"/>
        <v>0</v>
      </c>
      <c r="K132" s="19">
        <f t="shared" si="7"/>
        <v>0</v>
      </c>
    </row>
    <row r="133" spans="1:11" ht="15">
      <c r="A133" s="3">
        <v>212</v>
      </c>
      <c r="B133" s="151">
        <v>64</v>
      </c>
      <c r="C133" s="7" t="s">
        <v>39</v>
      </c>
      <c r="D133" s="4" t="s">
        <v>40</v>
      </c>
      <c r="E133" t="s">
        <v>162</v>
      </c>
      <c r="F133" s="12">
        <f>IFERROR(VLOOKUP(B133,'INSUMOS  JULIO'!$B$6:$CJ$109,9,0),"")</f>
        <v>0</v>
      </c>
      <c r="G133" s="8">
        <f>IFERROR(VLOOKUP($B133,'INSUMOS  JULIO'!$B$6:$CJ$109,10,0),"")</f>
        <v>13820.650000000001</v>
      </c>
      <c r="H133" s="19">
        <f t="shared" si="4"/>
        <v>0</v>
      </c>
      <c r="I133" s="1">
        <f t="shared" si="5"/>
        <v>0</v>
      </c>
      <c r="J133" s="1">
        <f t="shared" si="6"/>
        <v>0</v>
      </c>
      <c r="K133" s="19">
        <f t="shared" si="7"/>
        <v>0</v>
      </c>
    </row>
    <row r="134" spans="1:11" ht="15">
      <c r="A134" s="3">
        <v>213</v>
      </c>
      <c r="B134" s="151">
        <v>65</v>
      </c>
      <c r="C134" s="7" t="s">
        <v>39</v>
      </c>
      <c r="D134" s="4" t="s">
        <v>41</v>
      </c>
      <c r="E134" t="s">
        <v>162</v>
      </c>
      <c r="F134" s="12">
        <f>IFERROR(VLOOKUP(B134,'INSUMOS  JULIO'!$B$6:$CJ$109,9,0),"")</f>
        <v>0</v>
      </c>
      <c r="G134" s="8">
        <f>IFERROR(VLOOKUP($B134,'INSUMOS  JULIO'!$B$6:$CJ$109,10,0),"")</f>
        <v>13820.650000000001</v>
      </c>
      <c r="H134" s="19">
        <f t="shared" ref="H134:H197" si="8">+F134*G134</f>
        <v>0</v>
      </c>
      <c r="I134" s="1">
        <f t="shared" ref="I134:I197" si="9">+H134*10%</f>
        <v>0</v>
      </c>
      <c r="J134" s="1">
        <f t="shared" ref="J134:J197" si="10">+I134*19%</f>
        <v>0</v>
      </c>
      <c r="K134" s="19">
        <f t="shared" ref="K134:K197" si="11">SUM(H134:J134)</f>
        <v>0</v>
      </c>
    </row>
    <row r="135" spans="1:11" ht="15">
      <c r="A135" s="3">
        <v>214</v>
      </c>
      <c r="B135" s="151">
        <v>66</v>
      </c>
      <c r="C135" s="7" t="s">
        <v>151</v>
      </c>
      <c r="D135" s="4" t="s">
        <v>42</v>
      </c>
      <c r="E135" t="s">
        <v>162</v>
      </c>
      <c r="F135" s="12">
        <f>IFERROR(VLOOKUP(B135,'INSUMOS  JULIO'!$B$6:$CJ$109,9,0),"")</f>
        <v>0</v>
      </c>
      <c r="G135" s="8">
        <f>IFERROR(VLOOKUP($B135,'INSUMOS  JULIO'!$B$6:$CJ$109,10,0),"")</f>
        <v>2887.0970000000002</v>
      </c>
      <c r="H135" s="19">
        <f t="shared" si="8"/>
        <v>0</v>
      </c>
      <c r="I135" s="1">
        <f t="shared" si="9"/>
        <v>0</v>
      </c>
      <c r="J135" s="1">
        <f t="shared" si="10"/>
        <v>0</v>
      </c>
      <c r="K135" s="19">
        <f t="shared" si="11"/>
        <v>0</v>
      </c>
    </row>
    <row r="136" spans="1:11" ht="15">
      <c r="A136" s="3">
        <v>215</v>
      </c>
      <c r="B136" s="151">
        <v>71</v>
      </c>
      <c r="C136" s="7" t="s">
        <v>151</v>
      </c>
      <c r="D136" s="4" t="s">
        <v>43</v>
      </c>
      <c r="E136" t="s">
        <v>162</v>
      </c>
      <c r="F136" s="12" t="str">
        <f>IFERROR(VLOOKUP(B136,'INSUMOS  JULIO'!$B$6:$CJ$109,9,0),"")</f>
        <v>0</v>
      </c>
      <c r="G136" s="8">
        <f>IFERROR(VLOOKUP($B136,'INSUMOS  JULIO'!$B$6:$CJ$109,10,0),"")</f>
        <v>7960.6944000000003</v>
      </c>
      <c r="H136" s="19">
        <f t="shared" si="8"/>
        <v>0</v>
      </c>
      <c r="I136" s="1">
        <f t="shared" si="9"/>
        <v>0</v>
      </c>
      <c r="J136" s="1">
        <f t="shared" si="10"/>
        <v>0</v>
      </c>
      <c r="K136" s="19">
        <f t="shared" si="11"/>
        <v>0</v>
      </c>
    </row>
    <row r="137" spans="1:11" ht="15">
      <c r="A137" s="3">
        <v>216</v>
      </c>
      <c r="B137" s="151">
        <v>72</v>
      </c>
      <c r="C137" s="7" t="s">
        <v>151</v>
      </c>
      <c r="D137" s="4" t="s">
        <v>44</v>
      </c>
      <c r="E137" t="s">
        <v>162</v>
      </c>
      <c r="F137" s="12">
        <f>IFERROR(VLOOKUP(B137,'INSUMOS  JULIO'!$B$6:$CJ$109,9,0),"")</f>
        <v>10</v>
      </c>
      <c r="G137" s="8">
        <f>IFERROR(VLOOKUP($B137,'INSUMOS  JULIO'!$B$6:$CJ$109,10,0),"")</f>
        <v>5196.1440000000002</v>
      </c>
      <c r="H137" s="19">
        <f t="shared" si="8"/>
        <v>51961.440000000002</v>
      </c>
      <c r="I137" s="1">
        <f t="shared" si="9"/>
        <v>5196.1440000000002</v>
      </c>
      <c r="J137" s="1">
        <f t="shared" si="10"/>
        <v>987.26736000000005</v>
      </c>
      <c r="K137" s="19">
        <f t="shared" si="11"/>
        <v>58144.851360000001</v>
      </c>
    </row>
    <row r="138" spans="1:11" ht="27">
      <c r="A138" s="3">
        <v>217</v>
      </c>
      <c r="B138" s="151">
        <v>73</v>
      </c>
      <c r="C138" s="7" t="s">
        <v>151</v>
      </c>
      <c r="D138" s="4" t="s">
        <v>45</v>
      </c>
      <c r="E138" t="s">
        <v>162</v>
      </c>
      <c r="F138" s="12">
        <f>IFERROR(VLOOKUP(B138,'INSUMOS  JULIO'!$B$6:$CJ$109,9,0),"")</f>
        <v>3</v>
      </c>
      <c r="G138" s="8">
        <f>IFERROR(VLOOKUP($B138,'INSUMOS  JULIO'!$B$6:$CJ$109,10,0),"")</f>
        <v>21493.685699999998</v>
      </c>
      <c r="H138" s="19">
        <f t="shared" si="8"/>
        <v>64481.057099999991</v>
      </c>
      <c r="I138" s="1">
        <f t="shared" si="9"/>
        <v>6448.1057099999998</v>
      </c>
      <c r="J138" s="1">
        <f t="shared" si="10"/>
        <v>1225.1400848999999</v>
      </c>
      <c r="K138" s="19">
        <f t="shared" si="11"/>
        <v>72154.3028949</v>
      </c>
    </row>
    <row r="139" spans="1:11" ht="15">
      <c r="A139" s="3">
        <v>218</v>
      </c>
      <c r="B139" s="151">
        <v>74</v>
      </c>
      <c r="C139" s="7" t="s">
        <v>46</v>
      </c>
      <c r="D139" s="4" t="s">
        <v>47</v>
      </c>
      <c r="E139" t="s">
        <v>162</v>
      </c>
      <c r="F139" s="12">
        <f>IFERROR(VLOOKUP(B139,'INSUMOS  JULIO'!$B$6:$CJ$109,9,0),"")</f>
        <v>2</v>
      </c>
      <c r="G139" s="8">
        <f>IFERROR(VLOOKUP($B139,'INSUMOS  JULIO'!$B$6:$CJ$109,10,0),"")</f>
        <v>3261.2529999999997</v>
      </c>
      <c r="H139" s="19">
        <f t="shared" si="8"/>
        <v>6522.5059999999994</v>
      </c>
      <c r="I139" s="1">
        <f t="shared" si="9"/>
        <v>652.25059999999996</v>
      </c>
      <c r="J139" s="1">
        <f t="shared" si="10"/>
        <v>123.92761399999999</v>
      </c>
      <c r="K139" s="19">
        <f t="shared" si="11"/>
        <v>7298.6842139999999</v>
      </c>
    </row>
    <row r="140" spans="1:11" ht="15">
      <c r="A140" s="3">
        <v>219</v>
      </c>
      <c r="B140" s="151">
        <v>79</v>
      </c>
      <c r="C140" s="7" t="s">
        <v>159</v>
      </c>
      <c r="D140" s="4" t="s">
        <v>48</v>
      </c>
      <c r="E140" t="s">
        <v>162</v>
      </c>
      <c r="F140" s="12">
        <f>IFERROR(VLOOKUP(B140,'INSUMOS  JULIO'!$B$6:$CJ$109,9,0),"")</f>
        <v>0</v>
      </c>
      <c r="G140" s="8">
        <f>IFERROR(VLOOKUP($B140,'INSUMOS  JULIO'!$B$6:$CJ$109,10,0),"")</f>
        <v>541.2650000000001</v>
      </c>
      <c r="H140" s="19">
        <f t="shared" si="8"/>
        <v>0</v>
      </c>
      <c r="I140" s="1">
        <f t="shared" si="9"/>
        <v>0</v>
      </c>
      <c r="J140" s="1">
        <f t="shared" si="10"/>
        <v>0</v>
      </c>
      <c r="K140" s="19">
        <f t="shared" si="11"/>
        <v>0</v>
      </c>
    </row>
    <row r="141" spans="1:11" ht="15">
      <c r="A141" s="3">
        <v>220</v>
      </c>
      <c r="B141" s="151">
        <v>80</v>
      </c>
      <c r="C141" s="7" t="s">
        <v>159</v>
      </c>
      <c r="D141" s="4" t="s">
        <v>49</v>
      </c>
      <c r="E141" t="s">
        <v>162</v>
      </c>
      <c r="F141" s="12">
        <f>IFERROR(VLOOKUP(B141,'INSUMOS  JULIO'!$B$6:$CJ$109,9,0),"")</f>
        <v>0</v>
      </c>
      <c r="G141" s="8">
        <f>IFERROR(VLOOKUP($B141,'INSUMOS  JULIO'!$B$6:$CJ$109,10,0),"")</f>
        <v>433.01199999999994</v>
      </c>
      <c r="H141" s="19">
        <f t="shared" si="8"/>
        <v>0</v>
      </c>
      <c r="I141" s="1">
        <f t="shared" si="9"/>
        <v>0</v>
      </c>
      <c r="J141" s="1">
        <f t="shared" si="10"/>
        <v>0</v>
      </c>
      <c r="K141" s="19">
        <f t="shared" si="11"/>
        <v>0</v>
      </c>
    </row>
    <row r="142" spans="1:11" ht="15">
      <c r="A142" s="3">
        <v>221</v>
      </c>
      <c r="B142" s="151">
        <v>81</v>
      </c>
      <c r="C142" s="7" t="s">
        <v>159</v>
      </c>
      <c r="D142" s="4" t="s">
        <v>50</v>
      </c>
      <c r="E142" t="s">
        <v>162</v>
      </c>
      <c r="F142" s="12">
        <f>IFERROR(VLOOKUP(B142,'INSUMOS  JULIO'!$B$6:$CJ$109,9,0),"")</f>
        <v>0</v>
      </c>
      <c r="G142" s="8">
        <f>IFERROR(VLOOKUP($B142,'INSUMOS  JULIO'!$B$6:$CJ$109,10,0),"")</f>
        <v>211.251</v>
      </c>
      <c r="H142" s="19">
        <f t="shared" si="8"/>
        <v>0</v>
      </c>
      <c r="I142" s="1">
        <f t="shared" si="9"/>
        <v>0</v>
      </c>
      <c r="J142" s="1">
        <f t="shared" si="10"/>
        <v>0</v>
      </c>
      <c r="K142" s="19">
        <f t="shared" si="11"/>
        <v>0</v>
      </c>
    </row>
    <row r="143" spans="1:11" ht="15">
      <c r="A143" s="3">
        <v>222</v>
      </c>
      <c r="B143" s="151">
        <v>82</v>
      </c>
      <c r="C143" s="7" t="s">
        <v>159</v>
      </c>
      <c r="D143" s="4" t="s">
        <v>51</v>
      </c>
      <c r="E143" t="s">
        <v>162</v>
      </c>
      <c r="F143" s="12" t="str">
        <f>IFERROR(VLOOKUP(B143,'INSUMOS  JULIO'!$B$6:$CJ$109,9,0),"")</f>
        <v>0</v>
      </c>
      <c r="G143" s="8">
        <f>IFERROR(VLOOKUP($B143,'INSUMOS  JULIO'!$B$6:$CJ$109,10,0),"")</f>
        <v>1003.7049999999999</v>
      </c>
      <c r="H143" s="19">
        <f t="shared" si="8"/>
        <v>0</v>
      </c>
      <c r="I143" s="1">
        <f t="shared" si="9"/>
        <v>0</v>
      </c>
      <c r="J143" s="1">
        <f t="shared" si="10"/>
        <v>0</v>
      </c>
      <c r="K143" s="19">
        <f t="shared" si="11"/>
        <v>0</v>
      </c>
    </row>
    <row r="144" spans="1:11" ht="15">
      <c r="A144" s="3">
        <v>223</v>
      </c>
      <c r="B144" s="151">
        <v>83</v>
      </c>
      <c r="C144" s="7" t="s">
        <v>159</v>
      </c>
      <c r="D144" s="4" t="s">
        <v>52</v>
      </c>
      <c r="E144" t="s">
        <v>162</v>
      </c>
      <c r="F144" s="12" t="str">
        <f>IFERROR(VLOOKUP(B144,'INSUMOS  JULIO'!$B$6:$CJ$109,9,0),"")</f>
        <v>0</v>
      </c>
      <c r="G144" s="8">
        <f>IFERROR(VLOOKUP($B144,'INSUMOS  JULIO'!$B$6:$CJ$109,10,0),"")</f>
        <v>336.32</v>
      </c>
      <c r="H144" s="19">
        <f t="shared" si="8"/>
        <v>0</v>
      </c>
      <c r="I144" s="1">
        <f t="shared" si="9"/>
        <v>0</v>
      </c>
      <c r="J144" s="1">
        <f t="shared" si="10"/>
        <v>0</v>
      </c>
      <c r="K144" s="19">
        <f t="shared" si="11"/>
        <v>0</v>
      </c>
    </row>
    <row r="145" spans="1:11" ht="15">
      <c r="A145" s="3">
        <v>224</v>
      </c>
      <c r="B145" s="151">
        <v>86</v>
      </c>
      <c r="C145" s="7" t="s">
        <v>53</v>
      </c>
      <c r="D145" s="4" t="s">
        <v>54</v>
      </c>
      <c r="E145" t="s">
        <v>162</v>
      </c>
      <c r="F145" s="12" t="str">
        <f>IFERROR(VLOOKUP(B145,'INSUMOS  JULIO'!$B$6:$CJ$109,9,0),"")</f>
        <v>0</v>
      </c>
      <c r="G145" s="8">
        <f>IFERROR(VLOOKUP($B145,'INSUMOS  JULIO'!$B$6:$CJ$109,10,0),"")</f>
        <v>2792.5070000000005</v>
      </c>
      <c r="H145" s="19">
        <f t="shared" si="8"/>
        <v>0</v>
      </c>
      <c r="I145" s="1">
        <f t="shared" si="9"/>
        <v>0</v>
      </c>
      <c r="J145" s="1">
        <f t="shared" si="10"/>
        <v>0</v>
      </c>
      <c r="K145" s="19">
        <f t="shared" si="11"/>
        <v>0</v>
      </c>
    </row>
    <row r="146" spans="1:11" ht="15">
      <c r="A146" s="3">
        <v>225</v>
      </c>
      <c r="B146" s="151">
        <v>87</v>
      </c>
      <c r="C146" s="7" t="s">
        <v>53</v>
      </c>
      <c r="D146" s="4" t="s">
        <v>55</v>
      </c>
      <c r="E146" t="s">
        <v>162</v>
      </c>
      <c r="F146" s="12" t="str">
        <f>IFERROR(VLOOKUP(B146,'INSUMOS  JULIO'!$B$6:$CJ$109,9,0),"")</f>
        <v>0</v>
      </c>
      <c r="G146" s="8">
        <f>IFERROR(VLOOKUP($B146,'INSUMOS  JULIO'!$B$6:$CJ$109,10,0),"")</f>
        <v>0</v>
      </c>
      <c r="H146" s="19">
        <f t="shared" si="8"/>
        <v>0</v>
      </c>
      <c r="I146" s="1">
        <f t="shared" si="9"/>
        <v>0</v>
      </c>
      <c r="J146" s="1">
        <f t="shared" si="10"/>
        <v>0</v>
      </c>
      <c r="K146" s="19">
        <f t="shared" si="11"/>
        <v>0</v>
      </c>
    </row>
    <row r="147" spans="1:11" ht="15">
      <c r="A147" s="3">
        <v>226</v>
      </c>
      <c r="B147" s="151">
        <v>88</v>
      </c>
      <c r="C147" s="7" t="s">
        <v>53</v>
      </c>
      <c r="D147" s="4" t="s">
        <v>56</v>
      </c>
      <c r="E147" t="s">
        <v>162</v>
      </c>
      <c r="F147" s="12">
        <f>IFERROR(VLOOKUP(B147,'INSUMOS  JULIO'!$B$6:$CJ$109,9,0),"")</f>
        <v>0</v>
      </c>
      <c r="G147" s="8">
        <f>IFERROR(VLOOKUP($B147,'INSUMOS  JULIO'!$B$6:$CJ$109,10,0),"")</f>
        <v>2717.886</v>
      </c>
      <c r="H147" s="19">
        <f t="shared" si="8"/>
        <v>0</v>
      </c>
      <c r="I147" s="1">
        <f t="shared" si="9"/>
        <v>0</v>
      </c>
      <c r="J147" s="1">
        <f t="shared" si="10"/>
        <v>0</v>
      </c>
      <c r="K147" s="19">
        <f t="shared" si="11"/>
        <v>0</v>
      </c>
    </row>
    <row r="148" spans="1:11" ht="15">
      <c r="A148" s="3">
        <v>227</v>
      </c>
      <c r="B148" s="151">
        <v>89</v>
      </c>
      <c r="C148" s="7" t="s">
        <v>53</v>
      </c>
      <c r="D148" s="4" t="s">
        <v>57</v>
      </c>
      <c r="E148" t="s">
        <v>162</v>
      </c>
      <c r="F148" s="12" t="str">
        <f>IFERROR(VLOOKUP(B148,'INSUMOS  JULIO'!$B$6:$CJ$109,9,0),"")</f>
        <v>0</v>
      </c>
      <c r="G148" s="8">
        <f>IFERROR(VLOOKUP($B148,'INSUMOS  JULIO'!$B$6:$CJ$109,10,0),"")</f>
        <v>2650.6220000000003</v>
      </c>
      <c r="H148" s="19">
        <f t="shared" si="8"/>
        <v>0</v>
      </c>
      <c r="I148" s="1">
        <f t="shared" si="9"/>
        <v>0</v>
      </c>
      <c r="J148" s="1">
        <f t="shared" si="10"/>
        <v>0</v>
      </c>
      <c r="K148" s="19">
        <f t="shared" si="11"/>
        <v>0</v>
      </c>
    </row>
    <row r="149" spans="1:11" ht="15">
      <c r="A149" s="3">
        <v>228</v>
      </c>
      <c r="B149" s="151">
        <v>91</v>
      </c>
      <c r="C149" s="7" t="s">
        <v>160</v>
      </c>
      <c r="D149" s="4" t="s">
        <v>58</v>
      </c>
      <c r="E149" t="s">
        <v>162</v>
      </c>
      <c r="F149" s="12" t="str">
        <f>IFERROR(VLOOKUP(B149,'INSUMOS  JULIO'!$B$6:$CJ$109,9,0),"")</f>
        <v>0</v>
      </c>
      <c r="G149" s="8">
        <f>IFERROR(VLOOKUP($B149,'INSUMOS  JULIO'!$B$6:$CJ$109,10,0),"")</f>
        <v>4364.8029999999999</v>
      </c>
      <c r="H149" s="19">
        <f t="shared" si="8"/>
        <v>0</v>
      </c>
      <c r="I149" s="1">
        <f t="shared" si="9"/>
        <v>0</v>
      </c>
      <c r="J149" s="1">
        <f t="shared" si="10"/>
        <v>0</v>
      </c>
      <c r="K149" s="19">
        <f t="shared" si="11"/>
        <v>0</v>
      </c>
    </row>
    <row r="150" spans="1:11" ht="15">
      <c r="A150" s="3">
        <v>229</v>
      </c>
      <c r="B150" s="151">
        <v>92</v>
      </c>
      <c r="C150" s="7" t="s">
        <v>160</v>
      </c>
      <c r="D150" s="4" t="s">
        <v>59</v>
      </c>
      <c r="E150" t="s">
        <v>162</v>
      </c>
      <c r="F150" s="12" t="str">
        <f>IFERROR(VLOOKUP(B150,'INSUMOS  JULIO'!$B$6:$CJ$109,9,0),"")</f>
        <v>0</v>
      </c>
      <c r="G150" s="8">
        <f>IFERROR(VLOOKUP($B150,'INSUMOS  JULIO'!$B$6:$CJ$109,10,0),"")</f>
        <v>2380.5149999999999</v>
      </c>
      <c r="H150" s="19">
        <f t="shared" si="8"/>
        <v>0</v>
      </c>
      <c r="I150" s="1">
        <f t="shared" si="9"/>
        <v>0</v>
      </c>
      <c r="J150" s="1">
        <f t="shared" si="10"/>
        <v>0</v>
      </c>
      <c r="K150" s="19">
        <f t="shared" si="11"/>
        <v>0</v>
      </c>
    </row>
    <row r="151" spans="1:11" ht="15">
      <c r="A151" s="3">
        <v>230</v>
      </c>
      <c r="B151" s="151">
        <v>94</v>
      </c>
      <c r="C151" s="7" t="s">
        <v>60</v>
      </c>
      <c r="D151" s="4" t="s">
        <v>61</v>
      </c>
      <c r="E151" t="s">
        <v>162</v>
      </c>
      <c r="F151" s="12" t="str">
        <f>IFERROR(VLOOKUP(B151,'INSUMOS  JULIO'!$B$6:$CJ$109,9,0),"")</f>
        <v>0</v>
      </c>
      <c r="G151" s="8">
        <f>IFERROR(VLOOKUP($B151,'INSUMOS  JULIO'!$B$6:$CJ$109,10,0),"")</f>
        <v>3316.9560000000001</v>
      </c>
      <c r="H151" s="19">
        <f t="shared" si="8"/>
        <v>0</v>
      </c>
      <c r="I151" s="1">
        <f t="shared" si="9"/>
        <v>0</v>
      </c>
      <c r="J151" s="1">
        <f t="shared" si="10"/>
        <v>0</v>
      </c>
      <c r="K151" s="19">
        <f t="shared" si="11"/>
        <v>0</v>
      </c>
    </row>
    <row r="152" spans="1:11" ht="15">
      <c r="A152" s="3">
        <v>231</v>
      </c>
      <c r="B152" s="151">
        <v>95</v>
      </c>
      <c r="C152" s="7" t="s">
        <v>60</v>
      </c>
      <c r="D152" s="4" t="s">
        <v>62</v>
      </c>
      <c r="E152" t="s">
        <v>162</v>
      </c>
      <c r="F152" s="12" t="str">
        <f>IFERROR(VLOOKUP(B152,'INSUMOS  JULIO'!$B$6:$CJ$109,9,0),"")</f>
        <v>0</v>
      </c>
      <c r="G152" s="8">
        <f>IFERROR(VLOOKUP($B152,'INSUMOS  JULIO'!$B$6:$CJ$109,10,0),"")</f>
        <v>11056.52</v>
      </c>
      <c r="H152" s="19">
        <f t="shared" si="8"/>
        <v>0</v>
      </c>
      <c r="I152" s="1">
        <f t="shared" si="9"/>
        <v>0</v>
      </c>
      <c r="J152" s="1">
        <f t="shared" si="10"/>
        <v>0</v>
      </c>
      <c r="K152" s="19">
        <f t="shared" si="11"/>
        <v>0</v>
      </c>
    </row>
    <row r="153" spans="1:11" ht="15">
      <c r="A153" s="3">
        <v>232</v>
      </c>
      <c r="B153" s="151">
        <v>98</v>
      </c>
      <c r="C153" s="7" t="s">
        <v>151</v>
      </c>
      <c r="D153" s="4" t="s">
        <v>63</v>
      </c>
      <c r="E153" t="s">
        <v>162</v>
      </c>
      <c r="F153" s="12">
        <f>IFERROR(VLOOKUP(B153,'INSUMOS  JULIO'!$B$6:$CJ$109,9,0),"")</f>
        <v>0</v>
      </c>
      <c r="G153" s="8">
        <f>IFERROR(VLOOKUP($B153,'INSUMOS  JULIO'!$B$6:$CJ$109,10,0),"")</f>
        <v>6633.9120000000003</v>
      </c>
      <c r="H153" s="19">
        <f t="shared" si="8"/>
        <v>0</v>
      </c>
      <c r="I153" s="1">
        <f t="shared" si="9"/>
        <v>0</v>
      </c>
      <c r="J153" s="1">
        <f t="shared" si="10"/>
        <v>0</v>
      </c>
      <c r="K153" s="19">
        <f t="shared" si="11"/>
        <v>0</v>
      </c>
    </row>
    <row r="154" spans="1:11" ht="15">
      <c r="A154" s="3">
        <v>233</v>
      </c>
      <c r="B154" s="151">
        <v>100</v>
      </c>
      <c r="C154" s="7" t="s">
        <v>160</v>
      </c>
      <c r="D154" s="4" t="s">
        <v>64</v>
      </c>
      <c r="E154" t="s">
        <v>162</v>
      </c>
      <c r="F154" s="12" t="str">
        <f>IFERROR(VLOOKUP(B154,'INSUMOS  JULIO'!$B$6:$CJ$109,9,0),"")</f>
        <v>0</v>
      </c>
      <c r="G154" s="8">
        <f>IFERROR(VLOOKUP($B154,'INSUMOS  JULIO'!$B$6:$CJ$109,10,0),"")</f>
        <v>4364.8029999999999</v>
      </c>
      <c r="H154" s="19">
        <f t="shared" si="8"/>
        <v>0</v>
      </c>
      <c r="I154" s="1">
        <f t="shared" si="9"/>
        <v>0</v>
      </c>
      <c r="J154" s="1">
        <f t="shared" si="10"/>
        <v>0</v>
      </c>
      <c r="K154" s="19">
        <f t="shared" si="11"/>
        <v>0</v>
      </c>
    </row>
    <row r="155" spans="1:11" ht="15">
      <c r="A155" s="3">
        <v>234</v>
      </c>
      <c r="B155" s="151">
        <v>102</v>
      </c>
      <c r="C155" s="7" t="s">
        <v>60</v>
      </c>
      <c r="D155" s="4" t="s">
        <v>65</v>
      </c>
      <c r="E155" t="s">
        <v>162</v>
      </c>
      <c r="F155" s="12" t="str">
        <f>IFERROR(VLOOKUP(B155,'INSUMOS  JULIO'!$B$6:$CJ$109,9,0),"")</f>
        <v>0</v>
      </c>
      <c r="G155" s="8">
        <f>IFERROR(VLOOKUP($B155,'INSUMOS  JULIO'!$B$6:$CJ$109,10,0),"")</f>
        <v>3811.9770000000003</v>
      </c>
      <c r="H155" s="19">
        <f t="shared" si="8"/>
        <v>0</v>
      </c>
      <c r="I155" s="1">
        <f t="shared" si="9"/>
        <v>0</v>
      </c>
      <c r="J155" s="1">
        <f t="shared" si="10"/>
        <v>0</v>
      </c>
      <c r="K155" s="19">
        <f t="shared" si="11"/>
        <v>0</v>
      </c>
    </row>
    <row r="156" spans="1:11" ht="15">
      <c r="A156" s="3">
        <v>235</v>
      </c>
      <c r="B156" s="151">
        <v>103</v>
      </c>
      <c r="C156" s="7" t="s">
        <v>66</v>
      </c>
      <c r="D156" s="4" t="s">
        <v>67</v>
      </c>
      <c r="E156" t="s">
        <v>162</v>
      </c>
      <c r="F156" s="12" t="str">
        <f>IFERROR(VLOOKUP(B156,'INSUMOS  JULIO'!$B$6:$CJ$109,9,0),"")</f>
        <v>0</v>
      </c>
      <c r="G156" s="8">
        <f>IFERROR(VLOOKUP($B156,'INSUMOS  JULIO'!$B$6:$CJ$109,10,0),"")</f>
        <v>18022.547999999999</v>
      </c>
      <c r="H156" s="19">
        <f t="shared" si="8"/>
        <v>0</v>
      </c>
      <c r="I156" s="1">
        <f t="shared" si="9"/>
        <v>0</v>
      </c>
      <c r="J156" s="1">
        <f t="shared" si="10"/>
        <v>0</v>
      </c>
      <c r="K156" s="19">
        <f t="shared" si="11"/>
        <v>0</v>
      </c>
    </row>
    <row r="157" spans="1:11" ht="15">
      <c r="A157" s="3">
        <v>236</v>
      </c>
      <c r="B157" s="151">
        <v>104</v>
      </c>
      <c r="C157" s="7" t="s">
        <v>66</v>
      </c>
      <c r="D157" s="4" t="s">
        <v>68</v>
      </c>
      <c r="E157" t="s">
        <v>162</v>
      </c>
      <c r="F157" s="12" t="str">
        <f>IFERROR(VLOOKUP(B157,'INSUMOS  JULIO'!$B$6:$CJ$109,9,0),"")</f>
        <v>0</v>
      </c>
      <c r="G157" s="8">
        <f>IFERROR(VLOOKUP($B157,'INSUMOS  JULIO'!$B$6:$CJ$109,10,0),"")</f>
        <v>18022.547999999999</v>
      </c>
      <c r="H157" s="19">
        <f t="shared" si="8"/>
        <v>0</v>
      </c>
      <c r="I157" s="1">
        <f t="shared" si="9"/>
        <v>0</v>
      </c>
      <c r="J157" s="1">
        <f t="shared" si="10"/>
        <v>0</v>
      </c>
      <c r="K157" s="19">
        <f t="shared" si="11"/>
        <v>0</v>
      </c>
    </row>
    <row r="158" spans="1:11" ht="15">
      <c r="A158" s="3">
        <v>237</v>
      </c>
      <c r="B158" s="151">
        <v>105</v>
      </c>
      <c r="C158" s="7" t="s">
        <v>66</v>
      </c>
      <c r="D158" s="4" t="s">
        <v>69</v>
      </c>
      <c r="E158" t="s">
        <v>162</v>
      </c>
      <c r="F158" s="12" t="str">
        <f>IFERROR(VLOOKUP(B158,'INSUMOS  JULIO'!$B$6:$CJ$109,9,0),"")</f>
        <v>0</v>
      </c>
      <c r="G158" s="8">
        <f>IFERROR(VLOOKUP($B158,'INSUMOS  JULIO'!$B$6:$CJ$109,10,0),"")</f>
        <v>27641.3</v>
      </c>
      <c r="H158" s="19">
        <f t="shared" si="8"/>
        <v>0</v>
      </c>
      <c r="I158" s="1">
        <f t="shared" si="9"/>
        <v>0</v>
      </c>
      <c r="J158" s="1">
        <f t="shared" si="10"/>
        <v>0</v>
      </c>
      <c r="K158" s="19">
        <f t="shared" si="11"/>
        <v>0</v>
      </c>
    </row>
    <row r="159" spans="1:11" ht="15">
      <c r="A159" s="3">
        <v>238</v>
      </c>
      <c r="B159" s="151">
        <v>106</v>
      </c>
      <c r="C159" s="7" t="s">
        <v>66</v>
      </c>
      <c r="D159" s="4" t="s">
        <v>70</v>
      </c>
      <c r="E159" t="s">
        <v>162</v>
      </c>
      <c r="F159" s="12" t="str">
        <f>IFERROR(VLOOKUP(B159,'INSUMOS  JULIO'!$B$6:$CJ$109,9,0),"")</f>
        <v>0</v>
      </c>
      <c r="G159" s="8">
        <f>IFERROR(VLOOKUP($B159,'INSUMOS  JULIO'!$B$6:$CJ$109,10,0),"")</f>
        <v>0</v>
      </c>
      <c r="H159" s="19">
        <f t="shared" si="8"/>
        <v>0</v>
      </c>
      <c r="I159" s="1">
        <f t="shared" si="9"/>
        <v>0</v>
      </c>
      <c r="J159" s="1">
        <f t="shared" si="10"/>
        <v>0</v>
      </c>
      <c r="K159" s="19">
        <f t="shared" si="11"/>
        <v>0</v>
      </c>
    </row>
    <row r="160" spans="1:11" ht="15">
      <c r="A160" s="3">
        <v>239</v>
      </c>
      <c r="B160" s="151">
        <v>108</v>
      </c>
      <c r="C160" s="7" t="s">
        <v>66</v>
      </c>
      <c r="D160" s="4" t="s">
        <v>71</v>
      </c>
      <c r="E160" t="s">
        <v>162</v>
      </c>
      <c r="F160" s="12" t="str">
        <f>IFERROR(VLOOKUP(B160,'INSUMOS  JULIO'!$B$6:$CJ$109,9,0),"")</f>
        <v>0</v>
      </c>
      <c r="G160" s="8">
        <f>IFERROR(VLOOKUP($B160,'INSUMOS  JULIO'!$B$6:$CJ$109,10,0),"")</f>
        <v>38697.82</v>
      </c>
      <c r="H160" s="19">
        <f t="shared" si="8"/>
        <v>0</v>
      </c>
      <c r="I160" s="1">
        <f t="shared" si="9"/>
        <v>0</v>
      </c>
      <c r="J160" s="1">
        <f t="shared" si="10"/>
        <v>0</v>
      </c>
      <c r="K160" s="19">
        <f t="shared" si="11"/>
        <v>0</v>
      </c>
    </row>
    <row r="161" spans="1:11" ht="15">
      <c r="A161" s="3">
        <v>240</v>
      </c>
      <c r="B161" s="151">
        <v>109</v>
      </c>
      <c r="C161" s="7" t="s">
        <v>66</v>
      </c>
      <c r="D161" s="4" t="s">
        <v>72</v>
      </c>
      <c r="E161" t="s">
        <v>162</v>
      </c>
      <c r="F161" s="12" t="str">
        <f>IFERROR(VLOOKUP(B161,'INSUMOS  JULIO'!$B$6:$CJ$109,9,0),"")</f>
        <v>0</v>
      </c>
      <c r="G161" s="8">
        <f>IFERROR(VLOOKUP($B161,'INSUMOS  JULIO'!$B$6:$CJ$109,10,0),"")</f>
        <v>49754.340000000004</v>
      </c>
      <c r="H161" s="19">
        <f t="shared" si="8"/>
        <v>0</v>
      </c>
      <c r="I161" s="1">
        <f t="shared" si="9"/>
        <v>0</v>
      </c>
      <c r="J161" s="1">
        <f t="shared" si="10"/>
        <v>0</v>
      </c>
      <c r="K161" s="19">
        <f t="shared" si="11"/>
        <v>0</v>
      </c>
    </row>
    <row r="162" spans="1:11" ht="15">
      <c r="A162" s="3">
        <v>241</v>
      </c>
      <c r="B162" s="151">
        <v>110</v>
      </c>
      <c r="C162" s="7" t="s">
        <v>158</v>
      </c>
      <c r="D162" s="4" t="s">
        <v>73</v>
      </c>
      <c r="E162" t="s">
        <v>162</v>
      </c>
      <c r="F162" s="12">
        <f>IFERROR(VLOOKUP(B162,'INSUMOS  JULIO'!$B$6:$CJ$109,9,0),"")</f>
        <v>0</v>
      </c>
      <c r="G162" s="8">
        <f>IFERROR(VLOOKUP($B162,'INSUMOS  JULIO'!$B$6:$CJ$109,10,0),"")</f>
        <v>1442.4974999999999</v>
      </c>
      <c r="H162" s="19">
        <f t="shared" si="8"/>
        <v>0</v>
      </c>
      <c r="I162" s="1">
        <f t="shared" si="9"/>
        <v>0</v>
      </c>
      <c r="J162" s="1">
        <f t="shared" si="10"/>
        <v>0</v>
      </c>
      <c r="K162" s="19">
        <f t="shared" si="11"/>
        <v>0</v>
      </c>
    </row>
    <row r="163" spans="1:11" ht="15">
      <c r="A163" s="3">
        <v>242</v>
      </c>
      <c r="B163" s="151">
        <v>118</v>
      </c>
      <c r="C163" s="7" t="s">
        <v>158</v>
      </c>
      <c r="D163" s="4" t="s">
        <v>74</v>
      </c>
      <c r="E163" t="s">
        <v>162</v>
      </c>
      <c r="F163" s="12">
        <f>IFERROR(VLOOKUP(B163,'INSUMOS  JULIO'!$B$6:$CJ$109,9,0),"")</f>
        <v>0</v>
      </c>
      <c r="G163" s="8">
        <f>IFERROR(VLOOKUP($B163,'INSUMOS  JULIO'!$B$6:$CJ$109,10,0),"")</f>
        <v>4129.7993999999999</v>
      </c>
      <c r="H163" s="19">
        <f t="shared" si="8"/>
        <v>0</v>
      </c>
      <c r="I163" s="1">
        <f t="shared" si="9"/>
        <v>0</v>
      </c>
      <c r="J163" s="1">
        <f t="shared" si="10"/>
        <v>0</v>
      </c>
      <c r="K163" s="19">
        <f t="shared" si="11"/>
        <v>0</v>
      </c>
    </row>
    <row r="164" spans="1:11" ht="15">
      <c r="A164" s="3">
        <v>243</v>
      </c>
      <c r="B164" s="151">
        <v>119</v>
      </c>
      <c r="C164" s="7" t="s">
        <v>158</v>
      </c>
      <c r="D164" s="4" t="s">
        <v>75</v>
      </c>
      <c r="E164" t="s">
        <v>162</v>
      </c>
      <c r="F164" s="12" t="str">
        <f>IFERROR(VLOOKUP(B164,'INSUMOS  JULIO'!$B$6:$CJ$109,9,0),"")</f>
        <v>0</v>
      </c>
      <c r="G164" s="8">
        <f>IFERROR(VLOOKUP($B164,'INSUMOS  JULIO'!$B$6:$CJ$109,10,0),"")</f>
        <v>4259.3877000000002</v>
      </c>
      <c r="H164" s="19">
        <f t="shared" si="8"/>
        <v>0</v>
      </c>
      <c r="I164" s="1">
        <f t="shared" si="9"/>
        <v>0</v>
      </c>
      <c r="J164" s="1">
        <f t="shared" si="10"/>
        <v>0</v>
      </c>
      <c r="K164" s="19">
        <f t="shared" si="11"/>
        <v>0</v>
      </c>
    </row>
    <row r="165" spans="1:11" ht="15">
      <c r="A165" s="3">
        <v>244</v>
      </c>
      <c r="B165" s="151">
        <v>120</v>
      </c>
      <c r="C165" s="7" t="s">
        <v>158</v>
      </c>
      <c r="D165" s="4" t="s">
        <v>76</v>
      </c>
      <c r="E165" t="s">
        <v>162</v>
      </c>
      <c r="F165" s="12" t="str">
        <f>IFERROR(VLOOKUP(B165,'INSUMOS  JULIO'!$B$6:$CJ$109,9,0),"")</f>
        <v>0</v>
      </c>
      <c r="G165" s="8">
        <f>IFERROR(VLOOKUP($B165,'INSUMOS  JULIO'!$B$6:$CJ$109,10,0),"")</f>
        <v>4259.3877000000002</v>
      </c>
      <c r="H165" s="19">
        <f t="shared" si="8"/>
        <v>0</v>
      </c>
      <c r="I165" s="1">
        <f t="shared" si="9"/>
        <v>0</v>
      </c>
      <c r="J165" s="1">
        <f t="shared" si="10"/>
        <v>0</v>
      </c>
      <c r="K165" s="19">
        <f t="shared" si="11"/>
        <v>0</v>
      </c>
    </row>
    <row r="166" spans="1:11" ht="15">
      <c r="A166" s="3">
        <v>245</v>
      </c>
      <c r="B166" s="151">
        <v>122</v>
      </c>
      <c r="C166" s="7" t="s">
        <v>158</v>
      </c>
      <c r="D166" s="4" t="s">
        <v>77</v>
      </c>
      <c r="E166" t="s">
        <v>162</v>
      </c>
      <c r="F166" s="12" t="str">
        <f>IFERROR(VLOOKUP(B166,'INSUMOS  JULIO'!$B$6:$CJ$109,9,0),"")</f>
        <v>0</v>
      </c>
      <c r="G166" s="8">
        <f>IFERROR(VLOOKUP($B166,'INSUMOS  JULIO'!$B$6:$CJ$109,10,0),"")</f>
        <v>5920.3881000000001</v>
      </c>
      <c r="H166" s="19">
        <f t="shared" si="8"/>
        <v>0</v>
      </c>
      <c r="I166" s="1">
        <f t="shared" si="9"/>
        <v>0</v>
      </c>
      <c r="J166" s="1">
        <f t="shared" si="10"/>
        <v>0</v>
      </c>
      <c r="K166" s="19">
        <f t="shared" si="11"/>
        <v>0</v>
      </c>
    </row>
    <row r="167" spans="1:11" ht="15">
      <c r="A167" s="3">
        <v>246</v>
      </c>
      <c r="B167" s="151">
        <v>123</v>
      </c>
      <c r="C167" s="7" t="s">
        <v>158</v>
      </c>
      <c r="D167" s="4" t="s">
        <v>78</v>
      </c>
      <c r="E167" t="s">
        <v>162</v>
      </c>
      <c r="F167" s="12" t="str">
        <f>IFERROR(VLOOKUP(B167,'INSUMOS  JULIO'!$B$6:$CJ$109,9,0),"")</f>
        <v>0</v>
      </c>
      <c r="G167" s="8">
        <f>IFERROR(VLOOKUP($B167,'INSUMOS  JULIO'!$B$6:$CJ$109,10,0),"")</f>
        <v>5765.7860000000001</v>
      </c>
      <c r="H167" s="19">
        <f t="shared" si="8"/>
        <v>0</v>
      </c>
      <c r="I167" s="1">
        <f t="shared" si="9"/>
        <v>0</v>
      </c>
      <c r="J167" s="1">
        <f t="shared" si="10"/>
        <v>0</v>
      </c>
      <c r="K167" s="19">
        <f t="shared" si="11"/>
        <v>0</v>
      </c>
    </row>
    <row r="168" spans="1:11" ht="15">
      <c r="A168" s="3">
        <v>247</v>
      </c>
      <c r="B168" s="151">
        <v>124</v>
      </c>
      <c r="C168" s="7" t="s">
        <v>158</v>
      </c>
      <c r="D168" s="4" t="s">
        <v>79</v>
      </c>
      <c r="E168" t="s">
        <v>162</v>
      </c>
      <c r="F168" s="12" t="str">
        <f>IFERROR(VLOOKUP(B168,'INSUMOS  JULIO'!$B$6:$CJ$109,9,0),"")</f>
        <v>0</v>
      </c>
      <c r="G168" s="8">
        <f>IFERROR(VLOOKUP($B168,'INSUMOS  JULIO'!$B$6:$CJ$109,10,0),"")</f>
        <v>6169.1598000000004</v>
      </c>
      <c r="H168" s="19">
        <f t="shared" si="8"/>
        <v>0</v>
      </c>
      <c r="I168" s="1">
        <f t="shared" si="9"/>
        <v>0</v>
      </c>
      <c r="J168" s="1">
        <f t="shared" si="10"/>
        <v>0</v>
      </c>
      <c r="K168" s="19">
        <f t="shared" si="11"/>
        <v>0</v>
      </c>
    </row>
    <row r="169" spans="1:11" ht="15">
      <c r="A169" s="3">
        <v>248</v>
      </c>
      <c r="B169" s="151">
        <v>126</v>
      </c>
      <c r="C169" s="7" t="s">
        <v>9</v>
      </c>
      <c r="D169" s="4" t="s">
        <v>80</v>
      </c>
      <c r="E169" t="s">
        <v>162</v>
      </c>
      <c r="F169" s="12" t="str">
        <f>IFERROR(VLOOKUP(B169,'INSUMOS  JULIO'!$B$6:$CJ$109,9,0),"")</f>
        <v>0</v>
      </c>
      <c r="G169" s="8">
        <f>IFERROR(VLOOKUP($B169,'INSUMOS  JULIO'!$B$6:$CJ$109,10,0),"")</f>
        <v>3316.9560000000001</v>
      </c>
      <c r="H169" s="19">
        <f t="shared" si="8"/>
        <v>0</v>
      </c>
      <c r="I169" s="1">
        <f t="shared" si="9"/>
        <v>0</v>
      </c>
      <c r="J169" s="1">
        <f t="shared" si="10"/>
        <v>0</v>
      </c>
      <c r="K169" s="19">
        <f t="shared" si="11"/>
        <v>0</v>
      </c>
    </row>
    <row r="170" spans="1:11" ht="15">
      <c r="A170" s="3">
        <v>249</v>
      </c>
      <c r="B170" s="151">
        <v>127</v>
      </c>
      <c r="C170" s="7" t="s">
        <v>156</v>
      </c>
      <c r="D170" s="4" t="s">
        <v>81</v>
      </c>
      <c r="E170" t="s">
        <v>162</v>
      </c>
      <c r="F170" s="12" t="str">
        <f>IFERROR(VLOOKUP(B170,'INSUMOS  JULIO'!$B$6:$CJ$109,9,0),"")</f>
        <v>0</v>
      </c>
      <c r="G170" s="8">
        <f>IFERROR(VLOOKUP($B170,'INSUMOS  JULIO'!$B$6:$CJ$109,10,0),"")</f>
        <v>3316.9560000000001</v>
      </c>
      <c r="H170" s="19">
        <f t="shared" si="8"/>
        <v>0</v>
      </c>
      <c r="I170" s="1">
        <f t="shared" si="9"/>
        <v>0</v>
      </c>
      <c r="J170" s="1">
        <f t="shared" si="10"/>
        <v>0</v>
      </c>
      <c r="K170" s="19">
        <f t="shared" si="11"/>
        <v>0</v>
      </c>
    </row>
    <row r="171" spans="1:11" ht="15">
      <c r="A171" s="3">
        <v>250</v>
      </c>
      <c r="B171" s="151">
        <v>129</v>
      </c>
      <c r="C171" s="7" t="s">
        <v>157</v>
      </c>
      <c r="D171" s="4" t="s">
        <v>82</v>
      </c>
      <c r="E171" t="s">
        <v>162</v>
      </c>
      <c r="F171" s="12" t="str">
        <f>IFERROR(VLOOKUP(B171,'INSUMOS  JULIO'!$B$6:$CJ$109,9,0),"")</f>
        <v>0</v>
      </c>
      <c r="G171" s="8">
        <f>IFERROR(VLOOKUP($B171,'INSUMOS  JULIO'!$B$6:$CJ$109,10,0),"")</f>
        <v>3787.8040000000001</v>
      </c>
      <c r="H171" s="19">
        <f t="shared" si="8"/>
        <v>0</v>
      </c>
      <c r="I171" s="1">
        <f t="shared" si="9"/>
        <v>0</v>
      </c>
      <c r="J171" s="1">
        <f t="shared" si="10"/>
        <v>0</v>
      </c>
      <c r="K171" s="19">
        <f t="shared" si="11"/>
        <v>0</v>
      </c>
    </row>
    <row r="172" spans="1:11" ht="15">
      <c r="A172" s="3">
        <v>251</v>
      </c>
      <c r="B172" s="151">
        <v>131</v>
      </c>
      <c r="C172" s="7" t="s">
        <v>13</v>
      </c>
      <c r="D172" s="4" t="s">
        <v>83</v>
      </c>
      <c r="E172" t="s">
        <v>162</v>
      </c>
      <c r="F172" s="12" t="str">
        <f>IFERROR(VLOOKUP(B172,'INSUMOS  JULIO'!$B$6:$CJ$109,9,0),"")</f>
        <v>0</v>
      </c>
      <c r="G172" s="8">
        <f>IFERROR(VLOOKUP($B172,'INSUMOS  JULIO'!$B$6:$CJ$109,10,0),"")</f>
        <v>0</v>
      </c>
      <c r="H172" s="19">
        <f t="shared" si="8"/>
        <v>0</v>
      </c>
      <c r="I172" s="1">
        <f t="shared" si="9"/>
        <v>0</v>
      </c>
      <c r="J172" s="1">
        <f t="shared" si="10"/>
        <v>0</v>
      </c>
      <c r="K172" s="19">
        <f t="shared" si="11"/>
        <v>0</v>
      </c>
    </row>
    <row r="173" spans="1:11" ht="15">
      <c r="A173" s="3">
        <v>252</v>
      </c>
      <c r="B173" s="151">
        <v>132</v>
      </c>
      <c r="C173" s="7" t="s">
        <v>13</v>
      </c>
      <c r="D173" s="4" t="s">
        <v>84</v>
      </c>
      <c r="E173" t="s">
        <v>162</v>
      </c>
      <c r="F173" s="12" t="str">
        <f>IFERROR(VLOOKUP(B173,'INSUMOS  JULIO'!$B$6:$CJ$109,9,0),"")</f>
        <v>0</v>
      </c>
      <c r="G173" s="8">
        <f>IFERROR(VLOOKUP($B173,'INSUMOS  JULIO'!$B$6:$CJ$109,10,0),"")</f>
        <v>0</v>
      </c>
      <c r="H173" s="19">
        <f t="shared" si="8"/>
        <v>0</v>
      </c>
      <c r="I173" s="1">
        <f t="shared" si="9"/>
        <v>0</v>
      </c>
      <c r="J173" s="1">
        <f t="shared" si="10"/>
        <v>0</v>
      </c>
      <c r="K173" s="19">
        <f t="shared" si="11"/>
        <v>0</v>
      </c>
    </row>
    <row r="174" spans="1:11" ht="15">
      <c r="A174" s="3">
        <v>253</v>
      </c>
      <c r="B174" s="151">
        <v>134</v>
      </c>
      <c r="C174" s="7" t="s">
        <v>16</v>
      </c>
      <c r="D174" s="4" t="s">
        <v>85</v>
      </c>
      <c r="E174" t="s">
        <v>162</v>
      </c>
      <c r="F174" s="12" t="str">
        <f>IFERROR(VLOOKUP(B174,'INSUMOS  JULIO'!$B$6:$CJ$109,9,0),"")</f>
        <v>0</v>
      </c>
      <c r="G174" s="8">
        <f>IFERROR(VLOOKUP($B174,'INSUMOS  JULIO'!$B$6:$CJ$109,10,0),"")</f>
        <v>0</v>
      </c>
      <c r="H174" s="19">
        <f t="shared" si="8"/>
        <v>0</v>
      </c>
      <c r="I174" s="1">
        <f t="shared" si="9"/>
        <v>0</v>
      </c>
      <c r="J174" s="1">
        <f t="shared" si="10"/>
        <v>0</v>
      </c>
      <c r="K174" s="19">
        <f t="shared" si="11"/>
        <v>0</v>
      </c>
    </row>
    <row r="175" spans="1:11" ht="15">
      <c r="A175" s="3">
        <v>254</v>
      </c>
      <c r="B175" s="151">
        <v>135</v>
      </c>
      <c r="C175" s="7" t="s">
        <v>18</v>
      </c>
      <c r="D175" s="4" t="s">
        <v>86</v>
      </c>
      <c r="E175" t="s">
        <v>162</v>
      </c>
      <c r="F175" s="12">
        <f>IFERROR(VLOOKUP(B175,'INSUMOS  JULIO'!$B$6:$CJ$109,9,0),"")</f>
        <v>0</v>
      </c>
      <c r="G175" s="8">
        <f>IFERROR(VLOOKUP($B175,'INSUMOS  JULIO'!$B$6:$CJ$109,10,0),"")</f>
        <v>6229.277</v>
      </c>
      <c r="H175" s="19">
        <f t="shared" si="8"/>
        <v>0</v>
      </c>
      <c r="I175" s="1">
        <f t="shared" si="9"/>
        <v>0</v>
      </c>
      <c r="J175" s="1">
        <f t="shared" si="10"/>
        <v>0</v>
      </c>
      <c r="K175" s="19">
        <f t="shared" si="11"/>
        <v>0</v>
      </c>
    </row>
    <row r="176" spans="1:11" ht="15">
      <c r="A176" s="3">
        <v>255</v>
      </c>
      <c r="B176" s="151">
        <v>137</v>
      </c>
      <c r="C176" s="7" t="s">
        <v>20</v>
      </c>
      <c r="D176" s="4" t="s">
        <v>88</v>
      </c>
      <c r="E176" t="s">
        <v>162</v>
      </c>
      <c r="F176" s="12" t="str">
        <f>IFERROR(VLOOKUP(B176,'INSUMOS  JULIO'!$B$6:$CJ$109,9,0),"")</f>
        <v>0</v>
      </c>
      <c r="G176" s="8">
        <f>IFERROR(VLOOKUP($B176,'INSUMOS  JULIO'!$B$6:$CJ$109,10,0),"")</f>
        <v>0</v>
      </c>
      <c r="H176" s="19">
        <f t="shared" si="8"/>
        <v>0</v>
      </c>
      <c r="I176" s="1">
        <f t="shared" si="9"/>
        <v>0</v>
      </c>
      <c r="J176" s="1">
        <f t="shared" si="10"/>
        <v>0</v>
      </c>
      <c r="K176" s="19">
        <f t="shared" si="11"/>
        <v>0</v>
      </c>
    </row>
    <row r="177" spans="1:11" ht="15">
      <c r="A177" s="3">
        <v>256</v>
      </c>
      <c r="B177" s="151">
        <v>139</v>
      </c>
      <c r="C177" s="7" t="s">
        <v>22</v>
      </c>
      <c r="D177" s="4" t="s">
        <v>89</v>
      </c>
      <c r="E177" t="s">
        <v>162</v>
      </c>
      <c r="F177" s="12">
        <f>IFERROR(VLOOKUP(B177,'INSUMOS  JULIO'!$B$6:$CJ$109,9,0),"")</f>
        <v>0</v>
      </c>
      <c r="G177" s="8">
        <f>IFERROR(VLOOKUP($B177,'INSUMOS  JULIO'!$B$6:$CJ$109,10,0),"")</f>
        <v>25429.996000000003</v>
      </c>
      <c r="H177" s="19">
        <f t="shared" si="8"/>
        <v>0</v>
      </c>
      <c r="I177" s="1">
        <f t="shared" si="9"/>
        <v>0</v>
      </c>
      <c r="J177" s="1">
        <f t="shared" si="10"/>
        <v>0</v>
      </c>
      <c r="K177" s="19">
        <f t="shared" si="11"/>
        <v>0</v>
      </c>
    </row>
    <row r="178" spans="1:11" ht="15">
      <c r="A178" s="3">
        <v>257</v>
      </c>
      <c r="B178" s="151">
        <v>151</v>
      </c>
      <c r="C178" s="7" t="s">
        <v>18</v>
      </c>
      <c r="D178" s="4" t="s">
        <v>91</v>
      </c>
      <c r="E178" t="s">
        <v>162</v>
      </c>
      <c r="F178" s="12">
        <f>IFERROR(VLOOKUP(B178,'INSUMOS  JULIO'!$B$6:$CJ$109,9,0),"")</f>
        <v>0</v>
      </c>
      <c r="G178" s="8">
        <f>IFERROR(VLOOKUP($B178,'INSUMOS  JULIO'!$B$6:$CJ$109,10,0),"")</f>
        <v>4422.6080000000002</v>
      </c>
      <c r="H178" s="19">
        <f t="shared" si="8"/>
        <v>0</v>
      </c>
      <c r="I178" s="1">
        <f t="shared" si="9"/>
        <v>0</v>
      </c>
      <c r="J178" s="1">
        <f t="shared" si="10"/>
        <v>0</v>
      </c>
      <c r="K178" s="19">
        <f t="shared" si="11"/>
        <v>0</v>
      </c>
    </row>
    <row r="179" spans="1:11" ht="15">
      <c r="A179" s="3">
        <v>258</v>
      </c>
      <c r="B179" s="151">
        <v>152</v>
      </c>
      <c r="C179" s="7" t="s">
        <v>155</v>
      </c>
      <c r="D179" s="4" t="s">
        <v>92</v>
      </c>
      <c r="E179" t="s">
        <v>162</v>
      </c>
      <c r="F179" s="12" t="str">
        <f>IFERROR(VLOOKUP(B179,'INSUMOS  JULIO'!$B$6:$CJ$109,9,0),"")</f>
        <v>0</v>
      </c>
      <c r="G179" s="8">
        <f>IFERROR(VLOOKUP($B179,'INSUMOS  JULIO'!$B$6:$CJ$109,10,0),"")</f>
        <v>0</v>
      </c>
      <c r="H179" s="19">
        <f t="shared" si="8"/>
        <v>0</v>
      </c>
      <c r="I179" s="1">
        <f t="shared" si="9"/>
        <v>0</v>
      </c>
      <c r="J179" s="1">
        <f t="shared" si="10"/>
        <v>0</v>
      </c>
      <c r="K179" s="19">
        <f t="shared" si="11"/>
        <v>0</v>
      </c>
    </row>
    <row r="180" spans="1:11" ht="15">
      <c r="A180" s="3">
        <v>259</v>
      </c>
      <c r="B180" s="151">
        <v>154</v>
      </c>
      <c r="C180" s="7" t="s">
        <v>16</v>
      </c>
      <c r="D180" s="4" t="s">
        <v>94</v>
      </c>
      <c r="E180" t="s">
        <v>162</v>
      </c>
      <c r="F180" s="12" t="str">
        <f>IFERROR(VLOOKUP(B180,'INSUMOS  JULIO'!$B$6:$CJ$109,9,0),"")</f>
        <v>0</v>
      </c>
      <c r="G180" s="8">
        <f>IFERROR(VLOOKUP($B180,'INSUMOS  JULIO'!$B$6:$CJ$109,10,0),"")</f>
        <v>0</v>
      </c>
      <c r="H180" s="19">
        <f t="shared" si="8"/>
        <v>0</v>
      </c>
      <c r="I180" s="1">
        <f t="shared" si="9"/>
        <v>0</v>
      </c>
      <c r="J180" s="1">
        <f t="shared" si="10"/>
        <v>0</v>
      </c>
      <c r="K180" s="19">
        <f t="shared" si="11"/>
        <v>0</v>
      </c>
    </row>
    <row r="181" spans="1:11" ht="15">
      <c r="A181" s="3">
        <v>260</v>
      </c>
      <c r="B181" s="151">
        <v>155</v>
      </c>
      <c r="C181" s="7" t="s">
        <v>27</v>
      </c>
      <c r="D181" s="4" t="s">
        <v>95</v>
      </c>
      <c r="E181" t="s">
        <v>162</v>
      </c>
      <c r="F181" s="12">
        <f>IFERROR(VLOOKUP(B181,'INSUMOS  JULIO'!$B$6:$CJ$109,9,0),"")</f>
        <v>0</v>
      </c>
      <c r="G181" s="8">
        <f>IFERROR(VLOOKUP($B181,'INSUMOS  JULIO'!$B$6:$CJ$109,10,0),"")</f>
        <v>5005.7028</v>
      </c>
      <c r="H181" s="19">
        <f t="shared" si="8"/>
        <v>0</v>
      </c>
      <c r="I181" s="1">
        <f t="shared" si="9"/>
        <v>0</v>
      </c>
      <c r="J181" s="1">
        <f t="shared" si="10"/>
        <v>0</v>
      </c>
      <c r="K181" s="19">
        <f t="shared" si="11"/>
        <v>0</v>
      </c>
    </row>
    <row r="182" spans="1:11" ht="15">
      <c r="A182" s="3">
        <v>261</v>
      </c>
      <c r="B182" s="151">
        <v>156</v>
      </c>
      <c r="C182" s="7" t="s">
        <v>13</v>
      </c>
      <c r="D182" s="4" t="s">
        <v>96</v>
      </c>
      <c r="E182" t="s">
        <v>162</v>
      </c>
      <c r="F182" s="12" t="str">
        <f>IFERROR(VLOOKUP(B182,'INSUMOS  JULIO'!$B$6:$CJ$109,9,0),"")</f>
        <v>0</v>
      </c>
      <c r="G182" s="8">
        <f>IFERROR(VLOOKUP($B182,'INSUMOS  JULIO'!$B$6:$CJ$109,10,0),"")</f>
        <v>4422.6080000000002</v>
      </c>
      <c r="H182" s="19">
        <f t="shared" si="8"/>
        <v>0</v>
      </c>
      <c r="I182" s="1">
        <f t="shared" si="9"/>
        <v>0</v>
      </c>
      <c r="J182" s="1">
        <f t="shared" si="10"/>
        <v>0</v>
      </c>
      <c r="K182" s="19">
        <f t="shared" si="11"/>
        <v>0</v>
      </c>
    </row>
    <row r="183" spans="1:11" ht="15">
      <c r="A183" s="3">
        <v>262</v>
      </c>
      <c r="B183" s="151">
        <v>157</v>
      </c>
      <c r="C183" s="7" t="s">
        <v>13</v>
      </c>
      <c r="D183" s="4" t="s">
        <v>97</v>
      </c>
      <c r="E183" t="s">
        <v>162</v>
      </c>
      <c r="F183" s="12">
        <f>IFERROR(VLOOKUP(B183,'INSUMOS  JULIO'!$B$6:$CJ$109,9,0),"")</f>
        <v>0</v>
      </c>
      <c r="G183" s="8">
        <f>IFERROR(VLOOKUP($B183,'INSUMOS  JULIO'!$B$6:$CJ$109,10,0),"")</f>
        <v>5970.7309999999998</v>
      </c>
      <c r="H183" s="19">
        <f t="shared" si="8"/>
        <v>0</v>
      </c>
      <c r="I183" s="1">
        <f t="shared" si="9"/>
        <v>0</v>
      </c>
      <c r="J183" s="1">
        <f t="shared" si="10"/>
        <v>0</v>
      </c>
      <c r="K183" s="19">
        <f t="shared" si="11"/>
        <v>0</v>
      </c>
    </row>
    <row r="184" spans="1:11" ht="15">
      <c r="A184" s="3">
        <v>263</v>
      </c>
      <c r="B184" s="151">
        <v>159</v>
      </c>
      <c r="C184" s="7" t="s">
        <v>13</v>
      </c>
      <c r="D184" s="4" t="s">
        <v>98</v>
      </c>
      <c r="E184" t="s">
        <v>162</v>
      </c>
      <c r="F184" s="12" t="str">
        <f>IFERROR(VLOOKUP(B184,'INSUMOS  JULIO'!$B$6:$CJ$109,9,0),"")</f>
        <v>0</v>
      </c>
      <c r="G184" s="8">
        <f>IFERROR(VLOOKUP($B184,'INSUMOS  JULIO'!$B$6:$CJ$109,10,0),"")</f>
        <v>6716.8359</v>
      </c>
      <c r="H184" s="19">
        <f t="shared" si="8"/>
        <v>0</v>
      </c>
      <c r="I184" s="1">
        <f t="shared" si="9"/>
        <v>0</v>
      </c>
      <c r="J184" s="1">
        <f t="shared" si="10"/>
        <v>0</v>
      </c>
      <c r="K184" s="19">
        <f t="shared" si="11"/>
        <v>0</v>
      </c>
    </row>
    <row r="185" spans="1:11" ht="15">
      <c r="A185" s="3">
        <v>264</v>
      </c>
      <c r="B185" s="151">
        <v>160</v>
      </c>
      <c r="C185" s="7" t="s">
        <v>13</v>
      </c>
      <c r="D185" s="4" t="s">
        <v>99</v>
      </c>
      <c r="E185" t="s">
        <v>162</v>
      </c>
      <c r="F185" s="12" t="str">
        <f>IFERROR(VLOOKUP(B185,'INSUMOS  JULIO'!$B$6:$CJ$109,9,0),"")</f>
        <v>0</v>
      </c>
      <c r="G185" s="8">
        <f>IFERROR(VLOOKUP($B185,'INSUMOS  JULIO'!$B$6:$CJ$109,10,0),"")</f>
        <v>3035.3931000000002</v>
      </c>
      <c r="H185" s="19">
        <f t="shared" si="8"/>
        <v>0</v>
      </c>
      <c r="I185" s="1">
        <f t="shared" si="9"/>
        <v>0</v>
      </c>
      <c r="J185" s="1">
        <f t="shared" si="10"/>
        <v>0</v>
      </c>
      <c r="K185" s="19">
        <f t="shared" si="11"/>
        <v>0</v>
      </c>
    </row>
    <row r="186" spans="1:11" ht="15">
      <c r="A186" s="3">
        <v>265</v>
      </c>
      <c r="B186" s="151">
        <v>161</v>
      </c>
      <c r="C186" s="7" t="s">
        <v>33</v>
      </c>
      <c r="D186" s="4" t="s">
        <v>100</v>
      </c>
      <c r="E186" t="s">
        <v>162</v>
      </c>
      <c r="F186" s="12" t="str">
        <f>IFERROR(VLOOKUP(B186,'INSUMOS  JULIO'!$B$6:$CJ$109,9,0),"")</f>
        <v>0</v>
      </c>
      <c r="G186" s="8">
        <f>IFERROR(VLOOKUP($B186,'INSUMOS  JULIO'!$B$6:$CJ$109,10,0),"")</f>
        <v>2236.5280000000002</v>
      </c>
      <c r="H186" s="19">
        <f t="shared" si="8"/>
        <v>0</v>
      </c>
      <c r="I186" s="1">
        <f t="shared" si="9"/>
        <v>0</v>
      </c>
      <c r="J186" s="1">
        <f t="shared" si="10"/>
        <v>0</v>
      </c>
      <c r="K186" s="19">
        <f t="shared" si="11"/>
        <v>0</v>
      </c>
    </row>
    <row r="187" spans="1:11" ht="15">
      <c r="A187" s="3">
        <v>266</v>
      </c>
      <c r="B187" s="151">
        <v>162</v>
      </c>
      <c r="C187" s="7" t="s">
        <v>16</v>
      </c>
      <c r="D187" s="4" t="s">
        <v>101</v>
      </c>
      <c r="E187" t="s">
        <v>162</v>
      </c>
      <c r="F187" s="12">
        <f>IFERROR(VLOOKUP(B187,'INSUMOS  JULIO'!$B$6:$CJ$109,9,0),"")</f>
        <v>0</v>
      </c>
      <c r="G187" s="8">
        <f>IFERROR(VLOOKUP($B187,'INSUMOS  JULIO'!$B$6:$CJ$109,10,0),"")</f>
        <v>2684.2539999999999</v>
      </c>
      <c r="H187" s="19">
        <f t="shared" si="8"/>
        <v>0</v>
      </c>
      <c r="I187" s="1">
        <f t="shared" si="9"/>
        <v>0</v>
      </c>
      <c r="J187" s="1">
        <f t="shared" si="10"/>
        <v>0</v>
      </c>
      <c r="K187" s="19">
        <f t="shared" si="11"/>
        <v>0</v>
      </c>
    </row>
    <row r="188" spans="1:11" ht="15">
      <c r="A188" s="3">
        <v>267</v>
      </c>
      <c r="B188" s="151">
        <v>164</v>
      </c>
      <c r="C188" s="7" t="s">
        <v>36</v>
      </c>
      <c r="D188" s="4" t="s">
        <v>102</v>
      </c>
      <c r="E188" t="s">
        <v>162</v>
      </c>
      <c r="F188" s="12" t="str">
        <f>IFERROR(VLOOKUP(B188,'INSUMOS  JULIO'!$B$6:$CJ$109,9,0),"")</f>
        <v>0</v>
      </c>
      <c r="G188" s="8">
        <f>IFERROR(VLOOKUP($B188,'INSUMOS  JULIO'!$B$6:$CJ$109,10,0),"")</f>
        <v>1658.4780000000001</v>
      </c>
      <c r="H188" s="19">
        <f t="shared" si="8"/>
        <v>0</v>
      </c>
      <c r="I188" s="1">
        <f t="shared" si="9"/>
        <v>0</v>
      </c>
      <c r="J188" s="1">
        <f t="shared" si="10"/>
        <v>0</v>
      </c>
      <c r="K188" s="19">
        <f t="shared" si="11"/>
        <v>0</v>
      </c>
    </row>
    <row r="189" spans="1:11" ht="15">
      <c r="A189" s="3">
        <v>268</v>
      </c>
      <c r="B189" s="151">
        <v>169</v>
      </c>
      <c r="C189" s="7" t="s">
        <v>36</v>
      </c>
      <c r="D189" s="4" t="s">
        <v>104</v>
      </c>
      <c r="E189" t="s">
        <v>162</v>
      </c>
      <c r="F189" s="12" t="str">
        <f>IFERROR(VLOOKUP(B189,'INSUMOS  JULIO'!$B$6:$CJ$109,9,0),"")</f>
        <v>0</v>
      </c>
      <c r="G189" s="8">
        <f>IFERROR(VLOOKUP($B189,'INSUMOS  JULIO'!$B$6:$CJ$109,10,0),"")</f>
        <v>156626.85149999999</v>
      </c>
      <c r="H189" s="19">
        <f t="shared" si="8"/>
        <v>0</v>
      </c>
      <c r="I189" s="1">
        <f t="shared" si="9"/>
        <v>0</v>
      </c>
      <c r="J189" s="1">
        <f t="shared" si="10"/>
        <v>0</v>
      </c>
      <c r="K189" s="19">
        <f t="shared" si="11"/>
        <v>0</v>
      </c>
    </row>
    <row r="190" spans="1:11" ht="15">
      <c r="A190" s="3">
        <v>269</v>
      </c>
      <c r="B190" s="151">
        <v>170</v>
      </c>
      <c r="C190" s="7" t="s">
        <v>39</v>
      </c>
      <c r="D190" s="4" t="s">
        <v>106</v>
      </c>
      <c r="E190" t="s">
        <v>162</v>
      </c>
      <c r="F190" s="12">
        <f>IFERROR(VLOOKUP(B190,'INSUMOS  JULIO'!$B$6:$CJ$109,9,0),"")</f>
        <v>0</v>
      </c>
      <c r="G190" s="8">
        <f>IFERROR(VLOOKUP($B190,'INSUMOS  JULIO'!$B$6:$CJ$109,10,0),"")</f>
        <v>19405.664000000001</v>
      </c>
      <c r="H190" s="19">
        <f t="shared" si="8"/>
        <v>0</v>
      </c>
      <c r="I190" s="1">
        <f t="shared" si="9"/>
        <v>0</v>
      </c>
      <c r="J190" s="1">
        <f t="shared" si="10"/>
        <v>0</v>
      </c>
      <c r="K190" s="19">
        <f t="shared" si="11"/>
        <v>0</v>
      </c>
    </row>
    <row r="191" spans="1:11" ht="15">
      <c r="A191" s="3">
        <v>270</v>
      </c>
      <c r="B191" s="151">
        <v>173</v>
      </c>
      <c r="C191" s="7" t="s">
        <v>39</v>
      </c>
      <c r="D191" s="4" t="s">
        <v>107</v>
      </c>
      <c r="E191" t="s">
        <v>162</v>
      </c>
      <c r="F191" s="12" t="str">
        <f>IFERROR(VLOOKUP(B191,'INSUMOS  JULIO'!$B$6:$CJ$109,9,0),"")</f>
        <v>0</v>
      </c>
      <c r="G191" s="8">
        <f>IFERROR(VLOOKUP($B191,'INSUMOS  JULIO'!$B$6:$CJ$109,10,0),"")</f>
        <v>21394.3662</v>
      </c>
      <c r="H191" s="19">
        <f t="shared" si="8"/>
        <v>0</v>
      </c>
      <c r="I191" s="1">
        <f t="shared" si="9"/>
        <v>0</v>
      </c>
      <c r="J191" s="1">
        <f t="shared" si="10"/>
        <v>0</v>
      </c>
      <c r="K191" s="19">
        <f t="shared" si="11"/>
        <v>0</v>
      </c>
    </row>
    <row r="192" spans="1:11" ht="15">
      <c r="A192" s="3">
        <v>271</v>
      </c>
      <c r="B192" s="151">
        <v>174</v>
      </c>
      <c r="C192" s="7" t="s">
        <v>108</v>
      </c>
      <c r="D192" s="4" t="s">
        <v>109</v>
      </c>
      <c r="E192" t="s">
        <v>162</v>
      </c>
      <c r="F192" s="12" t="str">
        <f>IFERROR(VLOOKUP(B192,'INSUMOS  JULIO'!$B$6:$CJ$109,9,0),"")</f>
        <v>0</v>
      </c>
      <c r="G192" s="8">
        <f>IFERROR(VLOOKUP($B192,'INSUMOS  JULIO'!$B$6:$CJ$109,10,0),"")</f>
        <v>6081.0860000000002</v>
      </c>
      <c r="H192" s="19">
        <f t="shared" si="8"/>
        <v>0</v>
      </c>
      <c r="I192" s="1">
        <f t="shared" si="9"/>
        <v>0</v>
      </c>
      <c r="J192" s="1">
        <f t="shared" si="10"/>
        <v>0</v>
      </c>
      <c r="K192" s="19">
        <f t="shared" si="11"/>
        <v>0</v>
      </c>
    </row>
    <row r="193" spans="1:11" ht="15">
      <c r="A193" s="3">
        <v>272</v>
      </c>
      <c r="B193" s="151">
        <v>176</v>
      </c>
      <c r="C193" s="7" t="s">
        <v>108</v>
      </c>
      <c r="D193" s="4" t="s">
        <v>110</v>
      </c>
      <c r="E193" t="s">
        <v>162</v>
      </c>
      <c r="F193" s="12" t="str">
        <f>IFERROR(VLOOKUP(B193,'INSUMOS  JULIO'!$B$6:$CJ$109,9,0),"")</f>
        <v>0</v>
      </c>
      <c r="G193" s="8">
        <f>IFERROR(VLOOKUP($B193,'INSUMOS  JULIO'!$B$6:$CJ$109,10,0),"")</f>
        <v>0</v>
      </c>
      <c r="H193" s="19">
        <f t="shared" si="8"/>
        <v>0</v>
      </c>
      <c r="I193" s="1">
        <f t="shared" si="9"/>
        <v>0</v>
      </c>
      <c r="J193" s="1">
        <f t="shared" si="10"/>
        <v>0</v>
      </c>
      <c r="K193" s="19">
        <f t="shared" si="11"/>
        <v>0</v>
      </c>
    </row>
    <row r="194" spans="1:11" ht="15">
      <c r="A194" s="3">
        <v>273</v>
      </c>
      <c r="B194" s="151">
        <v>192</v>
      </c>
      <c r="C194" s="7" t="s">
        <v>149</v>
      </c>
      <c r="D194" s="4" t="s">
        <v>111</v>
      </c>
      <c r="E194" t="s">
        <v>162</v>
      </c>
      <c r="F194" s="12">
        <f>IFERROR(VLOOKUP(B194,'INSUMOS  JULIO'!$B$6:$CJ$109,9,0),"")</f>
        <v>0</v>
      </c>
      <c r="G194" s="8">
        <f>IFERROR(VLOOKUP($B194,'INSUMOS  JULIO'!$B$6:$CJ$109,10,0),"")</f>
        <v>3930.7400000000002</v>
      </c>
      <c r="H194" s="19">
        <f t="shared" si="8"/>
        <v>0</v>
      </c>
      <c r="I194" s="1">
        <f t="shared" si="9"/>
        <v>0</v>
      </c>
      <c r="J194" s="1">
        <f t="shared" si="10"/>
        <v>0</v>
      </c>
      <c r="K194" s="19">
        <f t="shared" si="11"/>
        <v>0</v>
      </c>
    </row>
    <row r="195" spans="1:11" ht="15">
      <c r="A195" s="3">
        <v>313</v>
      </c>
      <c r="B195" s="151">
        <v>195</v>
      </c>
      <c r="C195" s="7" t="s">
        <v>151</v>
      </c>
      <c r="D195" s="4" t="s">
        <v>112</v>
      </c>
      <c r="E195" t="s">
        <v>162</v>
      </c>
      <c r="F195" s="12">
        <f>IFERROR(VLOOKUP(B195,'INSUMOS  JULIO'!$B$6:$CJ$109,9,0),"")</f>
        <v>0</v>
      </c>
      <c r="G195" s="8">
        <f>IFERROR(VLOOKUP($B195,'INSUMOS  JULIO'!$B$6:$CJ$109,10,0),"")</f>
        <v>10697.1831</v>
      </c>
      <c r="H195" s="19">
        <f t="shared" si="8"/>
        <v>0</v>
      </c>
      <c r="I195" s="1">
        <f t="shared" si="9"/>
        <v>0</v>
      </c>
      <c r="J195" s="1">
        <f t="shared" si="10"/>
        <v>0</v>
      </c>
      <c r="K195" s="19">
        <f t="shared" si="11"/>
        <v>0</v>
      </c>
    </row>
    <row r="196" spans="1:11" ht="15">
      <c r="A196" s="3">
        <v>314</v>
      </c>
      <c r="B196" s="151">
        <v>204</v>
      </c>
      <c r="C196" s="7" t="s">
        <v>46</v>
      </c>
      <c r="D196" s="4" t="s">
        <v>113</v>
      </c>
      <c r="E196" t="s">
        <v>162</v>
      </c>
      <c r="F196" s="12">
        <f>IFERROR(VLOOKUP(B196,'INSUMOS  JULIO'!$B$6:$CJ$109,9,0),"")</f>
        <v>15</v>
      </c>
      <c r="G196" s="8">
        <f>IFERROR(VLOOKUP($B196,'INSUMOS  JULIO'!$B$6:$CJ$109,10,0),"")</f>
        <v>25673.6178</v>
      </c>
      <c r="H196" s="19">
        <f t="shared" si="8"/>
        <v>385104.26699999999</v>
      </c>
      <c r="I196" s="1">
        <f t="shared" si="9"/>
        <v>38510.426700000004</v>
      </c>
      <c r="J196" s="1">
        <f t="shared" si="10"/>
        <v>7316.9810730000008</v>
      </c>
      <c r="K196" s="19">
        <f t="shared" si="11"/>
        <v>430931.67477300001</v>
      </c>
    </row>
    <row r="197" spans="1:11" ht="27">
      <c r="A197" s="3">
        <v>315</v>
      </c>
      <c r="B197" s="151">
        <v>205</v>
      </c>
      <c r="C197" s="7" t="s">
        <v>159</v>
      </c>
      <c r="D197" s="4" t="s">
        <v>114</v>
      </c>
      <c r="E197" t="s">
        <v>162</v>
      </c>
      <c r="F197" s="12" t="str">
        <f>IFERROR(VLOOKUP(B197,'INSUMOS  JULIO'!$B$6:$CJ$109,9,0),"")</f>
        <v>0</v>
      </c>
      <c r="G197" s="8">
        <f>IFERROR(VLOOKUP($B197,'INSUMOS  JULIO'!$B$6:$CJ$109,10,0),"")</f>
        <v>32639.225399999996</v>
      </c>
      <c r="H197" s="19">
        <f t="shared" si="8"/>
        <v>0</v>
      </c>
      <c r="I197" s="1">
        <f t="shared" si="9"/>
        <v>0</v>
      </c>
      <c r="J197" s="1">
        <f t="shared" si="10"/>
        <v>0</v>
      </c>
      <c r="K197" s="19">
        <f t="shared" si="11"/>
        <v>0</v>
      </c>
    </row>
    <row r="198" spans="1:11" ht="15">
      <c r="A198" s="3">
        <v>316</v>
      </c>
      <c r="B198" s="151">
        <v>207</v>
      </c>
      <c r="C198" s="7" t="s">
        <v>159</v>
      </c>
      <c r="D198" s="4" t="s">
        <v>115</v>
      </c>
      <c r="E198" t="s">
        <v>162</v>
      </c>
      <c r="F198" s="12" t="str">
        <f>IFERROR(VLOOKUP(B198,'INSUMOS  JULIO'!$B$6:$CJ$109,9,0),"")</f>
        <v>0</v>
      </c>
      <c r="G198" s="8">
        <f>IFERROR(VLOOKUP($B198,'INSUMOS  JULIO'!$B$6:$CJ$109,10,0),"")</f>
        <v>7186.7380000000003</v>
      </c>
      <c r="H198" s="19">
        <f t="shared" ref="H198:H261" si="12">+F198*G198</f>
        <v>0</v>
      </c>
      <c r="I198" s="1">
        <f t="shared" ref="I198:I261" si="13">+H198*10%</f>
        <v>0</v>
      </c>
      <c r="J198" s="1">
        <f t="shared" ref="J198:J261" si="14">+I198*19%</f>
        <v>0</v>
      </c>
      <c r="K198" s="19">
        <f t="shared" ref="K198:K261" si="15">SUM(H198:J198)</f>
        <v>0</v>
      </c>
    </row>
    <row r="199" spans="1:11" ht="15">
      <c r="A199" s="3">
        <v>317</v>
      </c>
      <c r="B199" s="151">
        <v>208</v>
      </c>
      <c r="C199" s="7" t="s">
        <v>159</v>
      </c>
      <c r="D199" s="4" t="s">
        <v>634</v>
      </c>
      <c r="E199" t="s">
        <v>162</v>
      </c>
      <c r="F199" s="12" t="str">
        <f>IFERROR(VLOOKUP(B199,'INSUMOS  JULIO'!$B$6:$CJ$109,9,0),"")</f>
        <v>0</v>
      </c>
      <c r="G199" s="8">
        <f>IFERROR(VLOOKUP($B199,'INSUMOS  JULIO'!$B$6:$CJ$109,10,0),"")</f>
        <v>50779.065000000002</v>
      </c>
      <c r="H199" s="19">
        <f t="shared" si="12"/>
        <v>0</v>
      </c>
      <c r="I199" s="1">
        <f t="shared" si="13"/>
        <v>0</v>
      </c>
      <c r="J199" s="1">
        <f t="shared" si="14"/>
        <v>0</v>
      </c>
      <c r="K199" s="19">
        <f t="shared" si="15"/>
        <v>0</v>
      </c>
    </row>
    <row r="200" spans="1:11" ht="15">
      <c r="A200" s="3">
        <v>318</v>
      </c>
      <c r="B200" s="151">
        <v>209</v>
      </c>
      <c r="C200" s="7" t="s">
        <v>159</v>
      </c>
      <c r="D200" s="4" t="s">
        <v>635</v>
      </c>
      <c r="E200" t="s">
        <v>162</v>
      </c>
      <c r="F200" s="12" t="str">
        <f>IFERROR(VLOOKUP(B200,'INSUMOS  JULIO'!$B$6:$CJ$109,9,0),"")</f>
        <v>0</v>
      </c>
      <c r="G200" s="8">
        <f>IFERROR(VLOOKUP($B200,'INSUMOS  JULIO'!$B$6:$CJ$109,10,0),"")</f>
        <v>51545.874600000003</v>
      </c>
      <c r="H200" s="19">
        <f t="shared" si="12"/>
        <v>0</v>
      </c>
      <c r="I200" s="1">
        <f t="shared" si="13"/>
        <v>0</v>
      </c>
      <c r="J200" s="1">
        <f t="shared" si="14"/>
        <v>0</v>
      </c>
      <c r="K200" s="19">
        <f t="shared" si="15"/>
        <v>0</v>
      </c>
    </row>
    <row r="201" spans="1:11" ht="15">
      <c r="A201" s="3">
        <v>319</v>
      </c>
      <c r="B201" s="151">
        <v>210</v>
      </c>
      <c r="C201" s="7" t="s">
        <v>159</v>
      </c>
      <c r="D201" s="4" t="s">
        <v>636</v>
      </c>
      <c r="E201" t="s">
        <v>162</v>
      </c>
      <c r="F201" s="12" t="str">
        <f>IFERROR(VLOOKUP(B201,'INSUMOS  JULIO'!$B$6:$CJ$109,9,0),"")</f>
        <v>0</v>
      </c>
      <c r="G201" s="8">
        <f>IFERROR(VLOOKUP($B201,'INSUMOS  JULIO'!$B$6:$CJ$109,10,0),"")</f>
        <v>39305.928599999999</v>
      </c>
      <c r="H201" s="19">
        <f t="shared" si="12"/>
        <v>0</v>
      </c>
      <c r="I201" s="1">
        <f t="shared" si="13"/>
        <v>0</v>
      </c>
      <c r="J201" s="1">
        <f t="shared" si="14"/>
        <v>0</v>
      </c>
      <c r="K201" s="19">
        <f t="shared" si="15"/>
        <v>0</v>
      </c>
    </row>
    <row r="202" spans="1:11" ht="15">
      <c r="A202" s="3">
        <v>320</v>
      </c>
      <c r="B202" s="151">
        <v>211</v>
      </c>
      <c r="C202" s="7" t="s">
        <v>53</v>
      </c>
      <c r="D202" s="4" t="s">
        <v>637</v>
      </c>
      <c r="E202" t="s">
        <v>162</v>
      </c>
      <c r="F202" s="12" t="str">
        <f>IFERROR(VLOOKUP(B202,'INSUMOS  JULIO'!$B$6:$CJ$109,9,0),"")</f>
        <v>0</v>
      </c>
      <c r="G202" s="8">
        <f>IFERROR(VLOOKUP($B202,'INSUMOS  JULIO'!$B$6:$CJ$109,10,0),"")</f>
        <v>29553.699600000004</v>
      </c>
      <c r="H202" s="19">
        <f t="shared" si="12"/>
        <v>0</v>
      </c>
      <c r="I202" s="1">
        <f t="shared" si="13"/>
        <v>0</v>
      </c>
      <c r="J202" s="1">
        <f t="shared" si="14"/>
        <v>0</v>
      </c>
      <c r="K202" s="19">
        <f t="shared" si="15"/>
        <v>0</v>
      </c>
    </row>
    <row r="203" spans="1:11" ht="15">
      <c r="A203" s="3">
        <v>321</v>
      </c>
      <c r="B203" s="151">
        <v>212</v>
      </c>
      <c r="C203" s="7" t="s">
        <v>53</v>
      </c>
      <c r="D203" s="4" t="s">
        <v>116</v>
      </c>
      <c r="E203" t="s">
        <v>162</v>
      </c>
      <c r="F203" s="12" t="str">
        <f>IFERROR(VLOOKUP(B203,'INSUMOS  JULIO'!$B$6:$CJ$109,9,0),"")</f>
        <v>0</v>
      </c>
      <c r="G203" s="8">
        <f>IFERROR(VLOOKUP($B203,'INSUMOS  JULIO'!$B$6:$CJ$109,10,0),"")</f>
        <v>2505.5839999999998</v>
      </c>
      <c r="H203" s="19">
        <f t="shared" si="12"/>
        <v>0</v>
      </c>
      <c r="I203" s="1">
        <f t="shared" si="13"/>
        <v>0</v>
      </c>
      <c r="J203" s="1">
        <f t="shared" si="14"/>
        <v>0</v>
      </c>
      <c r="K203" s="19">
        <f t="shared" si="15"/>
        <v>0</v>
      </c>
    </row>
    <row r="204" spans="1:11" ht="15">
      <c r="A204" s="3">
        <v>322</v>
      </c>
      <c r="B204" s="151">
        <v>213</v>
      </c>
      <c r="C204" s="7" t="s">
        <v>53</v>
      </c>
      <c r="D204" s="4" t="s">
        <v>638</v>
      </c>
      <c r="E204" t="s">
        <v>162</v>
      </c>
      <c r="F204" s="12" t="str">
        <f>IFERROR(VLOOKUP(B204,'INSUMOS  JULIO'!$B$6:$CJ$109,9,0),"")</f>
        <v>0</v>
      </c>
      <c r="G204" s="8">
        <f>IFERROR(VLOOKUP($B204,'INSUMOS  JULIO'!$B$6:$CJ$109,10,0),"")</f>
        <v>0</v>
      </c>
      <c r="H204" s="19">
        <f t="shared" si="12"/>
        <v>0</v>
      </c>
      <c r="I204" s="1">
        <f t="shared" si="13"/>
        <v>0</v>
      </c>
      <c r="J204" s="1">
        <f t="shared" si="14"/>
        <v>0</v>
      </c>
      <c r="K204" s="19">
        <f t="shared" si="15"/>
        <v>0</v>
      </c>
    </row>
    <row r="205" spans="1:11" ht="15">
      <c r="A205" s="3">
        <v>323</v>
      </c>
      <c r="B205" s="151">
        <v>215</v>
      </c>
      <c r="C205" s="7" t="s">
        <v>53</v>
      </c>
      <c r="D205" s="4" t="s">
        <v>639</v>
      </c>
      <c r="E205" t="s">
        <v>162</v>
      </c>
      <c r="F205" s="12" t="str">
        <f>IFERROR(VLOOKUP(B205,'INSUMOS  JULIO'!$B$6:$CJ$109,9,0),"")</f>
        <v>0</v>
      </c>
      <c r="G205" s="8">
        <f>IFERROR(VLOOKUP($B205,'INSUMOS  JULIO'!$B$6:$CJ$109,10,0),"")</f>
        <v>10476.367999999999</v>
      </c>
      <c r="H205" s="19">
        <f t="shared" si="12"/>
        <v>0</v>
      </c>
      <c r="I205" s="1">
        <f t="shared" si="13"/>
        <v>0</v>
      </c>
      <c r="J205" s="1">
        <f t="shared" si="14"/>
        <v>0</v>
      </c>
      <c r="K205" s="19">
        <f t="shared" si="15"/>
        <v>0</v>
      </c>
    </row>
    <row r="206" spans="1:11" ht="15">
      <c r="A206" s="3">
        <v>324</v>
      </c>
      <c r="B206" s="151">
        <v>216</v>
      </c>
      <c r="C206" s="7" t="s">
        <v>160</v>
      </c>
      <c r="D206" s="4" t="s">
        <v>640</v>
      </c>
      <c r="E206" t="s">
        <v>162</v>
      </c>
      <c r="F206" s="12" t="str">
        <f>IFERROR(VLOOKUP(B206,'INSUMOS  JULIO'!$B$6:$CJ$109,9,0),"")</f>
        <v>0</v>
      </c>
      <c r="G206" s="8">
        <f>IFERROR(VLOOKUP($B206,'INSUMOS  JULIO'!$B$6:$CJ$109,10,0),"")</f>
        <v>3954.9129999999996</v>
      </c>
      <c r="H206" s="19">
        <f t="shared" si="12"/>
        <v>0</v>
      </c>
      <c r="I206" s="1">
        <f t="shared" si="13"/>
        <v>0</v>
      </c>
      <c r="J206" s="1">
        <f t="shared" si="14"/>
        <v>0</v>
      </c>
      <c r="K206" s="19">
        <f t="shared" si="15"/>
        <v>0</v>
      </c>
    </row>
    <row r="207" spans="1:11" ht="15">
      <c r="A207" s="3">
        <v>325</v>
      </c>
      <c r="B207" s="151">
        <v>218</v>
      </c>
      <c r="C207" s="7" t="s">
        <v>160</v>
      </c>
      <c r="D207" s="4" t="s">
        <v>117</v>
      </c>
      <c r="E207" t="s">
        <v>162</v>
      </c>
      <c r="F207" s="12" t="str">
        <f>IFERROR(VLOOKUP(B207,'INSUMOS  JULIO'!$B$6:$CJ$109,9,0),"")</f>
        <v>0</v>
      </c>
      <c r="G207" s="8">
        <f>IFERROR(VLOOKUP($B207,'INSUMOS  JULIO'!$B$6:$CJ$109,10,0),"")</f>
        <v>2587.0365000000002</v>
      </c>
      <c r="H207" s="19">
        <f t="shared" si="12"/>
        <v>0</v>
      </c>
      <c r="I207" s="1">
        <f t="shared" si="13"/>
        <v>0</v>
      </c>
      <c r="J207" s="1">
        <f t="shared" si="14"/>
        <v>0</v>
      </c>
      <c r="K207" s="19">
        <f t="shared" si="15"/>
        <v>0</v>
      </c>
    </row>
    <row r="208" spans="1:11" ht="15">
      <c r="A208" s="3">
        <v>326</v>
      </c>
      <c r="B208" s="151">
        <v>251</v>
      </c>
      <c r="C208" s="7" t="s">
        <v>60</v>
      </c>
      <c r="D208" s="4" t="s">
        <v>118</v>
      </c>
      <c r="E208" t="s">
        <v>162</v>
      </c>
      <c r="F208" s="12" t="str">
        <f>IFERROR(VLOOKUP(B208,'INSUMOS  JULIO'!$B$6:$CJ$109,9,0),"")</f>
        <v>0</v>
      </c>
      <c r="G208" s="8">
        <f>IFERROR(VLOOKUP($B208,'INSUMOS  JULIO'!$B$6:$CJ$109,10,0),"")</f>
        <v>16031.954000000002</v>
      </c>
      <c r="H208" s="19">
        <f t="shared" si="12"/>
        <v>0</v>
      </c>
      <c r="I208" s="1">
        <f t="shared" si="13"/>
        <v>0</v>
      </c>
      <c r="J208" s="1">
        <f t="shared" si="14"/>
        <v>0</v>
      </c>
      <c r="K208" s="19">
        <f t="shared" si="15"/>
        <v>0</v>
      </c>
    </row>
    <row r="209" spans="1:11" ht="15">
      <c r="A209" s="3">
        <v>327</v>
      </c>
      <c r="B209" s="151">
        <v>255</v>
      </c>
      <c r="C209" s="7" t="s">
        <v>60</v>
      </c>
      <c r="D209" s="4" t="s">
        <v>641</v>
      </c>
      <c r="E209" t="s">
        <v>162</v>
      </c>
      <c r="F209" s="12" t="str">
        <f>IFERROR(VLOOKUP(B209,'INSUMOS  JULIO'!$B$6:$CJ$109,9,0),"")</f>
        <v>0</v>
      </c>
      <c r="G209" s="8">
        <f>IFERROR(VLOOKUP($B209,'INSUMOS  JULIO'!$B$6:$CJ$109,10,0),"")</f>
        <v>29299.777999999998</v>
      </c>
      <c r="H209" s="19">
        <f t="shared" si="12"/>
        <v>0</v>
      </c>
      <c r="I209" s="1">
        <f t="shared" si="13"/>
        <v>0</v>
      </c>
      <c r="J209" s="1">
        <f t="shared" si="14"/>
        <v>0</v>
      </c>
      <c r="K209" s="19">
        <f t="shared" si="15"/>
        <v>0</v>
      </c>
    </row>
    <row r="210" spans="1:11" ht="15">
      <c r="A210" s="3">
        <v>328</v>
      </c>
      <c r="B210" s="151">
        <v>257</v>
      </c>
      <c r="C210" s="7" t="s">
        <v>151</v>
      </c>
      <c r="D210" s="4" t="s">
        <v>642</v>
      </c>
      <c r="E210" t="s">
        <v>162</v>
      </c>
      <c r="F210" s="12" t="str">
        <f>IFERROR(VLOOKUP(B210,'INSUMOS  JULIO'!$B$6:$CJ$109,9,0),"")</f>
        <v>0</v>
      </c>
      <c r="G210" s="8">
        <f>IFERROR(VLOOKUP($B210,'INSUMOS  JULIO'!$B$6:$CJ$109,10,0),"")</f>
        <v>18796.084000000003</v>
      </c>
      <c r="H210" s="19">
        <f t="shared" si="12"/>
        <v>0</v>
      </c>
      <c r="I210" s="1">
        <f t="shared" si="13"/>
        <v>0</v>
      </c>
      <c r="J210" s="1">
        <f t="shared" si="14"/>
        <v>0</v>
      </c>
      <c r="K210" s="19">
        <f t="shared" si="15"/>
        <v>0</v>
      </c>
    </row>
    <row r="211" spans="1:11" ht="15">
      <c r="A211" s="3">
        <v>329</v>
      </c>
      <c r="B211" s="151">
        <v>260</v>
      </c>
      <c r="C211" s="7" t="s">
        <v>160</v>
      </c>
      <c r="D211" s="4" t="s">
        <v>643</v>
      </c>
      <c r="E211" t="s">
        <v>162</v>
      </c>
      <c r="F211" s="12" t="str">
        <f>IFERROR(VLOOKUP(B211,'INSUMOS  JULIO'!$B$6:$CJ$109,9,0),"")</f>
        <v>0</v>
      </c>
      <c r="G211" s="8">
        <f>IFERROR(VLOOKUP($B211,'INSUMOS  JULIO'!$B$6:$CJ$109,10,0),"")</f>
        <v>3417.8520000000008</v>
      </c>
      <c r="H211" s="19">
        <f t="shared" si="12"/>
        <v>0</v>
      </c>
      <c r="I211" s="1">
        <f t="shared" si="13"/>
        <v>0</v>
      </c>
      <c r="J211" s="1">
        <f t="shared" si="14"/>
        <v>0</v>
      </c>
      <c r="K211" s="19">
        <f t="shared" si="15"/>
        <v>0</v>
      </c>
    </row>
    <row r="212" spans="1:11" ht="15">
      <c r="A212" s="3">
        <v>330</v>
      </c>
      <c r="B212" s="151">
        <v>291</v>
      </c>
      <c r="C212" s="7" t="s">
        <v>60</v>
      </c>
      <c r="D212" s="4" t="s">
        <v>644</v>
      </c>
      <c r="E212" t="s">
        <v>162</v>
      </c>
      <c r="F212" s="12" t="str">
        <f>IFERROR(VLOOKUP(B212,'INSUMOS  JULIO'!$B$6:$CJ$109,9,0),"")</f>
        <v>0</v>
      </c>
      <c r="G212" s="8">
        <f>IFERROR(VLOOKUP($B212,'INSUMOS  JULIO'!$B$6:$CJ$109,10,0),"")</f>
        <v>20454.562000000005</v>
      </c>
      <c r="H212" s="19">
        <f t="shared" si="12"/>
        <v>0</v>
      </c>
      <c r="I212" s="1">
        <f t="shared" si="13"/>
        <v>0</v>
      </c>
      <c r="J212" s="1">
        <f t="shared" si="14"/>
        <v>0</v>
      </c>
      <c r="K212" s="19">
        <f t="shared" si="15"/>
        <v>0</v>
      </c>
    </row>
    <row r="213" spans="1:11" ht="15">
      <c r="A213" s="3">
        <v>331</v>
      </c>
      <c r="B213" s="151">
        <v>3</v>
      </c>
      <c r="C213" s="7" t="s">
        <v>155</v>
      </c>
      <c r="D213" s="4" t="s">
        <v>5</v>
      </c>
      <c r="E213" s="6" t="s">
        <v>163</v>
      </c>
      <c r="F213" s="12" t="str">
        <f>IFERROR(VLOOKUP($B213,'INSUMOS  JULIO'!$B$6:$CJ$109,12,0),"")</f>
        <v>0</v>
      </c>
      <c r="G213" s="8">
        <f>IFERROR(VLOOKUP($B213,'INSUMOS  JULIO'!$B$6:$CJ$109,13,0),"")</f>
        <v>7268.7160000000003</v>
      </c>
      <c r="H213" s="19">
        <f t="shared" si="12"/>
        <v>0</v>
      </c>
      <c r="I213" s="1">
        <f t="shared" si="13"/>
        <v>0</v>
      </c>
      <c r="J213" s="1">
        <f t="shared" si="14"/>
        <v>0</v>
      </c>
      <c r="K213" s="19">
        <f t="shared" si="15"/>
        <v>0</v>
      </c>
    </row>
    <row r="214" spans="1:11" ht="15">
      <c r="A214" s="3">
        <v>332</v>
      </c>
      <c r="B214" s="151">
        <v>5</v>
      </c>
      <c r="C214" s="7" t="s">
        <v>6</v>
      </c>
      <c r="D214" s="4" t="s">
        <v>7</v>
      </c>
      <c r="E214" s="6" t="s">
        <v>163</v>
      </c>
      <c r="F214" s="12" t="str">
        <f>IFERROR(VLOOKUP(B214,'INSUMOS  JULIO'!$B$6:$CJ$109,12,0),"")</f>
        <v>0</v>
      </c>
      <c r="G214" s="8">
        <f>IFERROR(VLOOKUP($B214,'INSUMOS  JULIO'!$B$6:$CJ$109,13,0),"")</f>
        <v>6494.1289999999999</v>
      </c>
      <c r="H214" s="19">
        <f t="shared" si="12"/>
        <v>0</v>
      </c>
      <c r="I214" s="1">
        <f t="shared" si="13"/>
        <v>0</v>
      </c>
      <c r="J214" s="1">
        <f t="shared" si="14"/>
        <v>0</v>
      </c>
      <c r="K214" s="19">
        <f t="shared" si="15"/>
        <v>0</v>
      </c>
    </row>
    <row r="215" spans="1:11" ht="15">
      <c r="A215" s="3">
        <v>333</v>
      </c>
      <c r="B215" s="151">
        <v>8</v>
      </c>
      <c r="C215" s="7" t="s">
        <v>6</v>
      </c>
      <c r="D215" s="4" t="s">
        <v>8</v>
      </c>
      <c r="E215" s="6" t="s">
        <v>163</v>
      </c>
      <c r="F215" s="12">
        <f>IFERROR(VLOOKUP(B215,'INSUMOS  JULIO'!$B$6:$CJ$109,12,0),"")</f>
        <v>0</v>
      </c>
      <c r="G215" s="8">
        <f>IFERROR(VLOOKUP($B215,'INSUMOS  JULIO'!$B$6:$CJ$109,13,0),"")</f>
        <v>2211.3040000000001</v>
      </c>
      <c r="H215" s="19">
        <f t="shared" si="12"/>
        <v>0</v>
      </c>
      <c r="I215" s="1">
        <f t="shared" si="13"/>
        <v>0</v>
      </c>
      <c r="J215" s="1">
        <f t="shared" si="14"/>
        <v>0</v>
      </c>
      <c r="K215" s="19">
        <f t="shared" si="15"/>
        <v>0</v>
      </c>
    </row>
    <row r="216" spans="1:11" ht="15">
      <c r="A216" s="3">
        <v>334</v>
      </c>
      <c r="B216" s="151">
        <v>9</v>
      </c>
      <c r="C216" s="7" t="s">
        <v>9</v>
      </c>
      <c r="D216" s="4" t="s">
        <v>10</v>
      </c>
      <c r="E216" s="6" t="s">
        <v>163</v>
      </c>
      <c r="F216" s="12">
        <f>IFERROR(VLOOKUP(B216,'INSUMOS  JULIO'!$B$6:$CJ$109,12,0),"")</f>
        <v>0</v>
      </c>
      <c r="G216" s="8">
        <f>IFERROR(VLOOKUP($B216,'INSUMOS  JULIO'!$B$6:$CJ$109,13,0),"")</f>
        <v>3298.0379999999996</v>
      </c>
      <c r="H216" s="19">
        <f t="shared" si="12"/>
        <v>0</v>
      </c>
      <c r="I216" s="1">
        <f t="shared" si="13"/>
        <v>0</v>
      </c>
      <c r="J216" s="1">
        <f t="shared" si="14"/>
        <v>0</v>
      </c>
      <c r="K216" s="19">
        <f t="shared" si="15"/>
        <v>0</v>
      </c>
    </row>
    <row r="217" spans="1:11" ht="15">
      <c r="A217" s="3">
        <v>335</v>
      </c>
      <c r="B217" s="151">
        <v>11</v>
      </c>
      <c r="C217" s="7" t="s">
        <v>156</v>
      </c>
      <c r="D217" s="4" t="s">
        <v>11</v>
      </c>
      <c r="E217" s="6" t="s">
        <v>163</v>
      </c>
      <c r="F217" s="12" t="str">
        <f>IFERROR(VLOOKUP(B217,'INSUMOS  JULIO'!$B$6:$CJ$109,12,0),"")</f>
        <v>0</v>
      </c>
      <c r="G217" s="8">
        <f>IFERROR(VLOOKUP($B217,'INSUMOS  JULIO'!$B$6:$CJ$109,13,0),"")</f>
        <v>7739.5639999999985</v>
      </c>
      <c r="H217" s="19">
        <f t="shared" si="12"/>
        <v>0</v>
      </c>
      <c r="I217" s="1">
        <f t="shared" si="13"/>
        <v>0</v>
      </c>
      <c r="J217" s="1">
        <f t="shared" si="14"/>
        <v>0</v>
      </c>
      <c r="K217" s="19">
        <f t="shared" si="15"/>
        <v>0</v>
      </c>
    </row>
    <row r="218" spans="1:11" ht="15">
      <c r="A218" s="3">
        <v>336</v>
      </c>
      <c r="B218" s="151">
        <v>13</v>
      </c>
      <c r="C218" s="7" t="s">
        <v>157</v>
      </c>
      <c r="D218" s="4" t="s">
        <v>12</v>
      </c>
      <c r="E218" s="6" t="s">
        <v>163</v>
      </c>
      <c r="F218" s="12">
        <f>IFERROR(VLOOKUP(B218,'INSUMOS  JULIO'!$B$6:$CJ$109,12,0),"")</f>
        <v>0</v>
      </c>
      <c r="G218" s="8">
        <f>IFERROR(VLOOKUP($B218,'INSUMOS  JULIO'!$B$6:$CJ$109,13,0),"")</f>
        <v>6507.7919999999995</v>
      </c>
      <c r="H218" s="19">
        <f t="shared" si="12"/>
        <v>0</v>
      </c>
      <c r="I218" s="1">
        <f t="shared" si="13"/>
        <v>0</v>
      </c>
      <c r="J218" s="1">
        <f t="shared" si="14"/>
        <v>0</v>
      </c>
      <c r="K218" s="19">
        <f t="shared" si="15"/>
        <v>0</v>
      </c>
    </row>
    <row r="219" spans="1:11" ht="15">
      <c r="A219" s="3">
        <v>337</v>
      </c>
      <c r="B219" s="151">
        <v>17</v>
      </c>
      <c r="C219" s="7" t="s">
        <v>13</v>
      </c>
      <c r="D219" s="4" t="s">
        <v>14</v>
      </c>
      <c r="E219" s="6" t="s">
        <v>163</v>
      </c>
      <c r="F219" s="12">
        <f>IFERROR(VLOOKUP(B219,'INSUMOS  JULIO'!$B$6:$CJ$109,12,0),"")</f>
        <v>0</v>
      </c>
      <c r="G219" s="8">
        <f>IFERROR(VLOOKUP($B219,'INSUMOS  JULIO'!$B$6:$CJ$109,13,0),"")</f>
        <v>5647.0229999999992</v>
      </c>
      <c r="H219" s="19">
        <f t="shared" si="12"/>
        <v>0</v>
      </c>
      <c r="I219" s="1">
        <f t="shared" si="13"/>
        <v>0</v>
      </c>
      <c r="J219" s="1">
        <f t="shared" si="14"/>
        <v>0</v>
      </c>
      <c r="K219" s="19">
        <f t="shared" si="15"/>
        <v>0</v>
      </c>
    </row>
    <row r="220" spans="1:11" ht="15">
      <c r="A220" s="3">
        <v>338</v>
      </c>
      <c r="B220" s="151">
        <v>20</v>
      </c>
      <c r="C220" s="7" t="s">
        <v>13</v>
      </c>
      <c r="D220" s="4" t="s">
        <v>15</v>
      </c>
      <c r="E220" s="6" t="s">
        <v>163</v>
      </c>
      <c r="F220" s="12">
        <f>IFERROR(VLOOKUP(B220,'INSUMOS  JULIO'!$B$6:$CJ$109,12,0),"")</f>
        <v>0</v>
      </c>
      <c r="G220" s="8">
        <f>IFERROR(VLOOKUP($B220,'INSUMOS  JULIO'!$B$6:$CJ$109,13,0),"")</f>
        <v>0</v>
      </c>
      <c r="H220" s="19">
        <f t="shared" si="12"/>
        <v>0</v>
      </c>
      <c r="I220" s="1">
        <f t="shared" si="13"/>
        <v>0</v>
      </c>
      <c r="J220" s="1">
        <f t="shared" si="14"/>
        <v>0</v>
      </c>
      <c r="K220" s="19">
        <f t="shared" si="15"/>
        <v>0</v>
      </c>
    </row>
    <row r="221" spans="1:11" ht="15">
      <c r="A221" s="3">
        <v>339</v>
      </c>
      <c r="B221" s="151">
        <v>21</v>
      </c>
      <c r="C221" s="7" t="s">
        <v>16</v>
      </c>
      <c r="D221" s="4" t="s">
        <v>17</v>
      </c>
      <c r="E221" s="6" t="s">
        <v>163</v>
      </c>
      <c r="F221" s="12">
        <f>IFERROR(VLOOKUP(B221,'INSUMOS  JULIO'!$B$6:$CJ$109,12,0),"")</f>
        <v>0</v>
      </c>
      <c r="G221" s="8">
        <f>IFERROR(VLOOKUP($B221,'INSUMOS  JULIO'!$B$6:$CJ$109,13,0),"")</f>
        <v>5932.8950000000013</v>
      </c>
      <c r="H221" s="19">
        <f t="shared" si="12"/>
        <v>0</v>
      </c>
      <c r="I221" s="1">
        <f t="shared" si="13"/>
        <v>0</v>
      </c>
      <c r="J221" s="1">
        <f t="shared" si="14"/>
        <v>0</v>
      </c>
      <c r="K221" s="19">
        <f t="shared" si="15"/>
        <v>0</v>
      </c>
    </row>
    <row r="222" spans="1:11" ht="15">
      <c r="A222" s="3">
        <v>340</v>
      </c>
      <c r="B222" s="151">
        <v>28</v>
      </c>
      <c r="C222" s="7" t="s">
        <v>18</v>
      </c>
      <c r="D222" s="4" t="s">
        <v>19</v>
      </c>
      <c r="E222" s="6" t="s">
        <v>163</v>
      </c>
      <c r="F222" s="12">
        <f>IFERROR(VLOOKUP(B222,'INSUMOS  JULIO'!$B$6:$CJ$109,12,0),"")</f>
        <v>0</v>
      </c>
      <c r="G222" s="8">
        <f>IFERROR(VLOOKUP($B222,'INSUMOS  JULIO'!$B$6:$CJ$109,13,0),"")</f>
        <v>2764.13</v>
      </c>
      <c r="H222" s="19">
        <f t="shared" si="12"/>
        <v>0</v>
      </c>
      <c r="I222" s="1">
        <f t="shared" si="13"/>
        <v>0</v>
      </c>
      <c r="J222" s="1">
        <f t="shared" si="14"/>
        <v>0</v>
      </c>
      <c r="K222" s="19">
        <f t="shared" si="15"/>
        <v>0</v>
      </c>
    </row>
    <row r="223" spans="1:11" ht="15">
      <c r="A223" s="3">
        <v>341</v>
      </c>
      <c r="B223" s="151">
        <v>29</v>
      </c>
      <c r="C223" s="7" t="s">
        <v>20</v>
      </c>
      <c r="D223" s="4" t="s">
        <v>21</v>
      </c>
      <c r="E223" s="6" t="s">
        <v>163</v>
      </c>
      <c r="F223" s="12" t="str">
        <f>IFERROR(VLOOKUP(B223,'INSUMOS  JULIO'!$B$6:$CJ$109,12,0),"")</f>
        <v>0</v>
      </c>
      <c r="G223" s="8">
        <f>IFERROR(VLOOKUP($B223,'INSUMOS  JULIO'!$B$6:$CJ$109,13,0),"")</f>
        <v>4829.3450000000012</v>
      </c>
      <c r="H223" s="19">
        <f t="shared" si="12"/>
        <v>0</v>
      </c>
      <c r="I223" s="1">
        <f t="shared" si="13"/>
        <v>0</v>
      </c>
      <c r="J223" s="1">
        <f t="shared" si="14"/>
        <v>0</v>
      </c>
      <c r="K223" s="19">
        <f t="shared" si="15"/>
        <v>0</v>
      </c>
    </row>
    <row r="224" spans="1:11" ht="15">
      <c r="A224" s="3">
        <v>342</v>
      </c>
      <c r="B224" s="151">
        <v>32</v>
      </c>
      <c r="C224" s="7" t="s">
        <v>22</v>
      </c>
      <c r="D224" s="4" t="s">
        <v>23</v>
      </c>
      <c r="E224" s="6" t="s">
        <v>163</v>
      </c>
      <c r="F224" s="12">
        <f>IFERROR(VLOOKUP(B224,'INSUMOS  JULIO'!$B$6:$CJ$109,12,0),"")</f>
        <v>0</v>
      </c>
      <c r="G224" s="8">
        <f>IFERROR(VLOOKUP($B224,'INSUMOS  JULIO'!$B$6:$CJ$109,13,0),"")</f>
        <v>6716.8359</v>
      </c>
      <c r="H224" s="19">
        <f t="shared" si="12"/>
        <v>0</v>
      </c>
      <c r="I224" s="1">
        <f t="shared" si="13"/>
        <v>0</v>
      </c>
      <c r="J224" s="1">
        <f t="shared" si="14"/>
        <v>0</v>
      </c>
      <c r="K224" s="19">
        <f t="shared" si="15"/>
        <v>0</v>
      </c>
    </row>
    <row r="225" spans="1:11" ht="15">
      <c r="A225" s="3">
        <v>343</v>
      </c>
      <c r="B225" s="151">
        <v>38</v>
      </c>
      <c r="C225" s="7" t="s">
        <v>18</v>
      </c>
      <c r="D225" s="4" t="s">
        <v>24</v>
      </c>
      <c r="E225" s="6" t="s">
        <v>163</v>
      </c>
      <c r="F225" s="12" t="str">
        <f>IFERROR(VLOOKUP(B225,'INSUMOS  JULIO'!$B$6:$CJ$109,12,0),"")</f>
        <v>0</v>
      </c>
      <c r="G225" s="8">
        <f>IFERROR(VLOOKUP($B225,'INSUMOS  JULIO'!$B$6:$CJ$109,13,0),"")</f>
        <v>11100.662</v>
      </c>
      <c r="H225" s="19">
        <f t="shared" si="12"/>
        <v>0</v>
      </c>
      <c r="I225" s="1">
        <f t="shared" si="13"/>
        <v>0</v>
      </c>
      <c r="J225" s="1">
        <f t="shared" si="14"/>
        <v>0</v>
      </c>
      <c r="K225" s="19">
        <f t="shared" si="15"/>
        <v>0</v>
      </c>
    </row>
    <row r="226" spans="1:11" ht="15">
      <c r="A226" s="3">
        <v>344</v>
      </c>
      <c r="B226" s="151">
        <v>41</v>
      </c>
      <c r="C226" s="7" t="s">
        <v>155</v>
      </c>
      <c r="D226" s="4" t="s">
        <v>25</v>
      </c>
      <c r="E226" s="6" t="s">
        <v>163</v>
      </c>
      <c r="F226" s="12" t="str">
        <f>IFERROR(VLOOKUP(B226,'INSUMOS  JULIO'!$B$6:$CJ$109,12,0),"")</f>
        <v>0</v>
      </c>
      <c r="G226" s="8">
        <f>IFERROR(VLOOKUP($B226,'INSUMOS  JULIO'!$B$6:$CJ$109,13,0),"")</f>
        <v>7034.3429999999989</v>
      </c>
      <c r="H226" s="19">
        <f t="shared" si="12"/>
        <v>0</v>
      </c>
      <c r="I226" s="1">
        <f t="shared" si="13"/>
        <v>0</v>
      </c>
      <c r="J226" s="1">
        <f t="shared" si="14"/>
        <v>0</v>
      </c>
      <c r="K226" s="19">
        <f t="shared" si="15"/>
        <v>0</v>
      </c>
    </row>
    <row r="227" spans="1:11" ht="15">
      <c r="A227" s="3">
        <v>345</v>
      </c>
      <c r="B227" s="151">
        <v>44</v>
      </c>
      <c r="C227" s="7" t="s">
        <v>16</v>
      </c>
      <c r="D227" s="4" t="s">
        <v>26</v>
      </c>
      <c r="E227" s="6" t="s">
        <v>163</v>
      </c>
      <c r="F227" s="12">
        <f>IFERROR(VLOOKUP(B227,'INSUMOS  JULIO'!$B$6:$CJ$109,12,0),"")</f>
        <v>0</v>
      </c>
      <c r="G227" s="8">
        <f>IFERROR(VLOOKUP($B227,'INSUMOS  JULIO'!$B$6:$CJ$109,13,0),"")</f>
        <v>2787.2520000000004</v>
      </c>
      <c r="H227" s="19">
        <f t="shared" si="12"/>
        <v>0</v>
      </c>
      <c r="I227" s="1">
        <f t="shared" si="13"/>
        <v>0</v>
      </c>
      <c r="J227" s="1">
        <f t="shared" si="14"/>
        <v>0</v>
      </c>
      <c r="K227" s="19">
        <f t="shared" si="15"/>
        <v>0</v>
      </c>
    </row>
    <row r="228" spans="1:11" ht="15">
      <c r="A228" s="3">
        <v>346</v>
      </c>
      <c r="B228" s="151">
        <v>46</v>
      </c>
      <c r="C228" s="7" t="s">
        <v>27</v>
      </c>
      <c r="D228" s="4" t="s">
        <v>28</v>
      </c>
      <c r="E228" s="6" t="s">
        <v>163</v>
      </c>
      <c r="F228" s="12" t="str">
        <f>IFERROR(VLOOKUP(B228,'INSUMOS  JULIO'!$B$6:$CJ$109,12,0),"")</f>
        <v>0</v>
      </c>
      <c r="G228" s="8">
        <f>IFERROR(VLOOKUP($B228,'INSUMOS  JULIO'!$B$6:$CJ$109,13,0),"")</f>
        <v>7739.5640000000021</v>
      </c>
      <c r="H228" s="19">
        <f t="shared" si="12"/>
        <v>0</v>
      </c>
      <c r="I228" s="1">
        <f t="shared" si="13"/>
        <v>0</v>
      </c>
      <c r="J228" s="1">
        <f t="shared" si="14"/>
        <v>0</v>
      </c>
      <c r="K228" s="19">
        <f t="shared" si="15"/>
        <v>0</v>
      </c>
    </row>
    <row r="229" spans="1:11" ht="15">
      <c r="A229" s="3">
        <v>347</v>
      </c>
      <c r="B229" s="151">
        <v>50</v>
      </c>
      <c r="C229" s="7" t="s">
        <v>13</v>
      </c>
      <c r="D229" s="4" t="s">
        <v>29</v>
      </c>
      <c r="E229" s="6" t="s">
        <v>163</v>
      </c>
      <c r="F229" s="12">
        <f>IFERROR(VLOOKUP(B229,'INSUMOS  JULIO'!$B$6:$CJ$109,12,0),"")</f>
        <v>0</v>
      </c>
      <c r="G229" s="8">
        <f>IFERROR(VLOOKUP($B229,'INSUMOS  JULIO'!$B$6:$CJ$109,13,0),"")</f>
        <v>38567.495999999999</v>
      </c>
      <c r="H229" s="19">
        <f t="shared" si="12"/>
        <v>0</v>
      </c>
      <c r="I229" s="1">
        <f t="shared" si="13"/>
        <v>0</v>
      </c>
      <c r="J229" s="1">
        <f t="shared" si="14"/>
        <v>0</v>
      </c>
      <c r="K229" s="19">
        <f t="shared" si="15"/>
        <v>0</v>
      </c>
    </row>
    <row r="230" spans="1:11" ht="15">
      <c r="A230" s="3">
        <v>348</v>
      </c>
      <c r="B230" s="151">
        <v>51</v>
      </c>
      <c r="C230" s="7" t="s">
        <v>13</v>
      </c>
      <c r="D230" s="4" t="s">
        <v>30</v>
      </c>
      <c r="E230" s="6" t="s">
        <v>163</v>
      </c>
      <c r="F230" s="12" t="str">
        <f>IFERROR(VLOOKUP(B230,'INSUMOS  JULIO'!$B$6:$CJ$109,12,0),"")</f>
        <v>0</v>
      </c>
      <c r="G230" s="8">
        <f>IFERROR(VLOOKUP($B230,'INSUMOS  JULIO'!$B$6:$CJ$109,13,0),"")</f>
        <v>7739.5640000000021</v>
      </c>
      <c r="H230" s="19">
        <f t="shared" si="12"/>
        <v>0</v>
      </c>
      <c r="I230" s="1">
        <f t="shared" si="13"/>
        <v>0</v>
      </c>
      <c r="J230" s="1">
        <f t="shared" si="14"/>
        <v>0</v>
      </c>
      <c r="K230" s="19">
        <f t="shared" si="15"/>
        <v>0</v>
      </c>
    </row>
    <row r="231" spans="1:11" ht="15">
      <c r="A231" s="3">
        <v>349</v>
      </c>
      <c r="B231" s="151">
        <v>52</v>
      </c>
      <c r="C231" s="7" t="s">
        <v>13</v>
      </c>
      <c r="D231" s="4" t="s">
        <v>31</v>
      </c>
      <c r="E231" s="6" t="s">
        <v>163</v>
      </c>
      <c r="F231" s="12">
        <f>IFERROR(VLOOKUP(B231,'INSUMOS  JULIO'!$B$6:$CJ$109,12,0),"")</f>
        <v>0</v>
      </c>
      <c r="G231" s="8">
        <f>IFERROR(VLOOKUP($B231,'INSUMOS  JULIO'!$B$6:$CJ$109,13,0),"")</f>
        <v>6412.1509999999998</v>
      </c>
      <c r="H231" s="19">
        <f t="shared" si="12"/>
        <v>0</v>
      </c>
      <c r="I231" s="1">
        <f t="shared" si="13"/>
        <v>0</v>
      </c>
      <c r="J231" s="1">
        <f t="shared" si="14"/>
        <v>0</v>
      </c>
      <c r="K231" s="19">
        <f t="shared" si="15"/>
        <v>0</v>
      </c>
    </row>
    <row r="232" spans="1:11" ht="15">
      <c r="A232" s="3">
        <v>350</v>
      </c>
      <c r="B232" s="151">
        <v>54</v>
      </c>
      <c r="C232" s="7" t="s">
        <v>13</v>
      </c>
      <c r="D232" s="4" t="s">
        <v>32</v>
      </c>
      <c r="E232" s="6" t="s">
        <v>163</v>
      </c>
      <c r="F232" s="12">
        <f>IFERROR(VLOOKUP(B232,'INSUMOS  JULIO'!$B$6:$CJ$109,12,0),"")</f>
        <v>0</v>
      </c>
      <c r="G232" s="8">
        <f>IFERROR(VLOOKUP($B232,'INSUMOS  JULIO'!$B$6:$CJ$109,13,0),"")</f>
        <v>5359.049</v>
      </c>
      <c r="H232" s="19">
        <f t="shared" si="12"/>
        <v>0</v>
      </c>
      <c r="I232" s="1">
        <f t="shared" si="13"/>
        <v>0</v>
      </c>
      <c r="J232" s="1">
        <f t="shared" si="14"/>
        <v>0</v>
      </c>
      <c r="K232" s="19">
        <f t="shared" si="15"/>
        <v>0</v>
      </c>
    </row>
    <row r="233" spans="1:11" ht="15">
      <c r="A233" s="3">
        <v>351</v>
      </c>
      <c r="B233" s="151">
        <v>57</v>
      </c>
      <c r="C233" s="7" t="s">
        <v>33</v>
      </c>
      <c r="D233" s="4" t="s">
        <v>34</v>
      </c>
      <c r="E233" s="6" t="s">
        <v>163</v>
      </c>
      <c r="F233" s="12">
        <f>IFERROR(VLOOKUP(B233,'INSUMOS  JULIO'!$B$6:$CJ$109,12,0),"")</f>
        <v>0</v>
      </c>
      <c r="G233" s="8">
        <f>IFERROR(VLOOKUP($B233,'INSUMOS  JULIO'!$B$6:$CJ$109,13,0),"")</f>
        <v>12823.251000000004</v>
      </c>
      <c r="H233" s="19">
        <f t="shared" si="12"/>
        <v>0</v>
      </c>
      <c r="I233" s="1">
        <f t="shared" si="13"/>
        <v>0</v>
      </c>
      <c r="J233" s="1">
        <f t="shared" si="14"/>
        <v>0</v>
      </c>
      <c r="K233" s="19">
        <f t="shared" si="15"/>
        <v>0</v>
      </c>
    </row>
    <row r="234" spans="1:11" ht="15">
      <c r="A234" s="3">
        <v>352</v>
      </c>
      <c r="B234" s="151">
        <v>59</v>
      </c>
      <c r="C234" s="7" t="s">
        <v>16</v>
      </c>
      <c r="D234" s="4" t="s">
        <v>35</v>
      </c>
      <c r="E234" s="6" t="s">
        <v>163</v>
      </c>
      <c r="F234" s="12" t="str">
        <f>IFERROR(VLOOKUP(B234,'INSUMOS  JULIO'!$B$6:$CJ$109,12,0),"")</f>
        <v>0</v>
      </c>
      <c r="G234" s="8">
        <f>IFERROR(VLOOKUP($B234,'INSUMOS  JULIO'!$B$6:$CJ$109,13,0),"")</f>
        <v>5528.260000000002</v>
      </c>
      <c r="H234" s="19">
        <f t="shared" si="12"/>
        <v>0</v>
      </c>
      <c r="I234" s="1">
        <f t="shared" si="13"/>
        <v>0</v>
      </c>
      <c r="J234" s="1">
        <f t="shared" si="14"/>
        <v>0</v>
      </c>
      <c r="K234" s="19">
        <f t="shared" si="15"/>
        <v>0</v>
      </c>
    </row>
    <row r="235" spans="1:11" ht="15">
      <c r="A235" s="3">
        <v>353</v>
      </c>
      <c r="B235" s="151">
        <v>62</v>
      </c>
      <c r="C235" s="7" t="s">
        <v>36</v>
      </c>
      <c r="D235" s="4" t="s">
        <v>37</v>
      </c>
      <c r="E235" s="6" t="s">
        <v>163</v>
      </c>
      <c r="F235" s="12">
        <f>IFERROR(VLOOKUP(B235,'INSUMOS  JULIO'!$B$6:$CJ$109,12,0),"")</f>
        <v>0</v>
      </c>
      <c r="G235" s="8">
        <f>IFERROR(VLOOKUP($B235,'INSUMOS  JULIO'!$B$6:$CJ$109,13,0),"")</f>
        <v>10100.3202</v>
      </c>
      <c r="H235" s="19">
        <f t="shared" si="12"/>
        <v>0</v>
      </c>
      <c r="I235" s="1">
        <f t="shared" si="13"/>
        <v>0</v>
      </c>
      <c r="J235" s="1">
        <f t="shared" si="14"/>
        <v>0</v>
      </c>
      <c r="K235" s="19">
        <f t="shared" si="15"/>
        <v>0</v>
      </c>
    </row>
    <row r="236" spans="1:11" ht="15">
      <c r="A236" s="3">
        <v>354</v>
      </c>
      <c r="B236" s="151">
        <v>63</v>
      </c>
      <c r="C236" s="7" t="s">
        <v>36</v>
      </c>
      <c r="D236" s="4" t="s">
        <v>38</v>
      </c>
      <c r="E236" s="6" t="s">
        <v>163</v>
      </c>
      <c r="F236" s="12">
        <f>IFERROR(VLOOKUP(B236,'INSUMOS  JULIO'!$B$6:$CJ$109,12,0),"")</f>
        <v>0</v>
      </c>
      <c r="G236" s="8">
        <f>IFERROR(VLOOKUP($B236,'INSUMOS  JULIO'!$B$6:$CJ$109,13,0),"")</f>
        <v>8292.39</v>
      </c>
      <c r="H236" s="19">
        <f t="shared" si="12"/>
        <v>0</v>
      </c>
      <c r="I236" s="1">
        <f t="shared" si="13"/>
        <v>0</v>
      </c>
      <c r="J236" s="1">
        <f t="shared" si="14"/>
        <v>0</v>
      </c>
      <c r="K236" s="19">
        <f t="shared" si="15"/>
        <v>0</v>
      </c>
    </row>
    <row r="237" spans="1:11" ht="15">
      <c r="A237" s="3">
        <v>355</v>
      </c>
      <c r="B237" s="151">
        <v>64</v>
      </c>
      <c r="C237" s="7" t="s">
        <v>39</v>
      </c>
      <c r="D237" s="4" t="s">
        <v>40</v>
      </c>
      <c r="E237" s="6" t="s">
        <v>163</v>
      </c>
      <c r="F237" s="12">
        <f>IFERROR(VLOOKUP(B237,'INSUMOS  JULIO'!$B$6:$CJ$109,12,0),"")</f>
        <v>0</v>
      </c>
      <c r="G237" s="8">
        <f>IFERROR(VLOOKUP($B237,'INSUMOS  JULIO'!$B$6:$CJ$109,13,0),"")</f>
        <v>13820.650000000001</v>
      </c>
      <c r="H237" s="19">
        <f t="shared" si="12"/>
        <v>0</v>
      </c>
      <c r="I237" s="1">
        <f t="shared" si="13"/>
        <v>0</v>
      </c>
      <c r="J237" s="1">
        <f t="shared" si="14"/>
        <v>0</v>
      </c>
      <c r="K237" s="19">
        <f t="shared" si="15"/>
        <v>0</v>
      </c>
    </row>
    <row r="238" spans="1:11" ht="15">
      <c r="A238" s="3">
        <v>356</v>
      </c>
      <c r="B238" s="151">
        <v>65</v>
      </c>
      <c r="C238" s="7" t="s">
        <v>39</v>
      </c>
      <c r="D238" s="4" t="s">
        <v>41</v>
      </c>
      <c r="E238" s="6" t="s">
        <v>163</v>
      </c>
      <c r="F238" s="12">
        <f>IFERROR(VLOOKUP(B238,'INSUMOS  JULIO'!$B$6:$CJ$109,12,0),"")</f>
        <v>0</v>
      </c>
      <c r="G238" s="8">
        <f>IFERROR(VLOOKUP($B238,'INSUMOS  JULIO'!$B$6:$CJ$109,13,0),"")</f>
        <v>13820.650000000001</v>
      </c>
      <c r="H238" s="19">
        <f t="shared" si="12"/>
        <v>0</v>
      </c>
      <c r="I238" s="1">
        <f t="shared" si="13"/>
        <v>0</v>
      </c>
      <c r="J238" s="1">
        <f t="shared" si="14"/>
        <v>0</v>
      </c>
      <c r="K238" s="19">
        <f t="shared" si="15"/>
        <v>0</v>
      </c>
    </row>
    <row r="239" spans="1:11" ht="15">
      <c r="A239" s="3">
        <v>357</v>
      </c>
      <c r="B239" s="151">
        <v>66</v>
      </c>
      <c r="C239" s="7" t="s">
        <v>151</v>
      </c>
      <c r="D239" s="4" t="s">
        <v>42</v>
      </c>
      <c r="E239" s="6" t="s">
        <v>163</v>
      </c>
      <c r="F239" s="12">
        <f>IFERROR(VLOOKUP(B239,'INSUMOS  JULIO'!$B$6:$CJ$109,12,0),"")</f>
        <v>0</v>
      </c>
      <c r="G239" s="8">
        <f>IFERROR(VLOOKUP($B239,'INSUMOS  JULIO'!$B$6:$CJ$109,13,0),"")</f>
        <v>2887.0970000000002</v>
      </c>
      <c r="H239" s="19">
        <f t="shared" si="12"/>
        <v>0</v>
      </c>
      <c r="I239" s="1">
        <f t="shared" si="13"/>
        <v>0</v>
      </c>
      <c r="J239" s="1">
        <f t="shared" si="14"/>
        <v>0</v>
      </c>
      <c r="K239" s="19">
        <f t="shared" si="15"/>
        <v>0</v>
      </c>
    </row>
    <row r="240" spans="1:11" ht="15">
      <c r="A240" s="3">
        <v>358</v>
      </c>
      <c r="B240" s="151">
        <v>71</v>
      </c>
      <c r="C240" s="7" t="s">
        <v>151</v>
      </c>
      <c r="D240" s="4" t="s">
        <v>43</v>
      </c>
      <c r="E240" s="6" t="s">
        <v>163</v>
      </c>
      <c r="F240" s="12" t="str">
        <f>IFERROR(VLOOKUP(B240,'INSUMOS  JULIO'!$B$6:$CJ$109,12,0),"")</f>
        <v>0</v>
      </c>
      <c r="G240" s="8">
        <f>IFERROR(VLOOKUP($B240,'INSUMOS  JULIO'!$B$6:$CJ$109,13,0),"")</f>
        <v>5196.1440000000002</v>
      </c>
      <c r="H240" s="19">
        <f t="shared" si="12"/>
        <v>0</v>
      </c>
      <c r="I240" s="1">
        <f t="shared" si="13"/>
        <v>0</v>
      </c>
      <c r="J240" s="1">
        <f t="shared" si="14"/>
        <v>0</v>
      </c>
      <c r="K240" s="19">
        <f t="shared" si="15"/>
        <v>0</v>
      </c>
    </row>
    <row r="241" spans="1:11" ht="15">
      <c r="A241" s="3">
        <v>359</v>
      </c>
      <c r="B241" s="151">
        <v>72</v>
      </c>
      <c r="C241" s="7" t="s">
        <v>151</v>
      </c>
      <c r="D241" s="4" t="s">
        <v>44</v>
      </c>
      <c r="E241" s="6" t="s">
        <v>163</v>
      </c>
      <c r="F241" s="12">
        <f>IFERROR(VLOOKUP(B241,'INSUMOS  JULIO'!$B$6:$CJ$109,12,0),"")</f>
        <v>4</v>
      </c>
      <c r="G241" s="8">
        <f>IFERROR(VLOOKUP($B241,'INSUMOS  JULIO'!$B$6:$CJ$109,13,0),"")</f>
        <v>7861.3749000000007</v>
      </c>
      <c r="H241" s="19">
        <f t="shared" si="12"/>
        <v>31445.499600000003</v>
      </c>
      <c r="I241" s="1">
        <f t="shared" si="13"/>
        <v>3144.5499600000003</v>
      </c>
      <c r="J241" s="1">
        <f t="shared" si="14"/>
        <v>597.46449240000004</v>
      </c>
      <c r="K241" s="19">
        <f t="shared" si="15"/>
        <v>35187.514052400002</v>
      </c>
    </row>
    <row r="242" spans="1:11" ht="27">
      <c r="A242" s="3">
        <v>360</v>
      </c>
      <c r="B242" s="151">
        <v>73</v>
      </c>
      <c r="C242" s="7" t="s">
        <v>151</v>
      </c>
      <c r="D242" s="4" t="s">
        <v>45</v>
      </c>
      <c r="E242" s="6" t="s">
        <v>163</v>
      </c>
      <c r="F242" s="12">
        <f>IFERROR(VLOOKUP(B242,'INSUMOS  JULIO'!$B$6:$CJ$109,12,0),"")</f>
        <v>2</v>
      </c>
      <c r="G242" s="8">
        <f>IFERROR(VLOOKUP($B242,'INSUMOS  JULIO'!$B$6:$CJ$109,13,0),"")</f>
        <v>21493.685699999998</v>
      </c>
      <c r="H242" s="19">
        <f t="shared" si="12"/>
        <v>42987.371399999996</v>
      </c>
      <c r="I242" s="1">
        <f t="shared" si="13"/>
        <v>4298.7371400000002</v>
      </c>
      <c r="J242" s="1">
        <f t="shared" si="14"/>
        <v>816.7600566000001</v>
      </c>
      <c r="K242" s="19">
        <f t="shared" si="15"/>
        <v>48102.86859659999</v>
      </c>
    </row>
    <row r="243" spans="1:11" ht="15">
      <c r="A243" s="3">
        <v>361</v>
      </c>
      <c r="B243" s="151">
        <v>74</v>
      </c>
      <c r="C243" s="7" t="s">
        <v>46</v>
      </c>
      <c r="D243" s="4" t="s">
        <v>47</v>
      </c>
      <c r="E243" s="6" t="s">
        <v>163</v>
      </c>
      <c r="F243" s="12">
        <f>IFERROR(VLOOKUP(B243,'INSUMOS  JULIO'!$B$6:$CJ$109,12,0),"")</f>
        <v>2</v>
      </c>
      <c r="G243" s="8">
        <f>IFERROR(VLOOKUP($B243,'INSUMOS  JULIO'!$B$6:$CJ$109,13,0),"")</f>
        <v>3261.2529999999997</v>
      </c>
      <c r="H243" s="19">
        <f t="shared" si="12"/>
        <v>6522.5059999999994</v>
      </c>
      <c r="I243" s="1">
        <f t="shared" si="13"/>
        <v>652.25059999999996</v>
      </c>
      <c r="J243" s="1">
        <f t="shared" si="14"/>
        <v>123.92761399999999</v>
      </c>
      <c r="K243" s="19">
        <f t="shared" si="15"/>
        <v>7298.6842139999999</v>
      </c>
    </row>
    <row r="244" spans="1:11" ht="15">
      <c r="A244" s="3">
        <v>362</v>
      </c>
      <c r="B244" s="151">
        <v>79</v>
      </c>
      <c r="C244" s="7" t="s">
        <v>159</v>
      </c>
      <c r="D244" s="4" t="s">
        <v>48</v>
      </c>
      <c r="E244" s="6" t="s">
        <v>163</v>
      </c>
      <c r="F244" s="12">
        <f>IFERROR(VLOOKUP(B244,'INSUMOS  JULIO'!$B$6:$CJ$109,12,0),"")</f>
        <v>0</v>
      </c>
      <c r="G244" s="8">
        <f>IFERROR(VLOOKUP($B244,'INSUMOS  JULIO'!$B$6:$CJ$109,13,0),"")</f>
        <v>541.2650000000001</v>
      </c>
      <c r="H244" s="19">
        <f t="shared" si="12"/>
        <v>0</v>
      </c>
      <c r="I244" s="1">
        <f t="shared" si="13"/>
        <v>0</v>
      </c>
      <c r="J244" s="1">
        <f t="shared" si="14"/>
        <v>0</v>
      </c>
      <c r="K244" s="19">
        <f t="shared" si="15"/>
        <v>0</v>
      </c>
    </row>
    <row r="245" spans="1:11" ht="15">
      <c r="A245" s="3">
        <v>363</v>
      </c>
      <c r="B245" s="151">
        <v>80</v>
      </c>
      <c r="C245" s="7" t="s">
        <v>159</v>
      </c>
      <c r="D245" s="4" t="s">
        <v>49</v>
      </c>
      <c r="E245" s="6" t="s">
        <v>163</v>
      </c>
      <c r="F245" s="12">
        <f>IFERROR(VLOOKUP(B245,'INSUMOS  JULIO'!$B$6:$CJ$109,12,0),"")</f>
        <v>0</v>
      </c>
      <c r="G245" s="8">
        <f>IFERROR(VLOOKUP($B245,'INSUMOS  JULIO'!$B$6:$CJ$109,13,0),"")</f>
        <v>433.01199999999994</v>
      </c>
      <c r="H245" s="19">
        <f t="shared" si="12"/>
        <v>0</v>
      </c>
      <c r="I245" s="1">
        <f t="shared" si="13"/>
        <v>0</v>
      </c>
      <c r="J245" s="1">
        <f t="shared" si="14"/>
        <v>0</v>
      </c>
      <c r="K245" s="19">
        <f t="shared" si="15"/>
        <v>0</v>
      </c>
    </row>
    <row r="246" spans="1:11" ht="15">
      <c r="A246" s="3">
        <v>364</v>
      </c>
      <c r="B246" s="151">
        <v>81</v>
      </c>
      <c r="C246" s="7" t="s">
        <v>159</v>
      </c>
      <c r="D246" s="4" t="s">
        <v>50</v>
      </c>
      <c r="E246" s="6" t="s">
        <v>163</v>
      </c>
      <c r="F246" s="12">
        <f>IFERROR(VLOOKUP(B246,'INSUMOS  JULIO'!$B$6:$CJ$109,12,0),"")</f>
        <v>0</v>
      </c>
      <c r="G246" s="8">
        <f>IFERROR(VLOOKUP($B246,'INSUMOS  JULIO'!$B$6:$CJ$109,13,0),"")</f>
        <v>211.251</v>
      </c>
      <c r="H246" s="19">
        <f t="shared" si="12"/>
        <v>0</v>
      </c>
      <c r="I246" s="1">
        <f t="shared" si="13"/>
        <v>0</v>
      </c>
      <c r="J246" s="1">
        <f t="shared" si="14"/>
        <v>0</v>
      </c>
      <c r="K246" s="19">
        <f t="shared" si="15"/>
        <v>0</v>
      </c>
    </row>
    <row r="247" spans="1:11" ht="15">
      <c r="A247" s="3">
        <v>365</v>
      </c>
      <c r="B247" s="151">
        <v>82</v>
      </c>
      <c r="C247" s="7" t="s">
        <v>159</v>
      </c>
      <c r="D247" s="4" t="s">
        <v>51</v>
      </c>
      <c r="E247" s="6" t="s">
        <v>163</v>
      </c>
      <c r="F247" s="12" t="str">
        <f>IFERROR(VLOOKUP(B247,'INSUMOS  JULIO'!$B$6:$CJ$109,12,0),"")</f>
        <v>0</v>
      </c>
      <c r="G247" s="8">
        <f>IFERROR(VLOOKUP($B247,'INSUMOS  JULIO'!$B$6:$CJ$109,13,0),"")</f>
        <v>1003.7049999999999</v>
      </c>
      <c r="H247" s="19">
        <f t="shared" si="12"/>
        <v>0</v>
      </c>
      <c r="I247" s="1">
        <f t="shared" si="13"/>
        <v>0</v>
      </c>
      <c r="J247" s="1">
        <f t="shared" si="14"/>
        <v>0</v>
      </c>
      <c r="K247" s="19">
        <f t="shared" si="15"/>
        <v>0</v>
      </c>
    </row>
    <row r="248" spans="1:11" ht="15">
      <c r="A248" s="3">
        <v>366</v>
      </c>
      <c r="B248" s="151">
        <v>83</v>
      </c>
      <c r="C248" s="7" t="s">
        <v>159</v>
      </c>
      <c r="D248" s="4" t="s">
        <v>52</v>
      </c>
      <c r="E248" s="6" t="s">
        <v>163</v>
      </c>
      <c r="F248" s="12" t="str">
        <f>IFERROR(VLOOKUP(B248,'INSUMOS  JULIO'!$B$6:$CJ$109,12,0),"")</f>
        <v>0</v>
      </c>
      <c r="G248" s="8">
        <f>IFERROR(VLOOKUP($B248,'INSUMOS  JULIO'!$B$6:$CJ$109,13,0),"")</f>
        <v>336.32</v>
      </c>
      <c r="H248" s="19">
        <f t="shared" si="12"/>
        <v>0</v>
      </c>
      <c r="I248" s="1">
        <f t="shared" si="13"/>
        <v>0</v>
      </c>
      <c r="J248" s="1">
        <f t="shared" si="14"/>
        <v>0</v>
      </c>
      <c r="K248" s="19">
        <f t="shared" si="15"/>
        <v>0</v>
      </c>
    </row>
    <row r="249" spans="1:11" ht="15">
      <c r="A249" s="3">
        <v>367</v>
      </c>
      <c r="B249" s="151">
        <v>86</v>
      </c>
      <c r="C249" s="7" t="s">
        <v>53</v>
      </c>
      <c r="D249" s="4" t="s">
        <v>54</v>
      </c>
      <c r="E249" s="6" t="s">
        <v>163</v>
      </c>
      <c r="F249" s="12" t="str">
        <f>IFERROR(VLOOKUP(B249,'INSUMOS  JULIO'!$B$6:$CJ$109,12,0),"")</f>
        <v>0</v>
      </c>
      <c r="G249" s="8">
        <f>IFERROR(VLOOKUP($B249,'INSUMOS  JULIO'!$B$6:$CJ$109,13,0),"")</f>
        <v>2792.5070000000005</v>
      </c>
      <c r="H249" s="19">
        <f t="shared" si="12"/>
        <v>0</v>
      </c>
      <c r="I249" s="1">
        <f t="shared" si="13"/>
        <v>0</v>
      </c>
      <c r="J249" s="1">
        <f t="shared" si="14"/>
        <v>0</v>
      </c>
      <c r="K249" s="19">
        <f t="shared" si="15"/>
        <v>0</v>
      </c>
    </row>
    <row r="250" spans="1:11" ht="15">
      <c r="A250" s="3">
        <v>368</v>
      </c>
      <c r="B250" s="151">
        <v>87</v>
      </c>
      <c r="C250" s="7" t="s">
        <v>53</v>
      </c>
      <c r="D250" s="4" t="s">
        <v>55</v>
      </c>
      <c r="E250" s="6" t="s">
        <v>163</v>
      </c>
      <c r="F250" s="12" t="str">
        <f>IFERROR(VLOOKUP(B250,'INSUMOS  JULIO'!$B$6:$CJ$109,12,0),"")</f>
        <v>0</v>
      </c>
      <c r="G250" s="8">
        <f>IFERROR(VLOOKUP($B250,'INSUMOS  JULIO'!$B$6:$CJ$109,13,0),"")</f>
        <v>0</v>
      </c>
      <c r="H250" s="19">
        <f t="shared" si="12"/>
        <v>0</v>
      </c>
      <c r="I250" s="1">
        <f t="shared" si="13"/>
        <v>0</v>
      </c>
      <c r="J250" s="1">
        <f t="shared" si="14"/>
        <v>0</v>
      </c>
      <c r="K250" s="19">
        <f t="shared" si="15"/>
        <v>0</v>
      </c>
    </row>
    <row r="251" spans="1:11" ht="15">
      <c r="A251" s="3">
        <v>369</v>
      </c>
      <c r="B251" s="151">
        <v>88</v>
      </c>
      <c r="C251" s="7" t="s">
        <v>53</v>
      </c>
      <c r="D251" s="4" t="s">
        <v>56</v>
      </c>
      <c r="E251" s="6" t="s">
        <v>163</v>
      </c>
      <c r="F251" s="12">
        <f>IFERROR(VLOOKUP(B251,'INSUMOS  JULIO'!$B$6:$CJ$109,12,0),"")</f>
        <v>0</v>
      </c>
      <c r="G251" s="8">
        <f>IFERROR(VLOOKUP($B251,'INSUMOS  JULIO'!$B$6:$CJ$109,13,0),"")</f>
        <v>2717.886</v>
      </c>
      <c r="H251" s="19">
        <f t="shared" si="12"/>
        <v>0</v>
      </c>
      <c r="I251" s="1">
        <f t="shared" si="13"/>
        <v>0</v>
      </c>
      <c r="J251" s="1">
        <f t="shared" si="14"/>
        <v>0</v>
      </c>
      <c r="K251" s="19">
        <f t="shared" si="15"/>
        <v>0</v>
      </c>
    </row>
    <row r="252" spans="1:11" ht="15">
      <c r="A252" s="3">
        <v>370</v>
      </c>
      <c r="B252" s="151">
        <v>89</v>
      </c>
      <c r="C252" s="7" t="s">
        <v>53</v>
      </c>
      <c r="D252" s="4" t="s">
        <v>57</v>
      </c>
      <c r="E252" s="6" t="s">
        <v>163</v>
      </c>
      <c r="F252" s="12" t="str">
        <f>IFERROR(VLOOKUP(B252,'INSUMOS  JULIO'!$B$6:$CJ$109,12,0),"")</f>
        <v>0</v>
      </c>
      <c r="G252" s="8">
        <f>IFERROR(VLOOKUP($B252,'INSUMOS  JULIO'!$B$6:$CJ$109,13,0),"")</f>
        <v>2650.6220000000003</v>
      </c>
      <c r="H252" s="19">
        <f t="shared" si="12"/>
        <v>0</v>
      </c>
      <c r="I252" s="1">
        <f t="shared" si="13"/>
        <v>0</v>
      </c>
      <c r="J252" s="1">
        <f t="shared" si="14"/>
        <v>0</v>
      </c>
      <c r="K252" s="19">
        <f t="shared" si="15"/>
        <v>0</v>
      </c>
    </row>
    <row r="253" spans="1:11" ht="15">
      <c r="A253" s="3">
        <v>371</v>
      </c>
      <c r="B253" s="151">
        <v>91</v>
      </c>
      <c r="C253" s="7" t="s">
        <v>160</v>
      </c>
      <c r="D253" s="4" t="s">
        <v>58</v>
      </c>
      <c r="E253" s="6" t="s">
        <v>163</v>
      </c>
      <c r="F253" s="12" t="str">
        <f>IFERROR(VLOOKUP(B253,'INSUMOS  JULIO'!$B$6:$CJ$109,12,0),"")</f>
        <v>0</v>
      </c>
      <c r="G253" s="8">
        <f>IFERROR(VLOOKUP($B253,'INSUMOS  JULIO'!$B$6:$CJ$109,13,0),"")</f>
        <v>4364.8029999999999</v>
      </c>
      <c r="H253" s="19">
        <f t="shared" si="12"/>
        <v>0</v>
      </c>
      <c r="I253" s="1">
        <f t="shared" si="13"/>
        <v>0</v>
      </c>
      <c r="J253" s="1">
        <f t="shared" si="14"/>
        <v>0</v>
      </c>
      <c r="K253" s="19">
        <f t="shared" si="15"/>
        <v>0</v>
      </c>
    </row>
    <row r="254" spans="1:11" ht="15">
      <c r="A254" s="3">
        <v>372</v>
      </c>
      <c r="B254" s="151">
        <v>92</v>
      </c>
      <c r="C254" s="7" t="s">
        <v>160</v>
      </c>
      <c r="D254" s="4" t="s">
        <v>59</v>
      </c>
      <c r="E254" s="6" t="s">
        <v>163</v>
      </c>
      <c r="F254" s="12" t="str">
        <f>IFERROR(VLOOKUP(B254,'INSUMOS  JULIO'!$B$6:$CJ$109,12,0),"")</f>
        <v>0</v>
      </c>
      <c r="G254" s="8">
        <f>IFERROR(VLOOKUP($B254,'INSUMOS  JULIO'!$B$6:$CJ$109,13,0),"")</f>
        <v>2380.5149999999999</v>
      </c>
      <c r="H254" s="19">
        <f t="shared" si="12"/>
        <v>0</v>
      </c>
      <c r="I254" s="1">
        <f t="shared" si="13"/>
        <v>0</v>
      </c>
      <c r="J254" s="1">
        <f t="shared" si="14"/>
        <v>0</v>
      </c>
      <c r="K254" s="19">
        <f t="shared" si="15"/>
        <v>0</v>
      </c>
    </row>
    <row r="255" spans="1:11" ht="15">
      <c r="A255" s="3">
        <v>373</v>
      </c>
      <c r="B255" s="151">
        <v>94</v>
      </c>
      <c r="C255" s="7" t="s">
        <v>60</v>
      </c>
      <c r="D255" s="4" t="s">
        <v>61</v>
      </c>
      <c r="E255" s="6" t="s">
        <v>163</v>
      </c>
      <c r="F255" s="12" t="str">
        <f>IFERROR(VLOOKUP(B255,'INSUMOS  JULIO'!$B$6:$CJ$109,12,0),"")</f>
        <v>0</v>
      </c>
      <c r="G255" s="8">
        <f>IFERROR(VLOOKUP($B255,'INSUMOS  JULIO'!$B$6:$CJ$109,13,0),"")</f>
        <v>3316.9560000000001</v>
      </c>
      <c r="H255" s="19">
        <f t="shared" si="12"/>
        <v>0</v>
      </c>
      <c r="I255" s="1">
        <f t="shared" si="13"/>
        <v>0</v>
      </c>
      <c r="J255" s="1">
        <f t="shared" si="14"/>
        <v>0</v>
      </c>
      <c r="K255" s="19">
        <f t="shared" si="15"/>
        <v>0</v>
      </c>
    </row>
    <row r="256" spans="1:11" ht="15">
      <c r="A256" s="3">
        <v>374</v>
      </c>
      <c r="B256" s="151">
        <v>95</v>
      </c>
      <c r="C256" s="7" t="s">
        <v>60</v>
      </c>
      <c r="D256" s="4" t="s">
        <v>62</v>
      </c>
      <c r="E256" s="6" t="s">
        <v>163</v>
      </c>
      <c r="F256" s="12" t="str">
        <f>IFERROR(VLOOKUP(B256,'INSUMOS  JULIO'!$B$6:$CJ$109,12,0),"")</f>
        <v>0</v>
      </c>
      <c r="G256" s="8">
        <f>IFERROR(VLOOKUP($B256,'INSUMOS  JULIO'!$B$6:$CJ$109,13,0),"")</f>
        <v>11056.52</v>
      </c>
      <c r="H256" s="19">
        <f t="shared" si="12"/>
        <v>0</v>
      </c>
      <c r="I256" s="1">
        <f t="shared" si="13"/>
        <v>0</v>
      </c>
      <c r="J256" s="1">
        <f t="shared" si="14"/>
        <v>0</v>
      </c>
      <c r="K256" s="19">
        <f t="shared" si="15"/>
        <v>0</v>
      </c>
    </row>
    <row r="257" spans="1:11" ht="15">
      <c r="A257" s="3">
        <v>375</v>
      </c>
      <c r="B257" s="151">
        <v>98</v>
      </c>
      <c r="C257" s="7" t="s">
        <v>151</v>
      </c>
      <c r="D257" s="4" t="s">
        <v>63</v>
      </c>
      <c r="E257" s="6" t="s">
        <v>163</v>
      </c>
      <c r="F257" s="12">
        <f>IFERROR(VLOOKUP(B257,'INSUMOS  JULIO'!$B$6:$CJ$109,12,0),"")</f>
        <v>0</v>
      </c>
      <c r="G257" s="8">
        <f>IFERROR(VLOOKUP($B257,'INSUMOS  JULIO'!$B$6:$CJ$109,13,0),"")</f>
        <v>6633.9120000000003</v>
      </c>
      <c r="H257" s="19">
        <f t="shared" si="12"/>
        <v>0</v>
      </c>
      <c r="I257" s="1">
        <f t="shared" si="13"/>
        <v>0</v>
      </c>
      <c r="J257" s="1">
        <f t="shared" si="14"/>
        <v>0</v>
      </c>
      <c r="K257" s="19">
        <f t="shared" si="15"/>
        <v>0</v>
      </c>
    </row>
    <row r="258" spans="1:11" ht="15">
      <c r="A258" s="3">
        <v>376</v>
      </c>
      <c r="B258" s="151">
        <v>100</v>
      </c>
      <c r="C258" s="7" t="s">
        <v>160</v>
      </c>
      <c r="D258" s="4" t="s">
        <v>64</v>
      </c>
      <c r="E258" s="6" t="s">
        <v>163</v>
      </c>
      <c r="F258" s="12" t="str">
        <f>IFERROR(VLOOKUP(B258,'INSUMOS  JULIO'!$B$6:$CJ$109,12,0),"")</f>
        <v>0</v>
      </c>
      <c r="G258" s="8">
        <f>IFERROR(VLOOKUP($B258,'INSUMOS  JULIO'!$B$6:$CJ$109,13,0),"")</f>
        <v>4364.8029999999999</v>
      </c>
      <c r="H258" s="19">
        <f t="shared" si="12"/>
        <v>0</v>
      </c>
      <c r="I258" s="1">
        <f t="shared" si="13"/>
        <v>0</v>
      </c>
      <c r="J258" s="1">
        <f t="shared" si="14"/>
        <v>0</v>
      </c>
      <c r="K258" s="19">
        <f t="shared" si="15"/>
        <v>0</v>
      </c>
    </row>
    <row r="259" spans="1:11" ht="15">
      <c r="A259" s="3">
        <v>377</v>
      </c>
      <c r="B259" s="151">
        <v>102</v>
      </c>
      <c r="C259" s="7" t="s">
        <v>60</v>
      </c>
      <c r="D259" s="4" t="s">
        <v>65</v>
      </c>
      <c r="E259" s="6" t="s">
        <v>163</v>
      </c>
      <c r="F259" s="12" t="str">
        <f>IFERROR(VLOOKUP(B259,'INSUMOS  JULIO'!$B$6:$CJ$109,12,0),"")</f>
        <v>0</v>
      </c>
      <c r="G259" s="8">
        <f>IFERROR(VLOOKUP($B259,'INSUMOS  JULIO'!$B$6:$CJ$109,13,0),"")</f>
        <v>3811.9770000000003</v>
      </c>
      <c r="H259" s="19">
        <f t="shared" si="12"/>
        <v>0</v>
      </c>
      <c r="I259" s="1">
        <f t="shared" si="13"/>
        <v>0</v>
      </c>
      <c r="J259" s="1">
        <f t="shared" si="14"/>
        <v>0</v>
      </c>
      <c r="K259" s="19">
        <f t="shared" si="15"/>
        <v>0</v>
      </c>
    </row>
    <row r="260" spans="1:11" ht="15">
      <c r="A260" s="3">
        <v>417</v>
      </c>
      <c r="B260" s="151">
        <v>103</v>
      </c>
      <c r="C260" s="7" t="s">
        <v>66</v>
      </c>
      <c r="D260" s="4" t="s">
        <v>67</v>
      </c>
      <c r="E260" s="6" t="s">
        <v>163</v>
      </c>
      <c r="F260" s="12" t="str">
        <f>IFERROR(VLOOKUP(B260,'INSUMOS  JULIO'!$B$6:$CJ$109,12,0),"")</f>
        <v>0</v>
      </c>
      <c r="G260" s="8">
        <f>IFERROR(VLOOKUP($B260,'INSUMOS  JULIO'!$B$6:$CJ$109,13,0),"")</f>
        <v>18022.547999999999</v>
      </c>
      <c r="H260" s="19">
        <f t="shared" si="12"/>
        <v>0</v>
      </c>
      <c r="I260" s="1">
        <f t="shared" si="13"/>
        <v>0</v>
      </c>
      <c r="J260" s="1">
        <f t="shared" si="14"/>
        <v>0</v>
      </c>
      <c r="K260" s="19">
        <f t="shared" si="15"/>
        <v>0</v>
      </c>
    </row>
    <row r="261" spans="1:11" ht="15">
      <c r="A261" s="3">
        <v>418</v>
      </c>
      <c r="B261" s="151">
        <v>104</v>
      </c>
      <c r="C261" s="7" t="s">
        <v>66</v>
      </c>
      <c r="D261" s="4" t="s">
        <v>68</v>
      </c>
      <c r="E261" s="6" t="s">
        <v>163</v>
      </c>
      <c r="F261" s="12" t="str">
        <f>IFERROR(VLOOKUP(B261,'INSUMOS  JULIO'!$B$6:$CJ$109,12,0),"")</f>
        <v>0</v>
      </c>
      <c r="G261" s="8">
        <f>IFERROR(VLOOKUP($B261,'INSUMOS  JULIO'!$B$6:$CJ$109,13,0),"")</f>
        <v>18022.547999999999</v>
      </c>
      <c r="H261" s="19">
        <f t="shared" si="12"/>
        <v>0</v>
      </c>
      <c r="I261" s="1">
        <f t="shared" si="13"/>
        <v>0</v>
      </c>
      <c r="J261" s="1">
        <f t="shared" si="14"/>
        <v>0</v>
      </c>
      <c r="K261" s="19">
        <f t="shared" si="15"/>
        <v>0</v>
      </c>
    </row>
    <row r="262" spans="1:11" ht="15">
      <c r="A262" s="3">
        <v>419</v>
      </c>
      <c r="B262" s="151">
        <v>105</v>
      </c>
      <c r="C262" s="7" t="s">
        <v>66</v>
      </c>
      <c r="D262" s="4" t="s">
        <v>69</v>
      </c>
      <c r="E262" s="6" t="s">
        <v>163</v>
      </c>
      <c r="F262" s="12" t="str">
        <f>IFERROR(VLOOKUP(B262,'INSUMOS  JULIO'!$B$6:$CJ$109,12,0),"")</f>
        <v>0</v>
      </c>
      <c r="G262" s="8">
        <f>IFERROR(VLOOKUP($B262,'INSUMOS  JULIO'!$B$6:$CJ$109,13,0),"")</f>
        <v>27641.3</v>
      </c>
      <c r="H262" s="19">
        <f t="shared" ref="H262:H325" si="16">+F262*G262</f>
        <v>0</v>
      </c>
      <c r="I262" s="1">
        <f t="shared" ref="I262:I325" si="17">+H262*10%</f>
        <v>0</v>
      </c>
      <c r="J262" s="1">
        <f t="shared" ref="J262:J325" si="18">+I262*19%</f>
        <v>0</v>
      </c>
      <c r="K262" s="19">
        <f t="shared" ref="K262:K325" si="19">SUM(H262:J262)</f>
        <v>0</v>
      </c>
    </row>
    <row r="263" spans="1:11" ht="15">
      <c r="A263" s="3">
        <v>420</v>
      </c>
      <c r="B263" s="151">
        <v>106</v>
      </c>
      <c r="C263" s="7" t="s">
        <v>66</v>
      </c>
      <c r="D263" s="4" t="s">
        <v>70</v>
      </c>
      <c r="E263" s="6" t="s">
        <v>163</v>
      </c>
      <c r="F263" s="12" t="str">
        <f>IFERROR(VLOOKUP(B263,'INSUMOS  JULIO'!$B$6:$CJ$109,12,0),"")</f>
        <v>0</v>
      </c>
      <c r="G263" s="8">
        <f>IFERROR(VLOOKUP($B263,'INSUMOS  JULIO'!$B$6:$CJ$109,13,0),"")</f>
        <v>0</v>
      </c>
      <c r="H263" s="19">
        <f t="shared" si="16"/>
        <v>0</v>
      </c>
      <c r="I263" s="1">
        <f t="shared" si="17"/>
        <v>0</v>
      </c>
      <c r="J263" s="1">
        <f t="shared" si="18"/>
        <v>0</v>
      </c>
      <c r="K263" s="19">
        <f t="shared" si="19"/>
        <v>0</v>
      </c>
    </row>
    <row r="264" spans="1:11" ht="15">
      <c r="A264" s="3">
        <v>421</v>
      </c>
      <c r="B264" s="151">
        <v>108</v>
      </c>
      <c r="C264" s="7" t="s">
        <v>66</v>
      </c>
      <c r="D264" s="4" t="s">
        <v>71</v>
      </c>
      <c r="E264" s="6" t="s">
        <v>163</v>
      </c>
      <c r="F264" s="12" t="str">
        <f>IFERROR(VLOOKUP(B264,'INSUMOS  JULIO'!$B$6:$CJ$109,12,0),"")</f>
        <v>0</v>
      </c>
      <c r="G264" s="8">
        <f>IFERROR(VLOOKUP($B264,'INSUMOS  JULIO'!$B$6:$CJ$109,13,0),"")</f>
        <v>38697.82</v>
      </c>
      <c r="H264" s="19">
        <f t="shared" si="16"/>
        <v>0</v>
      </c>
      <c r="I264" s="1">
        <f t="shared" si="17"/>
        <v>0</v>
      </c>
      <c r="J264" s="1">
        <f t="shared" si="18"/>
        <v>0</v>
      </c>
      <c r="K264" s="19">
        <f t="shared" si="19"/>
        <v>0</v>
      </c>
    </row>
    <row r="265" spans="1:11" ht="15">
      <c r="A265" s="3">
        <v>422</v>
      </c>
      <c r="B265" s="151">
        <v>109</v>
      </c>
      <c r="C265" s="7" t="s">
        <v>66</v>
      </c>
      <c r="D265" s="4" t="s">
        <v>72</v>
      </c>
      <c r="E265" s="6" t="s">
        <v>163</v>
      </c>
      <c r="F265" s="12" t="str">
        <f>IFERROR(VLOOKUP(B265,'INSUMOS  JULIO'!$B$6:$CJ$109,12,0),"")</f>
        <v>0</v>
      </c>
      <c r="G265" s="8">
        <f>IFERROR(VLOOKUP($B265,'INSUMOS  JULIO'!$B$6:$CJ$109,13,0),"")</f>
        <v>49754.340000000004</v>
      </c>
      <c r="H265" s="19">
        <f t="shared" si="16"/>
        <v>0</v>
      </c>
      <c r="I265" s="1">
        <f t="shared" si="17"/>
        <v>0</v>
      </c>
      <c r="J265" s="1">
        <f t="shared" si="18"/>
        <v>0</v>
      </c>
      <c r="K265" s="19">
        <f t="shared" si="19"/>
        <v>0</v>
      </c>
    </row>
    <row r="266" spans="1:11" ht="15">
      <c r="A266" s="3">
        <v>423</v>
      </c>
      <c r="B266" s="151">
        <v>110</v>
      </c>
      <c r="C266" s="7" t="s">
        <v>158</v>
      </c>
      <c r="D266" s="4" t="s">
        <v>73</v>
      </c>
      <c r="E266" s="6" t="s">
        <v>163</v>
      </c>
      <c r="F266" s="12">
        <f>IFERROR(VLOOKUP(B266,'INSUMOS  JULIO'!$B$6:$CJ$109,12,0),"")</f>
        <v>0</v>
      </c>
      <c r="G266" s="8">
        <f>IFERROR(VLOOKUP($B266,'INSUMOS  JULIO'!$B$6:$CJ$109,13,0),"")</f>
        <v>470.84799999999996</v>
      </c>
      <c r="H266" s="19">
        <f t="shared" si="16"/>
        <v>0</v>
      </c>
      <c r="I266" s="1">
        <f t="shared" si="17"/>
        <v>0</v>
      </c>
      <c r="J266" s="1">
        <f t="shared" si="18"/>
        <v>0</v>
      </c>
      <c r="K266" s="19">
        <f t="shared" si="19"/>
        <v>0</v>
      </c>
    </row>
    <row r="267" spans="1:11" ht="15">
      <c r="A267" s="3">
        <v>424</v>
      </c>
      <c r="B267" s="151">
        <v>118</v>
      </c>
      <c r="C267" s="7" t="s">
        <v>158</v>
      </c>
      <c r="D267" s="4" t="s">
        <v>74</v>
      </c>
      <c r="E267" s="6" t="s">
        <v>163</v>
      </c>
      <c r="F267" s="12">
        <f>IFERROR(VLOOKUP(B267,'INSUMOS  JULIO'!$B$6:$CJ$109,12,0),"")</f>
        <v>0</v>
      </c>
      <c r="G267" s="8">
        <f>IFERROR(VLOOKUP($B267,'INSUMOS  JULIO'!$B$6:$CJ$109,13,0),"")</f>
        <v>2455.136</v>
      </c>
      <c r="H267" s="19">
        <f t="shared" si="16"/>
        <v>0</v>
      </c>
      <c r="I267" s="1">
        <f t="shared" si="17"/>
        <v>0</v>
      </c>
      <c r="J267" s="1">
        <f t="shared" si="18"/>
        <v>0</v>
      </c>
      <c r="K267" s="19">
        <f t="shared" si="19"/>
        <v>0</v>
      </c>
    </row>
    <row r="268" spans="1:11" ht="15">
      <c r="A268" s="3">
        <v>425</v>
      </c>
      <c r="B268" s="151">
        <v>119</v>
      </c>
      <c r="C268" s="7" t="s">
        <v>158</v>
      </c>
      <c r="D268" s="4" t="s">
        <v>75</v>
      </c>
      <c r="E268" s="6" t="s">
        <v>163</v>
      </c>
      <c r="F268" s="12" t="str">
        <f>IFERROR(VLOOKUP(B268,'INSUMOS  JULIO'!$B$6:$CJ$109,12,0),"")</f>
        <v>0</v>
      </c>
      <c r="G268" s="8">
        <f>IFERROR(VLOOKUP($B268,'INSUMOS  JULIO'!$B$6:$CJ$109,13,0),"")</f>
        <v>2821.9350000000004</v>
      </c>
      <c r="H268" s="19">
        <f t="shared" si="16"/>
        <v>0</v>
      </c>
      <c r="I268" s="1">
        <f t="shared" si="17"/>
        <v>0</v>
      </c>
      <c r="J268" s="1">
        <f t="shared" si="18"/>
        <v>0</v>
      </c>
      <c r="K268" s="19">
        <f t="shared" si="19"/>
        <v>0</v>
      </c>
    </row>
    <row r="269" spans="1:11" ht="15">
      <c r="A269" s="3">
        <v>426</v>
      </c>
      <c r="B269" s="151">
        <v>120</v>
      </c>
      <c r="C269" s="7" t="s">
        <v>158</v>
      </c>
      <c r="D269" s="4" t="s">
        <v>76</v>
      </c>
      <c r="E269" s="6" t="s">
        <v>163</v>
      </c>
      <c r="F269" s="12" t="str">
        <f>IFERROR(VLOOKUP(B269,'INSUMOS  JULIO'!$B$6:$CJ$109,12,0),"")</f>
        <v>0</v>
      </c>
      <c r="G269" s="8">
        <f>IFERROR(VLOOKUP($B269,'INSUMOS  JULIO'!$B$6:$CJ$109,13,0),"")</f>
        <v>2821.9350000000004</v>
      </c>
      <c r="H269" s="19">
        <f t="shared" si="16"/>
        <v>0</v>
      </c>
      <c r="I269" s="1">
        <f t="shared" si="17"/>
        <v>0</v>
      </c>
      <c r="J269" s="1">
        <f t="shared" si="18"/>
        <v>0</v>
      </c>
      <c r="K269" s="19">
        <f t="shared" si="19"/>
        <v>0</v>
      </c>
    </row>
    <row r="270" spans="1:11" ht="15">
      <c r="A270" s="3">
        <v>427</v>
      </c>
      <c r="B270" s="151">
        <v>122</v>
      </c>
      <c r="C270" s="7" t="s">
        <v>158</v>
      </c>
      <c r="D270" s="4" t="s">
        <v>77</v>
      </c>
      <c r="E270" s="6" t="s">
        <v>163</v>
      </c>
      <c r="F270" s="12" t="str">
        <f>IFERROR(VLOOKUP(B270,'INSUMOS  JULIO'!$B$6:$CJ$109,12,0),"")</f>
        <v>0</v>
      </c>
      <c r="G270" s="8">
        <f>IFERROR(VLOOKUP($B270,'INSUMOS  JULIO'!$B$6:$CJ$109,13,0),"")</f>
        <v>5223.4699999999993</v>
      </c>
      <c r="H270" s="19">
        <f t="shared" si="16"/>
        <v>0</v>
      </c>
      <c r="I270" s="1">
        <f t="shared" si="17"/>
        <v>0</v>
      </c>
      <c r="J270" s="1">
        <f t="shared" si="18"/>
        <v>0</v>
      </c>
      <c r="K270" s="19">
        <f t="shared" si="19"/>
        <v>0</v>
      </c>
    </row>
    <row r="271" spans="1:11" ht="15">
      <c r="A271" s="3">
        <v>428</v>
      </c>
      <c r="B271" s="151">
        <v>123</v>
      </c>
      <c r="C271" s="7" t="s">
        <v>158</v>
      </c>
      <c r="D271" s="4" t="s">
        <v>78</v>
      </c>
      <c r="E271" s="6" t="s">
        <v>163</v>
      </c>
      <c r="F271" s="12" t="str">
        <f>IFERROR(VLOOKUP(B271,'INSUMOS  JULIO'!$B$6:$CJ$109,12,0),"")</f>
        <v>0</v>
      </c>
      <c r="G271" s="8">
        <f>IFERROR(VLOOKUP($B271,'INSUMOS  JULIO'!$B$6:$CJ$109,13,0),"")</f>
        <v>5765.7860000000001</v>
      </c>
      <c r="H271" s="19">
        <f t="shared" si="16"/>
        <v>0</v>
      </c>
      <c r="I271" s="1">
        <f t="shared" si="17"/>
        <v>0</v>
      </c>
      <c r="J271" s="1">
        <f t="shared" si="18"/>
        <v>0</v>
      </c>
      <c r="K271" s="19">
        <f t="shared" si="19"/>
        <v>0</v>
      </c>
    </row>
    <row r="272" spans="1:11" ht="15">
      <c r="A272" s="3">
        <v>429</v>
      </c>
      <c r="B272" s="151">
        <v>124</v>
      </c>
      <c r="C272" s="7" t="s">
        <v>158</v>
      </c>
      <c r="D272" s="4" t="s">
        <v>79</v>
      </c>
      <c r="E272" s="6" t="s">
        <v>163</v>
      </c>
      <c r="F272" s="12" t="str">
        <f>IFERROR(VLOOKUP(B272,'INSUMOS  JULIO'!$B$6:$CJ$109,12,0),"")</f>
        <v>0</v>
      </c>
      <c r="G272" s="8">
        <f>IFERROR(VLOOKUP($B272,'INSUMOS  JULIO'!$B$6:$CJ$109,13,0),"")</f>
        <v>5765.7860000000001</v>
      </c>
      <c r="H272" s="19">
        <f t="shared" si="16"/>
        <v>0</v>
      </c>
      <c r="I272" s="1">
        <f t="shared" si="17"/>
        <v>0</v>
      </c>
      <c r="J272" s="1">
        <f t="shared" si="18"/>
        <v>0</v>
      </c>
      <c r="K272" s="19">
        <f t="shared" si="19"/>
        <v>0</v>
      </c>
    </row>
    <row r="273" spans="1:11" ht="15">
      <c r="A273" s="3">
        <v>430</v>
      </c>
      <c r="B273" s="151">
        <v>126</v>
      </c>
      <c r="C273" s="7" t="s">
        <v>9</v>
      </c>
      <c r="D273" s="4" t="s">
        <v>80</v>
      </c>
      <c r="E273" s="6" t="s">
        <v>163</v>
      </c>
      <c r="F273" s="12" t="str">
        <f>IFERROR(VLOOKUP(B273,'INSUMOS  JULIO'!$B$6:$CJ$109,12,0),"")</f>
        <v>0</v>
      </c>
      <c r="G273" s="8">
        <f>IFERROR(VLOOKUP($B273,'INSUMOS  JULIO'!$B$6:$CJ$109,13,0),"")</f>
        <v>3316.9560000000001</v>
      </c>
      <c r="H273" s="19">
        <f t="shared" si="16"/>
        <v>0</v>
      </c>
      <c r="I273" s="1">
        <f t="shared" si="17"/>
        <v>0</v>
      </c>
      <c r="J273" s="1">
        <f t="shared" si="18"/>
        <v>0</v>
      </c>
      <c r="K273" s="19">
        <f t="shared" si="19"/>
        <v>0</v>
      </c>
    </row>
    <row r="274" spans="1:11" ht="15">
      <c r="A274" s="3">
        <v>431</v>
      </c>
      <c r="B274" s="151">
        <v>127</v>
      </c>
      <c r="C274" s="7" t="s">
        <v>156</v>
      </c>
      <c r="D274" s="4" t="s">
        <v>81</v>
      </c>
      <c r="E274" s="6" t="s">
        <v>163</v>
      </c>
      <c r="F274" s="12" t="str">
        <f>IFERROR(VLOOKUP(B274,'INSUMOS  JULIO'!$B$6:$CJ$109,12,0),"")</f>
        <v>0</v>
      </c>
      <c r="G274" s="8">
        <f>IFERROR(VLOOKUP($B274,'INSUMOS  JULIO'!$B$6:$CJ$109,13,0),"")</f>
        <v>3316.9560000000001</v>
      </c>
      <c r="H274" s="19">
        <f t="shared" si="16"/>
        <v>0</v>
      </c>
      <c r="I274" s="1">
        <f t="shared" si="17"/>
        <v>0</v>
      </c>
      <c r="J274" s="1">
        <f t="shared" si="18"/>
        <v>0</v>
      </c>
      <c r="K274" s="19">
        <f t="shared" si="19"/>
        <v>0</v>
      </c>
    </row>
    <row r="275" spans="1:11" ht="15">
      <c r="A275" s="3">
        <v>432</v>
      </c>
      <c r="B275" s="151">
        <v>129</v>
      </c>
      <c r="C275" s="7" t="s">
        <v>157</v>
      </c>
      <c r="D275" s="4" t="s">
        <v>82</v>
      </c>
      <c r="E275" s="6" t="s">
        <v>163</v>
      </c>
      <c r="F275" s="12" t="str">
        <f>IFERROR(VLOOKUP(B275,'INSUMOS  JULIO'!$B$6:$CJ$109,12,0),"")</f>
        <v>0</v>
      </c>
      <c r="G275" s="8">
        <f>IFERROR(VLOOKUP($B275,'INSUMOS  JULIO'!$B$6:$CJ$109,13,0),"")</f>
        <v>3787.8040000000001</v>
      </c>
      <c r="H275" s="19">
        <f t="shared" si="16"/>
        <v>0</v>
      </c>
      <c r="I275" s="1">
        <f t="shared" si="17"/>
        <v>0</v>
      </c>
      <c r="J275" s="1">
        <f t="shared" si="18"/>
        <v>0</v>
      </c>
      <c r="K275" s="19">
        <f t="shared" si="19"/>
        <v>0</v>
      </c>
    </row>
    <row r="276" spans="1:11" ht="15">
      <c r="A276" s="3">
        <v>433</v>
      </c>
      <c r="B276" s="151">
        <v>131</v>
      </c>
      <c r="C276" s="7" t="s">
        <v>13</v>
      </c>
      <c r="D276" s="4" t="s">
        <v>83</v>
      </c>
      <c r="E276" s="6" t="s">
        <v>163</v>
      </c>
      <c r="F276" s="12" t="str">
        <f>IFERROR(VLOOKUP(B276,'INSUMOS  JULIO'!$B$6:$CJ$109,12,0),"")</f>
        <v>0</v>
      </c>
      <c r="G276" s="8">
        <f>IFERROR(VLOOKUP($B276,'INSUMOS  JULIO'!$B$6:$CJ$109,13,0),"")</f>
        <v>0</v>
      </c>
      <c r="H276" s="19">
        <f t="shared" si="16"/>
        <v>0</v>
      </c>
      <c r="I276" s="1">
        <f t="shared" si="17"/>
        <v>0</v>
      </c>
      <c r="J276" s="1">
        <f t="shared" si="18"/>
        <v>0</v>
      </c>
      <c r="K276" s="19">
        <f t="shared" si="19"/>
        <v>0</v>
      </c>
    </row>
    <row r="277" spans="1:11" ht="15">
      <c r="A277" s="3">
        <v>434</v>
      </c>
      <c r="B277" s="151">
        <v>132</v>
      </c>
      <c r="C277" s="7" t="s">
        <v>13</v>
      </c>
      <c r="D277" s="4" t="s">
        <v>84</v>
      </c>
      <c r="E277" s="6" t="s">
        <v>163</v>
      </c>
      <c r="F277" s="12" t="str">
        <f>IFERROR(VLOOKUP(B277,'INSUMOS  JULIO'!$B$6:$CJ$109,12,0),"")</f>
        <v>0</v>
      </c>
      <c r="G277" s="8">
        <f>IFERROR(VLOOKUP($B277,'INSUMOS  JULIO'!$B$6:$CJ$109,13,0),"")</f>
        <v>0</v>
      </c>
      <c r="H277" s="19">
        <f t="shared" si="16"/>
        <v>0</v>
      </c>
      <c r="I277" s="1">
        <f t="shared" si="17"/>
        <v>0</v>
      </c>
      <c r="J277" s="1">
        <f t="shared" si="18"/>
        <v>0</v>
      </c>
      <c r="K277" s="19">
        <f t="shared" si="19"/>
        <v>0</v>
      </c>
    </row>
    <row r="278" spans="1:11" ht="15">
      <c r="A278" s="3">
        <v>435</v>
      </c>
      <c r="B278" s="151">
        <v>134</v>
      </c>
      <c r="C278" s="7" t="s">
        <v>16</v>
      </c>
      <c r="D278" s="4" t="s">
        <v>85</v>
      </c>
      <c r="E278" s="6" t="s">
        <v>163</v>
      </c>
      <c r="F278" s="12" t="str">
        <f>IFERROR(VLOOKUP(B278,'INSUMOS  JULIO'!$B$6:$CJ$109,12,0),"")</f>
        <v>0</v>
      </c>
      <c r="G278" s="8">
        <f>IFERROR(VLOOKUP($B278,'INSUMOS  JULIO'!$B$6:$CJ$109,13,0),"")</f>
        <v>0</v>
      </c>
      <c r="H278" s="19">
        <f t="shared" si="16"/>
        <v>0</v>
      </c>
      <c r="I278" s="1">
        <f t="shared" si="17"/>
        <v>0</v>
      </c>
      <c r="J278" s="1">
        <f t="shared" si="18"/>
        <v>0</v>
      </c>
      <c r="K278" s="19">
        <f t="shared" si="19"/>
        <v>0</v>
      </c>
    </row>
    <row r="279" spans="1:11" ht="15">
      <c r="A279" s="3">
        <v>436</v>
      </c>
      <c r="B279" s="151">
        <v>135</v>
      </c>
      <c r="C279" s="7" t="s">
        <v>18</v>
      </c>
      <c r="D279" s="4" t="s">
        <v>86</v>
      </c>
      <c r="E279" s="6" t="s">
        <v>163</v>
      </c>
      <c r="F279" s="12">
        <f>IFERROR(VLOOKUP(B279,'INSUMOS  JULIO'!$B$6:$CJ$109,12,0),"")</f>
        <v>0</v>
      </c>
      <c r="G279" s="8">
        <f>IFERROR(VLOOKUP($B279,'INSUMOS  JULIO'!$B$6:$CJ$109,13,0),"")</f>
        <v>6229.277</v>
      </c>
      <c r="H279" s="19">
        <f t="shared" si="16"/>
        <v>0</v>
      </c>
      <c r="I279" s="1">
        <f t="shared" si="17"/>
        <v>0</v>
      </c>
      <c r="J279" s="1">
        <f t="shared" si="18"/>
        <v>0</v>
      </c>
      <c r="K279" s="19">
        <f t="shared" si="19"/>
        <v>0</v>
      </c>
    </row>
    <row r="280" spans="1:11" ht="15">
      <c r="A280" s="3">
        <v>437</v>
      </c>
      <c r="B280" s="151">
        <v>137</v>
      </c>
      <c r="C280" s="7" t="s">
        <v>20</v>
      </c>
      <c r="D280" s="4" t="s">
        <v>88</v>
      </c>
      <c r="E280" s="6" t="s">
        <v>163</v>
      </c>
      <c r="F280" s="12" t="str">
        <f>IFERROR(VLOOKUP(B280,'INSUMOS  JULIO'!$B$6:$CJ$109,12,0),"")</f>
        <v>0</v>
      </c>
      <c r="G280" s="8">
        <f>IFERROR(VLOOKUP($B280,'INSUMOS  JULIO'!$B$6:$CJ$109,13,0),"")</f>
        <v>1245.4349999999999</v>
      </c>
      <c r="H280" s="19">
        <f t="shared" si="16"/>
        <v>0</v>
      </c>
      <c r="I280" s="1">
        <f t="shared" si="17"/>
        <v>0</v>
      </c>
      <c r="J280" s="1">
        <f t="shared" si="18"/>
        <v>0</v>
      </c>
      <c r="K280" s="19">
        <f t="shared" si="19"/>
        <v>0</v>
      </c>
    </row>
    <row r="281" spans="1:11" ht="15">
      <c r="A281" s="3">
        <v>438</v>
      </c>
      <c r="B281" s="151">
        <v>139</v>
      </c>
      <c r="C281" s="7" t="s">
        <v>22</v>
      </c>
      <c r="D281" s="4" t="s">
        <v>89</v>
      </c>
      <c r="E281" s="6" t="s">
        <v>163</v>
      </c>
      <c r="F281" s="12">
        <f>IFERROR(VLOOKUP(B281,'INSUMOS  JULIO'!$B$6:$CJ$109,12,0),"")</f>
        <v>0</v>
      </c>
      <c r="G281" s="8">
        <f>IFERROR(VLOOKUP($B281,'INSUMOS  JULIO'!$B$6:$CJ$109,13,0),"")</f>
        <v>25429.996000000003</v>
      </c>
      <c r="H281" s="19">
        <f t="shared" si="16"/>
        <v>0</v>
      </c>
      <c r="I281" s="1">
        <f t="shared" si="17"/>
        <v>0</v>
      </c>
      <c r="J281" s="1">
        <f t="shared" si="18"/>
        <v>0</v>
      </c>
      <c r="K281" s="19">
        <f t="shared" si="19"/>
        <v>0</v>
      </c>
    </row>
    <row r="282" spans="1:11" ht="15">
      <c r="A282" s="3">
        <v>439</v>
      </c>
      <c r="B282" s="151">
        <v>151</v>
      </c>
      <c r="C282" s="7" t="s">
        <v>18</v>
      </c>
      <c r="D282" s="4" t="s">
        <v>91</v>
      </c>
      <c r="E282" s="6" t="s">
        <v>163</v>
      </c>
      <c r="F282" s="12">
        <f>IFERROR(VLOOKUP(B282,'INSUMOS  JULIO'!$B$6:$CJ$109,12,0),"")</f>
        <v>0</v>
      </c>
      <c r="G282" s="8">
        <f>IFERROR(VLOOKUP($B282,'INSUMOS  JULIO'!$B$6:$CJ$109,13,0),"")</f>
        <v>4422.6080000000002</v>
      </c>
      <c r="H282" s="19">
        <f t="shared" si="16"/>
        <v>0</v>
      </c>
      <c r="I282" s="1">
        <f t="shared" si="17"/>
        <v>0</v>
      </c>
      <c r="J282" s="1">
        <f t="shared" si="18"/>
        <v>0</v>
      </c>
      <c r="K282" s="19">
        <f t="shared" si="19"/>
        <v>0</v>
      </c>
    </row>
    <row r="283" spans="1:11" ht="15">
      <c r="A283" s="3">
        <v>440</v>
      </c>
      <c r="B283" s="151">
        <v>152</v>
      </c>
      <c r="C283" s="7" t="s">
        <v>155</v>
      </c>
      <c r="D283" s="4" t="s">
        <v>92</v>
      </c>
      <c r="E283" s="6" t="s">
        <v>163</v>
      </c>
      <c r="F283" s="12" t="str">
        <f>IFERROR(VLOOKUP(B283,'INSUMOS  JULIO'!$B$6:$CJ$109,12,0),"")</f>
        <v>0</v>
      </c>
      <c r="G283" s="8">
        <f>IFERROR(VLOOKUP($B283,'INSUMOS  JULIO'!$B$6:$CJ$109,13,0),"")</f>
        <v>0</v>
      </c>
      <c r="H283" s="19">
        <f t="shared" si="16"/>
        <v>0</v>
      </c>
      <c r="I283" s="1">
        <f t="shared" si="17"/>
        <v>0</v>
      </c>
      <c r="J283" s="1">
        <f t="shared" si="18"/>
        <v>0</v>
      </c>
      <c r="K283" s="19">
        <f t="shared" si="19"/>
        <v>0</v>
      </c>
    </row>
    <row r="284" spans="1:11" ht="15">
      <c r="A284" s="3">
        <v>441</v>
      </c>
      <c r="B284" s="151">
        <v>154</v>
      </c>
      <c r="C284" s="7" t="s">
        <v>16</v>
      </c>
      <c r="D284" s="4" t="s">
        <v>94</v>
      </c>
      <c r="E284" s="6" t="s">
        <v>163</v>
      </c>
      <c r="F284" s="12" t="str">
        <f>IFERROR(VLOOKUP(B284,'INSUMOS  JULIO'!$B$6:$CJ$109,12,0),"")</f>
        <v>0</v>
      </c>
      <c r="G284" s="8">
        <f>IFERROR(VLOOKUP($B284,'INSUMOS  JULIO'!$B$6:$CJ$109,13,0),"")</f>
        <v>0</v>
      </c>
      <c r="H284" s="19">
        <f t="shared" si="16"/>
        <v>0</v>
      </c>
      <c r="I284" s="1">
        <f t="shared" si="17"/>
        <v>0</v>
      </c>
      <c r="J284" s="1">
        <f t="shared" si="18"/>
        <v>0</v>
      </c>
      <c r="K284" s="19">
        <f t="shared" si="19"/>
        <v>0</v>
      </c>
    </row>
    <row r="285" spans="1:11" ht="15">
      <c r="A285" s="3">
        <v>442</v>
      </c>
      <c r="B285" s="151">
        <v>155</v>
      </c>
      <c r="C285" s="7" t="s">
        <v>27</v>
      </c>
      <c r="D285" s="4" t="s">
        <v>95</v>
      </c>
      <c r="E285" s="6" t="s">
        <v>163</v>
      </c>
      <c r="F285" s="12">
        <f>IFERROR(VLOOKUP(B285,'INSUMOS  JULIO'!$B$6:$CJ$109,12,0),"")</f>
        <v>0</v>
      </c>
      <c r="G285" s="8">
        <f>IFERROR(VLOOKUP($B285,'INSUMOS  JULIO'!$B$6:$CJ$109,13,0),"")</f>
        <v>3703.7239999999997</v>
      </c>
      <c r="H285" s="19">
        <f t="shared" si="16"/>
        <v>0</v>
      </c>
      <c r="I285" s="1">
        <f t="shared" si="17"/>
        <v>0</v>
      </c>
      <c r="J285" s="1">
        <f t="shared" si="18"/>
        <v>0</v>
      </c>
      <c r="K285" s="19">
        <f t="shared" si="19"/>
        <v>0</v>
      </c>
    </row>
    <row r="286" spans="1:11" ht="15">
      <c r="A286" s="3">
        <v>443</v>
      </c>
      <c r="B286" s="151">
        <v>156</v>
      </c>
      <c r="C286" s="7" t="s">
        <v>13</v>
      </c>
      <c r="D286" s="4" t="s">
        <v>96</v>
      </c>
      <c r="E286" s="6" t="s">
        <v>163</v>
      </c>
      <c r="F286" s="12" t="str">
        <f>IFERROR(VLOOKUP(B286,'INSUMOS  JULIO'!$B$6:$CJ$109,12,0),"")</f>
        <v>0</v>
      </c>
      <c r="G286" s="8">
        <f>IFERROR(VLOOKUP($B286,'INSUMOS  JULIO'!$B$6:$CJ$109,13,0),"")</f>
        <v>4422.6080000000002</v>
      </c>
      <c r="H286" s="19">
        <f t="shared" si="16"/>
        <v>0</v>
      </c>
      <c r="I286" s="1">
        <f t="shared" si="17"/>
        <v>0</v>
      </c>
      <c r="J286" s="1">
        <f t="shared" si="18"/>
        <v>0</v>
      </c>
      <c r="K286" s="19">
        <f t="shared" si="19"/>
        <v>0</v>
      </c>
    </row>
    <row r="287" spans="1:11" ht="15">
      <c r="A287" s="3">
        <v>444</v>
      </c>
      <c r="B287" s="151">
        <v>157</v>
      </c>
      <c r="C287" s="7" t="s">
        <v>13</v>
      </c>
      <c r="D287" s="4" t="s">
        <v>97</v>
      </c>
      <c r="E287" s="6" t="s">
        <v>163</v>
      </c>
      <c r="F287" s="12">
        <f>IFERROR(VLOOKUP(B287,'INSUMOS  JULIO'!$B$6:$CJ$109,12,0),"")</f>
        <v>0</v>
      </c>
      <c r="G287" s="8">
        <f>IFERROR(VLOOKUP($B287,'INSUMOS  JULIO'!$B$6:$CJ$109,13,0),"")</f>
        <v>5970.7309999999998</v>
      </c>
      <c r="H287" s="19">
        <f t="shared" si="16"/>
        <v>0</v>
      </c>
      <c r="I287" s="1">
        <f t="shared" si="17"/>
        <v>0</v>
      </c>
      <c r="J287" s="1">
        <f t="shared" si="18"/>
        <v>0</v>
      </c>
      <c r="K287" s="19">
        <f t="shared" si="19"/>
        <v>0</v>
      </c>
    </row>
    <row r="288" spans="1:11" ht="15">
      <c r="A288" s="3">
        <v>445</v>
      </c>
      <c r="B288" s="151">
        <v>159</v>
      </c>
      <c r="C288" s="7" t="s">
        <v>13</v>
      </c>
      <c r="D288" s="4" t="s">
        <v>98</v>
      </c>
      <c r="E288" s="6" t="s">
        <v>163</v>
      </c>
      <c r="F288" s="12" t="str">
        <f>IFERROR(VLOOKUP(B288,'INSUMOS  JULIO'!$B$6:$CJ$109,12,0),"")</f>
        <v>0</v>
      </c>
      <c r="G288" s="8">
        <f>IFERROR(VLOOKUP($B288,'INSUMOS  JULIO'!$B$6:$CJ$109,13,0),"")</f>
        <v>0</v>
      </c>
      <c r="H288" s="19">
        <f t="shared" si="16"/>
        <v>0</v>
      </c>
      <c r="I288" s="1">
        <f t="shared" si="17"/>
        <v>0</v>
      </c>
      <c r="J288" s="1">
        <f t="shared" si="18"/>
        <v>0</v>
      </c>
      <c r="K288" s="19">
        <f t="shared" si="19"/>
        <v>0</v>
      </c>
    </row>
    <row r="289" spans="1:11" ht="15">
      <c r="A289" s="3">
        <v>446</v>
      </c>
      <c r="B289" s="151">
        <v>160</v>
      </c>
      <c r="C289" s="7" t="s">
        <v>13</v>
      </c>
      <c r="D289" s="4" t="s">
        <v>99</v>
      </c>
      <c r="E289" s="6" t="s">
        <v>163</v>
      </c>
      <c r="F289" s="12" t="str">
        <f>IFERROR(VLOOKUP(B289,'INSUMOS  JULIO'!$B$6:$CJ$109,12,0),"")</f>
        <v>0</v>
      </c>
      <c r="G289" s="8">
        <f>IFERROR(VLOOKUP($B289,'INSUMOS  JULIO'!$B$6:$CJ$109,13,0),"")</f>
        <v>2276.4660000000003</v>
      </c>
      <c r="H289" s="19">
        <f t="shared" si="16"/>
        <v>0</v>
      </c>
      <c r="I289" s="1">
        <f t="shared" si="17"/>
        <v>0</v>
      </c>
      <c r="J289" s="1">
        <f t="shared" si="18"/>
        <v>0</v>
      </c>
      <c r="K289" s="19">
        <f t="shared" si="19"/>
        <v>0</v>
      </c>
    </row>
    <row r="290" spans="1:11" ht="15">
      <c r="A290" s="3">
        <v>447</v>
      </c>
      <c r="B290" s="151">
        <v>161</v>
      </c>
      <c r="C290" s="7" t="s">
        <v>33</v>
      </c>
      <c r="D290" s="4" t="s">
        <v>100</v>
      </c>
      <c r="E290" s="6" t="s">
        <v>163</v>
      </c>
      <c r="F290" s="12" t="str">
        <f>IFERROR(VLOOKUP(B290,'INSUMOS  JULIO'!$B$6:$CJ$109,12,0),"")</f>
        <v>0</v>
      </c>
      <c r="G290" s="8">
        <f>IFERROR(VLOOKUP($B290,'INSUMOS  JULIO'!$B$6:$CJ$109,13,0),"")</f>
        <v>2236.5280000000002</v>
      </c>
      <c r="H290" s="19">
        <f t="shared" si="16"/>
        <v>0</v>
      </c>
      <c r="I290" s="1">
        <f t="shared" si="17"/>
        <v>0</v>
      </c>
      <c r="J290" s="1">
        <f t="shared" si="18"/>
        <v>0</v>
      </c>
      <c r="K290" s="19">
        <f t="shared" si="19"/>
        <v>0</v>
      </c>
    </row>
    <row r="291" spans="1:11" ht="15">
      <c r="A291" s="3">
        <v>448</v>
      </c>
      <c r="B291" s="151">
        <v>162</v>
      </c>
      <c r="C291" s="7" t="s">
        <v>16</v>
      </c>
      <c r="D291" s="4" t="s">
        <v>101</v>
      </c>
      <c r="E291" s="6" t="s">
        <v>163</v>
      </c>
      <c r="F291" s="12">
        <f>IFERROR(VLOOKUP(B291,'INSUMOS  JULIO'!$B$6:$CJ$109,12,0),"")</f>
        <v>0</v>
      </c>
      <c r="G291" s="8">
        <f>IFERROR(VLOOKUP($B291,'INSUMOS  JULIO'!$B$6:$CJ$109,13,0),"")</f>
        <v>2684.2539999999999</v>
      </c>
      <c r="H291" s="19">
        <f t="shared" si="16"/>
        <v>0</v>
      </c>
      <c r="I291" s="1">
        <f t="shared" si="17"/>
        <v>0</v>
      </c>
      <c r="J291" s="1">
        <f t="shared" si="18"/>
        <v>0</v>
      </c>
      <c r="K291" s="19">
        <f t="shared" si="19"/>
        <v>0</v>
      </c>
    </row>
    <row r="292" spans="1:11" ht="15">
      <c r="A292" s="3">
        <v>449</v>
      </c>
      <c r="B292" s="151">
        <v>164</v>
      </c>
      <c r="C292" s="7" t="s">
        <v>36</v>
      </c>
      <c r="D292" s="4" t="s">
        <v>102</v>
      </c>
      <c r="E292" s="6" t="s">
        <v>163</v>
      </c>
      <c r="F292" s="12" t="str">
        <f>IFERROR(VLOOKUP(B292,'INSUMOS  JULIO'!$B$6:$CJ$109,12,0),"")</f>
        <v>0</v>
      </c>
      <c r="G292" s="8">
        <f>IFERROR(VLOOKUP($B292,'INSUMOS  JULIO'!$B$6:$CJ$109,13,0),"")</f>
        <v>1658.4780000000001</v>
      </c>
      <c r="H292" s="19">
        <f t="shared" si="16"/>
        <v>0</v>
      </c>
      <c r="I292" s="1">
        <f t="shared" si="17"/>
        <v>0</v>
      </c>
      <c r="J292" s="1">
        <f t="shared" si="18"/>
        <v>0</v>
      </c>
      <c r="K292" s="19">
        <f t="shared" si="19"/>
        <v>0</v>
      </c>
    </row>
    <row r="293" spans="1:11" ht="15">
      <c r="A293" s="3">
        <v>450</v>
      </c>
      <c r="B293" s="151">
        <v>169</v>
      </c>
      <c r="C293" s="7" t="s">
        <v>36</v>
      </c>
      <c r="D293" s="4" t="s">
        <v>104</v>
      </c>
      <c r="E293" s="6" t="s">
        <v>163</v>
      </c>
      <c r="F293" s="12" t="str">
        <f>IFERROR(VLOOKUP(B293,'INSUMOS  JULIO'!$B$6:$CJ$109,12,0),"")</f>
        <v>0</v>
      </c>
      <c r="G293" s="8">
        <f>IFERROR(VLOOKUP($B293,'INSUMOS  JULIO'!$B$6:$CJ$109,13,0),"")</f>
        <v>85897.178999999989</v>
      </c>
      <c r="H293" s="19">
        <f t="shared" si="16"/>
        <v>0</v>
      </c>
      <c r="I293" s="1">
        <f t="shared" si="17"/>
        <v>0</v>
      </c>
      <c r="J293" s="1">
        <f t="shared" si="18"/>
        <v>0</v>
      </c>
      <c r="K293" s="19">
        <f t="shared" si="19"/>
        <v>0</v>
      </c>
    </row>
    <row r="294" spans="1:11" ht="15">
      <c r="A294" s="3">
        <v>451</v>
      </c>
      <c r="B294" s="151">
        <v>170</v>
      </c>
      <c r="C294" s="7" t="s">
        <v>39</v>
      </c>
      <c r="D294" s="4" t="s">
        <v>106</v>
      </c>
      <c r="E294" s="6" t="s">
        <v>163</v>
      </c>
      <c r="F294" s="12">
        <f>IFERROR(VLOOKUP(B294,'INSUMOS  JULIO'!$B$6:$CJ$109,12,0),"")</f>
        <v>0</v>
      </c>
      <c r="G294" s="8">
        <f>IFERROR(VLOOKUP($B294,'INSUMOS  JULIO'!$B$6:$CJ$109,13,0),"")</f>
        <v>19405.664000000001</v>
      </c>
      <c r="H294" s="19">
        <f t="shared" si="16"/>
        <v>0</v>
      </c>
      <c r="I294" s="1">
        <f t="shared" si="17"/>
        <v>0</v>
      </c>
      <c r="J294" s="1">
        <f t="shared" si="18"/>
        <v>0</v>
      </c>
      <c r="K294" s="19">
        <f t="shared" si="19"/>
        <v>0</v>
      </c>
    </row>
    <row r="295" spans="1:11" ht="15">
      <c r="A295" s="3">
        <v>452</v>
      </c>
      <c r="B295" s="151">
        <v>173</v>
      </c>
      <c r="C295" s="7" t="s">
        <v>39</v>
      </c>
      <c r="D295" s="4" t="s">
        <v>107</v>
      </c>
      <c r="E295" s="6" t="s">
        <v>163</v>
      </c>
      <c r="F295" s="12" t="str">
        <f>IFERROR(VLOOKUP(B295,'INSUMOS  JULIO'!$B$6:$CJ$109,12,0),"")</f>
        <v>0</v>
      </c>
      <c r="G295" s="8">
        <f>IFERROR(VLOOKUP($B295,'INSUMOS  JULIO'!$B$6:$CJ$109,13,0),"")</f>
        <v>0</v>
      </c>
      <c r="H295" s="19">
        <f t="shared" si="16"/>
        <v>0</v>
      </c>
      <c r="I295" s="1">
        <f t="shared" si="17"/>
        <v>0</v>
      </c>
      <c r="J295" s="1">
        <f t="shared" si="18"/>
        <v>0</v>
      </c>
      <c r="K295" s="19">
        <f t="shared" si="19"/>
        <v>0</v>
      </c>
    </row>
    <row r="296" spans="1:11" ht="15">
      <c r="A296" s="3">
        <v>453</v>
      </c>
      <c r="B296" s="151">
        <v>174</v>
      </c>
      <c r="C296" s="7" t="s">
        <v>108</v>
      </c>
      <c r="D296" s="4" t="s">
        <v>109</v>
      </c>
      <c r="E296" s="6" t="s">
        <v>163</v>
      </c>
      <c r="F296" s="12" t="str">
        <f>IFERROR(VLOOKUP(B296,'INSUMOS  JULIO'!$B$6:$CJ$109,12,0),"")</f>
        <v>0</v>
      </c>
      <c r="G296" s="8">
        <f>IFERROR(VLOOKUP($B296,'INSUMOS  JULIO'!$B$6:$CJ$109,13,0),"")</f>
        <v>6081.0860000000002</v>
      </c>
      <c r="H296" s="19">
        <f t="shared" si="16"/>
        <v>0</v>
      </c>
      <c r="I296" s="1">
        <f t="shared" si="17"/>
        <v>0</v>
      </c>
      <c r="J296" s="1">
        <f t="shared" si="18"/>
        <v>0</v>
      </c>
      <c r="K296" s="19">
        <f t="shared" si="19"/>
        <v>0</v>
      </c>
    </row>
    <row r="297" spans="1:11" ht="15">
      <c r="A297" s="3">
        <v>454</v>
      </c>
      <c r="B297" s="151">
        <v>176</v>
      </c>
      <c r="C297" s="7" t="s">
        <v>108</v>
      </c>
      <c r="D297" s="4" t="s">
        <v>110</v>
      </c>
      <c r="E297" s="6" t="s">
        <v>163</v>
      </c>
      <c r="F297" s="12" t="str">
        <f>IFERROR(VLOOKUP(B297,'INSUMOS  JULIO'!$B$6:$CJ$109,12,0),"")</f>
        <v>0</v>
      </c>
      <c r="G297" s="8">
        <f>IFERROR(VLOOKUP($B297,'INSUMOS  JULIO'!$B$6:$CJ$109,13,0),"")</f>
        <v>2749.4160000000002</v>
      </c>
      <c r="H297" s="19">
        <f t="shared" si="16"/>
        <v>0</v>
      </c>
      <c r="I297" s="1">
        <f t="shared" si="17"/>
        <v>0</v>
      </c>
      <c r="J297" s="1">
        <f t="shared" si="18"/>
        <v>0</v>
      </c>
      <c r="K297" s="19">
        <f t="shared" si="19"/>
        <v>0</v>
      </c>
    </row>
    <row r="298" spans="1:11" ht="15">
      <c r="A298" s="3">
        <v>455</v>
      </c>
      <c r="B298" s="151">
        <v>192</v>
      </c>
      <c r="C298" s="7" t="s">
        <v>149</v>
      </c>
      <c r="D298" s="4" t="s">
        <v>111</v>
      </c>
      <c r="E298" s="6" t="s">
        <v>163</v>
      </c>
      <c r="F298" s="12">
        <f>IFERROR(VLOOKUP(B298,'INSUMOS  JULIO'!$B$6:$CJ$109,12,0),"")</f>
        <v>0</v>
      </c>
      <c r="G298" s="8">
        <f>IFERROR(VLOOKUP($B298,'INSUMOS  JULIO'!$B$6:$CJ$109,13,0),"")</f>
        <v>3930.7400000000002</v>
      </c>
      <c r="H298" s="19">
        <f t="shared" si="16"/>
        <v>0</v>
      </c>
      <c r="I298" s="1">
        <f t="shared" si="17"/>
        <v>0</v>
      </c>
      <c r="J298" s="1">
        <f t="shared" si="18"/>
        <v>0</v>
      </c>
      <c r="K298" s="19">
        <f t="shared" si="19"/>
        <v>0</v>
      </c>
    </row>
    <row r="299" spans="1:11" ht="15">
      <c r="A299" s="3">
        <v>456</v>
      </c>
      <c r="B299" s="151">
        <v>195</v>
      </c>
      <c r="C299" s="7" t="s">
        <v>151</v>
      </c>
      <c r="D299" s="4" t="s">
        <v>112</v>
      </c>
      <c r="E299" s="6" t="s">
        <v>163</v>
      </c>
      <c r="F299" s="12">
        <f>IFERROR(VLOOKUP(B299,'INSUMOS  JULIO'!$B$6:$CJ$109,12,0),"")</f>
        <v>0</v>
      </c>
      <c r="G299" s="8">
        <f>IFERROR(VLOOKUP($B299,'INSUMOS  JULIO'!$B$6:$CJ$109,13,0),"")</f>
        <v>6431.0690000000004</v>
      </c>
      <c r="H299" s="19">
        <f t="shared" si="16"/>
        <v>0</v>
      </c>
      <c r="I299" s="1">
        <f t="shared" si="17"/>
        <v>0</v>
      </c>
      <c r="J299" s="1">
        <f t="shared" si="18"/>
        <v>0</v>
      </c>
      <c r="K299" s="19">
        <f t="shared" si="19"/>
        <v>0</v>
      </c>
    </row>
    <row r="300" spans="1:11" ht="15">
      <c r="A300" s="3">
        <v>457</v>
      </c>
      <c r="B300" s="151">
        <v>204</v>
      </c>
      <c r="C300" s="7" t="s">
        <v>46</v>
      </c>
      <c r="D300" s="4" t="s">
        <v>113</v>
      </c>
      <c r="E300" s="6" t="s">
        <v>163</v>
      </c>
      <c r="F300" s="12">
        <f>IFERROR(VLOOKUP(B300,'INSUMOS  JULIO'!$B$6:$CJ$109,12,0),"")</f>
        <v>12</v>
      </c>
      <c r="G300" s="8">
        <f>IFERROR(VLOOKUP($B300,'INSUMOS  JULIO'!$B$6:$CJ$109,13,0),"")</f>
        <v>25673.6178</v>
      </c>
      <c r="H300" s="19">
        <f t="shared" si="16"/>
        <v>308083.41359999997</v>
      </c>
      <c r="I300" s="1">
        <f t="shared" si="17"/>
        <v>30808.341359999999</v>
      </c>
      <c r="J300" s="1">
        <f t="shared" si="18"/>
        <v>5853.5848583999996</v>
      </c>
      <c r="K300" s="19">
        <f t="shared" si="19"/>
        <v>344745.33981839998</v>
      </c>
    </row>
    <row r="301" spans="1:11" ht="27">
      <c r="A301" s="3">
        <v>458</v>
      </c>
      <c r="B301" s="151">
        <v>205</v>
      </c>
      <c r="C301" s="7" t="s">
        <v>159</v>
      </c>
      <c r="D301" s="4" t="s">
        <v>114</v>
      </c>
      <c r="E301" s="6" t="s">
        <v>163</v>
      </c>
      <c r="F301" s="12" t="str">
        <f>IFERROR(VLOOKUP(B301,'INSUMOS  JULIO'!$B$6:$CJ$109,12,0),"")</f>
        <v>0</v>
      </c>
      <c r="G301" s="8">
        <f>IFERROR(VLOOKUP($B301,'INSUMOS  JULIO'!$B$6:$CJ$109,13,0),"")</f>
        <v>17690.432000000001</v>
      </c>
      <c r="H301" s="19">
        <f t="shared" si="16"/>
        <v>0</v>
      </c>
      <c r="I301" s="1">
        <f t="shared" si="17"/>
        <v>0</v>
      </c>
      <c r="J301" s="1">
        <f t="shared" si="18"/>
        <v>0</v>
      </c>
      <c r="K301" s="19">
        <f t="shared" si="19"/>
        <v>0</v>
      </c>
    </row>
    <row r="302" spans="1:11" ht="15">
      <c r="A302" s="3">
        <v>459</v>
      </c>
      <c r="B302" s="151">
        <v>207</v>
      </c>
      <c r="C302" s="7" t="s">
        <v>159</v>
      </c>
      <c r="D302" s="4" t="s">
        <v>115</v>
      </c>
      <c r="E302" s="6" t="s">
        <v>163</v>
      </c>
      <c r="F302" s="12" t="str">
        <f>IFERROR(VLOOKUP(B302,'INSUMOS  JULIO'!$B$6:$CJ$109,12,0),"")</f>
        <v>0</v>
      </c>
      <c r="G302" s="8">
        <f>IFERROR(VLOOKUP($B302,'INSUMOS  JULIO'!$B$6:$CJ$109,13,0),"")</f>
        <v>7186.7380000000003</v>
      </c>
      <c r="H302" s="19">
        <f t="shared" si="16"/>
        <v>0</v>
      </c>
      <c r="I302" s="1">
        <f t="shared" si="17"/>
        <v>0</v>
      </c>
      <c r="J302" s="1">
        <f t="shared" si="18"/>
        <v>0</v>
      </c>
      <c r="K302" s="19">
        <f t="shared" si="19"/>
        <v>0</v>
      </c>
    </row>
    <row r="303" spans="1:11" ht="15">
      <c r="A303" s="3">
        <v>460</v>
      </c>
      <c r="B303" s="151">
        <v>208</v>
      </c>
      <c r="C303" s="7" t="s">
        <v>159</v>
      </c>
      <c r="D303" s="4" t="s">
        <v>634</v>
      </c>
      <c r="E303" s="6" t="s">
        <v>163</v>
      </c>
      <c r="F303" s="12" t="str">
        <f>IFERROR(VLOOKUP(B303,'INSUMOS  JULIO'!$B$6:$CJ$109,12,0),"")</f>
        <v>0</v>
      </c>
      <c r="G303" s="8">
        <f>IFERROR(VLOOKUP($B303,'INSUMOS  JULIO'!$B$6:$CJ$109,13,0),"")</f>
        <v>50779.065000000002</v>
      </c>
      <c r="H303" s="19">
        <f t="shared" si="16"/>
        <v>0</v>
      </c>
      <c r="I303" s="1">
        <f t="shared" si="17"/>
        <v>0</v>
      </c>
      <c r="J303" s="1">
        <f t="shared" si="18"/>
        <v>0</v>
      </c>
      <c r="K303" s="19">
        <f t="shared" si="19"/>
        <v>0</v>
      </c>
    </row>
    <row r="304" spans="1:11" ht="15">
      <c r="A304" s="3">
        <v>461</v>
      </c>
      <c r="B304" s="151">
        <v>209</v>
      </c>
      <c r="C304" s="7" t="s">
        <v>159</v>
      </c>
      <c r="D304" s="4" t="s">
        <v>635</v>
      </c>
      <c r="E304" s="6" t="s">
        <v>163</v>
      </c>
      <c r="F304" s="12" t="str">
        <f>IFERROR(VLOOKUP(B304,'INSUMOS  JULIO'!$B$6:$CJ$109,12,0),"")</f>
        <v>0</v>
      </c>
      <c r="G304" s="8">
        <f>IFERROR(VLOOKUP($B304,'INSUMOS  JULIO'!$B$6:$CJ$109,13,0),"")</f>
        <v>37357.794999999998</v>
      </c>
      <c r="H304" s="19">
        <f t="shared" si="16"/>
        <v>0</v>
      </c>
      <c r="I304" s="1">
        <f t="shared" si="17"/>
        <v>0</v>
      </c>
      <c r="J304" s="1">
        <f t="shared" si="18"/>
        <v>0</v>
      </c>
      <c r="K304" s="19">
        <f t="shared" si="19"/>
        <v>0</v>
      </c>
    </row>
    <row r="305" spans="1:11" ht="15">
      <c r="A305" s="3">
        <v>462</v>
      </c>
      <c r="B305" s="151">
        <v>210</v>
      </c>
      <c r="C305" s="7" t="s">
        <v>159</v>
      </c>
      <c r="D305" s="4" t="s">
        <v>636</v>
      </c>
      <c r="E305" s="6" t="s">
        <v>163</v>
      </c>
      <c r="F305" s="12" t="str">
        <f>IFERROR(VLOOKUP(B305,'INSUMOS  JULIO'!$B$6:$CJ$109,12,0),"")</f>
        <v>0</v>
      </c>
      <c r="G305" s="8">
        <f>IFERROR(VLOOKUP($B305,'INSUMOS  JULIO'!$B$6:$CJ$109,13,0),"")</f>
        <v>22537.643999999997</v>
      </c>
      <c r="H305" s="19">
        <f t="shared" si="16"/>
        <v>0</v>
      </c>
      <c r="I305" s="1">
        <f t="shared" si="17"/>
        <v>0</v>
      </c>
      <c r="J305" s="1">
        <f t="shared" si="18"/>
        <v>0</v>
      </c>
      <c r="K305" s="19">
        <f t="shared" si="19"/>
        <v>0</v>
      </c>
    </row>
    <row r="306" spans="1:11" ht="15">
      <c r="A306" s="3">
        <v>463</v>
      </c>
      <c r="B306" s="151">
        <v>211</v>
      </c>
      <c r="C306" s="7" t="s">
        <v>53</v>
      </c>
      <c r="D306" s="4" t="s">
        <v>637</v>
      </c>
      <c r="E306" s="6" t="s">
        <v>163</v>
      </c>
      <c r="F306" s="12" t="str">
        <f>IFERROR(VLOOKUP(B306,'INSUMOS  JULIO'!$B$6:$CJ$109,12,0),"")</f>
        <v>0</v>
      </c>
      <c r="G306" s="8">
        <f>IFERROR(VLOOKUP($B306,'INSUMOS  JULIO'!$B$6:$CJ$109,13,0),"")</f>
        <v>15992.016</v>
      </c>
      <c r="H306" s="19">
        <f t="shared" si="16"/>
        <v>0</v>
      </c>
      <c r="I306" s="1">
        <f t="shared" si="17"/>
        <v>0</v>
      </c>
      <c r="J306" s="1">
        <f t="shared" si="18"/>
        <v>0</v>
      </c>
      <c r="K306" s="19">
        <f t="shared" si="19"/>
        <v>0</v>
      </c>
    </row>
    <row r="307" spans="1:11" ht="15">
      <c r="A307" s="3">
        <v>464</v>
      </c>
      <c r="B307" s="151">
        <v>212</v>
      </c>
      <c r="C307" s="7" t="s">
        <v>53</v>
      </c>
      <c r="D307" s="4" t="s">
        <v>116</v>
      </c>
      <c r="E307" s="6" t="s">
        <v>163</v>
      </c>
      <c r="F307" s="12" t="str">
        <f>IFERROR(VLOOKUP(B307,'INSUMOS  JULIO'!$B$6:$CJ$109,12,0),"")</f>
        <v>0</v>
      </c>
      <c r="G307" s="8">
        <f>IFERROR(VLOOKUP($B307,'INSUMOS  JULIO'!$B$6:$CJ$109,13,0),"")</f>
        <v>2505.5839999999998</v>
      </c>
      <c r="H307" s="19">
        <f t="shared" si="16"/>
        <v>0</v>
      </c>
      <c r="I307" s="1">
        <f t="shared" si="17"/>
        <v>0</v>
      </c>
      <c r="J307" s="1">
        <f t="shared" si="18"/>
        <v>0</v>
      </c>
      <c r="K307" s="19">
        <f t="shared" si="19"/>
        <v>0</v>
      </c>
    </row>
    <row r="308" spans="1:11" ht="15">
      <c r="A308" s="3">
        <v>465</v>
      </c>
      <c r="B308" s="151">
        <v>213</v>
      </c>
      <c r="C308" s="7" t="s">
        <v>53</v>
      </c>
      <c r="D308" s="4" t="s">
        <v>638</v>
      </c>
      <c r="E308" s="6" t="s">
        <v>163</v>
      </c>
      <c r="F308" s="12" t="str">
        <f>IFERROR(VLOOKUP(B308,'INSUMOS  JULIO'!$B$6:$CJ$109,12,0),"")</f>
        <v>0</v>
      </c>
      <c r="G308" s="8">
        <f>IFERROR(VLOOKUP($B308,'INSUMOS  JULIO'!$B$6:$CJ$109,13,0),"")</f>
        <v>0</v>
      </c>
      <c r="H308" s="19">
        <f t="shared" si="16"/>
        <v>0</v>
      </c>
      <c r="I308" s="1">
        <f t="shared" si="17"/>
        <v>0</v>
      </c>
      <c r="J308" s="1">
        <f t="shared" si="18"/>
        <v>0</v>
      </c>
      <c r="K308" s="19">
        <f t="shared" si="19"/>
        <v>0</v>
      </c>
    </row>
    <row r="309" spans="1:11" ht="15">
      <c r="A309" s="3">
        <v>466</v>
      </c>
      <c r="B309" s="151">
        <v>215</v>
      </c>
      <c r="C309" s="7" t="s">
        <v>53</v>
      </c>
      <c r="D309" s="4" t="s">
        <v>639</v>
      </c>
      <c r="E309" s="6" t="s">
        <v>163</v>
      </c>
      <c r="F309" s="12" t="str">
        <f>IFERROR(VLOOKUP(B309,'INSUMOS  JULIO'!$B$6:$CJ$109,12,0),"")</f>
        <v>0</v>
      </c>
      <c r="G309" s="8">
        <f>IFERROR(VLOOKUP($B309,'INSUMOS  JULIO'!$B$6:$CJ$109,13,0),"")</f>
        <v>10476.367999999999</v>
      </c>
      <c r="H309" s="19">
        <f t="shared" si="16"/>
        <v>0</v>
      </c>
      <c r="I309" s="1">
        <f t="shared" si="17"/>
        <v>0</v>
      </c>
      <c r="J309" s="1">
        <f t="shared" si="18"/>
        <v>0</v>
      </c>
      <c r="K309" s="19">
        <f t="shared" si="19"/>
        <v>0</v>
      </c>
    </row>
    <row r="310" spans="1:11" ht="15">
      <c r="A310" s="3">
        <v>467</v>
      </c>
      <c r="B310" s="151">
        <v>216</v>
      </c>
      <c r="C310" s="7" t="s">
        <v>160</v>
      </c>
      <c r="D310" s="4" t="s">
        <v>640</v>
      </c>
      <c r="E310" s="6" t="s">
        <v>163</v>
      </c>
      <c r="F310" s="12" t="str">
        <f>IFERROR(VLOOKUP(B310,'INSUMOS  JULIO'!$B$6:$CJ$109,12,0),"")</f>
        <v>0</v>
      </c>
      <c r="G310" s="8">
        <f>IFERROR(VLOOKUP($B310,'INSUMOS  JULIO'!$B$6:$CJ$109,13,0),"")</f>
        <v>3954.9129999999996</v>
      </c>
      <c r="H310" s="19">
        <f t="shared" si="16"/>
        <v>0</v>
      </c>
      <c r="I310" s="1">
        <f t="shared" si="17"/>
        <v>0</v>
      </c>
      <c r="J310" s="1">
        <f t="shared" si="18"/>
        <v>0</v>
      </c>
      <c r="K310" s="19">
        <f t="shared" si="19"/>
        <v>0</v>
      </c>
    </row>
    <row r="311" spans="1:11" ht="15">
      <c r="A311" s="3">
        <v>468</v>
      </c>
      <c r="B311" s="151">
        <v>218</v>
      </c>
      <c r="C311" s="7" t="s">
        <v>160</v>
      </c>
      <c r="D311" s="4" t="s">
        <v>117</v>
      </c>
      <c r="E311" s="6" t="s">
        <v>163</v>
      </c>
      <c r="F311" s="12" t="str">
        <f>IFERROR(VLOOKUP(B311,'INSUMOS  JULIO'!$B$6:$CJ$109,12,0),"")</f>
        <v>0</v>
      </c>
      <c r="G311" s="8">
        <f>IFERROR(VLOOKUP($B311,'INSUMOS  JULIO'!$B$6:$CJ$109,13,0),"")</f>
        <v>1437.768</v>
      </c>
      <c r="H311" s="19">
        <f t="shared" si="16"/>
        <v>0</v>
      </c>
      <c r="I311" s="1">
        <f t="shared" si="17"/>
        <v>0</v>
      </c>
      <c r="J311" s="1">
        <f t="shared" si="18"/>
        <v>0</v>
      </c>
      <c r="K311" s="19">
        <f t="shared" si="19"/>
        <v>0</v>
      </c>
    </row>
    <row r="312" spans="1:11" ht="15">
      <c r="A312" s="3">
        <v>469</v>
      </c>
      <c r="B312" s="151">
        <v>251</v>
      </c>
      <c r="C312" s="7" t="s">
        <v>60</v>
      </c>
      <c r="D312" s="4" t="s">
        <v>118</v>
      </c>
      <c r="E312" s="6" t="s">
        <v>163</v>
      </c>
      <c r="F312" s="12" t="str">
        <f>IFERROR(VLOOKUP(B312,'INSUMOS  JULIO'!$B$6:$CJ$109,12,0),"")</f>
        <v>0</v>
      </c>
      <c r="G312" s="8">
        <f>IFERROR(VLOOKUP($B312,'INSUMOS  JULIO'!$B$6:$CJ$109,13,0),"")</f>
        <v>16031.954000000002</v>
      </c>
      <c r="H312" s="19">
        <f t="shared" si="16"/>
        <v>0</v>
      </c>
      <c r="I312" s="1">
        <f t="shared" si="17"/>
        <v>0</v>
      </c>
      <c r="J312" s="1">
        <f t="shared" si="18"/>
        <v>0</v>
      </c>
      <c r="K312" s="19">
        <f t="shared" si="19"/>
        <v>0</v>
      </c>
    </row>
    <row r="313" spans="1:11" ht="15">
      <c r="A313" s="3">
        <v>470</v>
      </c>
      <c r="B313" s="151">
        <v>255</v>
      </c>
      <c r="C313" s="7" t="s">
        <v>60</v>
      </c>
      <c r="D313" s="4" t="s">
        <v>641</v>
      </c>
      <c r="E313" s="6" t="s">
        <v>163</v>
      </c>
      <c r="F313" s="12" t="str">
        <f>IFERROR(VLOOKUP(B313,'INSUMOS  JULIO'!$B$6:$CJ$109,12,0),"")</f>
        <v>0</v>
      </c>
      <c r="G313" s="8">
        <f>IFERROR(VLOOKUP($B313,'INSUMOS  JULIO'!$B$6:$CJ$109,13,0),"")</f>
        <v>29299.777999999998</v>
      </c>
      <c r="H313" s="19">
        <f t="shared" si="16"/>
        <v>0</v>
      </c>
      <c r="I313" s="1">
        <f t="shared" si="17"/>
        <v>0</v>
      </c>
      <c r="J313" s="1">
        <f t="shared" si="18"/>
        <v>0</v>
      </c>
      <c r="K313" s="19">
        <f t="shared" si="19"/>
        <v>0</v>
      </c>
    </row>
    <row r="314" spans="1:11" ht="15">
      <c r="A314" s="3">
        <v>471</v>
      </c>
      <c r="B314" s="151">
        <v>257</v>
      </c>
      <c r="C314" s="7" t="s">
        <v>151</v>
      </c>
      <c r="D314" s="4" t="s">
        <v>642</v>
      </c>
      <c r="E314" s="6" t="s">
        <v>163</v>
      </c>
      <c r="F314" s="12" t="str">
        <f>IFERROR(VLOOKUP(B314,'INSUMOS  JULIO'!$B$6:$CJ$109,12,0),"")</f>
        <v>0</v>
      </c>
      <c r="G314" s="8">
        <f>IFERROR(VLOOKUP($B314,'INSUMOS  JULIO'!$B$6:$CJ$109,13,0),"")</f>
        <v>18796.084000000003</v>
      </c>
      <c r="H314" s="19">
        <f t="shared" si="16"/>
        <v>0</v>
      </c>
      <c r="I314" s="1">
        <f t="shared" si="17"/>
        <v>0</v>
      </c>
      <c r="J314" s="1">
        <f t="shared" si="18"/>
        <v>0</v>
      </c>
      <c r="K314" s="19">
        <f t="shared" si="19"/>
        <v>0</v>
      </c>
    </row>
    <row r="315" spans="1:11" ht="15">
      <c r="A315" s="3">
        <v>472</v>
      </c>
      <c r="B315" s="151">
        <v>260</v>
      </c>
      <c r="C315" s="7" t="s">
        <v>160</v>
      </c>
      <c r="D315" s="4" t="s">
        <v>643</v>
      </c>
      <c r="E315" s="6" t="s">
        <v>163</v>
      </c>
      <c r="F315" s="12" t="str">
        <f>IFERROR(VLOOKUP(B315,'INSUMOS  JULIO'!$B$6:$CJ$109,12,0),"")</f>
        <v>0</v>
      </c>
      <c r="G315" s="8">
        <f>IFERROR(VLOOKUP($B315,'INSUMOS  JULIO'!$B$6:$CJ$109,13,0),"")</f>
        <v>3417.8520000000008</v>
      </c>
      <c r="H315" s="19">
        <f t="shared" si="16"/>
        <v>0</v>
      </c>
      <c r="I315" s="1">
        <f t="shared" si="17"/>
        <v>0</v>
      </c>
      <c r="J315" s="1">
        <f t="shared" si="18"/>
        <v>0</v>
      </c>
      <c r="K315" s="19">
        <f t="shared" si="19"/>
        <v>0</v>
      </c>
    </row>
    <row r="316" spans="1:11" ht="15">
      <c r="A316" s="3">
        <v>473</v>
      </c>
      <c r="B316" s="151">
        <v>291</v>
      </c>
      <c r="C316" s="7" t="s">
        <v>60</v>
      </c>
      <c r="D316" s="4" t="s">
        <v>644</v>
      </c>
      <c r="E316" s="6" t="s">
        <v>163</v>
      </c>
      <c r="F316" s="12" t="str">
        <f>IFERROR(VLOOKUP(B316,'INSUMOS  JULIO'!$B$6:$CJ$109,12,0),"")</f>
        <v>0</v>
      </c>
      <c r="G316" s="8">
        <f>IFERROR(VLOOKUP($B316,'INSUMOS  JULIO'!$B$6:$CJ$109,13,0),"")</f>
        <v>20454.562000000005</v>
      </c>
      <c r="H316" s="19">
        <f t="shared" si="16"/>
        <v>0</v>
      </c>
      <c r="I316" s="1">
        <f t="shared" si="17"/>
        <v>0</v>
      </c>
      <c r="J316" s="1">
        <f t="shared" si="18"/>
        <v>0</v>
      </c>
      <c r="K316" s="19">
        <f t="shared" si="19"/>
        <v>0</v>
      </c>
    </row>
    <row r="317" spans="1:11" ht="15">
      <c r="A317" s="3">
        <v>474</v>
      </c>
      <c r="B317" s="151">
        <v>3</v>
      </c>
      <c r="C317" s="7" t="s">
        <v>155</v>
      </c>
      <c r="D317" s="4" t="s">
        <v>5</v>
      </c>
      <c r="E317" t="s">
        <v>477</v>
      </c>
      <c r="F317" s="12" t="str">
        <f>IFERROR(VLOOKUP($B317,'INSUMOS  JULIO'!$B$6:$CJ$109,15,0),"")</f>
        <v>0</v>
      </c>
      <c r="G317" s="8">
        <f>IFERROR(VLOOKUP($B317,'INSUMOS  JULIO'!$B$6:$CJ$109,16,0),"")</f>
        <v>7268.7160000000003</v>
      </c>
      <c r="H317" s="19">
        <f t="shared" si="16"/>
        <v>0</v>
      </c>
      <c r="I317" s="1">
        <f t="shared" si="17"/>
        <v>0</v>
      </c>
      <c r="J317" s="1">
        <f t="shared" si="18"/>
        <v>0</v>
      </c>
      <c r="K317" s="19">
        <f t="shared" si="19"/>
        <v>0</v>
      </c>
    </row>
    <row r="318" spans="1:11" ht="15">
      <c r="A318" s="3">
        <v>475</v>
      </c>
      <c r="B318" s="151">
        <v>5</v>
      </c>
      <c r="C318" s="7" t="s">
        <v>6</v>
      </c>
      <c r="D318" s="4" t="s">
        <v>7</v>
      </c>
      <c r="E318" t="s">
        <v>477</v>
      </c>
      <c r="F318" s="12" t="str">
        <f>IFERROR(VLOOKUP(B318,'INSUMOS  JULIO'!$B$6:$CJ$109,15,0),"")</f>
        <v>0</v>
      </c>
      <c r="G318" s="8">
        <f>IFERROR(VLOOKUP($B318,'INSUMOS  JULIO'!$B$6:$CJ$109,16,0),"")</f>
        <v>6494.1289999999999</v>
      </c>
      <c r="H318" s="19">
        <f t="shared" si="16"/>
        <v>0</v>
      </c>
      <c r="I318" s="1">
        <f t="shared" si="17"/>
        <v>0</v>
      </c>
      <c r="J318" s="1">
        <f t="shared" si="18"/>
        <v>0</v>
      </c>
      <c r="K318" s="19">
        <f t="shared" si="19"/>
        <v>0</v>
      </c>
    </row>
    <row r="319" spans="1:11" ht="15">
      <c r="A319" s="3">
        <v>476</v>
      </c>
      <c r="B319" s="151">
        <v>8</v>
      </c>
      <c r="C319" s="7" t="s">
        <v>6</v>
      </c>
      <c r="D319" s="4" t="s">
        <v>8</v>
      </c>
      <c r="E319" t="s">
        <v>477</v>
      </c>
      <c r="F319" s="12">
        <f>IFERROR(VLOOKUP(B319,'INSUMOS  JULIO'!$B$6:$CJ$109,15,0),"")</f>
        <v>0</v>
      </c>
      <c r="G319" s="8">
        <f>IFERROR(VLOOKUP($B319,'INSUMOS  JULIO'!$B$6:$CJ$109,16,0),"")</f>
        <v>2211.3040000000001</v>
      </c>
      <c r="H319" s="19">
        <f t="shared" si="16"/>
        <v>0</v>
      </c>
      <c r="I319" s="1">
        <f t="shared" si="17"/>
        <v>0</v>
      </c>
      <c r="J319" s="1">
        <f t="shared" si="18"/>
        <v>0</v>
      </c>
      <c r="K319" s="19">
        <f t="shared" si="19"/>
        <v>0</v>
      </c>
    </row>
    <row r="320" spans="1:11" ht="15">
      <c r="A320" s="3">
        <v>477</v>
      </c>
      <c r="B320" s="151">
        <v>9</v>
      </c>
      <c r="C320" s="7" t="s">
        <v>9</v>
      </c>
      <c r="D320" s="4" t="s">
        <v>10</v>
      </c>
      <c r="E320" t="s">
        <v>477</v>
      </c>
      <c r="F320" s="12">
        <f>IFERROR(VLOOKUP(B320,'INSUMOS  JULIO'!$B$6:$CJ$109,15,0),"")</f>
        <v>0</v>
      </c>
      <c r="G320" s="8">
        <f>IFERROR(VLOOKUP($B320,'INSUMOS  JULIO'!$B$6:$CJ$109,16,0),"")</f>
        <v>3298.0379999999996</v>
      </c>
      <c r="H320" s="19">
        <f t="shared" si="16"/>
        <v>0</v>
      </c>
      <c r="I320" s="1">
        <f t="shared" si="17"/>
        <v>0</v>
      </c>
      <c r="J320" s="1">
        <f t="shared" si="18"/>
        <v>0</v>
      </c>
      <c r="K320" s="19">
        <f t="shared" si="19"/>
        <v>0</v>
      </c>
    </row>
    <row r="321" spans="1:11" ht="15">
      <c r="A321" s="3">
        <v>478</v>
      </c>
      <c r="B321" s="151">
        <v>11</v>
      </c>
      <c r="C321" s="7" t="s">
        <v>156</v>
      </c>
      <c r="D321" s="4" t="s">
        <v>11</v>
      </c>
      <c r="E321" t="s">
        <v>477</v>
      </c>
      <c r="F321" s="12" t="str">
        <f>IFERROR(VLOOKUP(B321,'INSUMOS  JULIO'!$B$6:$CJ$109,15,0),"")</f>
        <v>0</v>
      </c>
      <c r="G321" s="8">
        <f>IFERROR(VLOOKUP($B321,'INSUMOS  JULIO'!$B$6:$CJ$109,16,0),"")</f>
        <v>7739.5639999999985</v>
      </c>
      <c r="H321" s="19">
        <f t="shared" si="16"/>
        <v>0</v>
      </c>
      <c r="I321" s="1">
        <f t="shared" si="17"/>
        <v>0</v>
      </c>
      <c r="J321" s="1">
        <f t="shared" si="18"/>
        <v>0</v>
      </c>
      <c r="K321" s="19">
        <f t="shared" si="19"/>
        <v>0</v>
      </c>
    </row>
    <row r="322" spans="1:11" ht="15">
      <c r="A322" s="3">
        <v>479</v>
      </c>
      <c r="B322" s="151">
        <v>13</v>
      </c>
      <c r="C322" s="7" t="s">
        <v>157</v>
      </c>
      <c r="D322" s="4" t="s">
        <v>12</v>
      </c>
      <c r="E322" t="s">
        <v>477</v>
      </c>
      <c r="F322" s="12">
        <f>IFERROR(VLOOKUP(B322,'INSUMOS  JULIO'!$B$6:$CJ$109,15,0),"")</f>
        <v>0</v>
      </c>
      <c r="G322" s="8">
        <f>IFERROR(VLOOKUP($B322,'INSUMOS  JULIO'!$B$6:$CJ$109,16,0),"")</f>
        <v>6507.7919999999995</v>
      </c>
      <c r="H322" s="19">
        <f t="shared" si="16"/>
        <v>0</v>
      </c>
      <c r="I322" s="1">
        <f t="shared" si="17"/>
        <v>0</v>
      </c>
      <c r="J322" s="1">
        <f t="shared" si="18"/>
        <v>0</v>
      </c>
      <c r="K322" s="19">
        <f t="shared" si="19"/>
        <v>0</v>
      </c>
    </row>
    <row r="323" spans="1:11" ht="15">
      <c r="A323" s="3">
        <v>480</v>
      </c>
      <c r="B323" s="151">
        <v>17</v>
      </c>
      <c r="C323" s="7" t="s">
        <v>13</v>
      </c>
      <c r="D323" s="4" t="s">
        <v>14</v>
      </c>
      <c r="E323" t="s">
        <v>477</v>
      </c>
      <c r="F323" s="12">
        <f>IFERROR(VLOOKUP(B323,'INSUMOS  JULIO'!$B$6:$CJ$109,15,0),"")</f>
        <v>0</v>
      </c>
      <c r="G323" s="8">
        <f>IFERROR(VLOOKUP($B323,'INSUMOS  JULIO'!$B$6:$CJ$109,16,0),"")</f>
        <v>5647.0229999999992</v>
      </c>
      <c r="H323" s="19">
        <f t="shared" si="16"/>
        <v>0</v>
      </c>
      <c r="I323" s="1">
        <f t="shared" si="17"/>
        <v>0</v>
      </c>
      <c r="J323" s="1">
        <f t="shared" si="18"/>
        <v>0</v>
      </c>
      <c r="K323" s="19">
        <f t="shared" si="19"/>
        <v>0</v>
      </c>
    </row>
    <row r="324" spans="1:11" ht="15">
      <c r="A324" s="3">
        <v>481</v>
      </c>
      <c r="B324" s="151">
        <v>20</v>
      </c>
      <c r="C324" s="7" t="s">
        <v>13</v>
      </c>
      <c r="D324" s="4" t="s">
        <v>15</v>
      </c>
      <c r="E324" t="s">
        <v>477</v>
      </c>
      <c r="F324" s="12">
        <f>IFERROR(VLOOKUP(B324,'INSUMOS  JULIO'!$B$6:$CJ$109,15,0),"")</f>
        <v>0</v>
      </c>
      <c r="G324" s="8">
        <f>IFERROR(VLOOKUP($B324,'INSUMOS  JULIO'!$B$6:$CJ$109,16,0),"")</f>
        <v>0</v>
      </c>
      <c r="H324" s="19">
        <f t="shared" si="16"/>
        <v>0</v>
      </c>
      <c r="I324" s="1">
        <f t="shared" si="17"/>
        <v>0</v>
      </c>
      <c r="J324" s="1">
        <f t="shared" si="18"/>
        <v>0</v>
      </c>
      <c r="K324" s="19">
        <f t="shared" si="19"/>
        <v>0</v>
      </c>
    </row>
    <row r="325" spans="1:11" ht="15">
      <c r="A325" s="3">
        <v>521</v>
      </c>
      <c r="B325" s="151">
        <v>21</v>
      </c>
      <c r="C325" s="7" t="s">
        <v>16</v>
      </c>
      <c r="D325" s="4" t="s">
        <v>17</v>
      </c>
      <c r="E325" t="s">
        <v>477</v>
      </c>
      <c r="F325" s="12">
        <f>IFERROR(VLOOKUP(B325,'INSUMOS  JULIO'!$B$6:$CJ$109,15,0),"")</f>
        <v>0</v>
      </c>
      <c r="G325" s="8">
        <f>IFERROR(VLOOKUP($B325,'INSUMOS  JULIO'!$B$6:$CJ$109,16,0),"")</f>
        <v>5932.8950000000013</v>
      </c>
      <c r="H325" s="19">
        <f t="shared" si="16"/>
        <v>0</v>
      </c>
      <c r="I325" s="1">
        <f t="shared" si="17"/>
        <v>0</v>
      </c>
      <c r="J325" s="1">
        <f t="shared" si="18"/>
        <v>0</v>
      </c>
      <c r="K325" s="19">
        <f t="shared" si="19"/>
        <v>0</v>
      </c>
    </row>
    <row r="326" spans="1:11" ht="15">
      <c r="A326" s="3">
        <v>522</v>
      </c>
      <c r="B326" s="151">
        <v>28</v>
      </c>
      <c r="C326" s="7" t="s">
        <v>18</v>
      </c>
      <c r="D326" s="4" t="s">
        <v>19</v>
      </c>
      <c r="E326" t="s">
        <v>477</v>
      </c>
      <c r="F326" s="12">
        <f>IFERROR(VLOOKUP(B326,'INSUMOS  JULIO'!$B$6:$CJ$109,15,0),"")</f>
        <v>0</v>
      </c>
      <c r="G326" s="8">
        <f>IFERROR(VLOOKUP($B326,'INSUMOS  JULIO'!$B$6:$CJ$109,16,0),"")</f>
        <v>2764.13</v>
      </c>
      <c r="H326" s="19">
        <f t="shared" ref="H326:H389" si="20">+F326*G326</f>
        <v>0</v>
      </c>
      <c r="I326" s="1">
        <f t="shared" ref="I326:I389" si="21">+H326*10%</f>
        <v>0</v>
      </c>
      <c r="J326" s="1">
        <f t="shared" ref="J326:J389" si="22">+I326*19%</f>
        <v>0</v>
      </c>
      <c r="K326" s="19">
        <f t="shared" ref="K326:K389" si="23">SUM(H326:J326)</f>
        <v>0</v>
      </c>
    </row>
    <row r="327" spans="1:11" ht="15">
      <c r="A327" s="3">
        <v>523</v>
      </c>
      <c r="B327" s="151">
        <v>29</v>
      </c>
      <c r="C327" s="7" t="s">
        <v>20</v>
      </c>
      <c r="D327" s="4" t="s">
        <v>21</v>
      </c>
      <c r="E327" t="s">
        <v>477</v>
      </c>
      <c r="F327" s="12" t="str">
        <f>IFERROR(VLOOKUP(B327,'INSUMOS  JULIO'!$B$6:$CJ$109,15,0),"")</f>
        <v>0</v>
      </c>
      <c r="G327" s="8">
        <f>IFERROR(VLOOKUP($B327,'INSUMOS  JULIO'!$B$6:$CJ$109,16,0),"")</f>
        <v>4829.3450000000012</v>
      </c>
      <c r="H327" s="19">
        <f t="shared" si="20"/>
        <v>0</v>
      </c>
      <c r="I327" s="1">
        <f t="shared" si="21"/>
        <v>0</v>
      </c>
      <c r="J327" s="1">
        <f t="shared" si="22"/>
        <v>0</v>
      </c>
      <c r="K327" s="19">
        <f t="shared" si="23"/>
        <v>0</v>
      </c>
    </row>
    <row r="328" spans="1:11" ht="15">
      <c r="A328" s="3">
        <v>524</v>
      </c>
      <c r="B328" s="151">
        <v>32</v>
      </c>
      <c r="C328" s="7" t="s">
        <v>22</v>
      </c>
      <c r="D328" s="4" t="s">
        <v>23</v>
      </c>
      <c r="E328" t="s">
        <v>477</v>
      </c>
      <c r="F328" s="12">
        <f>IFERROR(VLOOKUP(B328,'INSUMOS  JULIO'!$B$6:$CJ$109,15,0),"")</f>
        <v>0</v>
      </c>
      <c r="G328" s="8">
        <f>IFERROR(VLOOKUP($B328,'INSUMOS  JULIO'!$B$6:$CJ$109,16,0),"")</f>
        <v>4115.7160000000003</v>
      </c>
      <c r="H328" s="19">
        <f t="shared" si="20"/>
        <v>0</v>
      </c>
      <c r="I328" s="1">
        <f t="shared" si="21"/>
        <v>0</v>
      </c>
      <c r="J328" s="1">
        <f t="shared" si="22"/>
        <v>0</v>
      </c>
      <c r="K328" s="19">
        <f t="shared" si="23"/>
        <v>0</v>
      </c>
    </row>
    <row r="329" spans="1:11" ht="15">
      <c r="A329" s="3">
        <v>525</v>
      </c>
      <c r="B329" s="151">
        <v>38</v>
      </c>
      <c r="C329" s="7" t="s">
        <v>18</v>
      </c>
      <c r="D329" s="4" t="s">
        <v>24</v>
      </c>
      <c r="E329" t="s">
        <v>477</v>
      </c>
      <c r="F329" s="12" t="str">
        <f>IFERROR(VLOOKUP(B329,'INSUMOS  JULIO'!$B$6:$CJ$109,15,0),"")</f>
        <v>0</v>
      </c>
      <c r="G329" s="8">
        <f>IFERROR(VLOOKUP($B329,'INSUMOS  JULIO'!$B$6:$CJ$109,16,0),"")</f>
        <v>11100.662</v>
      </c>
      <c r="H329" s="19">
        <f t="shared" si="20"/>
        <v>0</v>
      </c>
      <c r="I329" s="1">
        <f t="shared" si="21"/>
        <v>0</v>
      </c>
      <c r="J329" s="1">
        <f t="shared" si="22"/>
        <v>0</v>
      </c>
      <c r="K329" s="19">
        <f t="shared" si="23"/>
        <v>0</v>
      </c>
    </row>
    <row r="330" spans="1:11" ht="15">
      <c r="A330" s="3">
        <v>526</v>
      </c>
      <c r="B330" s="151">
        <v>41</v>
      </c>
      <c r="C330" s="7" t="s">
        <v>155</v>
      </c>
      <c r="D330" s="4" t="s">
        <v>25</v>
      </c>
      <c r="E330" t="s">
        <v>477</v>
      </c>
      <c r="F330" s="12" t="str">
        <f>IFERROR(VLOOKUP(B330,'INSUMOS  JULIO'!$B$6:$CJ$109,15,0),"")</f>
        <v>0</v>
      </c>
      <c r="G330" s="8">
        <f>IFERROR(VLOOKUP($B330,'INSUMOS  JULIO'!$B$6:$CJ$109,16,0),"")</f>
        <v>7034.3429999999989</v>
      </c>
      <c r="H330" s="19">
        <f t="shared" si="20"/>
        <v>0</v>
      </c>
      <c r="I330" s="1">
        <f t="shared" si="21"/>
        <v>0</v>
      </c>
      <c r="J330" s="1">
        <f t="shared" si="22"/>
        <v>0</v>
      </c>
      <c r="K330" s="19">
        <f t="shared" si="23"/>
        <v>0</v>
      </c>
    </row>
    <row r="331" spans="1:11" ht="15">
      <c r="A331" s="3">
        <v>527</v>
      </c>
      <c r="B331" s="151">
        <v>44</v>
      </c>
      <c r="C331" s="7" t="s">
        <v>16</v>
      </c>
      <c r="D331" s="4" t="s">
        <v>26</v>
      </c>
      <c r="E331" t="s">
        <v>477</v>
      </c>
      <c r="F331" s="12">
        <f>IFERROR(VLOOKUP(B331,'INSUMOS  JULIO'!$B$6:$CJ$109,15,0),"")</f>
        <v>0</v>
      </c>
      <c r="G331" s="8">
        <f>IFERROR(VLOOKUP($B331,'INSUMOS  JULIO'!$B$6:$CJ$109,16,0),"")</f>
        <v>2787.2520000000004</v>
      </c>
      <c r="H331" s="19">
        <f t="shared" si="20"/>
        <v>0</v>
      </c>
      <c r="I331" s="1">
        <f t="shared" si="21"/>
        <v>0</v>
      </c>
      <c r="J331" s="1">
        <f t="shared" si="22"/>
        <v>0</v>
      </c>
      <c r="K331" s="19">
        <f t="shared" si="23"/>
        <v>0</v>
      </c>
    </row>
    <row r="332" spans="1:11" ht="15">
      <c r="A332" s="3">
        <v>528</v>
      </c>
      <c r="B332" s="151">
        <v>46</v>
      </c>
      <c r="C332" s="7" t="s">
        <v>27</v>
      </c>
      <c r="D332" s="4" t="s">
        <v>28</v>
      </c>
      <c r="E332" t="s">
        <v>477</v>
      </c>
      <c r="F332" s="12" t="str">
        <f>IFERROR(VLOOKUP(B332,'INSUMOS  JULIO'!$B$6:$CJ$109,15,0),"")</f>
        <v>0</v>
      </c>
      <c r="G332" s="8">
        <f>IFERROR(VLOOKUP($B332,'INSUMOS  JULIO'!$B$6:$CJ$109,16,0),"")</f>
        <v>7739.5640000000021</v>
      </c>
      <c r="H332" s="19">
        <f t="shared" si="20"/>
        <v>0</v>
      </c>
      <c r="I332" s="1">
        <f t="shared" si="21"/>
        <v>0</v>
      </c>
      <c r="J332" s="1">
        <f t="shared" si="22"/>
        <v>0</v>
      </c>
      <c r="K332" s="19">
        <f t="shared" si="23"/>
        <v>0</v>
      </c>
    </row>
    <row r="333" spans="1:11" ht="15">
      <c r="A333" s="3">
        <v>529</v>
      </c>
      <c r="B333" s="151">
        <v>50</v>
      </c>
      <c r="C333" s="7" t="s">
        <v>13</v>
      </c>
      <c r="D333" s="4" t="s">
        <v>29</v>
      </c>
      <c r="E333" t="s">
        <v>477</v>
      </c>
      <c r="F333" s="12">
        <f>IFERROR(VLOOKUP(B333,'INSUMOS  JULIO'!$B$6:$CJ$109,15,0),"")</f>
        <v>0</v>
      </c>
      <c r="G333" s="8">
        <f>IFERROR(VLOOKUP($B333,'INSUMOS  JULIO'!$B$6:$CJ$109,16,0),"")</f>
        <v>38567.495999999999</v>
      </c>
      <c r="H333" s="19">
        <f t="shared" si="20"/>
        <v>0</v>
      </c>
      <c r="I333" s="1">
        <f t="shared" si="21"/>
        <v>0</v>
      </c>
      <c r="J333" s="1">
        <f t="shared" si="22"/>
        <v>0</v>
      </c>
      <c r="K333" s="19">
        <f t="shared" si="23"/>
        <v>0</v>
      </c>
    </row>
    <row r="334" spans="1:11" ht="15">
      <c r="A334" s="3">
        <v>530</v>
      </c>
      <c r="B334" s="151">
        <v>51</v>
      </c>
      <c r="C334" s="7" t="s">
        <v>13</v>
      </c>
      <c r="D334" s="4" t="s">
        <v>30</v>
      </c>
      <c r="E334" t="s">
        <v>477</v>
      </c>
      <c r="F334" s="12" t="str">
        <f>IFERROR(VLOOKUP(B334,'INSUMOS  JULIO'!$B$6:$CJ$109,15,0),"")</f>
        <v>0</v>
      </c>
      <c r="G334" s="8">
        <f>IFERROR(VLOOKUP($B334,'INSUMOS  JULIO'!$B$6:$CJ$109,16,0),"")</f>
        <v>7739.5640000000021</v>
      </c>
      <c r="H334" s="19">
        <f t="shared" si="20"/>
        <v>0</v>
      </c>
      <c r="I334" s="1">
        <f t="shared" si="21"/>
        <v>0</v>
      </c>
      <c r="J334" s="1">
        <f t="shared" si="22"/>
        <v>0</v>
      </c>
      <c r="K334" s="19">
        <f t="shared" si="23"/>
        <v>0</v>
      </c>
    </row>
    <row r="335" spans="1:11" ht="15">
      <c r="A335" s="3">
        <v>531</v>
      </c>
      <c r="B335" s="151">
        <v>52</v>
      </c>
      <c r="C335" s="7" t="s">
        <v>13</v>
      </c>
      <c r="D335" s="4" t="s">
        <v>31</v>
      </c>
      <c r="E335" t="s">
        <v>477</v>
      </c>
      <c r="F335" s="12">
        <f>IFERROR(VLOOKUP(B335,'INSUMOS  JULIO'!$B$6:$CJ$109,15,0),"")</f>
        <v>0</v>
      </c>
      <c r="G335" s="8">
        <f>IFERROR(VLOOKUP($B335,'INSUMOS  JULIO'!$B$6:$CJ$109,16,0),"")</f>
        <v>6412.1509999999998</v>
      </c>
      <c r="H335" s="19">
        <f t="shared" si="20"/>
        <v>0</v>
      </c>
      <c r="I335" s="1">
        <f t="shared" si="21"/>
        <v>0</v>
      </c>
      <c r="J335" s="1">
        <f t="shared" si="22"/>
        <v>0</v>
      </c>
      <c r="K335" s="19">
        <f t="shared" si="23"/>
        <v>0</v>
      </c>
    </row>
    <row r="336" spans="1:11" ht="15">
      <c r="A336" s="3">
        <v>532</v>
      </c>
      <c r="B336" s="151">
        <v>54</v>
      </c>
      <c r="C336" s="7" t="s">
        <v>13</v>
      </c>
      <c r="D336" s="4" t="s">
        <v>32</v>
      </c>
      <c r="E336" t="s">
        <v>477</v>
      </c>
      <c r="F336" s="12">
        <f>IFERROR(VLOOKUP(B336,'INSUMOS  JULIO'!$B$6:$CJ$109,15,0),"")</f>
        <v>0</v>
      </c>
      <c r="G336" s="8">
        <f>IFERROR(VLOOKUP($B336,'INSUMOS  JULIO'!$B$6:$CJ$109,16,0),"")</f>
        <v>5359.049</v>
      </c>
      <c r="H336" s="19">
        <f t="shared" si="20"/>
        <v>0</v>
      </c>
      <c r="I336" s="1">
        <f t="shared" si="21"/>
        <v>0</v>
      </c>
      <c r="J336" s="1">
        <f t="shared" si="22"/>
        <v>0</v>
      </c>
      <c r="K336" s="19">
        <f t="shared" si="23"/>
        <v>0</v>
      </c>
    </row>
    <row r="337" spans="1:11" ht="15">
      <c r="A337" s="3">
        <v>533</v>
      </c>
      <c r="B337" s="151">
        <v>57</v>
      </c>
      <c r="C337" s="7" t="s">
        <v>33</v>
      </c>
      <c r="D337" s="4" t="s">
        <v>34</v>
      </c>
      <c r="E337" t="s">
        <v>477</v>
      </c>
      <c r="F337" s="12">
        <f>IFERROR(VLOOKUP(B337,'INSUMOS  JULIO'!$B$6:$CJ$109,15,0),"")</f>
        <v>0</v>
      </c>
      <c r="G337" s="8">
        <f>IFERROR(VLOOKUP($B337,'INSUMOS  JULIO'!$B$6:$CJ$109,16,0),"")</f>
        <v>12823.251000000004</v>
      </c>
      <c r="H337" s="19">
        <f t="shared" si="20"/>
        <v>0</v>
      </c>
      <c r="I337" s="1">
        <f t="shared" si="21"/>
        <v>0</v>
      </c>
      <c r="J337" s="1">
        <f t="shared" si="22"/>
        <v>0</v>
      </c>
      <c r="K337" s="19">
        <f t="shared" si="23"/>
        <v>0</v>
      </c>
    </row>
    <row r="338" spans="1:11" ht="15">
      <c r="A338" s="3">
        <v>534</v>
      </c>
      <c r="B338" s="151">
        <v>59</v>
      </c>
      <c r="C338" s="7" t="s">
        <v>16</v>
      </c>
      <c r="D338" s="4" t="s">
        <v>35</v>
      </c>
      <c r="E338" t="s">
        <v>477</v>
      </c>
      <c r="F338" s="12" t="str">
        <f>IFERROR(VLOOKUP(B338,'INSUMOS  JULIO'!$B$6:$CJ$109,15,0),"")</f>
        <v>0</v>
      </c>
      <c r="G338" s="8">
        <f>IFERROR(VLOOKUP($B338,'INSUMOS  JULIO'!$B$6:$CJ$109,16,0),"")</f>
        <v>5528.260000000002</v>
      </c>
      <c r="H338" s="19">
        <f t="shared" si="20"/>
        <v>0</v>
      </c>
      <c r="I338" s="1">
        <f t="shared" si="21"/>
        <v>0</v>
      </c>
      <c r="J338" s="1">
        <f t="shared" si="22"/>
        <v>0</v>
      </c>
      <c r="K338" s="19">
        <f t="shared" si="23"/>
        <v>0</v>
      </c>
    </row>
    <row r="339" spans="1:11" ht="15">
      <c r="A339" s="3">
        <v>535</v>
      </c>
      <c r="B339" s="151">
        <v>62</v>
      </c>
      <c r="C339" s="7" t="s">
        <v>36</v>
      </c>
      <c r="D339" s="4" t="s">
        <v>37</v>
      </c>
      <c r="E339" t="s">
        <v>477</v>
      </c>
      <c r="F339" s="12">
        <f>IFERROR(VLOOKUP(B339,'INSUMOS  JULIO'!$B$6:$CJ$109,15,0),"")</f>
        <v>0</v>
      </c>
      <c r="G339" s="8">
        <f>IFERROR(VLOOKUP($B339,'INSUMOS  JULIO'!$B$6:$CJ$109,16,0),"")</f>
        <v>5167.7669999999998</v>
      </c>
      <c r="H339" s="19">
        <f t="shared" si="20"/>
        <v>0</v>
      </c>
      <c r="I339" s="1">
        <f t="shared" si="21"/>
        <v>0</v>
      </c>
      <c r="J339" s="1">
        <f t="shared" si="22"/>
        <v>0</v>
      </c>
      <c r="K339" s="19">
        <f t="shared" si="23"/>
        <v>0</v>
      </c>
    </row>
    <row r="340" spans="1:11" ht="15">
      <c r="A340" s="3">
        <v>536</v>
      </c>
      <c r="B340" s="151">
        <v>63</v>
      </c>
      <c r="C340" s="7" t="s">
        <v>36</v>
      </c>
      <c r="D340" s="4" t="s">
        <v>38</v>
      </c>
      <c r="E340" t="s">
        <v>477</v>
      </c>
      <c r="F340" s="12">
        <f>IFERROR(VLOOKUP(B340,'INSUMOS  JULIO'!$B$6:$CJ$109,15,0),"")</f>
        <v>0</v>
      </c>
      <c r="G340" s="8">
        <f>IFERROR(VLOOKUP($B340,'INSUMOS  JULIO'!$B$6:$CJ$109,16,0),"")</f>
        <v>8292.39</v>
      </c>
      <c r="H340" s="19">
        <f t="shared" si="20"/>
        <v>0</v>
      </c>
      <c r="I340" s="1">
        <f t="shared" si="21"/>
        <v>0</v>
      </c>
      <c r="J340" s="1">
        <f t="shared" si="22"/>
        <v>0</v>
      </c>
      <c r="K340" s="19">
        <f t="shared" si="23"/>
        <v>0</v>
      </c>
    </row>
    <row r="341" spans="1:11" ht="15">
      <c r="A341" s="3">
        <v>537</v>
      </c>
      <c r="B341" s="151">
        <v>64</v>
      </c>
      <c r="C341" s="7" t="s">
        <v>39</v>
      </c>
      <c r="D341" s="4" t="s">
        <v>40</v>
      </c>
      <c r="E341" t="s">
        <v>477</v>
      </c>
      <c r="F341" s="12">
        <f>IFERROR(VLOOKUP(B341,'INSUMOS  JULIO'!$B$6:$CJ$109,15,0),"")</f>
        <v>0</v>
      </c>
      <c r="G341" s="8">
        <f>IFERROR(VLOOKUP($B341,'INSUMOS  JULIO'!$B$6:$CJ$109,16,0),"")</f>
        <v>13820.650000000001</v>
      </c>
      <c r="H341" s="19">
        <f t="shared" si="20"/>
        <v>0</v>
      </c>
      <c r="I341" s="1">
        <f t="shared" si="21"/>
        <v>0</v>
      </c>
      <c r="J341" s="1">
        <f t="shared" si="22"/>
        <v>0</v>
      </c>
      <c r="K341" s="19">
        <f t="shared" si="23"/>
        <v>0</v>
      </c>
    </row>
    <row r="342" spans="1:11" ht="15">
      <c r="A342" s="3">
        <v>538</v>
      </c>
      <c r="B342" s="151">
        <v>65</v>
      </c>
      <c r="C342" s="7" t="s">
        <v>39</v>
      </c>
      <c r="D342" s="4" t="s">
        <v>41</v>
      </c>
      <c r="E342" t="s">
        <v>477</v>
      </c>
      <c r="F342" s="12">
        <f>IFERROR(VLOOKUP(B342,'INSUMOS  JULIO'!$B$6:$CJ$109,15,0),"")</f>
        <v>0</v>
      </c>
      <c r="G342" s="8">
        <f>IFERROR(VLOOKUP($B342,'INSUMOS  JULIO'!$B$6:$CJ$109,16,0),"")</f>
        <v>13820.650000000001</v>
      </c>
      <c r="H342" s="19">
        <f t="shared" si="20"/>
        <v>0</v>
      </c>
      <c r="I342" s="1">
        <f t="shared" si="21"/>
        <v>0</v>
      </c>
      <c r="J342" s="1">
        <f t="shared" si="22"/>
        <v>0</v>
      </c>
      <c r="K342" s="19">
        <f t="shared" si="23"/>
        <v>0</v>
      </c>
    </row>
    <row r="343" spans="1:11" ht="15">
      <c r="A343" s="3">
        <v>539</v>
      </c>
      <c r="B343" s="151">
        <v>66</v>
      </c>
      <c r="C343" s="7" t="s">
        <v>151</v>
      </c>
      <c r="D343" s="4" t="s">
        <v>42</v>
      </c>
      <c r="E343" t="s">
        <v>477</v>
      </c>
      <c r="F343" s="12">
        <f>IFERROR(VLOOKUP(B343,'INSUMOS  JULIO'!$B$6:$CJ$109,15,0),"")</f>
        <v>0</v>
      </c>
      <c r="G343" s="8">
        <f>IFERROR(VLOOKUP($B343,'INSUMOS  JULIO'!$B$6:$CJ$109,16,0),"")</f>
        <v>2887.0970000000002</v>
      </c>
      <c r="H343" s="19">
        <f t="shared" si="20"/>
        <v>0</v>
      </c>
      <c r="I343" s="1">
        <f t="shared" si="21"/>
        <v>0</v>
      </c>
      <c r="J343" s="1">
        <f t="shared" si="22"/>
        <v>0</v>
      </c>
      <c r="K343" s="19">
        <f t="shared" si="23"/>
        <v>0</v>
      </c>
    </row>
    <row r="344" spans="1:11" ht="15">
      <c r="A344" s="3">
        <v>540</v>
      </c>
      <c r="B344" s="151">
        <v>71</v>
      </c>
      <c r="C344" s="7" t="s">
        <v>151</v>
      </c>
      <c r="D344" s="4" t="s">
        <v>43</v>
      </c>
      <c r="E344" t="s">
        <v>477</v>
      </c>
      <c r="F344" s="12" t="str">
        <f>IFERROR(VLOOKUP(B344,'INSUMOS  JULIO'!$B$6:$CJ$109,15,0),"")</f>
        <v>0</v>
      </c>
      <c r="G344" s="8">
        <f>IFERROR(VLOOKUP($B344,'INSUMOS  JULIO'!$B$6:$CJ$109,16,0),"")</f>
        <v>5196.1440000000002</v>
      </c>
      <c r="H344" s="19">
        <f t="shared" si="20"/>
        <v>0</v>
      </c>
      <c r="I344" s="1">
        <f t="shared" si="21"/>
        <v>0</v>
      </c>
      <c r="J344" s="1">
        <f t="shared" si="22"/>
        <v>0</v>
      </c>
      <c r="K344" s="19">
        <f t="shared" si="23"/>
        <v>0</v>
      </c>
    </row>
    <row r="345" spans="1:11" ht="15">
      <c r="A345" s="3">
        <v>541</v>
      </c>
      <c r="B345" s="151">
        <v>72</v>
      </c>
      <c r="C345" s="7" t="s">
        <v>151</v>
      </c>
      <c r="D345" s="4" t="s">
        <v>44</v>
      </c>
      <c r="E345" t="s">
        <v>477</v>
      </c>
      <c r="F345" s="12">
        <f>IFERROR(VLOOKUP(B345,'INSUMOS  JULIO'!$B$6:$CJ$109,15,0),"")</f>
        <v>0</v>
      </c>
      <c r="G345" s="8">
        <f>IFERROR(VLOOKUP($B345,'INSUMOS  JULIO'!$B$6:$CJ$109,16,0),"")</f>
        <v>5196.1440000000002</v>
      </c>
      <c r="H345" s="19">
        <f t="shared" si="20"/>
        <v>0</v>
      </c>
      <c r="I345" s="1">
        <f t="shared" si="21"/>
        <v>0</v>
      </c>
      <c r="J345" s="1">
        <f t="shared" si="22"/>
        <v>0</v>
      </c>
      <c r="K345" s="19">
        <f t="shared" si="23"/>
        <v>0</v>
      </c>
    </row>
    <row r="346" spans="1:11" ht="27">
      <c r="A346" s="3">
        <v>542</v>
      </c>
      <c r="B346" s="151">
        <v>73</v>
      </c>
      <c r="C346" s="7" t="s">
        <v>151</v>
      </c>
      <c r="D346" s="4" t="s">
        <v>45</v>
      </c>
      <c r="E346" t="s">
        <v>477</v>
      </c>
      <c r="F346" s="12">
        <f>IFERROR(VLOOKUP(B346,'INSUMOS  JULIO'!$B$6:$CJ$109,15,0),"")</f>
        <v>0</v>
      </c>
      <c r="G346" s="8">
        <f>IFERROR(VLOOKUP($B346,'INSUMOS  JULIO'!$B$6:$CJ$109,16,0),"")</f>
        <v>4975.4340000000011</v>
      </c>
      <c r="H346" s="19">
        <f t="shared" si="20"/>
        <v>0</v>
      </c>
      <c r="I346" s="1">
        <f t="shared" si="21"/>
        <v>0</v>
      </c>
      <c r="J346" s="1">
        <f t="shared" si="22"/>
        <v>0</v>
      </c>
      <c r="K346" s="19">
        <f t="shared" si="23"/>
        <v>0</v>
      </c>
    </row>
    <row r="347" spans="1:11" ht="15">
      <c r="A347" s="3">
        <v>543</v>
      </c>
      <c r="B347" s="151">
        <v>74</v>
      </c>
      <c r="C347" s="7" t="s">
        <v>46</v>
      </c>
      <c r="D347" s="4" t="s">
        <v>47</v>
      </c>
      <c r="E347" t="s">
        <v>477</v>
      </c>
      <c r="F347" s="12">
        <f>IFERROR(VLOOKUP(B347,'INSUMOS  JULIO'!$B$6:$CJ$109,15,0),"")</f>
        <v>0</v>
      </c>
      <c r="G347" s="8">
        <f>IFERROR(VLOOKUP($B347,'INSUMOS  JULIO'!$B$6:$CJ$109,16,0),"")</f>
        <v>3261.2529999999997</v>
      </c>
      <c r="H347" s="19">
        <f t="shared" si="20"/>
        <v>0</v>
      </c>
      <c r="I347" s="1">
        <f t="shared" si="21"/>
        <v>0</v>
      </c>
      <c r="J347" s="1">
        <f t="shared" si="22"/>
        <v>0</v>
      </c>
      <c r="K347" s="19">
        <f t="shared" si="23"/>
        <v>0</v>
      </c>
    </row>
    <row r="348" spans="1:11" ht="15">
      <c r="A348" s="3">
        <v>544</v>
      </c>
      <c r="B348" s="151">
        <v>79</v>
      </c>
      <c r="C348" s="7" t="s">
        <v>159</v>
      </c>
      <c r="D348" s="4" t="s">
        <v>48</v>
      </c>
      <c r="E348" t="s">
        <v>477</v>
      </c>
      <c r="F348" s="12">
        <f>IFERROR(VLOOKUP(B348,'INSUMOS  JULIO'!$B$6:$CJ$109,15,0),"")</f>
        <v>0</v>
      </c>
      <c r="G348" s="8">
        <f>IFERROR(VLOOKUP($B348,'INSUMOS  JULIO'!$B$6:$CJ$109,16,0),"")</f>
        <v>541.2650000000001</v>
      </c>
      <c r="H348" s="19">
        <f t="shared" si="20"/>
        <v>0</v>
      </c>
      <c r="I348" s="1">
        <f t="shared" si="21"/>
        <v>0</v>
      </c>
      <c r="J348" s="1">
        <f t="shared" si="22"/>
        <v>0</v>
      </c>
      <c r="K348" s="19">
        <f t="shared" si="23"/>
        <v>0</v>
      </c>
    </row>
    <row r="349" spans="1:11" ht="15">
      <c r="A349" s="3">
        <v>545</v>
      </c>
      <c r="B349" s="151">
        <v>80</v>
      </c>
      <c r="C349" s="7" t="s">
        <v>159</v>
      </c>
      <c r="D349" s="4" t="s">
        <v>49</v>
      </c>
      <c r="E349" t="s">
        <v>477</v>
      </c>
      <c r="F349" s="12">
        <f>IFERROR(VLOOKUP(B349,'INSUMOS  JULIO'!$B$6:$CJ$109,15,0),"")</f>
        <v>0</v>
      </c>
      <c r="G349" s="8">
        <f>IFERROR(VLOOKUP($B349,'INSUMOS  JULIO'!$B$6:$CJ$109,16,0),"")</f>
        <v>433.01199999999994</v>
      </c>
      <c r="H349" s="19">
        <f t="shared" si="20"/>
        <v>0</v>
      </c>
      <c r="I349" s="1">
        <f t="shared" si="21"/>
        <v>0</v>
      </c>
      <c r="J349" s="1">
        <f t="shared" si="22"/>
        <v>0</v>
      </c>
      <c r="K349" s="19">
        <f t="shared" si="23"/>
        <v>0</v>
      </c>
    </row>
    <row r="350" spans="1:11" ht="15">
      <c r="A350" s="3">
        <v>546</v>
      </c>
      <c r="B350" s="151">
        <v>81</v>
      </c>
      <c r="C350" s="7" t="s">
        <v>159</v>
      </c>
      <c r="D350" s="4" t="s">
        <v>50</v>
      </c>
      <c r="E350" t="s">
        <v>477</v>
      </c>
      <c r="F350" s="12">
        <f>IFERROR(VLOOKUP(B350,'INSUMOS  JULIO'!$B$6:$CJ$109,15,0),"")</f>
        <v>0</v>
      </c>
      <c r="G350" s="8">
        <f>IFERROR(VLOOKUP($B350,'INSUMOS  JULIO'!$B$6:$CJ$109,16,0),"")</f>
        <v>211.251</v>
      </c>
      <c r="H350" s="19">
        <f t="shared" si="20"/>
        <v>0</v>
      </c>
      <c r="I350" s="1">
        <f t="shared" si="21"/>
        <v>0</v>
      </c>
      <c r="J350" s="1">
        <f t="shared" si="22"/>
        <v>0</v>
      </c>
      <c r="K350" s="19">
        <f t="shared" si="23"/>
        <v>0</v>
      </c>
    </row>
    <row r="351" spans="1:11" ht="15">
      <c r="A351" s="3">
        <v>547</v>
      </c>
      <c r="B351" s="151">
        <v>82</v>
      </c>
      <c r="C351" s="7" t="s">
        <v>159</v>
      </c>
      <c r="D351" s="4" t="s">
        <v>51</v>
      </c>
      <c r="E351" t="s">
        <v>477</v>
      </c>
      <c r="F351" s="12" t="str">
        <f>IFERROR(VLOOKUP(B351,'INSUMOS  JULIO'!$B$6:$CJ$109,15,0),"")</f>
        <v>0</v>
      </c>
      <c r="G351" s="8">
        <f>IFERROR(VLOOKUP($B351,'INSUMOS  JULIO'!$B$6:$CJ$109,16,0),"")</f>
        <v>1003.7049999999999</v>
      </c>
      <c r="H351" s="19">
        <f t="shared" si="20"/>
        <v>0</v>
      </c>
      <c r="I351" s="1">
        <f t="shared" si="21"/>
        <v>0</v>
      </c>
      <c r="J351" s="1">
        <f t="shared" si="22"/>
        <v>0</v>
      </c>
      <c r="K351" s="19">
        <f t="shared" si="23"/>
        <v>0</v>
      </c>
    </row>
    <row r="352" spans="1:11" ht="15">
      <c r="A352" s="3">
        <v>548</v>
      </c>
      <c r="B352" s="151">
        <v>83</v>
      </c>
      <c r="C352" s="7" t="s">
        <v>159</v>
      </c>
      <c r="D352" s="4" t="s">
        <v>52</v>
      </c>
      <c r="E352" t="s">
        <v>477</v>
      </c>
      <c r="F352" s="12" t="str">
        <f>IFERROR(VLOOKUP(B352,'INSUMOS  JULIO'!$B$6:$CJ$109,15,0),"")</f>
        <v>0</v>
      </c>
      <c r="G352" s="8">
        <f>IFERROR(VLOOKUP($B352,'INSUMOS  JULIO'!$B$6:$CJ$109,16,0),"")</f>
        <v>336.32</v>
      </c>
      <c r="H352" s="19">
        <f t="shared" si="20"/>
        <v>0</v>
      </c>
      <c r="I352" s="1">
        <f t="shared" si="21"/>
        <v>0</v>
      </c>
      <c r="J352" s="1">
        <f t="shared" si="22"/>
        <v>0</v>
      </c>
      <c r="K352" s="19">
        <f t="shared" si="23"/>
        <v>0</v>
      </c>
    </row>
    <row r="353" spans="1:11" ht="15">
      <c r="A353" s="3">
        <v>549</v>
      </c>
      <c r="B353" s="151">
        <v>86</v>
      </c>
      <c r="C353" s="7" t="s">
        <v>53</v>
      </c>
      <c r="D353" s="4" t="s">
        <v>54</v>
      </c>
      <c r="E353" t="s">
        <v>477</v>
      </c>
      <c r="F353" s="12" t="str">
        <f>IFERROR(VLOOKUP(B353,'INSUMOS  JULIO'!$B$6:$CJ$109,15,0),"")</f>
        <v>0</v>
      </c>
      <c r="G353" s="8">
        <f>IFERROR(VLOOKUP($B353,'INSUMOS  JULIO'!$B$6:$CJ$109,16,0),"")</f>
        <v>2792.5070000000005</v>
      </c>
      <c r="H353" s="19">
        <f t="shared" si="20"/>
        <v>0</v>
      </c>
      <c r="I353" s="1">
        <f t="shared" si="21"/>
        <v>0</v>
      </c>
      <c r="J353" s="1">
        <f t="shared" si="22"/>
        <v>0</v>
      </c>
      <c r="K353" s="19">
        <f t="shared" si="23"/>
        <v>0</v>
      </c>
    </row>
    <row r="354" spans="1:11" ht="15">
      <c r="A354" s="3">
        <v>550</v>
      </c>
      <c r="B354" s="151">
        <v>87</v>
      </c>
      <c r="C354" s="7" t="s">
        <v>53</v>
      </c>
      <c r="D354" s="4" t="s">
        <v>55</v>
      </c>
      <c r="E354" t="s">
        <v>477</v>
      </c>
      <c r="F354" s="12" t="str">
        <f>IFERROR(VLOOKUP(B354,'INSUMOS  JULIO'!$B$6:$CJ$109,15,0),"")</f>
        <v>0</v>
      </c>
      <c r="G354" s="8">
        <f>IFERROR(VLOOKUP($B354,'INSUMOS  JULIO'!$B$6:$CJ$109,16,0),"")</f>
        <v>0</v>
      </c>
      <c r="H354" s="19">
        <f t="shared" si="20"/>
        <v>0</v>
      </c>
      <c r="I354" s="1">
        <f t="shared" si="21"/>
        <v>0</v>
      </c>
      <c r="J354" s="1">
        <f t="shared" si="22"/>
        <v>0</v>
      </c>
      <c r="K354" s="19">
        <f t="shared" si="23"/>
        <v>0</v>
      </c>
    </row>
    <row r="355" spans="1:11" ht="15">
      <c r="A355" s="3">
        <v>551</v>
      </c>
      <c r="B355" s="151">
        <v>88</v>
      </c>
      <c r="C355" s="7" t="s">
        <v>53</v>
      </c>
      <c r="D355" s="4" t="s">
        <v>56</v>
      </c>
      <c r="E355" t="s">
        <v>477</v>
      </c>
      <c r="F355" s="12">
        <f>IFERROR(VLOOKUP(B355,'INSUMOS  JULIO'!$B$6:$CJ$109,15,0),"")</f>
        <v>0</v>
      </c>
      <c r="G355" s="8">
        <f>IFERROR(VLOOKUP($B355,'INSUMOS  JULIO'!$B$6:$CJ$109,16,0),"")</f>
        <v>2717.886</v>
      </c>
      <c r="H355" s="19">
        <f t="shared" si="20"/>
        <v>0</v>
      </c>
      <c r="I355" s="1">
        <f t="shared" si="21"/>
        <v>0</v>
      </c>
      <c r="J355" s="1">
        <f t="shared" si="22"/>
        <v>0</v>
      </c>
      <c r="K355" s="19">
        <f t="shared" si="23"/>
        <v>0</v>
      </c>
    </row>
    <row r="356" spans="1:11" ht="15">
      <c r="A356" s="3">
        <v>552</v>
      </c>
      <c r="B356" s="151">
        <v>89</v>
      </c>
      <c r="C356" s="7" t="s">
        <v>53</v>
      </c>
      <c r="D356" s="4" t="s">
        <v>57</v>
      </c>
      <c r="E356" t="s">
        <v>477</v>
      </c>
      <c r="F356" s="12" t="str">
        <f>IFERROR(VLOOKUP(B356,'INSUMOS  JULIO'!$B$6:$CJ$109,15,0),"")</f>
        <v>0</v>
      </c>
      <c r="G356" s="8">
        <f>IFERROR(VLOOKUP($B356,'INSUMOS  JULIO'!$B$6:$CJ$109,16,0),"")</f>
        <v>2650.6220000000003</v>
      </c>
      <c r="H356" s="19">
        <f t="shared" si="20"/>
        <v>0</v>
      </c>
      <c r="I356" s="1">
        <f t="shared" si="21"/>
        <v>0</v>
      </c>
      <c r="J356" s="1">
        <f t="shared" si="22"/>
        <v>0</v>
      </c>
      <c r="K356" s="19">
        <f t="shared" si="23"/>
        <v>0</v>
      </c>
    </row>
    <row r="357" spans="1:11" ht="15">
      <c r="A357" s="3">
        <v>553</v>
      </c>
      <c r="B357" s="151">
        <v>91</v>
      </c>
      <c r="C357" s="7" t="s">
        <v>160</v>
      </c>
      <c r="D357" s="4" t="s">
        <v>58</v>
      </c>
      <c r="E357" t="s">
        <v>477</v>
      </c>
      <c r="F357" s="12" t="str">
        <f>IFERROR(VLOOKUP(B357,'INSUMOS  JULIO'!$B$6:$CJ$109,15,0),"")</f>
        <v>0</v>
      </c>
      <c r="G357" s="8">
        <f>IFERROR(VLOOKUP($B357,'INSUMOS  JULIO'!$B$6:$CJ$109,16,0),"")</f>
        <v>4364.8029999999999</v>
      </c>
      <c r="H357" s="19">
        <f t="shared" si="20"/>
        <v>0</v>
      </c>
      <c r="I357" s="1">
        <f t="shared" si="21"/>
        <v>0</v>
      </c>
      <c r="J357" s="1">
        <f t="shared" si="22"/>
        <v>0</v>
      </c>
      <c r="K357" s="19">
        <f t="shared" si="23"/>
        <v>0</v>
      </c>
    </row>
    <row r="358" spans="1:11" ht="15">
      <c r="A358" s="3">
        <v>554</v>
      </c>
      <c r="B358" s="151">
        <v>92</v>
      </c>
      <c r="C358" s="7" t="s">
        <v>160</v>
      </c>
      <c r="D358" s="4" t="s">
        <v>59</v>
      </c>
      <c r="E358" t="s">
        <v>477</v>
      </c>
      <c r="F358" s="12" t="str">
        <f>IFERROR(VLOOKUP(B358,'INSUMOS  JULIO'!$B$6:$CJ$109,15,0),"")</f>
        <v>0</v>
      </c>
      <c r="G358" s="8">
        <f>IFERROR(VLOOKUP($B358,'INSUMOS  JULIO'!$B$6:$CJ$109,16,0),"")</f>
        <v>2380.5149999999999</v>
      </c>
      <c r="H358" s="19">
        <f t="shared" si="20"/>
        <v>0</v>
      </c>
      <c r="I358" s="1">
        <f t="shared" si="21"/>
        <v>0</v>
      </c>
      <c r="J358" s="1">
        <f t="shared" si="22"/>
        <v>0</v>
      </c>
      <c r="K358" s="19">
        <f t="shared" si="23"/>
        <v>0</v>
      </c>
    </row>
    <row r="359" spans="1:11" ht="15">
      <c r="A359" s="3">
        <v>555</v>
      </c>
      <c r="B359" s="151">
        <v>94</v>
      </c>
      <c r="C359" s="7" t="s">
        <v>60</v>
      </c>
      <c r="D359" s="4" t="s">
        <v>61</v>
      </c>
      <c r="E359" t="s">
        <v>477</v>
      </c>
      <c r="F359" s="12" t="str">
        <f>IFERROR(VLOOKUP(B359,'INSUMOS  JULIO'!$B$6:$CJ$109,15,0),"")</f>
        <v>0</v>
      </c>
      <c r="G359" s="8">
        <f>IFERROR(VLOOKUP($B359,'INSUMOS  JULIO'!$B$6:$CJ$109,16,0),"")</f>
        <v>3316.9560000000001</v>
      </c>
      <c r="H359" s="19">
        <f t="shared" si="20"/>
        <v>0</v>
      </c>
      <c r="I359" s="1">
        <f t="shared" si="21"/>
        <v>0</v>
      </c>
      <c r="J359" s="1">
        <f t="shared" si="22"/>
        <v>0</v>
      </c>
      <c r="K359" s="19">
        <f t="shared" si="23"/>
        <v>0</v>
      </c>
    </row>
    <row r="360" spans="1:11" ht="15">
      <c r="A360" s="3">
        <v>556</v>
      </c>
      <c r="B360" s="151">
        <v>95</v>
      </c>
      <c r="C360" s="7" t="s">
        <v>60</v>
      </c>
      <c r="D360" s="4" t="s">
        <v>62</v>
      </c>
      <c r="E360" t="s">
        <v>477</v>
      </c>
      <c r="F360" s="12" t="str">
        <f>IFERROR(VLOOKUP(B360,'INSUMOS  JULIO'!$B$6:$CJ$109,15,0),"")</f>
        <v>0</v>
      </c>
      <c r="G360" s="8">
        <f>IFERROR(VLOOKUP($B360,'INSUMOS  JULIO'!$B$6:$CJ$109,16,0),"")</f>
        <v>11056.52</v>
      </c>
      <c r="H360" s="19">
        <f t="shared" si="20"/>
        <v>0</v>
      </c>
      <c r="I360" s="1">
        <f t="shared" si="21"/>
        <v>0</v>
      </c>
      <c r="J360" s="1">
        <f t="shared" si="22"/>
        <v>0</v>
      </c>
      <c r="K360" s="19">
        <f t="shared" si="23"/>
        <v>0</v>
      </c>
    </row>
    <row r="361" spans="1:11" ht="15">
      <c r="A361" s="3">
        <v>557</v>
      </c>
      <c r="B361" s="151">
        <v>98</v>
      </c>
      <c r="C361" s="7" t="s">
        <v>151</v>
      </c>
      <c r="D361" s="4" t="s">
        <v>63</v>
      </c>
      <c r="E361" t="s">
        <v>477</v>
      </c>
      <c r="F361" s="12">
        <f>IFERROR(VLOOKUP(B361,'INSUMOS  JULIO'!$B$6:$CJ$109,15,0),"")</f>
        <v>0</v>
      </c>
      <c r="G361" s="8">
        <f>IFERROR(VLOOKUP($B361,'INSUMOS  JULIO'!$B$6:$CJ$109,16,0),"")</f>
        <v>6633.9120000000003</v>
      </c>
      <c r="H361" s="19">
        <f t="shared" si="20"/>
        <v>0</v>
      </c>
      <c r="I361" s="1">
        <f t="shared" si="21"/>
        <v>0</v>
      </c>
      <c r="J361" s="1">
        <f t="shared" si="22"/>
        <v>0</v>
      </c>
      <c r="K361" s="19">
        <f t="shared" si="23"/>
        <v>0</v>
      </c>
    </row>
    <row r="362" spans="1:11" ht="15">
      <c r="A362" s="3">
        <v>558</v>
      </c>
      <c r="B362" s="151">
        <v>100</v>
      </c>
      <c r="C362" s="7" t="s">
        <v>160</v>
      </c>
      <c r="D362" s="4" t="s">
        <v>64</v>
      </c>
      <c r="E362" t="s">
        <v>477</v>
      </c>
      <c r="F362" s="12" t="str">
        <f>IFERROR(VLOOKUP(B362,'INSUMOS  JULIO'!$B$6:$CJ$109,15,0),"")</f>
        <v>0</v>
      </c>
      <c r="G362" s="8">
        <f>IFERROR(VLOOKUP($B362,'INSUMOS  JULIO'!$B$6:$CJ$109,16,0),"")</f>
        <v>4364.8029999999999</v>
      </c>
      <c r="H362" s="19">
        <f t="shared" si="20"/>
        <v>0</v>
      </c>
      <c r="I362" s="1">
        <f t="shared" si="21"/>
        <v>0</v>
      </c>
      <c r="J362" s="1">
        <f t="shared" si="22"/>
        <v>0</v>
      </c>
      <c r="K362" s="19">
        <f t="shared" si="23"/>
        <v>0</v>
      </c>
    </row>
    <row r="363" spans="1:11" ht="15">
      <c r="A363" s="3">
        <v>559</v>
      </c>
      <c r="B363" s="151">
        <v>102</v>
      </c>
      <c r="C363" s="7" t="s">
        <v>60</v>
      </c>
      <c r="D363" s="4" t="s">
        <v>65</v>
      </c>
      <c r="E363" t="s">
        <v>477</v>
      </c>
      <c r="F363" s="12" t="str">
        <f>IFERROR(VLOOKUP(B363,'INSUMOS  JULIO'!$B$6:$CJ$109,15,0),"")</f>
        <v>0</v>
      </c>
      <c r="G363" s="8">
        <f>IFERROR(VLOOKUP($B363,'INSUMOS  JULIO'!$B$6:$CJ$109,16,0),"")</f>
        <v>3811.9770000000003</v>
      </c>
      <c r="H363" s="19">
        <f t="shared" si="20"/>
        <v>0</v>
      </c>
      <c r="I363" s="1">
        <f t="shared" si="21"/>
        <v>0</v>
      </c>
      <c r="J363" s="1">
        <f t="shared" si="22"/>
        <v>0</v>
      </c>
      <c r="K363" s="19">
        <f t="shared" si="23"/>
        <v>0</v>
      </c>
    </row>
    <row r="364" spans="1:11" ht="15">
      <c r="A364" s="3">
        <v>560</v>
      </c>
      <c r="B364" s="151">
        <v>103</v>
      </c>
      <c r="C364" s="7" t="s">
        <v>66</v>
      </c>
      <c r="D364" s="4" t="s">
        <v>67</v>
      </c>
      <c r="E364" t="s">
        <v>477</v>
      </c>
      <c r="F364" s="12" t="str">
        <f>IFERROR(VLOOKUP(B364,'INSUMOS  JULIO'!$B$6:$CJ$109,15,0),"")</f>
        <v>0</v>
      </c>
      <c r="G364" s="8">
        <f>IFERROR(VLOOKUP($B364,'INSUMOS  JULIO'!$B$6:$CJ$109,16,0),"")</f>
        <v>18022.547999999999</v>
      </c>
      <c r="H364" s="19">
        <f t="shared" si="20"/>
        <v>0</v>
      </c>
      <c r="I364" s="1">
        <f t="shared" si="21"/>
        <v>0</v>
      </c>
      <c r="J364" s="1">
        <f t="shared" si="22"/>
        <v>0</v>
      </c>
      <c r="K364" s="19">
        <f t="shared" si="23"/>
        <v>0</v>
      </c>
    </row>
    <row r="365" spans="1:11" ht="15">
      <c r="A365" s="3">
        <v>561</v>
      </c>
      <c r="B365" s="151">
        <v>104</v>
      </c>
      <c r="C365" s="7" t="s">
        <v>66</v>
      </c>
      <c r="D365" s="4" t="s">
        <v>68</v>
      </c>
      <c r="E365" t="s">
        <v>477</v>
      </c>
      <c r="F365" s="12" t="str">
        <f>IFERROR(VLOOKUP(B365,'INSUMOS  JULIO'!$B$6:$CJ$109,15,0),"")</f>
        <v>0</v>
      </c>
      <c r="G365" s="8">
        <f>IFERROR(VLOOKUP($B365,'INSUMOS  JULIO'!$B$6:$CJ$109,16,0),"")</f>
        <v>18022.547999999999</v>
      </c>
      <c r="H365" s="19">
        <f t="shared" si="20"/>
        <v>0</v>
      </c>
      <c r="I365" s="1">
        <f t="shared" si="21"/>
        <v>0</v>
      </c>
      <c r="J365" s="1">
        <f t="shared" si="22"/>
        <v>0</v>
      </c>
      <c r="K365" s="19">
        <f t="shared" si="23"/>
        <v>0</v>
      </c>
    </row>
    <row r="366" spans="1:11" ht="15">
      <c r="A366" s="3">
        <v>562</v>
      </c>
      <c r="B366" s="151">
        <v>105</v>
      </c>
      <c r="C366" s="7" t="s">
        <v>66</v>
      </c>
      <c r="D366" s="4" t="s">
        <v>69</v>
      </c>
      <c r="E366" t="s">
        <v>477</v>
      </c>
      <c r="F366" s="12" t="str">
        <f>IFERROR(VLOOKUP(B366,'INSUMOS  JULIO'!$B$6:$CJ$109,15,0),"")</f>
        <v>0</v>
      </c>
      <c r="G366" s="8">
        <f>IFERROR(VLOOKUP($B366,'INSUMOS  JULIO'!$B$6:$CJ$109,16,0),"")</f>
        <v>27641.3</v>
      </c>
      <c r="H366" s="19">
        <f t="shared" si="20"/>
        <v>0</v>
      </c>
      <c r="I366" s="1">
        <f t="shared" si="21"/>
        <v>0</v>
      </c>
      <c r="J366" s="1">
        <f t="shared" si="22"/>
        <v>0</v>
      </c>
      <c r="K366" s="19">
        <f t="shared" si="23"/>
        <v>0</v>
      </c>
    </row>
    <row r="367" spans="1:11" ht="15">
      <c r="A367" s="3">
        <v>563</v>
      </c>
      <c r="B367" s="151">
        <v>106</v>
      </c>
      <c r="C367" s="7" t="s">
        <v>66</v>
      </c>
      <c r="D367" s="4" t="s">
        <v>70</v>
      </c>
      <c r="E367" t="s">
        <v>477</v>
      </c>
      <c r="F367" s="12" t="str">
        <f>IFERROR(VLOOKUP(B367,'INSUMOS  JULIO'!$B$6:$CJ$109,15,0),"")</f>
        <v>0</v>
      </c>
      <c r="G367" s="8">
        <f>IFERROR(VLOOKUP($B367,'INSUMOS  JULIO'!$B$6:$CJ$109,16,0),"")</f>
        <v>0</v>
      </c>
      <c r="H367" s="19">
        <f t="shared" si="20"/>
        <v>0</v>
      </c>
      <c r="I367" s="1">
        <f t="shared" si="21"/>
        <v>0</v>
      </c>
      <c r="J367" s="1">
        <f t="shared" si="22"/>
        <v>0</v>
      </c>
      <c r="K367" s="19">
        <f t="shared" si="23"/>
        <v>0</v>
      </c>
    </row>
    <row r="368" spans="1:11" ht="15">
      <c r="A368" s="3">
        <v>564</v>
      </c>
      <c r="B368" s="151">
        <v>108</v>
      </c>
      <c r="C368" s="7" t="s">
        <v>66</v>
      </c>
      <c r="D368" s="4" t="s">
        <v>71</v>
      </c>
      <c r="E368" t="s">
        <v>477</v>
      </c>
      <c r="F368" s="12" t="str">
        <f>IFERROR(VLOOKUP(B368,'INSUMOS  JULIO'!$B$6:$CJ$109,15,0),"")</f>
        <v>0</v>
      </c>
      <c r="G368" s="8">
        <f>IFERROR(VLOOKUP($B368,'INSUMOS  JULIO'!$B$6:$CJ$109,16,0),"")</f>
        <v>38697.82</v>
      </c>
      <c r="H368" s="19">
        <f t="shared" si="20"/>
        <v>0</v>
      </c>
      <c r="I368" s="1">
        <f t="shared" si="21"/>
        <v>0</v>
      </c>
      <c r="J368" s="1">
        <f t="shared" si="22"/>
        <v>0</v>
      </c>
      <c r="K368" s="19">
        <f t="shared" si="23"/>
        <v>0</v>
      </c>
    </row>
    <row r="369" spans="1:11" ht="15">
      <c r="A369" s="3">
        <v>565</v>
      </c>
      <c r="B369" s="151">
        <v>109</v>
      </c>
      <c r="C369" s="7" t="s">
        <v>66</v>
      </c>
      <c r="D369" s="4" t="s">
        <v>72</v>
      </c>
      <c r="E369" t="s">
        <v>477</v>
      </c>
      <c r="F369" s="12" t="str">
        <f>IFERROR(VLOOKUP(B369,'INSUMOS  JULIO'!$B$6:$CJ$109,15,0),"")</f>
        <v>0</v>
      </c>
      <c r="G369" s="8">
        <f>IFERROR(VLOOKUP($B369,'INSUMOS  JULIO'!$B$6:$CJ$109,16,0),"")</f>
        <v>49754.340000000004</v>
      </c>
      <c r="H369" s="19">
        <f t="shared" si="20"/>
        <v>0</v>
      </c>
      <c r="I369" s="1">
        <f t="shared" si="21"/>
        <v>0</v>
      </c>
      <c r="J369" s="1">
        <f t="shared" si="22"/>
        <v>0</v>
      </c>
      <c r="K369" s="19">
        <f t="shared" si="23"/>
        <v>0</v>
      </c>
    </row>
    <row r="370" spans="1:11" ht="15">
      <c r="A370" s="3">
        <v>566</v>
      </c>
      <c r="B370" s="151">
        <v>110</v>
      </c>
      <c r="C370" s="7" t="s">
        <v>158</v>
      </c>
      <c r="D370" s="4" t="s">
        <v>73</v>
      </c>
      <c r="E370" t="s">
        <v>477</v>
      </c>
      <c r="F370" s="12">
        <f>IFERROR(VLOOKUP(B370,'INSUMOS  JULIO'!$B$6:$CJ$109,15,0),"")</f>
        <v>0</v>
      </c>
      <c r="G370" s="8">
        <f>IFERROR(VLOOKUP($B370,'INSUMOS  JULIO'!$B$6:$CJ$109,16,0),"")</f>
        <v>470.84799999999996</v>
      </c>
      <c r="H370" s="19">
        <f t="shared" si="20"/>
        <v>0</v>
      </c>
      <c r="I370" s="1">
        <f t="shared" si="21"/>
        <v>0</v>
      </c>
      <c r="J370" s="1">
        <f t="shared" si="22"/>
        <v>0</v>
      </c>
      <c r="K370" s="19">
        <f t="shared" si="23"/>
        <v>0</v>
      </c>
    </row>
    <row r="371" spans="1:11" ht="15">
      <c r="A371" s="3">
        <v>567</v>
      </c>
      <c r="B371" s="151">
        <v>118</v>
      </c>
      <c r="C371" s="7" t="s">
        <v>158</v>
      </c>
      <c r="D371" s="4" t="s">
        <v>74</v>
      </c>
      <c r="E371" t="s">
        <v>477</v>
      </c>
      <c r="F371" s="12">
        <f>IFERROR(VLOOKUP(B371,'INSUMOS  JULIO'!$B$6:$CJ$109,15,0),"")</f>
        <v>0</v>
      </c>
      <c r="G371" s="8">
        <f>IFERROR(VLOOKUP($B371,'INSUMOS  JULIO'!$B$6:$CJ$109,16,0),"")</f>
        <v>2455.136</v>
      </c>
      <c r="H371" s="19">
        <f t="shared" si="20"/>
        <v>0</v>
      </c>
      <c r="I371" s="1">
        <f t="shared" si="21"/>
        <v>0</v>
      </c>
      <c r="J371" s="1">
        <f t="shared" si="22"/>
        <v>0</v>
      </c>
      <c r="K371" s="19">
        <f t="shared" si="23"/>
        <v>0</v>
      </c>
    </row>
    <row r="372" spans="1:11" ht="15">
      <c r="A372" s="3">
        <v>568</v>
      </c>
      <c r="B372" s="151">
        <v>119</v>
      </c>
      <c r="C372" s="7" t="s">
        <v>158</v>
      </c>
      <c r="D372" s="4" t="s">
        <v>75</v>
      </c>
      <c r="E372" t="s">
        <v>477</v>
      </c>
      <c r="F372" s="12" t="str">
        <f>IFERROR(VLOOKUP(B372,'INSUMOS  JULIO'!$B$6:$CJ$109,15,0),"")</f>
        <v>0</v>
      </c>
      <c r="G372" s="8">
        <f>IFERROR(VLOOKUP($B372,'INSUMOS  JULIO'!$B$6:$CJ$109,16,0),"")</f>
        <v>2821.9350000000004</v>
      </c>
      <c r="H372" s="19">
        <f t="shared" si="20"/>
        <v>0</v>
      </c>
      <c r="I372" s="1">
        <f t="shared" si="21"/>
        <v>0</v>
      </c>
      <c r="J372" s="1">
        <f t="shared" si="22"/>
        <v>0</v>
      </c>
      <c r="K372" s="19">
        <f t="shared" si="23"/>
        <v>0</v>
      </c>
    </row>
    <row r="373" spans="1:11" ht="15">
      <c r="A373" s="3">
        <v>569</v>
      </c>
      <c r="B373" s="151">
        <v>120</v>
      </c>
      <c r="C373" s="7" t="s">
        <v>158</v>
      </c>
      <c r="D373" s="4" t="s">
        <v>76</v>
      </c>
      <c r="E373" t="s">
        <v>477</v>
      </c>
      <c r="F373" s="12" t="str">
        <f>IFERROR(VLOOKUP(B373,'INSUMOS  JULIO'!$B$6:$CJ$109,15,0),"")</f>
        <v>0</v>
      </c>
      <c r="G373" s="8">
        <f>IFERROR(VLOOKUP($B373,'INSUMOS  JULIO'!$B$6:$CJ$109,16,0),"")</f>
        <v>2821.9350000000004</v>
      </c>
      <c r="H373" s="19">
        <f t="shared" si="20"/>
        <v>0</v>
      </c>
      <c r="I373" s="1">
        <f t="shared" si="21"/>
        <v>0</v>
      </c>
      <c r="J373" s="1">
        <f t="shared" si="22"/>
        <v>0</v>
      </c>
      <c r="K373" s="19">
        <f t="shared" si="23"/>
        <v>0</v>
      </c>
    </row>
    <row r="374" spans="1:11" ht="15">
      <c r="A374" s="3">
        <v>570</v>
      </c>
      <c r="B374" s="151">
        <v>122</v>
      </c>
      <c r="C374" s="7" t="s">
        <v>158</v>
      </c>
      <c r="D374" s="4" t="s">
        <v>77</v>
      </c>
      <c r="E374" t="s">
        <v>477</v>
      </c>
      <c r="F374" s="12" t="str">
        <f>IFERROR(VLOOKUP(B374,'INSUMOS  JULIO'!$B$6:$CJ$109,15,0),"")</f>
        <v>0</v>
      </c>
      <c r="G374" s="8">
        <f>IFERROR(VLOOKUP($B374,'INSUMOS  JULIO'!$B$6:$CJ$109,16,0),"")</f>
        <v>5223.4699999999993</v>
      </c>
      <c r="H374" s="19">
        <f t="shared" si="20"/>
        <v>0</v>
      </c>
      <c r="I374" s="1">
        <f t="shared" si="21"/>
        <v>0</v>
      </c>
      <c r="J374" s="1">
        <f t="shared" si="22"/>
        <v>0</v>
      </c>
      <c r="K374" s="19">
        <f t="shared" si="23"/>
        <v>0</v>
      </c>
    </row>
    <row r="375" spans="1:11" ht="15">
      <c r="A375" s="3">
        <v>571</v>
      </c>
      <c r="B375" s="151">
        <v>123</v>
      </c>
      <c r="C375" s="7" t="s">
        <v>158</v>
      </c>
      <c r="D375" s="4" t="s">
        <v>78</v>
      </c>
      <c r="E375" t="s">
        <v>477</v>
      </c>
      <c r="F375" s="12" t="str">
        <f>IFERROR(VLOOKUP(B375,'INSUMOS  JULIO'!$B$6:$CJ$109,15,0),"")</f>
        <v>0</v>
      </c>
      <c r="G375" s="8">
        <f>IFERROR(VLOOKUP($B375,'INSUMOS  JULIO'!$B$6:$CJ$109,16,0),"")</f>
        <v>5765.7860000000001</v>
      </c>
      <c r="H375" s="19">
        <f t="shared" si="20"/>
        <v>0</v>
      </c>
      <c r="I375" s="1">
        <f t="shared" si="21"/>
        <v>0</v>
      </c>
      <c r="J375" s="1">
        <f t="shared" si="22"/>
        <v>0</v>
      </c>
      <c r="K375" s="19">
        <f t="shared" si="23"/>
        <v>0</v>
      </c>
    </row>
    <row r="376" spans="1:11" ht="15">
      <c r="A376" s="3">
        <v>572</v>
      </c>
      <c r="B376" s="151">
        <v>124</v>
      </c>
      <c r="C376" s="7" t="s">
        <v>158</v>
      </c>
      <c r="D376" s="4" t="s">
        <v>79</v>
      </c>
      <c r="E376" t="s">
        <v>477</v>
      </c>
      <c r="F376" s="12" t="str">
        <f>IFERROR(VLOOKUP(B376,'INSUMOS  JULIO'!$B$6:$CJ$109,15,0),"")</f>
        <v>0</v>
      </c>
      <c r="G376" s="8">
        <f>IFERROR(VLOOKUP($B376,'INSUMOS  JULIO'!$B$6:$CJ$109,16,0),"")</f>
        <v>5765.7860000000001</v>
      </c>
      <c r="H376" s="19">
        <f t="shared" si="20"/>
        <v>0</v>
      </c>
      <c r="I376" s="1">
        <f t="shared" si="21"/>
        <v>0</v>
      </c>
      <c r="J376" s="1">
        <f t="shared" si="22"/>
        <v>0</v>
      </c>
      <c r="K376" s="19">
        <f t="shared" si="23"/>
        <v>0</v>
      </c>
    </row>
    <row r="377" spans="1:11" ht="15">
      <c r="A377" s="3">
        <v>573</v>
      </c>
      <c r="B377" s="151">
        <v>126</v>
      </c>
      <c r="C377" s="7" t="s">
        <v>9</v>
      </c>
      <c r="D377" s="4" t="s">
        <v>80</v>
      </c>
      <c r="E377" t="s">
        <v>477</v>
      </c>
      <c r="F377" s="12" t="str">
        <f>IFERROR(VLOOKUP(B377,'INSUMOS  JULIO'!$B$6:$CJ$109,15,0),"")</f>
        <v>0</v>
      </c>
      <c r="G377" s="8">
        <f>IFERROR(VLOOKUP($B377,'INSUMOS  JULIO'!$B$6:$CJ$109,16,0),"")</f>
        <v>3316.9560000000001</v>
      </c>
      <c r="H377" s="19">
        <f t="shared" si="20"/>
        <v>0</v>
      </c>
      <c r="I377" s="1">
        <f t="shared" si="21"/>
        <v>0</v>
      </c>
      <c r="J377" s="1">
        <f t="shared" si="22"/>
        <v>0</v>
      </c>
      <c r="K377" s="19">
        <f t="shared" si="23"/>
        <v>0</v>
      </c>
    </row>
    <row r="378" spans="1:11" ht="15">
      <c r="A378" s="3">
        <v>574</v>
      </c>
      <c r="B378" s="151">
        <v>127</v>
      </c>
      <c r="C378" s="7" t="s">
        <v>156</v>
      </c>
      <c r="D378" s="4" t="s">
        <v>81</v>
      </c>
      <c r="E378" t="s">
        <v>477</v>
      </c>
      <c r="F378" s="12" t="str">
        <f>IFERROR(VLOOKUP(B378,'INSUMOS  JULIO'!$B$6:$CJ$109,15,0),"")</f>
        <v>0</v>
      </c>
      <c r="G378" s="8">
        <f>IFERROR(VLOOKUP($B378,'INSUMOS  JULIO'!$B$6:$CJ$109,16,0),"")</f>
        <v>3316.9560000000001</v>
      </c>
      <c r="H378" s="19">
        <f t="shared" si="20"/>
        <v>0</v>
      </c>
      <c r="I378" s="1">
        <f t="shared" si="21"/>
        <v>0</v>
      </c>
      <c r="J378" s="1">
        <f t="shared" si="22"/>
        <v>0</v>
      </c>
      <c r="K378" s="19">
        <f t="shared" si="23"/>
        <v>0</v>
      </c>
    </row>
    <row r="379" spans="1:11" ht="15">
      <c r="A379" s="3">
        <v>575</v>
      </c>
      <c r="B379" s="151">
        <v>129</v>
      </c>
      <c r="C379" s="7" t="s">
        <v>157</v>
      </c>
      <c r="D379" s="4" t="s">
        <v>82</v>
      </c>
      <c r="E379" t="s">
        <v>477</v>
      </c>
      <c r="F379" s="12" t="str">
        <f>IFERROR(VLOOKUP(B379,'INSUMOS  JULIO'!$B$6:$CJ$109,15,0),"")</f>
        <v>0</v>
      </c>
      <c r="G379" s="8">
        <f>IFERROR(VLOOKUP($B379,'INSUMOS  JULIO'!$B$6:$CJ$109,16,0),"")</f>
        <v>3787.8040000000001</v>
      </c>
      <c r="H379" s="19">
        <f t="shared" si="20"/>
        <v>0</v>
      </c>
      <c r="I379" s="1">
        <f t="shared" si="21"/>
        <v>0</v>
      </c>
      <c r="J379" s="1">
        <f t="shared" si="22"/>
        <v>0</v>
      </c>
      <c r="K379" s="19">
        <f t="shared" si="23"/>
        <v>0</v>
      </c>
    </row>
    <row r="380" spans="1:11" ht="15">
      <c r="A380" s="3">
        <v>576</v>
      </c>
      <c r="B380" s="151">
        <v>131</v>
      </c>
      <c r="C380" s="7" t="s">
        <v>13</v>
      </c>
      <c r="D380" s="4" t="s">
        <v>83</v>
      </c>
      <c r="E380" t="s">
        <v>477</v>
      </c>
      <c r="F380" s="12" t="str">
        <f>IFERROR(VLOOKUP(B380,'INSUMOS  JULIO'!$B$6:$CJ$109,15,0),"")</f>
        <v>0</v>
      </c>
      <c r="G380" s="8">
        <f>IFERROR(VLOOKUP($B380,'INSUMOS  JULIO'!$B$6:$CJ$109,16,0),"")</f>
        <v>0</v>
      </c>
      <c r="H380" s="19">
        <f t="shared" si="20"/>
        <v>0</v>
      </c>
      <c r="I380" s="1">
        <f t="shared" si="21"/>
        <v>0</v>
      </c>
      <c r="J380" s="1">
        <f t="shared" si="22"/>
        <v>0</v>
      </c>
      <c r="K380" s="19">
        <f t="shared" si="23"/>
        <v>0</v>
      </c>
    </row>
    <row r="381" spans="1:11" ht="15">
      <c r="A381" s="3">
        <v>577</v>
      </c>
      <c r="B381" s="151">
        <v>132</v>
      </c>
      <c r="C381" s="7" t="s">
        <v>13</v>
      </c>
      <c r="D381" s="4" t="s">
        <v>84</v>
      </c>
      <c r="E381" t="s">
        <v>477</v>
      </c>
      <c r="F381" s="12" t="str">
        <f>IFERROR(VLOOKUP(B381,'INSUMOS  JULIO'!$B$6:$CJ$109,15,0),"")</f>
        <v>0</v>
      </c>
      <c r="G381" s="8">
        <f>IFERROR(VLOOKUP($B381,'INSUMOS  JULIO'!$B$6:$CJ$109,16,0),"")</f>
        <v>0</v>
      </c>
      <c r="H381" s="19">
        <f t="shared" si="20"/>
        <v>0</v>
      </c>
      <c r="I381" s="1">
        <f t="shared" si="21"/>
        <v>0</v>
      </c>
      <c r="J381" s="1">
        <f t="shared" si="22"/>
        <v>0</v>
      </c>
      <c r="K381" s="19">
        <f t="shared" si="23"/>
        <v>0</v>
      </c>
    </row>
    <row r="382" spans="1:11" ht="15">
      <c r="A382" s="3">
        <v>578</v>
      </c>
      <c r="B382" s="151">
        <v>134</v>
      </c>
      <c r="C382" s="7" t="s">
        <v>16</v>
      </c>
      <c r="D382" s="4" t="s">
        <v>85</v>
      </c>
      <c r="E382" t="s">
        <v>477</v>
      </c>
      <c r="F382" s="12" t="str">
        <f>IFERROR(VLOOKUP(B382,'INSUMOS  JULIO'!$B$6:$CJ$109,15,0),"")</f>
        <v>0</v>
      </c>
      <c r="G382" s="8">
        <f>IFERROR(VLOOKUP($B382,'INSUMOS  JULIO'!$B$6:$CJ$109,16,0),"")</f>
        <v>0</v>
      </c>
      <c r="H382" s="19">
        <f t="shared" si="20"/>
        <v>0</v>
      </c>
      <c r="I382" s="1">
        <f t="shared" si="21"/>
        <v>0</v>
      </c>
      <c r="J382" s="1">
        <f t="shared" si="22"/>
        <v>0</v>
      </c>
      <c r="K382" s="19">
        <f t="shared" si="23"/>
        <v>0</v>
      </c>
    </row>
    <row r="383" spans="1:11" ht="15">
      <c r="A383" s="3">
        <v>579</v>
      </c>
      <c r="B383" s="151">
        <v>135</v>
      </c>
      <c r="C383" s="7" t="s">
        <v>18</v>
      </c>
      <c r="D383" s="4" t="s">
        <v>86</v>
      </c>
      <c r="E383" t="s">
        <v>477</v>
      </c>
      <c r="F383" s="12">
        <f>IFERROR(VLOOKUP(B383,'INSUMOS  JULIO'!$B$6:$CJ$109,15,0),"")</f>
        <v>0</v>
      </c>
      <c r="G383" s="8">
        <f>IFERROR(VLOOKUP($B383,'INSUMOS  JULIO'!$B$6:$CJ$109,16,0),"")</f>
        <v>6229.277</v>
      </c>
      <c r="H383" s="19">
        <f t="shared" si="20"/>
        <v>0</v>
      </c>
      <c r="I383" s="1">
        <f t="shared" si="21"/>
        <v>0</v>
      </c>
      <c r="J383" s="1">
        <f t="shared" si="22"/>
        <v>0</v>
      </c>
      <c r="K383" s="19">
        <f t="shared" si="23"/>
        <v>0</v>
      </c>
    </row>
    <row r="384" spans="1:11" ht="15">
      <c r="A384" s="3">
        <v>580</v>
      </c>
      <c r="B384" s="151">
        <v>137</v>
      </c>
      <c r="C384" s="7" t="s">
        <v>20</v>
      </c>
      <c r="D384" s="4" t="s">
        <v>88</v>
      </c>
      <c r="E384" t="s">
        <v>477</v>
      </c>
      <c r="F384" s="12" t="str">
        <f>IFERROR(VLOOKUP(B384,'INSUMOS  JULIO'!$B$6:$CJ$109,15,0),"")</f>
        <v>0</v>
      </c>
      <c r="G384" s="8">
        <f>IFERROR(VLOOKUP($B384,'INSUMOS  JULIO'!$B$6:$CJ$109,16,0),"")</f>
        <v>1245.4349999999999</v>
      </c>
      <c r="H384" s="19">
        <f t="shared" si="20"/>
        <v>0</v>
      </c>
      <c r="I384" s="1">
        <f t="shared" si="21"/>
        <v>0</v>
      </c>
      <c r="J384" s="1">
        <f t="shared" si="22"/>
        <v>0</v>
      </c>
      <c r="K384" s="19">
        <f t="shared" si="23"/>
        <v>0</v>
      </c>
    </row>
    <row r="385" spans="1:11" ht="15">
      <c r="A385" s="3">
        <v>581</v>
      </c>
      <c r="B385" s="151">
        <v>139</v>
      </c>
      <c r="C385" s="7" t="s">
        <v>22</v>
      </c>
      <c r="D385" s="4" t="s">
        <v>89</v>
      </c>
      <c r="E385" t="s">
        <v>477</v>
      </c>
      <c r="F385" s="12">
        <f>IFERROR(VLOOKUP(B385,'INSUMOS  JULIO'!$B$6:$CJ$109,15,0),"")</f>
        <v>0</v>
      </c>
      <c r="G385" s="8">
        <f>IFERROR(VLOOKUP($B385,'INSUMOS  JULIO'!$B$6:$CJ$109,16,0),"")</f>
        <v>25429.996000000003</v>
      </c>
      <c r="H385" s="19">
        <f t="shared" si="20"/>
        <v>0</v>
      </c>
      <c r="I385" s="1">
        <f t="shared" si="21"/>
        <v>0</v>
      </c>
      <c r="J385" s="1">
        <f t="shared" si="22"/>
        <v>0</v>
      </c>
      <c r="K385" s="19">
        <f t="shared" si="23"/>
        <v>0</v>
      </c>
    </row>
    <row r="386" spans="1:11" ht="15">
      <c r="A386" s="3">
        <v>582</v>
      </c>
      <c r="B386" s="151">
        <v>151</v>
      </c>
      <c r="C386" s="7" t="s">
        <v>18</v>
      </c>
      <c r="D386" s="4" t="s">
        <v>91</v>
      </c>
      <c r="E386" t="s">
        <v>477</v>
      </c>
      <c r="F386" s="12">
        <f>IFERROR(VLOOKUP(B386,'INSUMOS  JULIO'!$B$6:$CJ$109,15,0),"")</f>
        <v>0</v>
      </c>
      <c r="G386" s="8">
        <f>IFERROR(VLOOKUP($B386,'INSUMOS  JULIO'!$B$6:$CJ$109,16,0),"")</f>
        <v>4422.6080000000002</v>
      </c>
      <c r="H386" s="19">
        <f t="shared" si="20"/>
        <v>0</v>
      </c>
      <c r="I386" s="1">
        <f t="shared" si="21"/>
        <v>0</v>
      </c>
      <c r="J386" s="1">
        <f t="shared" si="22"/>
        <v>0</v>
      </c>
      <c r="K386" s="19">
        <f t="shared" si="23"/>
        <v>0</v>
      </c>
    </row>
    <row r="387" spans="1:11" ht="15">
      <c r="A387" s="3">
        <v>583</v>
      </c>
      <c r="B387" s="151">
        <v>152</v>
      </c>
      <c r="C387" s="7" t="s">
        <v>155</v>
      </c>
      <c r="D387" s="4" t="s">
        <v>92</v>
      </c>
      <c r="E387" t="s">
        <v>477</v>
      </c>
      <c r="F387" s="12" t="str">
        <f>IFERROR(VLOOKUP(B387,'INSUMOS  JULIO'!$B$6:$CJ$109,15,0),"")</f>
        <v>0</v>
      </c>
      <c r="G387" s="8">
        <f>IFERROR(VLOOKUP($B387,'INSUMOS  JULIO'!$B$6:$CJ$109,16,0),"")</f>
        <v>0</v>
      </c>
      <c r="H387" s="19">
        <f t="shared" si="20"/>
        <v>0</v>
      </c>
      <c r="I387" s="1">
        <f t="shared" si="21"/>
        <v>0</v>
      </c>
      <c r="J387" s="1">
        <f t="shared" si="22"/>
        <v>0</v>
      </c>
      <c r="K387" s="19">
        <f t="shared" si="23"/>
        <v>0</v>
      </c>
    </row>
    <row r="388" spans="1:11" ht="15">
      <c r="A388" s="3">
        <v>584</v>
      </c>
      <c r="B388" s="151">
        <v>154</v>
      </c>
      <c r="C388" s="7" t="s">
        <v>16</v>
      </c>
      <c r="D388" s="4" t="s">
        <v>94</v>
      </c>
      <c r="E388" t="s">
        <v>477</v>
      </c>
      <c r="F388" s="12" t="str">
        <f>IFERROR(VLOOKUP(B388,'INSUMOS  JULIO'!$B$6:$CJ$109,15,0),"")</f>
        <v>0</v>
      </c>
      <c r="G388" s="8">
        <f>IFERROR(VLOOKUP($B388,'INSUMOS  JULIO'!$B$6:$CJ$109,16,0),"")</f>
        <v>0</v>
      </c>
      <c r="H388" s="19">
        <f t="shared" si="20"/>
        <v>0</v>
      </c>
      <c r="I388" s="1">
        <f t="shared" si="21"/>
        <v>0</v>
      </c>
      <c r="J388" s="1">
        <f t="shared" si="22"/>
        <v>0</v>
      </c>
      <c r="K388" s="19">
        <f t="shared" si="23"/>
        <v>0</v>
      </c>
    </row>
    <row r="389" spans="1:11" ht="15">
      <c r="A389" s="3">
        <v>585</v>
      </c>
      <c r="B389" s="151">
        <v>155</v>
      </c>
      <c r="C389" s="7" t="s">
        <v>27</v>
      </c>
      <c r="D389" s="4" t="s">
        <v>95</v>
      </c>
      <c r="E389" t="s">
        <v>477</v>
      </c>
      <c r="F389" s="12">
        <f>IFERROR(VLOOKUP(B389,'INSUMOS  JULIO'!$B$6:$CJ$109,15,0),"")</f>
        <v>0</v>
      </c>
      <c r="G389" s="8">
        <f>IFERROR(VLOOKUP($B389,'INSUMOS  JULIO'!$B$6:$CJ$109,16,0),"")</f>
        <v>3703.7239999999997</v>
      </c>
      <c r="H389" s="19">
        <f t="shared" si="20"/>
        <v>0</v>
      </c>
      <c r="I389" s="1">
        <f t="shared" si="21"/>
        <v>0</v>
      </c>
      <c r="J389" s="1">
        <f t="shared" si="22"/>
        <v>0</v>
      </c>
      <c r="K389" s="19">
        <f t="shared" si="23"/>
        <v>0</v>
      </c>
    </row>
    <row r="390" spans="1:11" ht="15">
      <c r="A390" s="3">
        <v>625</v>
      </c>
      <c r="B390" s="151">
        <v>156</v>
      </c>
      <c r="C390" s="7" t="s">
        <v>13</v>
      </c>
      <c r="D390" s="4" t="s">
        <v>96</v>
      </c>
      <c r="E390" t="s">
        <v>477</v>
      </c>
      <c r="F390" s="12" t="str">
        <f>IFERROR(VLOOKUP(B390,'INSUMOS  JULIO'!$B$6:$CJ$109,15,0),"")</f>
        <v>0</v>
      </c>
      <c r="G390" s="8">
        <f>IFERROR(VLOOKUP($B390,'INSUMOS  JULIO'!$B$6:$CJ$109,16,0),"")</f>
        <v>4422.6080000000002</v>
      </c>
      <c r="H390" s="19">
        <f t="shared" ref="H390:H453" si="24">+F390*G390</f>
        <v>0</v>
      </c>
      <c r="I390" s="1">
        <f t="shared" ref="I390:I453" si="25">+H390*10%</f>
        <v>0</v>
      </c>
      <c r="J390" s="1">
        <f t="shared" ref="J390:J453" si="26">+I390*19%</f>
        <v>0</v>
      </c>
      <c r="K390" s="19">
        <f t="shared" ref="K390:K453" si="27">SUM(H390:J390)</f>
        <v>0</v>
      </c>
    </row>
    <row r="391" spans="1:11" ht="15">
      <c r="A391" s="3">
        <v>626</v>
      </c>
      <c r="B391" s="151">
        <v>157</v>
      </c>
      <c r="C391" s="7" t="s">
        <v>13</v>
      </c>
      <c r="D391" s="4" t="s">
        <v>97</v>
      </c>
      <c r="E391" t="s">
        <v>477</v>
      </c>
      <c r="F391" s="12">
        <f>IFERROR(VLOOKUP(B391,'INSUMOS  JULIO'!$B$6:$CJ$109,15,0),"")</f>
        <v>0</v>
      </c>
      <c r="G391" s="8">
        <f>IFERROR(VLOOKUP($B391,'INSUMOS  JULIO'!$B$6:$CJ$109,16,0),"")</f>
        <v>5970.7309999999998</v>
      </c>
      <c r="H391" s="19">
        <f t="shared" si="24"/>
        <v>0</v>
      </c>
      <c r="I391" s="1">
        <f t="shared" si="25"/>
        <v>0</v>
      </c>
      <c r="J391" s="1">
        <f t="shared" si="26"/>
        <v>0</v>
      </c>
      <c r="K391" s="19">
        <f t="shared" si="27"/>
        <v>0</v>
      </c>
    </row>
    <row r="392" spans="1:11" ht="15">
      <c r="A392" s="3">
        <v>627</v>
      </c>
      <c r="B392" s="151">
        <v>159</v>
      </c>
      <c r="C392" s="7" t="s">
        <v>13</v>
      </c>
      <c r="D392" s="4" t="s">
        <v>98</v>
      </c>
      <c r="E392" t="s">
        <v>477</v>
      </c>
      <c r="F392" s="12" t="str">
        <f>IFERROR(VLOOKUP(B392,'INSUMOS  JULIO'!$B$6:$CJ$109,15,0),"")</f>
        <v>0</v>
      </c>
      <c r="G392" s="8">
        <f>IFERROR(VLOOKUP($B392,'INSUMOS  JULIO'!$B$6:$CJ$109,16,0),"")</f>
        <v>0</v>
      </c>
      <c r="H392" s="19">
        <f t="shared" si="24"/>
        <v>0</v>
      </c>
      <c r="I392" s="1">
        <f t="shared" si="25"/>
        <v>0</v>
      </c>
      <c r="J392" s="1">
        <f t="shared" si="26"/>
        <v>0</v>
      </c>
      <c r="K392" s="19">
        <f t="shared" si="27"/>
        <v>0</v>
      </c>
    </row>
    <row r="393" spans="1:11" ht="15">
      <c r="A393" s="3">
        <v>628</v>
      </c>
      <c r="B393" s="151">
        <v>160</v>
      </c>
      <c r="C393" s="7" t="s">
        <v>13</v>
      </c>
      <c r="D393" s="4" t="s">
        <v>99</v>
      </c>
      <c r="E393" t="s">
        <v>477</v>
      </c>
      <c r="F393" s="12" t="str">
        <f>IFERROR(VLOOKUP(B393,'INSUMOS  JULIO'!$B$6:$CJ$109,15,0),"")</f>
        <v>0</v>
      </c>
      <c r="G393" s="8">
        <f>IFERROR(VLOOKUP($B393,'INSUMOS  JULIO'!$B$6:$CJ$109,16,0),"")</f>
        <v>2276.4660000000003</v>
      </c>
      <c r="H393" s="19">
        <f t="shared" si="24"/>
        <v>0</v>
      </c>
      <c r="I393" s="1">
        <f t="shared" si="25"/>
        <v>0</v>
      </c>
      <c r="J393" s="1">
        <f t="shared" si="26"/>
        <v>0</v>
      </c>
      <c r="K393" s="19">
        <f t="shared" si="27"/>
        <v>0</v>
      </c>
    </row>
    <row r="394" spans="1:11" ht="15">
      <c r="A394" s="3">
        <v>629</v>
      </c>
      <c r="B394" s="151">
        <v>161</v>
      </c>
      <c r="C394" s="7" t="s">
        <v>33</v>
      </c>
      <c r="D394" s="4" t="s">
        <v>100</v>
      </c>
      <c r="E394" t="s">
        <v>477</v>
      </c>
      <c r="F394" s="12" t="str">
        <f>IFERROR(VLOOKUP(B394,'INSUMOS  JULIO'!$B$6:$CJ$109,15,0),"")</f>
        <v>0</v>
      </c>
      <c r="G394" s="8">
        <f>IFERROR(VLOOKUP($B394,'INSUMOS  JULIO'!$B$6:$CJ$109,16,0),"")</f>
        <v>2236.5280000000002</v>
      </c>
      <c r="H394" s="19">
        <f t="shared" si="24"/>
        <v>0</v>
      </c>
      <c r="I394" s="1">
        <f t="shared" si="25"/>
        <v>0</v>
      </c>
      <c r="J394" s="1">
        <f t="shared" si="26"/>
        <v>0</v>
      </c>
      <c r="K394" s="19">
        <f t="shared" si="27"/>
        <v>0</v>
      </c>
    </row>
    <row r="395" spans="1:11" ht="15">
      <c r="A395" s="3">
        <v>630</v>
      </c>
      <c r="B395" s="151">
        <v>162</v>
      </c>
      <c r="C395" s="7" t="s">
        <v>16</v>
      </c>
      <c r="D395" s="4" t="s">
        <v>101</v>
      </c>
      <c r="E395" t="s">
        <v>477</v>
      </c>
      <c r="F395" s="12">
        <f>IFERROR(VLOOKUP(B395,'INSUMOS  JULIO'!$B$6:$CJ$109,15,0),"")</f>
        <v>0</v>
      </c>
      <c r="G395" s="8">
        <f>IFERROR(VLOOKUP($B395,'INSUMOS  JULIO'!$B$6:$CJ$109,16,0),"")</f>
        <v>2684.2539999999999</v>
      </c>
      <c r="H395" s="19">
        <f t="shared" si="24"/>
        <v>0</v>
      </c>
      <c r="I395" s="1">
        <f t="shared" si="25"/>
        <v>0</v>
      </c>
      <c r="J395" s="1">
        <f t="shared" si="26"/>
        <v>0</v>
      </c>
      <c r="K395" s="19">
        <f t="shared" si="27"/>
        <v>0</v>
      </c>
    </row>
    <row r="396" spans="1:11" ht="15">
      <c r="A396" s="3">
        <v>631</v>
      </c>
      <c r="B396" s="151">
        <v>164</v>
      </c>
      <c r="C396" s="7" t="s">
        <v>36</v>
      </c>
      <c r="D396" s="4" t="s">
        <v>102</v>
      </c>
      <c r="E396" t="s">
        <v>477</v>
      </c>
      <c r="F396" s="12" t="str">
        <f>IFERROR(VLOOKUP(B396,'INSUMOS  JULIO'!$B$6:$CJ$109,15,0),"")</f>
        <v>0</v>
      </c>
      <c r="G396" s="8">
        <f>IFERROR(VLOOKUP($B396,'INSUMOS  JULIO'!$B$6:$CJ$109,16,0),"")</f>
        <v>1658.4780000000001</v>
      </c>
      <c r="H396" s="19">
        <f t="shared" si="24"/>
        <v>0</v>
      </c>
      <c r="I396" s="1">
        <f t="shared" si="25"/>
        <v>0</v>
      </c>
      <c r="J396" s="1">
        <f t="shared" si="26"/>
        <v>0</v>
      </c>
      <c r="K396" s="19">
        <f t="shared" si="27"/>
        <v>0</v>
      </c>
    </row>
    <row r="397" spans="1:11" ht="15">
      <c r="A397" s="3">
        <v>632</v>
      </c>
      <c r="B397" s="151">
        <v>169</v>
      </c>
      <c r="C397" s="7" t="s">
        <v>36</v>
      </c>
      <c r="D397" s="4" t="s">
        <v>104</v>
      </c>
      <c r="E397" t="s">
        <v>477</v>
      </c>
      <c r="F397" s="12" t="str">
        <f>IFERROR(VLOOKUP(B397,'INSUMOS  JULIO'!$B$6:$CJ$109,15,0),"")</f>
        <v>0</v>
      </c>
      <c r="G397" s="8">
        <f>IFERROR(VLOOKUP($B397,'INSUMOS  JULIO'!$B$6:$CJ$109,16,0),"")</f>
        <v>85897.178999999989</v>
      </c>
      <c r="H397" s="19">
        <f t="shared" si="24"/>
        <v>0</v>
      </c>
      <c r="I397" s="1">
        <f t="shared" si="25"/>
        <v>0</v>
      </c>
      <c r="J397" s="1">
        <f t="shared" si="26"/>
        <v>0</v>
      </c>
      <c r="K397" s="19">
        <f t="shared" si="27"/>
        <v>0</v>
      </c>
    </row>
    <row r="398" spans="1:11" ht="15">
      <c r="A398" s="3">
        <v>633</v>
      </c>
      <c r="B398" s="151">
        <v>170</v>
      </c>
      <c r="C398" s="7" t="s">
        <v>39</v>
      </c>
      <c r="D398" s="4" t="s">
        <v>106</v>
      </c>
      <c r="E398" t="s">
        <v>477</v>
      </c>
      <c r="F398" s="12">
        <f>IFERROR(VLOOKUP(B398,'INSUMOS  JULIO'!$B$6:$CJ$109,15,0),"")</f>
        <v>0</v>
      </c>
      <c r="G398" s="8">
        <f>IFERROR(VLOOKUP($B398,'INSUMOS  JULIO'!$B$6:$CJ$109,16,0),"")</f>
        <v>19405.664000000001</v>
      </c>
      <c r="H398" s="19">
        <f t="shared" si="24"/>
        <v>0</v>
      </c>
      <c r="I398" s="1">
        <f t="shared" si="25"/>
        <v>0</v>
      </c>
      <c r="J398" s="1">
        <f t="shared" si="26"/>
        <v>0</v>
      </c>
      <c r="K398" s="19">
        <f t="shared" si="27"/>
        <v>0</v>
      </c>
    </row>
    <row r="399" spans="1:11" ht="15">
      <c r="A399" s="3">
        <v>634</v>
      </c>
      <c r="B399" s="151">
        <v>173</v>
      </c>
      <c r="C399" s="7" t="s">
        <v>39</v>
      </c>
      <c r="D399" s="4" t="s">
        <v>107</v>
      </c>
      <c r="E399" t="s">
        <v>477</v>
      </c>
      <c r="F399" s="12" t="str">
        <f>IFERROR(VLOOKUP(B399,'INSUMOS  JULIO'!$B$6:$CJ$109,15,0),"")</f>
        <v>0</v>
      </c>
      <c r="G399" s="8">
        <f>IFERROR(VLOOKUP($B399,'INSUMOS  JULIO'!$B$6:$CJ$109,16,0),"")</f>
        <v>0</v>
      </c>
      <c r="H399" s="19">
        <f t="shared" si="24"/>
        <v>0</v>
      </c>
      <c r="I399" s="1">
        <f t="shared" si="25"/>
        <v>0</v>
      </c>
      <c r="J399" s="1">
        <f t="shared" si="26"/>
        <v>0</v>
      </c>
      <c r="K399" s="19">
        <f t="shared" si="27"/>
        <v>0</v>
      </c>
    </row>
    <row r="400" spans="1:11" ht="15">
      <c r="A400" s="3">
        <v>635</v>
      </c>
      <c r="B400" s="151">
        <v>174</v>
      </c>
      <c r="C400" s="7" t="s">
        <v>108</v>
      </c>
      <c r="D400" s="4" t="s">
        <v>109</v>
      </c>
      <c r="E400" t="s">
        <v>477</v>
      </c>
      <c r="F400" s="12" t="str">
        <f>IFERROR(VLOOKUP(B400,'INSUMOS  JULIO'!$B$6:$CJ$109,15,0),"")</f>
        <v>0</v>
      </c>
      <c r="G400" s="8">
        <f>IFERROR(VLOOKUP($B400,'INSUMOS  JULIO'!$B$6:$CJ$109,16,0),"")</f>
        <v>6081.0860000000002</v>
      </c>
      <c r="H400" s="19">
        <f t="shared" si="24"/>
        <v>0</v>
      </c>
      <c r="I400" s="1">
        <f t="shared" si="25"/>
        <v>0</v>
      </c>
      <c r="J400" s="1">
        <f t="shared" si="26"/>
        <v>0</v>
      </c>
      <c r="K400" s="19">
        <f t="shared" si="27"/>
        <v>0</v>
      </c>
    </row>
    <row r="401" spans="1:11" ht="15">
      <c r="A401" s="3">
        <v>636</v>
      </c>
      <c r="B401" s="151">
        <v>176</v>
      </c>
      <c r="C401" s="7" t="s">
        <v>108</v>
      </c>
      <c r="D401" s="4" t="s">
        <v>110</v>
      </c>
      <c r="E401" t="s">
        <v>477</v>
      </c>
      <c r="F401" s="12" t="str">
        <f>IFERROR(VLOOKUP(B401,'INSUMOS  JULIO'!$B$6:$CJ$109,15,0),"")</f>
        <v>0</v>
      </c>
      <c r="G401" s="8">
        <f>IFERROR(VLOOKUP($B401,'INSUMOS  JULIO'!$B$6:$CJ$109,16,0),"")</f>
        <v>2749.4160000000002</v>
      </c>
      <c r="H401" s="19">
        <f t="shared" si="24"/>
        <v>0</v>
      </c>
      <c r="I401" s="1">
        <f t="shared" si="25"/>
        <v>0</v>
      </c>
      <c r="J401" s="1">
        <f t="shared" si="26"/>
        <v>0</v>
      </c>
      <c r="K401" s="19">
        <f t="shared" si="27"/>
        <v>0</v>
      </c>
    </row>
    <row r="402" spans="1:11" ht="15">
      <c r="A402" s="3">
        <v>637</v>
      </c>
      <c r="B402" s="151">
        <v>192</v>
      </c>
      <c r="C402" s="7" t="s">
        <v>149</v>
      </c>
      <c r="D402" s="4" t="s">
        <v>111</v>
      </c>
      <c r="E402" t="s">
        <v>477</v>
      </c>
      <c r="F402" s="12">
        <f>IFERROR(VLOOKUP(B402,'INSUMOS  JULIO'!$B$6:$CJ$109,15,0),"")</f>
        <v>0</v>
      </c>
      <c r="G402" s="8">
        <f>IFERROR(VLOOKUP($B402,'INSUMOS  JULIO'!$B$6:$CJ$109,16,0),"")</f>
        <v>3930.7400000000002</v>
      </c>
      <c r="H402" s="19">
        <f t="shared" si="24"/>
        <v>0</v>
      </c>
      <c r="I402" s="1">
        <f t="shared" si="25"/>
        <v>0</v>
      </c>
      <c r="J402" s="1">
        <f t="shared" si="26"/>
        <v>0</v>
      </c>
      <c r="K402" s="19">
        <f t="shared" si="27"/>
        <v>0</v>
      </c>
    </row>
    <row r="403" spans="1:11" ht="15">
      <c r="A403" s="3">
        <v>638</v>
      </c>
      <c r="B403" s="151">
        <v>195</v>
      </c>
      <c r="C403" s="7" t="s">
        <v>151</v>
      </c>
      <c r="D403" s="4" t="s">
        <v>112</v>
      </c>
      <c r="E403" t="s">
        <v>477</v>
      </c>
      <c r="F403" s="12">
        <f>IFERROR(VLOOKUP(B403,'INSUMOS  JULIO'!$B$6:$CJ$109,15,0),"")</f>
        <v>0</v>
      </c>
      <c r="G403" s="8">
        <f>IFERROR(VLOOKUP($B403,'INSUMOS  JULIO'!$B$6:$CJ$109,16,0),"")</f>
        <v>6431.0690000000004</v>
      </c>
      <c r="H403" s="19">
        <f t="shared" si="24"/>
        <v>0</v>
      </c>
      <c r="I403" s="1">
        <f t="shared" si="25"/>
        <v>0</v>
      </c>
      <c r="J403" s="1">
        <f t="shared" si="26"/>
        <v>0</v>
      </c>
      <c r="K403" s="19">
        <f t="shared" si="27"/>
        <v>0</v>
      </c>
    </row>
    <row r="404" spans="1:11" ht="15">
      <c r="A404" s="3">
        <v>639</v>
      </c>
      <c r="B404" s="151">
        <v>204</v>
      </c>
      <c r="C404" s="7" t="s">
        <v>46</v>
      </c>
      <c r="D404" s="4" t="s">
        <v>113</v>
      </c>
      <c r="E404" t="s">
        <v>477</v>
      </c>
      <c r="F404" s="12">
        <f>IFERROR(VLOOKUP(B404,'INSUMOS  JULIO'!$B$6:$CJ$109,15,0),"")</f>
        <v>0</v>
      </c>
      <c r="G404" s="8">
        <f>IFERROR(VLOOKUP($B404,'INSUMOS  JULIO'!$B$6:$CJ$109,16,0),"")</f>
        <v>14760.243999999999</v>
      </c>
      <c r="H404" s="19">
        <f t="shared" si="24"/>
        <v>0</v>
      </c>
      <c r="I404" s="1">
        <f t="shared" si="25"/>
        <v>0</v>
      </c>
      <c r="J404" s="1">
        <f t="shared" si="26"/>
        <v>0</v>
      </c>
      <c r="K404" s="19">
        <f t="shared" si="27"/>
        <v>0</v>
      </c>
    </row>
    <row r="405" spans="1:11" ht="27">
      <c r="A405" s="3">
        <v>640</v>
      </c>
      <c r="B405" s="151">
        <v>205</v>
      </c>
      <c r="C405" s="7" t="s">
        <v>159</v>
      </c>
      <c r="D405" s="4" t="s">
        <v>114</v>
      </c>
      <c r="E405" t="s">
        <v>477</v>
      </c>
      <c r="F405" s="12" t="str">
        <f>IFERROR(VLOOKUP(B405,'INSUMOS  JULIO'!$B$6:$CJ$109,15,0),"")</f>
        <v>0</v>
      </c>
      <c r="G405" s="8">
        <f>IFERROR(VLOOKUP($B405,'INSUMOS  JULIO'!$B$6:$CJ$109,16,0),"")</f>
        <v>17690.432000000001</v>
      </c>
      <c r="H405" s="19">
        <f t="shared" si="24"/>
        <v>0</v>
      </c>
      <c r="I405" s="1">
        <f t="shared" si="25"/>
        <v>0</v>
      </c>
      <c r="J405" s="1">
        <f t="shared" si="26"/>
        <v>0</v>
      </c>
      <c r="K405" s="19">
        <f t="shared" si="27"/>
        <v>0</v>
      </c>
    </row>
    <row r="406" spans="1:11" ht="15">
      <c r="A406" s="3">
        <v>641</v>
      </c>
      <c r="B406" s="151">
        <v>207</v>
      </c>
      <c r="C406" s="7" t="s">
        <v>159</v>
      </c>
      <c r="D406" s="4" t="s">
        <v>115</v>
      </c>
      <c r="E406" t="s">
        <v>477</v>
      </c>
      <c r="F406" s="12" t="str">
        <f>IFERROR(VLOOKUP(B406,'INSUMOS  JULIO'!$B$6:$CJ$109,15,0),"")</f>
        <v>0</v>
      </c>
      <c r="G406" s="8">
        <f>IFERROR(VLOOKUP($B406,'INSUMOS  JULIO'!$B$6:$CJ$109,16,0),"")</f>
        <v>7186.7380000000003</v>
      </c>
      <c r="H406" s="19">
        <f t="shared" si="24"/>
        <v>0</v>
      </c>
      <c r="I406" s="1">
        <f t="shared" si="25"/>
        <v>0</v>
      </c>
      <c r="J406" s="1">
        <f t="shared" si="26"/>
        <v>0</v>
      </c>
      <c r="K406" s="19">
        <f t="shared" si="27"/>
        <v>0</v>
      </c>
    </row>
    <row r="407" spans="1:11" ht="15">
      <c r="A407" s="3">
        <v>642</v>
      </c>
      <c r="B407" s="151">
        <v>208</v>
      </c>
      <c r="C407" s="7" t="s">
        <v>159</v>
      </c>
      <c r="D407" s="4" t="s">
        <v>634</v>
      </c>
      <c r="E407" t="s">
        <v>477</v>
      </c>
      <c r="F407" s="12" t="str">
        <f>IFERROR(VLOOKUP(B407,'INSUMOS  JULIO'!$B$6:$CJ$109,15,0),"")</f>
        <v>0</v>
      </c>
      <c r="G407" s="8">
        <f>IFERROR(VLOOKUP($B407,'INSUMOS  JULIO'!$B$6:$CJ$109,16,0),"")</f>
        <v>50779.065000000002</v>
      </c>
      <c r="H407" s="19">
        <f t="shared" si="24"/>
        <v>0</v>
      </c>
      <c r="I407" s="1">
        <f t="shared" si="25"/>
        <v>0</v>
      </c>
      <c r="J407" s="1">
        <f t="shared" si="26"/>
        <v>0</v>
      </c>
      <c r="K407" s="19">
        <f t="shared" si="27"/>
        <v>0</v>
      </c>
    </row>
    <row r="408" spans="1:11" ht="15">
      <c r="A408" s="3">
        <v>643</v>
      </c>
      <c r="B408" s="151">
        <v>209</v>
      </c>
      <c r="C408" s="7" t="s">
        <v>159</v>
      </c>
      <c r="D408" s="4" t="s">
        <v>635</v>
      </c>
      <c r="E408" t="s">
        <v>477</v>
      </c>
      <c r="F408" s="12" t="str">
        <f>IFERROR(VLOOKUP(B408,'INSUMOS  JULIO'!$B$6:$CJ$109,15,0),"")</f>
        <v>0</v>
      </c>
      <c r="G408" s="8">
        <f>IFERROR(VLOOKUP($B408,'INSUMOS  JULIO'!$B$6:$CJ$109,16,0),"")</f>
        <v>37357.794999999998</v>
      </c>
      <c r="H408" s="19">
        <f t="shared" si="24"/>
        <v>0</v>
      </c>
      <c r="I408" s="1">
        <f t="shared" si="25"/>
        <v>0</v>
      </c>
      <c r="J408" s="1">
        <f t="shared" si="26"/>
        <v>0</v>
      </c>
      <c r="K408" s="19">
        <f t="shared" si="27"/>
        <v>0</v>
      </c>
    </row>
    <row r="409" spans="1:11" ht="15">
      <c r="A409" s="3">
        <v>644</v>
      </c>
      <c r="B409" s="151">
        <v>210</v>
      </c>
      <c r="C409" s="7" t="s">
        <v>159</v>
      </c>
      <c r="D409" s="4" t="s">
        <v>636</v>
      </c>
      <c r="E409" t="s">
        <v>477</v>
      </c>
      <c r="F409" s="12" t="str">
        <f>IFERROR(VLOOKUP(B409,'INSUMOS  JULIO'!$B$6:$CJ$109,15,0),"")</f>
        <v>0</v>
      </c>
      <c r="G409" s="8">
        <f>IFERROR(VLOOKUP($B409,'INSUMOS  JULIO'!$B$6:$CJ$109,16,0),"")</f>
        <v>22537.643999999997</v>
      </c>
      <c r="H409" s="19">
        <f t="shared" si="24"/>
        <v>0</v>
      </c>
      <c r="I409" s="1">
        <f t="shared" si="25"/>
        <v>0</v>
      </c>
      <c r="J409" s="1">
        <f t="shared" si="26"/>
        <v>0</v>
      </c>
      <c r="K409" s="19">
        <f t="shared" si="27"/>
        <v>0</v>
      </c>
    </row>
    <row r="410" spans="1:11" ht="15">
      <c r="A410" s="3">
        <v>645</v>
      </c>
      <c r="B410" s="151">
        <v>211</v>
      </c>
      <c r="C410" s="7" t="s">
        <v>53</v>
      </c>
      <c r="D410" s="4" t="s">
        <v>637</v>
      </c>
      <c r="E410" t="s">
        <v>477</v>
      </c>
      <c r="F410" s="12" t="str">
        <f>IFERROR(VLOOKUP(B410,'INSUMOS  JULIO'!$B$6:$CJ$109,15,0),"")</f>
        <v>0</v>
      </c>
      <c r="G410" s="8">
        <f>IFERROR(VLOOKUP($B410,'INSUMOS  JULIO'!$B$6:$CJ$109,16,0),"")</f>
        <v>15992.016</v>
      </c>
      <c r="H410" s="19">
        <f t="shared" si="24"/>
        <v>0</v>
      </c>
      <c r="I410" s="1">
        <f t="shared" si="25"/>
        <v>0</v>
      </c>
      <c r="J410" s="1">
        <f t="shared" si="26"/>
        <v>0</v>
      </c>
      <c r="K410" s="19">
        <f t="shared" si="27"/>
        <v>0</v>
      </c>
    </row>
    <row r="411" spans="1:11" ht="15">
      <c r="A411" s="3">
        <v>646</v>
      </c>
      <c r="B411" s="151">
        <v>212</v>
      </c>
      <c r="C411" s="7" t="s">
        <v>53</v>
      </c>
      <c r="D411" s="4" t="s">
        <v>116</v>
      </c>
      <c r="E411" t="s">
        <v>477</v>
      </c>
      <c r="F411" s="12" t="str">
        <f>IFERROR(VLOOKUP(B411,'INSUMOS  JULIO'!$B$6:$CJ$109,15,0),"")</f>
        <v>0</v>
      </c>
      <c r="G411" s="8">
        <f>IFERROR(VLOOKUP($B411,'INSUMOS  JULIO'!$B$6:$CJ$109,16,0),"")</f>
        <v>2505.5839999999998</v>
      </c>
      <c r="H411" s="19">
        <f t="shared" si="24"/>
        <v>0</v>
      </c>
      <c r="I411" s="1">
        <f t="shared" si="25"/>
        <v>0</v>
      </c>
      <c r="J411" s="1">
        <f t="shared" si="26"/>
        <v>0</v>
      </c>
      <c r="K411" s="19">
        <f t="shared" si="27"/>
        <v>0</v>
      </c>
    </row>
    <row r="412" spans="1:11" ht="15">
      <c r="A412" s="3">
        <v>647</v>
      </c>
      <c r="B412" s="151">
        <v>213</v>
      </c>
      <c r="C412" s="7" t="s">
        <v>53</v>
      </c>
      <c r="D412" s="4" t="s">
        <v>638</v>
      </c>
      <c r="E412" t="s">
        <v>477</v>
      </c>
      <c r="F412" s="12" t="str">
        <f>IFERROR(VLOOKUP(B412,'INSUMOS  JULIO'!$B$6:$CJ$109,15,0),"")</f>
        <v>0</v>
      </c>
      <c r="G412" s="8">
        <f>IFERROR(VLOOKUP($B412,'INSUMOS  JULIO'!$B$6:$CJ$109,16,0),"")</f>
        <v>0</v>
      </c>
      <c r="H412" s="19">
        <f t="shared" si="24"/>
        <v>0</v>
      </c>
      <c r="I412" s="1">
        <f t="shared" si="25"/>
        <v>0</v>
      </c>
      <c r="J412" s="1">
        <f t="shared" si="26"/>
        <v>0</v>
      </c>
      <c r="K412" s="19">
        <f t="shared" si="27"/>
        <v>0</v>
      </c>
    </row>
    <row r="413" spans="1:11" ht="15">
      <c r="A413" s="3">
        <v>648</v>
      </c>
      <c r="B413" s="151">
        <v>215</v>
      </c>
      <c r="C413" s="7" t="s">
        <v>53</v>
      </c>
      <c r="D413" s="4" t="s">
        <v>639</v>
      </c>
      <c r="E413" t="s">
        <v>477</v>
      </c>
      <c r="F413" s="12" t="str">
        <f>IFERROR(VLOOKUP(B413,'INSUMOS  JULIO'!$B$6:$CJ$109,15,0),"")</f>
        <v>0</v>
      </c>
      <c r="G413" s="8">
        <f>IFERROR(VLOOKUP($B413,'INSUMOS  JULIO'!$B$6:$CJ$109,16,0),"")</f>
        <v>10476.367999999999</v>
      </c>
      <c r="H413" s="19">
        <f t="shared" si="24"/>
        <v>0</v>
      </c>
      <c r="I413" s="1">
        <f t="shared" si="25"/>
        <v>0</v>
      </c>
      <c r="J413" s="1">
        <f t="shared" si="26"/>
        <v>0</v>
      </c>
      <c r="K413" s="19">
        <f t="shared" si="27"/>
        <v>0</v>
      </c>
    </row>
    <row r="414" spans="1:11" ht="15">
      <c r="A414" s="3">
        <v>649</v>
      </c>
      <c r="B414" s="151">
        <v>216</v>
      </c>
      <c r="C414" s="7" t="s">
        <v>160</v>
      </c>
      <c r="D414" s="4" t="s">
        <v>640</v>
      </c>
      <c r="E414" t="s">
        <v>477</v>
      </c>
      <c r="F414" s="12" t="str">
        <f>IFERROR(VLOOKUP(B414,'INSUMOS  JULIO'!$B$6:$CJ$109,15,0),"")</f>
        <v>0</v>
      </c>
      <c r="G414" s="8">
        <f>IFERROR(VLOOKUP($B414,'INSUMOS  JULIO'!$B$6:$CJ$109,16,0),"")</f>
        <v>3954.9129999999996</v>
      </c>
      <c r="H414" s="19">
        <f t="shared" si="24"/>
        <v>0</v>
      </c>
      <c r="I414" s="1">
        <f t="shared" si="25"/>
        <v>0</v>
      </c>
      <c r="J414" s="1">
        <f t="shared" si="26"/>
        <v>0</v>
      </c>
      <c r="K414" s="19">
        <f t="shared" si="27"/>
        <v>0</v>
      </c>
    </row>
    <row r="415" spans="1:11" ht="15">
      <c r="A415" s="3">
        <v>650</v>
      </c>
      <c r="B415" s="151">
        <v>218</v>
      </c>
      <c r="C415" s="7" t="s">
        <v>160</v>
      </c>
      <c r="D415" s="4" t="s">
        <v>117</v>
      </c>
      <c r="E415" t="s">
        <v>477</v>
      </c>
      <c r="F415" s="12" t="str">
        <f>IFERROR(VLOOKUP(B415,'INSUMOS  JULIO'!$B$6:$CJ$109,15,0),"")</f>
        <v>0</v>
      </c>
      <c r="G415" s="8">
        <f>IFERROR(VLOOKUP($B415,'INSUMOS  JULIO'!$B$6:$CJ$109,16,0),"")</f>
        <v>1437.768</v>
      </c>
      <c r="H415" s="19">
        <f t="shared" si="24"/>
        <v>0</v>
      </c>
      <c r="I415" s="1">
        <f t="shared" si="25"/>
        <v>0</v>
      </c>
      <c r="J415" s="1">
        <f t="shared" si="26"/>
        <v>0</v>
      </c>
      <c r="K415" s="19">
        <f t="shared" si="27"/>
        <v>0</v>
      </c>
    </row>
    <row r="416" spans="1:11" ht="15">
      <c r="A416" s="3">
        <v>651</v>
      </c>
      <c r="B416" s="151">
        <v>251</v>
      </c>
      <c r="C416" s="7" t="s">
        <v>60</v>
      </c>
      <c r="D416" s="4" t="s">
        <v>118</v>
      </c>
      <c r="E416" t="s">
        <v>477</v>
      </c>
      <c r="F416" s="12" t="str">
        <f>IFERROR(VLOOKUP(B416,'INSUMOS  JULIO'!$B$6:$CJ$109,15,0),"")</f>
        <v>0</v>
      </c>
      <c r="G416" s="8">
        <f>IFERROR(VLOOKUP($B416,'INSUMOS  JULIO'!$B$6:$CJ$109,16,0),"")</f>
        <v>16031.954000000002</v>
      </c>
      <c r="H416" s="19">
        <f t="shared" si="24"/>
        <v>0</v>
      </c>
      <c r="I416" s="1">
        <f t="shared" si="25"/>
        <v>0</v>
      </c>
      <c r="J416" s="1">
        <f t="shared" si="26"/>
        <v>0</v>
      </c>
      <c r="K416" s="19">
        <f t="shared" si="27"/>
        <v>0</v>
      </c>
    </row>
    <row r="417" spans="1:11" ht="15">
      <c r="A417" s="3">
        <v>652</v>
      </c>
      <c r="B417" s="151">
        <v>255</v>
      </c>
      <c r="C417" s="7" t="s">
        <v>60</v>
      </c>
      <c r="D417" s="4" t="s">
        <v>641</v>
      </c>
      <c r="E417" t="s">
        <v>477</v>
      </c>
      <c r="F417" s="12" t="str">
        <f>IFERROR(VLOOKUP(B417,'INSUMOS  JULIO'!$B$6:$CJ$109,15,0),"")</f>
        <v>0</v>
      </c>
      <c r="G417" s="8">
        <f>IFERROR(VLOOKUP($B417,'INSUMOS  JULIO'!$B$6:$CJ$109,16,0),"")</f>
        <v>29299.777999999998</v>
      </c>
      <c r="H417" s="19">
        <f t="shared" si="24"/>
        <v>0</v>
      </c>
      <c r="I417" s="1">
        <f t="shared" si="25"/>
        <v>0</v>
      </c>
      <c r="J417" s="1">
        <f t="shared" si="26"/>
        <v>0</v>
      </c>
      <c r="K417" s="19">
        <f t="shared" si="27"/>
        <v>0</v>
      </c>
    </row>
    <row r="418" spans="1:11" ht="15">
      <c r="A418" s="3">
        <v>653</v>
      </c>
      <c r="B418" s="151">
        <v>257</v>
      </c>
      <c r="C418" s="7" t="s">
        <v>151</v>
      </c>
      <c r="D418" s="4" t="s">
        <v>642</v>
      </c>
      <c r="E418" t="s">
        <v>477</v>
      </c>
      <c r="F418" s="12" t="str">
        <f>IFERROR(VLOOKUP(B418,'INSUMOS  JULIO'!$B$6:$CJ$109,15,0),"")</f>
        <v>0</v>
      </c>
      <c r="G418" s="8">
        <f>IFERROR(VLOOKUP($B418,'INSUMOS  JULIO'!$B$6:$CJ$109,16,0),"")</f>
        <v>18796.084000000003</v>
      </c>
      <c r="H418" s="19">
        <f t="shared" si="24"/>
        <v>0</v>
      </c>
      <c r="I418" s="1">
        <f t="shared" si="25"/>
        <v>0</v>
      </c>
      <c r="J418" s="1">
        <f t="shared" si="26"/>
        <v>0</v>
      </c>
      <c r="K418" s="19">
        <f t="shared" si="27"/>
        <v>0</v>
      </c>
    </row>
    <row r="419" spans="1:11" ht="15">
      <c r="A419" s="3">
        <v>654</v>
      </c>
      <c r="B419" s="151">
        <v>260</v>
      </c>
      <c r="C419" s="7" t="s">
        <v>160</v>
      </c>
      <c r="D419" s="4" t="s">
        <v>643</v>
      </c>
      <c r="E419" t="s">
        <v>477</v>
      </c>
      <c r="F419" s="12" t="str">
        <f>IFERROR(VLOOKUP(B419,'INSUMOS  JULIO'!$B$6:$CJ$109,15,0),"")</f>
        <v>0</v>
      </c>
      <c r="G419" s="8">
        <f>IFERROR(VLOOKUP($B419,'INSUMOS  JULIO'!$B$6:$CJ$109,16,0),"")</f>
        <v>3417.8520000000008</v>
      </c>
      <c r="H419" s="19">
        <f t="shared" si="24"/>
        <v>0</v>
      </c>
      <c r="I419" s="1">
        <f t="shared" si="25"/>
        <v>0</v>
      </c>
      <c r="J419" s="1">
        <f t="shared" si="26"/>
        <v>0</v>
      </c>
      <c r="K419" s="19">
        <f t="shared" si="27"/>
        <v>0</v>
      </c>
    </row>
    <row r="420" spans="1:11" ht="15">
      <c r="A420" s="3">
        <v>655</v>
      </c>
      <c r="B420" s="151">
        <v>291</v>
      </c>
      <c r="C420" s="7" t="s">
        <v>60</v>
      </c>
      <c r="D420" s="4" t="s">
        <v>644</v>
      </c>
      <c r="E420" t="s">
        <v>477</v>
      </c>
      <c r="F420" s="12" t="str">
        <f>IFERROR(VLOOKUP(B420,'INSUMOS  JULIO'!$B$6:$CJ$109,15,0),"")</f>
        <v>0</v>
      </c>
      <c r="G420" s="8">
        <f>IFERROR(VLOOKUP($B420,'INSUMOS  JULIO'!$B$6:$CJ$109,16,0),"")</f>
        <v>20454.562000000005</v>
      </c>
      <c r="H420" s="19">
        <f t="shared" si="24"/>
        <v>0</v>
      </c>
      <c r="I420" s="1">
        <f t="shared" si="25"/>
        <v>0</v>
      </c>
      <c r="J420" s="1">
        <f t="shared" si="26"/>
        <v>0</v>
      </c>
      <c r="K420" s="19">
        <f t="shared" si="27"/>
        <v>0</v>
      </c>
    </row>
    <row r="421" spans="1:11" ht="15">
      <c r="A421" s="3">
        <v>656</v>
      </c>
      <c r="B421" s="151">
        <v>3</v>
      </c>
      <c r="C421" s="7" t="s">
        <v>155</v>
      </c>
      <c r="D421" s="4" t="s">
        <v>5</v>
      </c>
      <c r="E421" t="s">
        <v>478</v>
      </c>
      <c r="F421" s="12" t="str">
        <f>IFERROR(VLOOKUP($B421,'INSUMOS  JULIO'!$B$6:$CJ$109,18,0),"")</f>
        <v>0</v>
      </c>
      <c r="G421" s="8">
        <f>IFERROR(VLOOKUP($B421,'INSUMOS  JULIO'!$B$6:$CJ$109,19,0),"")</f>
        <v>7268.7160000000003</v>
      </c>
      <c r="H421" s="19">
        <f t="shared" si="24"/>
        <v>0</v>
      </c>
      <c r="I421" s="1">
        <f t="shared" si="25"/>
        <v>0</v>
      </c>
      <c r="J421" s="1">
        <f t="shared" si="26"/>
        <v>0</v>
      </c>
      <c r="K421" s="19">
        <f t="shared" si="27"/>
        <v>0</v>
      </c>
    </row>
    <row r="422" spans="1:11" ht="15">
      <c r="A422" s="3">
        <v>657</v>
      </c>
      <c r="B422" s="151">
        <v>5</v>
      </c>
      <c r="C422" s="7" t="s">
        <v>6</v>
      </c>
      <c r="D422" s="4" t="s">
        <v>7</v>
      </c>
      <c r="E422" t="s">
        <v>478</v>
      </c>
      <c r="F422" s="12" t="str">
        <f>IFERROR(VLOOKUP(B422,'INSUMOS  JULIO'!$B$6:$CJ$109,18,0),"")</f>
        <v>0</v>
      </c>
      <c r="G422" s="8">
        <f>IFERROR(VLOOKUP($B422,'INSUMOS  JULIO'!$B$6:$CJ$109,19,0),"")</f>
        <v>6494.1289999999999</v>
      </c>
      <c r="H422" s="19">
        <f t="shared" si="24"/>
        <v>0</v>
      </c>
      <c r="I422" s="1">
        <f t="shared" si="25"/>
        <v>0</v>
      </c>
      <c r="J422" s="1">
        <f t="shared" si="26"/>
        <v>0</v>
      </c>
      <c r="K422" s="19">
        <f t="shared" si="27"/>
        <v>0</v>
      </c>
    </row>
    <row r="423" spans="1:11" ht="15">
      <c r="A423" s="3">
        <v>658</v>
      </c>
      <c r="B423" s="151">
        <v>8</v>
      </c>
      <c r="C423" s="7" t="s">
        <v>6</v>
      </c>
      <c r="D423" s="4" t="s">
        <v>8</v>
      </c>
      <c r="E423" t="s">
        <v>478</v>
      </c>
      <c r="F423" s="12">
        <f>IFERROR(VLOOKUP(B423,'INSUMOS  JULIO'!$B$6:$CJ$109,18,0),"")</f>
        <v>0</v>
      </c>
      <c r="G423" s="8">
        <f>IFERROR(VLOOKUP($B423,'INSUMOS  JULIO'!$B$6:$CJ$109,19,0),"")</f>
        <v>2211.3040000000001</v>
      </c>
      <c r="H423" s="19">
        <f t="shared" si="24"/>
        <v>0</v>
      </c>
      <c r="I423" s="1">
        <f t="shared" si="25"/>
        <v>0</v>
      </c>
      <c r="J423" s="1">
        <f t="shared" si="26"/>
        <v>0</v>
      </c>
      <c r="K423" s="19">
        <f t="shared" si="27"/>
        <v>0</v>
      </c>
    </row>
    <row r="424" spans="1:11" ht="15">
      <c r="A424" s="3">
        <v>659</v>
      </c>
      <c r="B424" s="151">
        <v>9</v>
      </c>
      <c r="C424" s="7" t="s">
        <v>9</v>
      </c>
      <c r="D424" s="4" t="s">
        <v>10</v>
      </c>
      <c r="E424" t="s">
        <v>478</v>
      </c>
      <c r="F424" s="12">
        <f>IFERROR(VLOOKUP(B424,'INSUMOS  JULIO'!$B$6:$CJ$109,18,0),"")</f>
        <v>0</v>
      </c>
      <c r="G424" s="8">
        <f>IFERROR(VLOOKUP($B424,'INSUMOS  JULIO'!$B$6:$CJ$109,19,0),"")</f>
        <v>3298.0379999999996</v>
      </c>
      <c r="H424" s="19">
        <f t="shared" si="24"/>
        <v>0</v>
      </c>
      <c r="I424" s="1">
        <f t="shared" si="25"/>
        <v>0</v>
      </c>
      <c r="J424" s="1">
        <f t="shared" si="26"/>
        <v>0</v>
      </c>
      <c r="K424" s="19">
        <f t="shared" si="27"/>
        <v>0</v>
      </c>
    </row>
    <row r="425" spans="1:11" ht="15">
      <c r="A425" s="3">
        <v>660</v>
      </c>
      <c r="B425" s="151">
        <v>11</v>
      </c>
      <c r="C425" s="7" t="s">
        <v>156</v>
      </c>
      <c r="D425" s="4" t="s">
        <v>11</v>
      </c>
      <c r="E425" t="s">
        <v>478</v>
      </c>
      <c r="F425" s="12" t="str">
        <f>IFERROR(VLOOKUP(B425,'INSUMOS  JULIO'!$B$6:$CJ$109,18,0),"")</f>
        <v>0</v>
      </c>
      <c r="G425" s="8">
        <f>IFERROR(VLOOKUP($B425,'INSUMOS  JULIO'!$B$6:$CJ$109,19,0),"")</f>
        <v>7739.5639999999985</v>
      </c>
      <c r="H425" s="19">
        <f t="shared" si="24"/>
        <v>0</v>
      </c>
      <c r="I425" s="1">
        <f t="shared" si="25"/>
        <v>0</v>
      </c>
      <c r="J425" s="1">
        <f t="shared" si="26"/>
        <v>0</v>
      </c>
      <c r="K425" s="19">
        <f t="shared" si="27"/>
        <v>0</v>
      </c>
    </row>
    <row r="426" spans="1:11" ht="15">
      <c r="A426" s="3">
        <v>661</v>
      </c>
      <c r="B426" s="151">
        <v>13</v>
      </c>
      <c r="C426" s="7" t="s">
        <v>157</v>
      </c>
      <c r="D426" s="4" t="s">
        <v>12</v>
      </c>
      <c r="E426" t="s">
        <v>478</v>
      </c>
      <c r="F426" s="12">
        <f>IFERROR(VLOOKUP(B426,'INSUMOS  JULIO'!$B$6:$CJ$109,18,0),"")</f>
        <v>7</v>
      </c>
      <c r="G426" s="8">
        <f>IFERROR(VLOOKUP($B426,'INSUMOS  JULIO'!$B$6:$CJ$109,19,0),"")</f>
        <v>6507.7919999999995</v>
      </c>
      <c r="H426" s="19">
        <f t="shared" si="24"/>
        <v>45554.543999999994</v>
      </c>
      <c r="I426" s="1">
        <f t="shared" si="25"/>
        <v>4555.4543999999996</v>
      </c>
      <c r="J426" s="1">
        <f t="shared" si="26"/>
        <v>865.53633599999989</v>
      </c>
      <c r="K426" s="19">
        <f t="shared" si="27"/>
        <v>50975.534735999994</v>
      </c>
    </row>
    <row r="427" spans="1:11" ht="15">
      <c r="A427" s="3">
        <v>662</v>
      </c>
      <c r="B427" s="151">
        <v>17</v>
      </c>
      <c r="C427" s="7" t="s">
        <v>13</v>
      </c>
      <c r="D427" s="4" t="s">
        <v>14</v>
      </c>
      <c r="E427" t="s">
        <v>478</v>
      </c>
      <c r="F427" s="12">
        <f>IFERROR(VLOOKUP(B427,'INSUMOS  JULIO'!$B$6:$CJ$109,18,0),"")</f>
        <v>0</v>
      </c>
      <c r="G427" s="8">
        <f>IFERROR(VLOOKUP($B427,'INSUMOS  JULIO'!$B$6:$CJ$109,19,0),"")</f>
        <v>5647.0229999999992</v>
      </c>
      <c r="H427" s="19">
        <f t="shared" si="24"/>
        <v>0</v>
      </c>
      <c r="I427" s="1">
        <f t="shared" si="25"/>
        <v>0</v>
      </c>
      <c r="J427" s="1">
        <f t="shared" si="26"/>
        <v>0</v>
      </c>
      <c r="K427" s="19">
        <f t="shared" si="27"/>
        <v>0</v>
      </c>
    </row>
    <row r="428" spans="1:11" ht="15">
      <c r="A428" s="3">
        <v>663</v>
      </c>
      <c r="B428" s="151">
        <v>20</v>
      </c>
      <c r="C428" s="7" t="s">
        <v>13</v>
      </c>
      <c r="D428" s="4" t="s">
        <v>15</v>
      </c>
      <c r="E428" t="s">
        <v>478</v>
      </c>
      <c r="F428" s="12">
        <f>IFERROR(VLOOKUP(B428,'INSUMOS  JULIO'!$B$6:$CJ$109,18,0),"")</f>
        <v>2</v>
      </c>
      <c r="G428" s="8">
        <f>IFERROR(VLOOKUP($B428,'INSUMOS  JULIO'!$B$6:$CJ$109,19,0),"")</f>
        <v>9851.5485000000008</v>
      </c>
      <c r="H428" s="19">
        <f t="shared" si="24"/>
        <v>19703.097000000002</v>
      </c>
      <c r="I428" s="1">
        <f t="shared" si="25"/>
        <v>1970.3097000000002</v>
      </c>
      <c r="J428" s="1">
        <f t="shared" si="26"/>
        <v>374.35884300000004</v>
      </c>
      <c r="K428" s="19">
        <f t="shared" si="27"/>
        <v>22047.765543000005</v>
      </c>
    </row>
    <row r="429" spans="1:11" ht="15">
      <c r="A429" s="3">
        <v>664</v>
      </c>
      <c r="B429" s="151">
        <v>21</v>
      </c>
      <c r="C429" s="7" t="s">
        <v>16</v>
      </c>
      <c r="D429" s="4" t="s">
        <v>17</v>
      </c>
      <c r="E429" t="s">
        <v>478</v>
      </c>
      <c r="F429" s="12">
        <f>IFERROR(VLOOKUP(B429,'INSUMOS  JULIO'!$B$6:$CJ$109,18,0),"")</f>
        <v>0</v>
      </c>
      <c r="G429" s="8">
        <f>IFERROR(VLOOKUP($B429,'INSUMOS  JULIO'!$B$6:$CJ$109,19,0),"")</f>
        <v>5932.8950000000013</v>
      </c>
      <c r="H429" s="19">
        <f t="shared" si="24"/>
        <v>0</v>
      </c>
      <c r="I429" s="1">
        <f t="shared" si="25"/>
        <v>0</v>
      </c>
      <c r="J429" s="1">
        <f t="shared" si="26"/>
        <v>0</v>
      </c>
      <c r="K429" s="19">
        <f t="shared" si="27"/>
        <v>0</v>
      </c>
    </row>
    <row r="430" spans="1:11" ht="15">
      <c r="A430" s="3">
        <v>665</v>
      </c>
      <c r="B430" s="151">
        <v>28</v>
      </c>
      <c r="C430" s="7" t="s">
        <v>18</v>
      </c>
      <c r="D430" s="4" t="s">
        <v>19</v>
      </c>
      <c r="E430" t="s">
        <v>478</v>
      </c>
      <c r="F430" s="12">
        <f>IFERROR(VLOOKUP(B430,'INSUMOS  JULIO'!$B$6:$CJ$109,18,0),"")</f>
        <v>0</v>
      </c>
      <c r="G430" s="8">
        <f>IFERROR(VLOOKUP($B430,'INSUMOS  JULIO'!$B$6:$CJ$109,19,0),"")</f>
        <v>2764.13</v>
      </c>
      <c r="H430" s="19">
        <f t="shared" si="24"/>
        <v>0</v>
      </c>
      <c r="I430" s="1">
        <f t="shared" si="25"/>
        <v>0</v>
      </c>
      <c r="J430" s="1">
        <f t="shared" si="26"/>
        <v>0</v>
      </c>
      <c r="K430" s="19">
        <f t="shared" si="27"/>
        <v>0</v>
      </c>
    </row>
    <row r="431" spans="1:11" ht="15">
      <c r="A431" s="3">
        <v>666</v>
      </c>
      <c r="B431" s="151">
        <v>29</v>
      </c>
      <c r="C431" s="7" t="s">
        <v>20</v>
      </c>
      <c r="D431" s="4" t="s">
        <v>21</v>
      </c>
      <c r="E431" t="s">
        <v>478</v>
      </c>
      <c r="F431" s="12" t="str">
        <f>IFERROR(VLOOKUP(B431,'INSUMOS  JULIO'!$B$6:$CJ$109,18,0),"")</f>
        <v>0</v>
      </c>
      <c r="G431" s="8">
        <f>IFERROR(VLOOKUP($B431,'INSUMOS  JULIO'!$B$6:$CJ$109,19,0),"")</f>
        <v>4829.3450000000012</v>
      </c>
      <c r="H431" s="19">
        <f t="shared" si="24"/>
        <v>0</v>
      </c>
      <c r="I431" s="1">
        <f t="shared" si="25"/>
        <v>0</v>
      </c>
      <c r="J431" s="1">
        <f t="shared" si="26"/>
        <v>0</v>
      </c>
      <c r="K431" s="19">
        <f t="shared" si="27"/>
        <v>0</v>
      </c>
    </row>
    <row r="432" spans="1:11" ht="15">
      <c r="A432" s="3">
        <v>667</v>
      </c>
      <c r="B432" s="151">
        <v>32</v>
      </c>
      <c r="C432" s="7" t="s">
        <v>22</v>
      </c>
      <c r="D432" s="4" t="s">
        <v>23</v>
      </c>
      <c r="E432" t="s">
        <v>478</v>
      </c>
      <c r="F432" s="12">
        <f>IFERROR(VLOOKUP(B432,'INSUMOS  JULIO'!$B$6:$CJ$109,18,0),"")</f>
        <v>0</v>
      </c>
      <c r="G432" s="8">
        <f>IFERROR(VLOOKUP($B432,'INSUMOS  JULIO'!$B$6:$CJ$109,19,0),"")</f>
        <v>4115.7160000000003</v>
      </c>
      <c r="H432" s="19">
        <f t="shared" si="24"/>
        <v>0</v>
      </c>
      <c r="I432" s="1">
        <f t="shared" si="25"/>
        <v>0</v>
      </c>
      <c r="J432" s="1">
        <f t="shared" si="26"/>
        <v>0</v>
      </c>
      <c r="K432" s="19">
        <f t="shared" si="27"/>
        <v>0</v>
      </c>
    </row>
    <row r="433" spans="1:11" ht="15">
      <c r="A433" s="3">
        <v>668</v>
      </c>
      <c r="B433" s="151">
        <v>38</v>
      </c>
      <c r="C433" s="7" t="s">
        <v>18</v>
      </c>
      <c r="D433" s="4" t="s">
        <v>24</v>
      </c>
      <c r="E433" t="s">
        <v>478</v>
      </c>
      <c r="F433" s="12" t="str">
        <f>IFERROR(VLOOKUP(B433,'INSUMOS  JULIO'!$B$6:$CJ$109,18,0),"")</f>
        <v>0</v>
      </c>
      <c r="G433" s="8">
        <f>IFERROR(VLOOKUP($B433,'INSUMOS  JULIO'!$B$6:$CJ$109,19,0),"")</f>
        <v>11100.662</v>
      </c>
      <c r="H433" s="19">
        <f t="shared" si="24"/>
        <v>0</v>
      </c>
      <c r="I433" s="1">
        <f t="shared" si="25"/>
        <v>0</v>
      </c>
      <c r="J433" s="1">
        <f t="shared" si="26"/>
        <v>0</v>
      </c>
      <c r="K433" s="19">
        <f t="shared" si="27"/>
        <v>0</v>
      </c>
    </row>
    <row r="434" spans="1:11" ht="15">
      <c r="A434" s="3">
        <v>669</v>
      </c>
      <c r="B434" s="151">
        <v>41</v>
      </c>
      <c r="C434" s="7" t="s">
        <v>155</v>
      </c>
      <c r="D434" s="4" t="s">
        <v>25</v>
      </c>
      <c r="E434" t="s">
        <v>478</v>
      </c>
      <c r="F434" s="12" t="str">
        <f>IFERROR(VLOOKUP(B434,'INSUMOS  JULIO'!$B$6:$CJ$109,18,0),"")</f>
        <v>0</v>
      </c>
      <c r="G434" s="8">
        <f>IFERROR(VLOOKUP($B434,'INSUMOS  JULIO'!$B$6:$CJ$109,19,0),"")</f>
        <v>7034.3429999999989</v>
      </c>
      <c r="H434" s="19">
        <f t="shared" si="24"/>
        <v>0</v>
      </c>
      <c r="I434" s="1">
        <f t="shared" si="25"/>
        <v>0</v>
      </c>
      <c r="J434" s="1">
        <f t="shared" si="26"/>
        <v>0</v>
      </c>
      <c r="K434" s="19">
        <f t="shared" si="27"/>
        <v>0</v>
      </c>
    </row>
    <row r="435" spans="1:11" ht="15">
      <c r="A435" s="3">
        <v>670</v>
      </c>
      <c r="B435" s="151">
        <v>44</v>
      </c>
      <c r="C435" s="7" t="s">
        <v>16</v>
      </c>
      <c r="D435" s="4" t="s">
        <v>26</v>
      </c>
      <c r="E435" t="s">
        <v>478</v>
      </c>
      <c r="F435" s="12">
        <f>IFERROR(VLOOKUP(B435,'INSUMOS  JULIO'!$B$6:$CJ$109,18,0),"")</f>
        <v>0</v>
      </c>
      <c r="G435" s="8">
        <f>IFERROR(VLOOKUP($B435,'INSUMOS  JULIO'!$B$6:$CJ$109,19,0),"")</f>
        <v>2787.2520000000004</v>
      </c>
      <c r="H435" s="19">
        <f t="shared" si="24"/>
        <v>0</v>
      </c>
      <c r="I435" s="1">
        <f t="shared" si="25"/>
        <v>0</v>
      </c>
      <c r="J435" s="1">
        <f t="shared" si="26"/>
        <v>0</v>
      </c>
      <c r="K435" s="19">
        <f t="shared" si="27"/>
        <v>0</v>
      </c>
    </row>
    <row r="436" spans="1:11" ht="15">
      <c r="A436" s="3">
        <v>671</v>
      </c>
      <c r="B436" s="151">
        <v>46</v>
      </c>
      <c r="C436" s="7" t="s">
        <v>27</v>
      </c>
      <c r="D436" s="4" t="s">
        <v>28</v>
      </c>
      <c r="E436" t="s">
        <v>478</v>
      </c>
      <c r="F436" s="12" t="str">
        <f>IFERROR(VLOOKUP(B436,'INSUMOS  JULIO'!$B$6:$CJ$109,18,0),"")</f>
        <v>0</v>
      </c>
      <c r="G436" s="8">
        <f>IFERROR(VLOOKUP($B436,'INSUMOS  JULIO'!$B$6:$CJ$109,19,0),"")</f>
        <v>7739.5640000000021</v>
      </c>
      <c r="H436" s="19">
        <f t="shared" si="24"/>
        <v>0</v>
      </c>
      <c r="I436" s="1">
        <f t="shared" si="25"/>
        <v>0</v>
      </c>
      <c r="J436" s="1">
        <f t="shared" si="26"/>
        <v>0</v>
      </c>
      <c r="K436" s="19">
        <f t="shared" si="27"/>
        <v>0</v>
      </c>
    </row>
    <row r="437" spans="1:11" ht="15">
      <c r="A437" s="3">
        <v>672</v>
      </c>
      <c r="B437" s="151">
        <v>50</v>
      </c>
      <c r="C437" s="7" t="s">
        <v>13</v>
      </c>
      <c r="D437" s="4" t="s">
        <v>29</v>
      </c>
      <c r="E437" t="s">
        <v>478</v>
      </c>
      <c r="F437" s="12">
        <f>IFERROR(VLOOKUP(B437,'INSUMOS  JULIO'!$B$6:$CJ$109,18,0),"")</f>
        <v>0</v>
      </c>
      <c r="G437" s="8">
        <f>IFERROR(VLOOKUP($B437,'INSUMOS  JULIO'!$B$6:$CJ$109,19,0),"")</f>
        <v>48162.390299999999</v>
      </c>
      <c r="H437" s="19">
        <f t="shared" si="24"/>
        <v>0</v>
      </c>
      <c r="I437" s="1">
        <f t="shared" si="25"/>
        <v>0</v>
      </c>
      <c r="J437" s="1">
        <f t="shared" si="26"/>
        <v>0</v>
      </c>
      <c r="K437" s="19">
        <f t="shared" si="27"/>
        <v>0</v>
      </c>
    </row>
    <row r="438" spans="1:11" ht="15">
      <c r="A438" s="3">
        <v>673</v>
      </c>
      <c r="B438" s="151">
        <v>51</v>
      </c>
      <c r="C438" s="7" t="s">
        <v>13</v>
      </c>
      <c r="D438" s="4" t="s">
        <v>30</v>
      </c>
      <c r="E438" t="s">
        <v>478</v>
      </c>
      <c r="F438" s="12" t="str">
        <f>IFERROR(VLOOKUP(B438,'INSUMOS  JULIO'!$B$6:$CJ$109,18,0),"")</f>
        <v>0</v>
      </c>
      <c r="G438" s="8">
        <f>IFERROR(VLOOKUP($B438,'INSUMOS  JULIO'!$B$6:$CJ$109,19,0),"")</f>
        <v>7739.5640000000021</v>
      </c>
      <c r="H438" s="19">
        <f t="shared" si="24"/>
        <v>0</v>
      </c>
      <c r="I438" s="1">
        <f t="shared" si="25"/>
        <v>0</v>
      </c>
      <c r="J438" s="1">
        <f t="shared" si="26"/>
        <v>0</v>
      </c>
      <c r="K438" s="19">
        <f t="shared" si="27"/>
        <v>0</v>
      </c>
    </row>
    <row r="439" spans="1:11" ht="15">
      <c r="A439" s="3">
        <v>674</v>
      </c>
      <c r="B439" s="151">
        <v>52</v>
      </c>
      <c r="C439" s="7" t="s">
        <v>13</v>
      </c>
      <c r="D439" s="4" t="s">
        <v>31</v>
      </c>
      <c r="E439" t="s">
        <v>478</v>
      </c>
      <c r="F439" s="12">
        <f>IFERROR(VLOOKUP(B439,'INSUMOS  JULIO'!$B$6:$CJ$109,18,0),"")</f>
        <v>0</v>
      </c>
      <c r="G439" s="8">
        <f>IFERROR(VLOOKUP($B439,'INSUMOS  JULIO'!$B$6:$CJ$109,19,0),"")</f>
        <v>6412.1509999999998</v>
      </c>
      <c r="H439" s="19">
        <f t="shared" si="24"/>
        <v>0</v>
      </c>
      <c r="I439" s="1">
        <f t="shared" si="25"/>
        <v>0</v>
      </c>
      <c r="J439" s="1">
        <f t="shared" si="26"/>
        <v>0</v>
      </c>
      <c r="K439" s="19">
        <f t="shared" si="27"/>
        <v>0</v>
      </c>
    </row>
    <row r="440" spans="1:11" ht="15">
      <c r="A440" s="3">
        <v>675</v>
      </c>
      <c r="B440" s="151">
        <v>54</v>
      </c>
      <c r="C440" s="7" t="s">
        <v>13</v>
      </c>
      <c r="D440" s="4" t="s">
        <v>32</v>
      </c>
      <c r="E440" t="s">
        <v>478</v>
      </c>
      <c r="F440" s="12">
        <f>IFERROR(VLOOKUP(B440,'INSUMOS  JULIO'!$B$6:$CJ$109,18,0),"")</f>
        <v>0</v>
      </c>
      <c r="G440" s="8">
        <f>IFERROR(VLOOKUP($B440,'INSUMOS  JULIO'!$B$6:$CJ$109,19,0),"")</f>
        <v>5359.049</v>
      </c>
      <c r="H440" s="19">
        <f t="shared" si="24"/>
        <v>0</v>
      </c>
      <c r="I440" s="1">
        <f t="shared" si="25"/>
        <v>0</v>
      </c>
      <c r="J440" s="1">
        <f t="shared" si="26"/>
        <v>0</v>
      </c>
      <c r="K440" s="19">
        <f t="shared" si="27"/>
        <v>0</v>
      </c>
    </row>
    <row r="441" spans="1:11" ht="15">
      <c r="A441" s="3">
        <v>676</v>
      </c>
      <c r="B441" s="151">
        <v>57</v>
      </c>
      <c r="C441" s="7" t="s">
        <v>33</v>
      </c>
      <c r="D441" s="4" t="s">
        <v>34</v>
      </c>
      <c r="E441" t="s">
        <v>478</v>
      </c>
      <c r="F441" s="12">
        <f>IFERROR(VLOOKUP(B441,'INSUMOS  JULIO'!$B$6:$CJ$109,18,0),"")</f>
        <v>0</v>
      </c>
      <c r="G441" s="8">
        <f>IFERROR(VLOOKUP($B441,'INSUMOS  JULIO'!$B$6:$CJ$109,19,0),"")</f>
        <v>12823.251000000004</v>
      </c>
      <c r="H441" s="19">
        <f t="shared" si="24"/>
        <v>0</v>
      </c>
      <c r="I441" s="1">
        <f t="shared" si="25"/>
        <v>0</v>
      </c>
      <c r="J441" s="1">
        <f t="shared" si="26"/>
        <v>0</v>
      </c>
      <c r="K441" s="19">
        <f t="shared" si="27"/>
        <v>0</v>
      </c>
    </row>
    <row r="442" spans="1:11" ht="15">
      <c r="A442" s="3">
        <v>677</v>
      </c>
      <c r="B442" s="151">
        <v>59</v>
      </c>
      <c r="C442" s="7" t="s">
        <v>16</v>
      </c>
      <c r="D442" s="4" t="s">
        <v>35</v>
      </c>
      <c r="E442" t="s">
        <v>478</v>
      </c>
      <c r="F442" s="12" t="str">
        <f>IFERROR(VLOOKUP(B442,'INSUMOS  JULIO'!$B$6:$CJ$109,18,0),"")</f>
        <v>0</v>
      </c>
      <c r="G442" s="8">
        <f>IFERROR(VLOOKUP($B442,'INSUMOS  JULIO'!$B$6:$CJ$109,19,0),"")</f>
        <v>5528.260000000002</v>
      </c>
      <c r="H442" s="19">
        <f t="shared" si="24"/>
        <v>0</v>
      </c>
      <c r="I442" s="1">
        <f t="shared" si="25"/>
        <v>0</v>
      </c>
      <c r="J442" s="1">
        <f t="shared" si="26"/>
        <v>0</v>
      </c>
      <c r="K442" s="19">
        <f t="shared" si="27"/>
        <v>0</v>
      </c>
    </row>
    <row r="443" spans="1:11" ht="15">
      <c r="A443" s="3">
        <v>678</v>
      </c>
      <c r="B443" s="151">
        <v>62</v>
      </c>
      <c r="C443" s="7" t="s">
        <v>36</v>
      </c>
      <c r="D443" s="4" t="s">
        <v>37</v>
      </c>
      <c r="E443" t="s">
        <v>478</v>
      </c>
      <c r="F443" s="12">
        <f>IFERROR(VLOOKUP(B443,'INSUMOS  JULIO'!$B$6:$CJ$109,18,0),"")</f>
        <v>3</v>
      </c>
      <c r="G443" s="8">
        <f>IFERROR(VLOOKUP($B443,'INSUMOS  JULIO'!$B$6:$CJ$109,19,0),"")</f>
        <v>10100.3202</v>
      </c>
      <c r="H443" s="19">
        <f t="shared" si="24"/>
        <v>30300.960599999999</v>
      </c>
      <c r="I443" s="1">
        <f t="shared" si="25"/>
        <v>3030.0960599999999</v>
      </c>
      <c r="J443" s="1">
        <f t="shared" si="26"/>
        <v>575.71825139999999</v>
      </c>
      <c r="K443" s="19">
        <f t="shared" si="27"/>
        <v>33906.774911400003</v>
      </c>
    </row>
    <row r="444" spans="1:11" ht="15">
      <c r="A444" s="3">
        <v>679</v>
      </c>
      <c r="B444" s="151">
        <v>63</v>
      </c>
      <c r="C444" s="7" t="s">
        <v>36</v>
      </c>
      <c r="D444" s="4" t="s">
        <v>38</v>
      </c>
      <c r="E444" t="s">
        <v>478</v>
      </c>
      <c r="F444" s="12">
        <f>IFERROR(VLOOKUP(B444,'INSUMOS  JULIO'!$B$6:$CJ$109,18,0),"")</f>
        <v>5</v>
      </c>
      <c r="G444" s="8">
        <f>IFERROR(VLOOKUP($B444,'INSUMOS  JULIO'!$B$6:$CJ$109,19,0),"")</f>
        <v>11443.4982</v>
      </c>
      <c r="H444" s="19">
        <f t="shared" si="24"/>
        <v>57217.491000000002</v>
      </c>
      <c r="I444" s="1">
        <f t="shared" si="25"/>
        <v>5721.7491000000009</v>
      </c>
      <c r="J444" s="1">
        <f t="shared" si="26"/>
        <v>1087.1323290000003</v>
      </c>
      <c r="K444" s="19">
        <f t="shared" si="27"/>
        <v>64026.372429000003</v>
      </c>
    </row>
    <row r="445" spans="1:11" ht="15">
      <c r="A445" s="3">
        <v>680</v>
      </c>
      <c r="B445" s="151">
        <v>64</v>
      </c>
      <c r="C445" s="7" t="s">
        <v>39</v>
      </c>
      <c r="D445" s="4" t="s">
        <v>40</v>
      </c>
      <c r="E445" t="s">
        <v>478</v>
      </c>
      <c r="F445" s="12">
        <f>IFERROR(VLOOKUP(B445,'INSUMOS  JULIO'!$B$6:$CJ$109,18,0),"")</f>
        <v>4</v>
      </c>
      <c r="G445" s="8">
        <f>IFERROR(VLOOKUP($B445,'INSUMOS  JULIO'!$B$6:$CJ$109,19,0),"")</f>
        <v>13820.650000000001</v>
      </c>
      <c r="H445" s="19">
        <f t="shared" si="24"/>
        <v>55282.600000000006</v>
      </c>
      <c r="I445" s="1">
        <f t="shared" si="25"/>
        <v>5528.2600000000011</v>
      </c>
      <c r="J445" s="1">
        <f t="shared" si="26"/>
        <v>1050.3694000000003</v>
      </c>
      <c r="K445" s="19">
        <f t="shared" si="27"/>
        <v>61861.229400000011</v>
      </c>
    </row>
    <row r="446" spans="1:11" ht="15">
      <c r="A446" s="3">
        <v>681</v>
      </c>
      <c r="B446" s="151">
        <v>65</v>
      </c>
      <c r="C446" s="7" t="s">
        <v>39</v>
      </c>
      <c r="D446" s="4" t="s">
        <v>41</v>
      </c>
      <c r="E446" t="s">
        <v>478</v>
      </c>
      <c r="F446" s="12">
        <f>IFERROR(VLOOKUP(B446,'INSUMOS  JULIO'!$B$6:$CJ$109,18,0),"")</f>
        <v>0</v>
      </c>
      <c r="G446" s="8">
        <f>IFERROR(VLOOKUP($B446,'INSUMOS  JULIO'!$B$6:$CJ$109,19,0),"")</f>
        <v>13820.650000000001</v>
      </c>
      <c r="H446" s="19">
        <f t="shared" si="24"/>
        <v>0</v>
      </c>
      <c r="I446" s="1">
        <f t="shared" si="25"/>
        <v>0</v>
      </c>
      <c r="J446" s="1">
        <f t="shared" si="26"/>
        <v>0</v>
      </c>
      <c r="K446" s="19">
        <f t="shared" si="27"/>
        <v>0</v>
      </c>
    </row>
    <row r="447" spans="1:11" ht="15">
      <c r="A447" s="3">
        <v>682</v>
      </c>
      <c r="B447" s="151">
        <v>66</v>
      </c>
      <c r="C447" s="7" t="s">
        <v>151</v>
      </c>
      <c r="D447" s="4" t="s">
        <v>42</v>
      </c>
      <c r="E447" t="s">
        <v>478</v>
      </c>
      <c r="F447" s="12">
        <f>IFERROR(VLOOKUP(B447,'INSUMOS  JULIO'!$B$6:$CJ$109,18,0),"")</f>
        <v>4</v>
      </c>
      <c r="G447" s="8">
        <f>IFERROR(VLOOKUP($B447,'INSUMOS  JULIO'!$B$6:$CJ$109,19,0),"")</f>
        <v>2887.0970000000002</v>
      </c>
      <c r="H447" s="19">
        <f t="shared" si="24"/>
        <v>11548.388000000001</v>
      </c>
      <c r="I447" s="1">
        <f t="shared" si="25"/>
        <v>1154.8388000000002</v>
      </c>
      <c r="J447" s="1">
        <f t="shared" si="26"/>
        <v>219.41937200000004</v>
      </c>
      <c r="K447" s="19">
        <f t="shared" si="27"/>
        <v>12922.646172000001</v>
      </c>
    </row>
    <row r="448" spans="1:11" ht="15">
      <c r="A448" s="3">
        <v>683</v>
      </c>
      <c r="B448" s="151">
        <v>71</v>
      </c>
      <c r="C448" s="7" t="s">
        <v>151</v>
      </c>
      <c r="D448" s="4" t="s">
        <v>43</v>
      </c>
      <c r="E448" t="s">
        <v>478</v>
      </c>
      <c r="F448" s="12" t="str">
        <f>IFERROR(VLOOKUP(B448,'INSUMOS  JULIO'!$B$6:$CJ$109,18,0),"")</f>
        <v>0</v>
      </c>
      <c r="G448" s="8">
        <f>IFERROR(VLOOKUP($B448,'INSUMOS  JULIO'!$B$6:$CJ$109,19,0),"")</f>
        <v>5196.1440000000002</v>
      </c>
      <c r="H448" s="19">
        <f t="shared" si="24"/>
        <v>0</v>
      </c>
      <c r="I448" s="1">
        <f t="shared" si="25"/>
        <v>0</v>
      </c>
      <c r="J448" s="1">
        <f t="shared" si="26"/>
        <v>0</v>
      </c>
      <c r="K448" s="19">
        <f t="shared" si="27"/>
        <v>0</v>
      </c>
    </row>
    <row r="449" spans="1:11" ht="15">
      <c r="A449" s="3">
        <v>684</v>
      </c>
      <c r="B449" s="151">
        <v>72</v>
      </c>
      <c r="C449" s="7" t="s">
        <v>151</v>
      </c>
      <c r="D449" s="4" t="s">
        <v>44</v>
      </c>
      <c r="E449" t="s">
        <v>478</v>
      </c>
      <c r="F449" s="12">
        <f>IFERROR(VLOOKUP(B449,'INSUMOS  JULIO'!$B$6:$CJ$109,18,0),"")</f>
        <v>0</v>
      </c>
      <c r="G449" s="8">
        <f>IFERROR(VLOOKUP($B449,'INSUMOS  JULIO'!$B$6:$CJ$109,19,0),"")</f>
        <v>7861.3749000000007</v>
      </c>
      <c r="H449" s="19">
        <f t="shared" si="24"/>
        <v>0</v>
      </c>
      <c r="I449" s="1">
        <f t="shared" si="25"/>
        <v>0</v>
      </c>
      <c r="J449" s="1">
        <f t="shared" si="26"/>
        <v>0</v>
      </c>
      <c r="K449" s="19">
        <f t="shared" si="27"/>
        <v>0</v>
      </c>
    </row>
    <row r="450" spans="1:11" ht="27">
      <c r="A450" s="3">
        <v>685</v>
      </c>
      <c r="B450" s="151">
        <v>73</v>
      </c>
      <c r="C450" s="7" t="s">
        <v>151</v>
      </c>
      <c r="D450" s="4" t="s">
        <v>45</v>
      </c>
      <c r="E450" t="s">
        <v>478</v>
      </c>
      <c r="F450" s="12">
        <f>IFERROR(VLOOKUP(B450,'INSUMOS  JULIO'!$B$6:$CJ$109,18,0),"")</f>
        <v>2</v>
      </c>
      <c r="G450" s="8">
        <f>IFERROR(VLOOKUP($B450,'INSUMOS  JULIO'!$B$6:$CJ$109,19,0),"")</f>
        <v>21493.685699999998</v>
      </c>
      <c r="H450" s="19">
        <f t="shared" si="24"/>
        <v>42987.371399999996</v>
      </c>
      <c r="I450" s="1">
        <f t="shared" si="25"/>
        <v>4298.7371400000002</v>
      </c>
      <c r="J450" s="1">
        <f t="shared" si="26"/>
        <v>816.7600566000001</v>
      </c>
      <c r="K450" s="19">
        <f t="shared" si="27"/>
        <v>48102.86859659999</v>
      </c>
    </row>
    <row r="451" spans="1:11" ht="15">
      <c r="A451" s="3">
        <v>686</v>
      </c>
      <c r="B451" s="151">
        <v>74</v>
      </c>
      <c r="C451" s="7" t="s">
        <v>46</v>
      </c>
      <c r="D451" s="4" t="s">
        <v>47</v>
      </c>
      <c r="E451" t="s">
        <v>478</v>
      </c>
      <c r="F451" s="12">
        <f>IFERROR(VLOOKUP(B451,'INSUMOS  JULIO'!$B$6:$CJ$109,18,0),"")</f>
        <v>0</v>
      </c>
      <c r="G451" s="8">
        <f>IFERROR(VLOOKUP($B451,'INSUMOS  JULIO'!$B$6:$CJ$109,19,0),"")</f>
        <v>3261.2529999999997</v>
      </c>
      <c r="H451" s="19">
        <f t="shared" si="24"/>
        <v>0</v>
      </c>
      <c r="I451" s="1">
        <f t="shared" si="25"/>
        <v>0</v>
      </c>
      <c r="J451" s="1">
        <f t="shared" si="26"/>
        <v>0</v>
      </c>
      <c r="K451" s="19">
        <f t="shared" si="27"/>
        <v>0</v>
      </c>
    </row>
    <row r="452" spans="1:11" ht="15">
      <c r="A452" s="3">
        <v>687</v>
      </c>
      <c r="B452" s="151">
        <v>79</v>
      </c>
      <c r="C452" s="7" t="s">
        <v>159</v>
      </c>
      <c r="D452" s="4" t="s">
        <v>48</v>
      </c>
      <c r="E452" t="s">
        <v>478</v>
      </c>
      <c r="F452" s="12">
        <f>IFERROR(VLOOKUP(B452,'INSUMOS  JULIO'!$B$6:$CJ$109,18,0),"")</f>
        <v>0</v>
      </c>
      <c r="G452" s="8">
        <f>IFERROR(VLOOKUP($B452,'INSUMOS  JULIO'!$B$6:$CJ$109,19,0),"")</f>
        <v>541.2650000000001</v>
      </c>
      <c r="H452" s="19">
        <f t="shared" si="24"/>
        <v>0</v>
      </c>
      <c r="I452" s="1">
        <f t="shared" si="25"/>
        <v>0</v>
      </c>
      <c r="J452" s="1">
        <f t="shared" si="26"/>
        <v>0</v>
      </c>
      <c r="K452" s="19">
        <f t="shared" si="27"/>
        <v>0</v>
      </c>
    </row>
    <row r="453" spans="1:11" ht="15">
      <c r="A453" s="3">
        <v>688</v>
      </c>
      <c r="B453" s="151">
        <v>80</v>
      </c>
      <c r="C453" s="7" t="s">
        <v>159</v>
      </c>
      <c r="D453" s="4" t="s">
        <v>49</v>
      </c>
      <c r="E453" t="s">
        <v>478</v>
      </c>
      <c r="F453" s="12">
        <f>IFERROR(VLOOKUP(B453,'INSUMOS  JULIO'!$B$6:$CJ$109,18,0),"")</f>
        <v>0</v>
      </c>
      <c r="G453" s="8">
        <f>IFERROR(VLOOKUP($B453,'INSUMOS  JULIO'!$B$6:$CJ$109,19,0),"")</f>
        <v>433.01199999999994</v>
      </c>
      <c r="H453" s="19">
        <f t="shared" si="24"/>
        <v>0</v>
      </c>
      <c r="I453" s="1">
        <f t="shared" si="25"/>
        <v>0</v>
      </c>
      <c r="J453" s="1">
        <f t="shared" si="26"/>
        <v>0</v>
      </c>
      <c r="K453" s="19">
        <f t="shared" si="27"/>
        <v>0</v>
      </c>
    </row>
    <row r="454" spans="1:11" ht="15">
      <c r="A454" s="3">
        <v>689</v>
      </c>
      <c r="B454" s="151">
        <v>81</v>
      </c>
      <c r="C454" s="7" t="s">
        <v>159</v>
      </c>
      <c r="D454" s="4" t="s">
        <v>50</v>
      </c>
      <c r="E454" t="s">
        <v>478</v>
      </c>
      <c r="F454" s="12">
        <f>IFERROR(VLOOKUP(B454,'INSUMOS  JULIO'!$B$6:$CJ$109,18,0),"")</f>
        <v>0</v>
      </c>
      <c r="G454" s="8">
        <f>IFERROR(VLOOKUP($B454,'INSUMOS  JULIO'!$B$6:$CJ$109,19,0),"")</f>
        <v>211.251</v>
      </c>
      <c r="H454" s="19">
        <f t="shared" ref="H454:H517" si="28">+F454*G454</f>
        <v>0</v>
      </c>
      <c r="I454" s="1">
        <f t="shared" ref="I454:I517" si="29">+H454*10%</f>
        <v>0</v>
      </c>
      <c r="J454" s="1">
        <f t="shared" ref="J454:J517" si="30">+I454*19%</f>
        <v>0</v>
      </c>
      <c r="K454" s="19">
        <f t="shared" ref="K454:K517" si="31">SUM(H454:J454)</f>
        <v>0</v>
      </c>
    </row>
    <row r="455" spans="1:11" ht="15">
      <c r="A455" s="3">
        <v>729</v>
      </c>
      <c r="B455" s="151">
        <v>82</v>
      </c>
      <c r="C455" s="7" t="s">
        <v>159</v>
      </c>
      <c r="D455" s="4" t="s">
        <v>51</v>
      </c>
      <c r="E455" t="s">
        <v>478</v>
      </c>
      <c r="F455" s="12" t="str">
        <f>IFERROR(VLOOKUP(B455,'INSUMOS  JULIO'!$B$6:$CJ$109,18,0),"")</f>
        <v>0</v>
      </c>
      <c r="G455" s="8">
        <f>IFERROR(VLOOKUP($B455,'INSUMOS  JULIO'!$B$6:$CJ$109,19,0),"")</f>
        <v>1003.7049999999999</v>
      </c>
      <c r="H455" s="19">
        <f t="shared" si="28"/>
        <v>0</v>
      </c>
      <c r="I455" s="1">
        <f t="shared" si="29"/>
        <v>0</v>
      </c>
      <c r="J455" s="1">
        <f t="shared" si="30"/>
        <v>0</v>
      </c>
      <c r="K455" s="19">
        <f t="shared" si="31"/>
        <v>0</v>
      </c>
    </row>
    <row r="456" spans="1:11" ht="15">
      <c r="A456" s="3">
        <v>730</v>
      </c>
      <c r="B456" s="151">
        <v>83</v>
      </c>
      <c r="C456" s="7" t="s">
        <v>159</v>
      </c>
      <c r="D456" s="4" t="s">
        <v>52</v>
      </c>
      <c r="E456" t="s">
        <v>478</v>
      </c>
      <c r="F456" s="12" t="str">
        <f>IFERROR(VLOOKUP(B456,'INSUMOS  JULIO'!$B$6:$CJ$109,18,0),"")</f>
        <v>0</v>
      </c>
      <c r="G456" s="8">
        <f>IFERROR(VLOOKUP($B456,'INSUMOS  JULIO'!$B$6:$CJ$109,19,0),"")</f>
        <v>336.32</v>
      </c>
      <c r="H456" s="19">
        <f t="shared" si="28"/>
        <v>0</v>
      </c>
      <c r="I456" s="1">
        <f t="shared" si="29"/>
        <v>0</v>
      </c>
      <c r="J456" s="1">
        <f t="shared" si="30"/>
        <v>0</v>
      </c>
      <c r="K456" s="19">
        <f t="shared" si="31"/>
        <v>0</v>
      </c>
    </row>
    <row r="457" spans="1:11" ht="15">
      <c r="A457" s="3">
        <v>731</v>
      </c>
      <c r="B457" s="151">
        <v>86</v>
      </c>
      <c r="C457" s="7" t="s">
        <v>53</v>
      </c>
      <c r="D457" s="4" t="s">
        <v>54</v>
      </c>
      <c r="E457" t="s">
        <v>478</v>
      </c>
      <c r="F457" s="12" t="str">
        <f>IFERROR(VLOOKUP(B457,'INSUMOS  JULIO'!$B$6:$CJ$109,18,0),"")</f>
        <v>0</v>
      </c>
      <c r="G457" s="8">
        <f>IFERROR(VLOOKUP($B457,'INSUMOS  JULIO'!$B$6:$CJ$109,19,0),"")</f>
        <v>2792.5070000000005</v>
      </c>
      <c r="H457" s="19">
        <f t="shared" si="28"/>
        <v>0</v>
      </c>
      <c r="I457" s="1">
        <f t="shared" si="29"/>
        <v>0</v>
      </c>
      <c r="J457" s="1">
        <f t="shared" si="30"/>
        <v>0</v>
      </c>
      <c r="K457" s="19">
        <f t="shared" si="31"/>
        <v>0</v>
      </c>
    </row>
    <row r="458" spans="1:11" ht="15">
      <c r="A458" s="3">
        <v>732</v>
      </c>
      <c r="B458" s="151">
        <v>87</v>
      </c>
      <c r="C458" s="7" t="s">
        <v>53</v>
      </c>
      <c r="D458" s="4" t="s">
        <v>55</v>
      </c>
      <c r="E458" t="s">
        <v>478</v>
      </c>
      <c r="F458" s="12" t="str">
        <f>IFERROR(VLOOKUP(B458,'INSUMOS  JULIO'!$B$6:$CJ$109,18,0),"")</f>
        <v>0</v>
      </c>
      <c r="G458" s="8">
        <f>IFERROR(VLOOKUP($B458,'INSUMOS  JULIO'!$B$6:$CJ$109,19,0),"")</f>
        <v>0</v>
      </c>
      <c r="H458" s="19">
        <f t="shared" si="28"/>
        <v>0</v>
      </c>
      <c r="I458" s="1">
        <f t="shared" si="29"/>
        <v>0</v>
      </c>
      <c r="J458" s="1">
        <f t="shared" si="30"/>
        <v>0</v>
      </c>
      <c r="K458" s="19">
        <f t="shared" si="31"/>
        <v>0</v>
      </c>
    </row>
    <row r="459" spans="1:11" ht="15">
      <c r="A459" s="3">
        <v>733</v>
      </c>
      <c r="B459" s="151">
        <v>88</v>
      </c>
      <c r="C459" s="7" t="s">
        <v>53</v>
      </c>
      <c r="D459" s="4" t="s">
        <v>56</v>
      </c>
      <c r="E459" t="s">
        <v>478</v>
      </c>
      <c r="F459" s="12">
        <f>IFERROR(VLOOKUP(B459,'INSUMOS  JULIO'!$B$6:$CJ$109,18,0),"")</f>
        <v>0</v>
      </c>
      <c r="G459" s="8">
        <f>IFERROR(VLOOKUP($B459,'INSUMOS  JULIO'!$B$6:$CJ$109,19,0),"")</f>
        <v>2717.886</v>
      </c>
      <c r="H459" s="19">
        <f t="shared" si="28"/>
        <v>0</v>
      </c>
      <c r="I459" s="1">
        <f t="shared" si="29"/>
        <v>0</v>
      </c>
      <c r="J459" s="1">
        <f t="shared" si="30"/>
        <v>0</v>
      </c>
      <c r="K459" s="19">
        <f t="shared" si="31"/>
        <v>0</v>
      </c>
    </row>
    <row r="460" spans="1:11" ht="15">
      <c r="A460" s="3">
        <v>734</v>
      </c>
      <c r="B460" s="151">
        <v>89</v>
      </c>
      <c r="C460" s="7" t="s">
        <v>53</v>
      </c>
      <c r="D460" s="4" t="s">
        <v>57</v>
      </c>
      <c r="E460" t="s">
        <v>478</v>
      </c>
      <c r="F460" s="12" t="str">
        <f>IFERROR(VLOOKUP(B460,'INSUMOS  JULIO'!$B$6:$CJ$109,18,0),"")</f>
        <v>0</v>
      </c>
      <c r="G460" s="8">
        <f>IFERROR(VLOOKUP($B460,'INSUMOS  JULIO'!$B$6:$CJ$109,19,0),"")</f>
        <v>2650.6220000000003</v>
      </c>
      <c r="H460" s="19">
        <f t="shared" si="28"/>
        <v>0</v>
      </c>
      <c r="I460" s="1">
        <f t="shared" si="29"/>
        <v>0</v>
      </c>
      <c r="J460" s="1">
        <f t="shared" si="30"/>
        <v>0</v>
      </c>
      <c r="K460" s="19">
        <f t="shared" si="31"/>
        <v>0</v>
      </c>
    </row>
    <row r="461" spans="1:11" ht="15">
      <c r="A461" s="3">
        <v>735</v>
      </c>
      <c r="B461" s="151">
        <v>91</v>
      </c>
      <c r="C461" s="7" t="s">
        <v>160</v>
      </c>
      <c r="D461" s="4" t="s">
        <v>58</v>
      </c>
      <c r="E461" t="s">
        <v>478</v>
      </c>
      <c r="F461" s="12" t="str">
        <f>IFERROR(VLOOKUP(B461,'INSUMOS  JULIO'!$B$6:$CJ$109,18,0),"")</f>
        <v>0</v>
      </c>
      <c r="G461" s="8">
        <f>IFERROR(VLOOKUP($B461,'INSUMOS  JULIO'!$B$6:$CJ$109,19,0),"")</f>
        <v>4364.8029999999999</v>
      </c>
      <c r="H461" s="19">
        <f t="shared" si="28"/>
        <v>0</v>
      </c>
      <c r="I461" s="1">
        <f t="shared" si="29"/>
        <v>0</v>
      </c>
      <c r="J461" s="1">
        <f t="shared" si="30"/>
        <v>0</v>
      </c>
      <c r="K461" s="19">
        <f t="shared" si="31"/>
        <v>0</v>
      </c>
    </row>
    <row r="462" spans="1:11" ht="15">
      <c r="A462" s="3">
        <v>736</v>
      </c>
      <c r="B462" s="151">
        <v>92</v>
      </c>
      <c r="C462" s="7" t="s">
        <v>160</v>
      </c>
      <c r="D462" s="4" t="s">
        <v>59</v>
      </c>
      <c r="E462" t="s">
        <v>478</v>
      </c>
      <c r="F462" s="12" t="str">
        <f>IFERROR(VLOOKUP(B462,'INSUMOS  JULIO'!$B$6:$CJ$109,18,0),"")</f>
        <v>0</v>
      </c>
      <c r="G462" s="8">
        <f>IFERROR(VLOOKUP($B462,'INSUMOS  JULIO'!$B$6:$CJ$109,19,0),"")</f>
        <v>2380.5149999999999</v>
      </c>
      <c r="H462" s="19">
        <f t="shared" si="28"/>
        <v>0</v>
      </c>
      <c r="I462" s="1">
        <f t="shared" si="29"/>
        <v>0</v>
      </c>
      <c r="J462" s="1">
        <f t="shared" si="30"/>
        <v>0</v>
      </c>
      <c r="K462" s="19">
        <f t="shared" si="31"/>
        <v>0</v>
      </c>
    </row>
    <row r="463" spans="1:11" ht="15">
      <c r="A463" s="3">
        <v>737</v>
      </c>
      <c r="B463" s="151">
        <v>94</v>
      </c>
      <c r="C463" s="7" t="s">
        <v>60</v>
      </c>
      <c r="D463" s="4" t="s">
        <v>61</v>
      </c>
      <c r="E463" t="s">
        <v>478</v>
      </c>
      <c r="F463" s="12" t="str">
        <f>IFERROR(VLOOKUP(B463,'INSUMOS  JULIO'!$B$6:$CJ$109,18,0),"")</f>
        <v>0</v>
      </c>
      <c r="G463" s="8">
        <f>IFERROR(VLOOKUP($B463,'INSUMOS  JULIO'!$B$6:$CJ$109,19,0),"")</f>
        <v>3316.9560000000001</v>
      </c>
      <c r="H463" s="19">
        <f t="shared" si="28"/>
        <v>0</v>
      </c>
      <c r="I463" s="1">
        <f t="shared" si="29"/>
        <v>0</v>
      </c>
      <c r="J463" s="1">
        <f t="shared" si="30"/>
        <v>0</v>
      </c>
      <c r="K463" s="19">
        <f t="shared" si="31"/>
        <v>0</v>
      </c>
    </row>
    <row r="464" spans="1:11" ht="15">
      <c r="A464" s="3">
        <v>738</v>
      </c>
      <c r="B464" s="151">
        <v>95</v>
      </c>
      <c r="C464" s="7" t="s">
        <v>60</v>
      </c>
      <c r="D464" s="4" t="s">
        <v>62</v>
      </c>
      <c r="E464" t="s">
        <v>478</v>
      </c>
      <c r="F464" s="12" t="str">
        <f>IFERROR(VLOOKUP(B464,'INSUMOS  JULIO'!$B$6:$CJ$109,18,0),"")</f>
        <v>0</v>
      </c>
      <c r="G464" s="8">
        <f>IFERROR(VLOOKUP($B464,'INSUMOS  JULIO'!$B$6:$CJ$109,19,0),"")</f>
        <v>11056.52</v>
      </c>
      <c r="H464" s="19">
        <f t="shared" si="28"/>
        <v>0</v>
      </c>
      <c r="I464" s="1">
        <f t="shared" si="29"/>
        <v>0</v>
      </c>
      <c r="J464" s="1">
        <f t="shared" si="30"/>
        <v>0</v>
      </c>
      <c r="K464" s="19">
        <f t="shared" si="31"/>
        <v>0</v>
      </c>
    </row>
    <row r="465" spans="1:11" ht="15">
      <c r="A465" s="3">
        <v>739</v>
      </c>
      <c r="B465" s="151">
        <v>98</v>
      </c>
      <c r="C465" s="7" t="s">
        <v>151</v>
      </c>
      <c r="D465" s="4" t="s">
        <v>63</v>
      </c>
      <c r="E465" t="s">
        <v>478</v>
      </c>
      <c r="F465" s="12">
        <f>IFERROR(VLOOKUP(B465,'INSUMOS  JULIO'!$B$6:$CJ$109,18,0),"")</f>
        <v>0</v>
      </c>
      <c r="G465" s="8">
        <f>IFERROR(VLOOKUP($B465,'INSUMOS  JULIO'!$B$6:$CJ$109,19,0),"")</f>
        <v>9503.4573</v>
      </c>
      <c r="H465" s="19">
        <f t="shared" si="28"/>
        <v>0</v>
      </c>
      <c r="I465" s="1">
        <f t="shared" si="29"/>
        <v>0</v>
      </c>
      <c r="J465" s="1">
        <f t="shared" si="30"/>
        <v>0</v>
      </c>
      <c r="K465" s="19">
        <f t="shared" si="31"/>
        <v>0</v>
      </c>
    </row>
    <row r="466" spans="1:11" ht="15">
      <c r="A466" s="3">
        <v>740</v>
      </c>
      <c r="B466" s="151">
        <v>100</v>
      </c>
      <c r="C466" s="7" t="s">
        <v>160</v>
      </c>
      <c r="D466" s="4" t="s">
        <v>64</v>
      </c>
      <c r="E466" t="s">
        <v>478</v>
      </c>
      <c r="F466" s="12" t="str">
        <f>IFERROR(VLOOKUP(B466,'INSUMOS  JULIO'!$B$6:$CJ$109,18,0),"")</f>
        <v>0</v>
      </c>
      <c r="G466" s="8">
        <f>IFERROR(VLOOKUP($B466,'INSUMOS  JULIO'!$B$6:$CJ$109,19,0),"")</f>
        <v>4364.8029999999999</v>
      </c>
      <c r="H466" s="19">
        <f t="shared" si="28"/>
        <v>0</v>
      </c>
      <c r="I466" s="1">
        <f t="shared" si="29"/>
        <v>0</v>
      </c>
      <c r="J466" s="1">
        <f t="shared" si="30"/>
        <v>0</v>
      </c>
      <c r="K466" s="19">
        <f t="shared" si="31"/>
        <v>0</v>
      </c>
    </row>
    <row r="467" spans="1:11" ht="15">
      <c r="A467" s="3">
        <v>741</v>
      </c>
      <c r="B467" s="151">
        <v>102</v>
      </c>
      <c r="C467" s="7" t="s">
        <v>60</v>
      </c>
      <c r="D467" s="4" t="s">
        <v>65</v>
      </c>
      <c r="E467" t="s">
        <v>478</v>
      </c>
      <c r="F467" s="12" t="str">
        <f>IFERROR(VLOOKUP(B467,'INSUMOS  JULIO'!$B$6:$CJ$109,18,0),"")</f>
        <v>0</v>
      </c>
      <c r="G467" s="8">
        <f>IFERROR(VLOOKUP($B467,'INSUMOS  JULIO'!$B$6:$CJ$109,19,0),"")</f>
        <v>3811.9770000000003</v>
      </c>
      <c r="H467" s="19">
        <f t="shared" si="28"/>
        <v>0</v>
      </c>
      <c r="I467" s="1">
        <f t="shared" si="29"/>
        <v>0</v>
      </c>
      <c r="J467" s="1">
        <f t="shared" si="30"/>
        <v>0</v>
      </c>
      <c r="K467" s="19">
        <f t="shared" si="31"/>
        <v>0</v>
      </c>
    </row>
    <row r="468" spans="1:11" ht="15">
      <c r="A468" s="3">
        <v>742</v>
      </c>
      <c r="B468" s="151">
        <v>103</v>
      </c>
      <c r="C468" s="7" t="s">
        <v>66</v>
      </c>
      <c r="D468" s="4" t="s">
        <v>67</v>
      </c>
      <c r="E468" t="s">
        <v>478</v>
      </c>
      <c r="F468" s="12" t="str">
        <f>IFERROR(VLOOKUP(B468,'INSUMOS  JULIO'!$B$6:$CJ$109,18,0),"")</f>
        <v>0</v>
      </c>
      <c r="G468" s="8">
        <f>IFERROR(VLOOKUP($B468,'INSUMOS  JULIO'!$B$6:$CJ$109,19,0),"")</f>
        <v>18022.547999999999</v>
      </c>
      <c r="H468" s="19">
        <f t="shared" si="28"/>
        <v>0</v>
      </c>
      <c r="I468" s="1">
        <f t="shared" si="29"/>
        <v>0</v>
      </c>
      <c r="J468" s="1">
        <f t="shared" si="30"/>
        <v>0</v>
      </c>
      <c r="K468" s="19">
        <f t="shared" si="31"/>
        <v>0</v>
      </c>
    </row>
    <row r="469" spans="1:11" ht="15">
      <c r="A469" s="3">
        <v>743</v>
      </c>
      <c r="B469" s="151">
        <v>104</v>
      </c>
      <c r="C469" s="7" t="s">
        <v>66</v>
      </c>
      <c r="D469" s="4" t="s">
        <v>68</v>
      </c>
      <c r="E469" t="s">
        <v>478</v>
      </c>
      <c r="F469" s="12" t="str">
        <f>IFERROR(VLOOKUP(B469,'INSUMOS  JULIO'!$B$6:$CJ$109,18,0),"")</f>
        <v>0</v>
      </c>
      <c r="G469" s="8">
        <f>IFERROR(VLOOKUP($B469,'INSUMOS  JULIO'!$B$6:$CJ$109,19,0),"")</f>
        <v>18022.547999999999</v>
      </c>
      <c r="H469" s="19">
        <f t="shared" si="28"/>
        <v>0</v>
      </c>
      <c r="I469" s="1">
        <f t="shared" si="29"/>
        <v>0</v>
      </c>
      <c r="J469" s="1">
        <f t="shared" si="30"/>
        <v>0</v>
      </c>
      <c r="K469" s="19">
        <f t="shared" si="31"/>
        <v>0</v>
      </c>
    </row>
    <row r="470" spans="1:11" ht="15">
      <c r="A470" s="3">
        <v>744</v>
      </c>
      <c r="B470" s="151">
        <v>105</v>
      </c>
      <c r="C470" s="7" t="s">
        <v>66</v>
      </c>
      <c r="D470" s="4" t="s">
        <v>69</v>
      </c>
      <c r="E470" t="s">
        <v>478</v>
      </c>
      <c r="F470" s="12" t="str">
        <f>IFERROR(VLOOKUP(B470,'INSUMOS  JULIO'!$B$6:$CJ$109,18,0),"")</f>
        <v>0</v>
      </c>
      <c r="G470" s="8">
        <f>IFERROR(VLOOKUP($B470,'INSUMOS  JULIO'!$B$6:$CJ$109,19,0),"")</f>
        <v>27641.3</v>
      </c>
      <c r="H470" s="19">
        <f t="shared" si="28"/>
        <v>0</v>
      </c>
      <c r="I470" s="1">
        <f t="shared" si="29"/>
        <v>0</v>
      </c>
      <c r="J470" s="1">
        <f t="shared" si="30"/>
        <v>0</v>
      </c>
      <c r="K470" s="19">
        <f t="shared" si="31"/>
        <v>0</v>
      </c>
    </row>
    <row r="471" spans="1:11" ht="15">
      <c r="A471" s="3">
        <v>745</v>
      </c>
      <c r="B471" s="151">
        <v>106</v>
      </c>
      <c r="C471" s="7" t="s">
        <v>66</v>
      </c>
      <c r="D471" s="4" t="s">
        <v>70</v>
      </c>
      <c r="E471" t="s">
        <v>478</v>
      </c>
      <c r="F471" s="12" t="str">
        <f>IFERROR(VLOOKUP(B471,'INSUMOS  JULIO'!$B$6:$CJ$109,18,0),"")</f>
        <v>0</v>
      </c>
      <c r="G471" s="8">
        <f>IFERROR(VLOOKUP($B471,'INSUMOS  JULIO'!$B$6:$CJ$109,19,0),"")</f>
        <v>0</v>
      </c>
      <c r="H471" s="19">
        <f t="shared" si="28"/>
        <v>0</v>
      </c>
      <c r="I471" s="1">
        <f t="shared" si="29"/>
        <v>0</v>
      </c>
      <c r="J471" s="1">
        <f t="shared" si="30"/>
        <v>0</v>
      </c>
      <c r="K471" s="19">
        <f t="shared" si="31"/>
        <v>0</v>
      </c>
    </row>
    <row r="472" spans="1:11" ht="15">
      <c r="A472" s="3">
        <v>746</v>
      </c>
      <c r="B472" s="151">
        <v>108</v>
      </c>
      <c r="C472" s="7" t="s">
        <v>66</v>
      </c>
      <c r="D472" s="4" t="s">
        <v>71</v>
      </c>
      <c r="E472" t="s">
        <v>478</v>
      </c>
      <c r="F472" s="12" t="str">
        <f>IFERROR(VLOOKUP(B472,'INSUMOS  JULIO'!$B$6:$CJ$109,18,0),"")</f>
        <v>0</v>
      </c>
      <c r="G472" s="8">
        <f>IFERROR(VLOOKUP($B472,'INSUMOS  JULIO'!$B$6:$CJ$109,19,0),"")</f>
        <v>38697.82</v>
      </c>
      <c r="H472" s="19">
        <f t="shared" si="28"/>
        <v>0</v>
      </c>
      <c r="I472" s="1">
        <f t="shared" si="29"/>
        <v>0</v>
      </c>
      <c r="J472" s="1">
        <f t="shared" si="30"/>
        <v>0</v>
      </c>
      <c r="K472" s="19">
        <f t="shared" si="31"/>
        <v>0</v>
      </c>
    </row>
    <row r="473" spans="1:11" ht="15">
      <c r="A473" s="3">
        <v>747</v>
      </c>
      <c r="B473" s="151">
        <v>109</v>
      </c>
      <c r="C473" s="7" t="s">
        <v>66</v>
      </c>
      <c r="D473" s="4" t="s">
        <v>72</v>
      </c>
      <c r="E473" t="s">
        <v>478</v>
      </c>
      <c r="F473" s="12" t="str">
        <f>IFERROR(VLOOKUP(B473,'INSUMOS  JULIO'!$B$6:$CJ$109,18,0),"")</f>
        <v>0</v>
      </c>
      <c r="G473" s="8">
        <f>IFERROR(VLOOKUP($B473,'INSUMOS  JULIO'!$B$6:$CJ$109,19,0),"")</f>
        <v>49754.340000000004</v>
      </c>
      <c r="H473" s="19">
        <f t="shared" si="28"/>
        <v>0</v>
      </c>
      <c r="I473" s="1">
        <f t="shared" si="29"/>
        <v>0</v>
      </c>
      <c r="J473" s="1">
        <f t="shared" si="30"/>
        <v>0</v>
      </c>
      <c r="K473" s="19">
        <f t="shared" si="31"/>
        <v>0</v>
      </c>
    </row>
    <row r="474" spans="1:11" ht="15">
      <c r="A474" s="3">
        <v>748</v>
      </c>
      <c r="B474" s="151">
        <v>110</v>
      </c>
      <c r="C474" s="7" t="s">
        <v>158</v>
      </c>
      <c r="D474" s="4" t="s">
        <v>73</v>
      </c>
      <c r="E474" t="s">
        <v>478</v>
      </c>
      <c r="F474" s="12">
        <f>IFERROR(VLOOKUP(B474,'INSUMOS  JULIO'!$B$6:$CJ$109,18,0),"")</f>
        <v>25</v>
      </c>
      <c r="G474" s="8">
        <f>IFERROR(VLOOKUP($B474,'INSUMOS  JULIO'!$B$6:$CJ$109,19,0),"")</f>
        <v>1442.4974999999999</v>
      </c>
      <c r="H474" s="19">
        <f t="shared" si="28"/>
        <v>36062.4375</v>
      </c>
      <c r="I474" s="1">
        <f t="shared" si="29"/>
        <v>3606.2437500000001</v>
      </c>
      <c r="J474" s="1">
        <f t="shared" si="30"/>
        <v>685.18631249999999</v>
      </c>
      <c r="K474" s="19">
        <f t="shared" si="31"/>
        <v>40353.867562500003</v>
      </c>
    </row>
    <row r="475" spans="1:11" ht="15">
      <c r="A475" s="3">
        <v>749</v>
      </c>
      <c r="B475" s="151">
        <v>118</v>
      </c>
      <c r="C475" s="7" t="s">
        <v>158</v>
      </c>
      <c r="D475" s="4" t="s">
        <v>74</v>
      </c>
      <c r="E475" t="s">
        <v>478</v>
      </c>
      <c r="F475" s="12">
        <f>IFERROR(VLOOKUP(B475,'INSUMOS  JULIO'!$B$6:$CJ$109,18,0),"")</f>
        <v>0</v>
      </c>
      <c r="G475" s="8">
        <f>IFERROR(VLOOKUP($B475,'INSUMOS  JULIO'!$B$6:$CJ$109,19,0),"")</f>
        <v>2455.136</v>
      </c>
      <c r="H475" s="19">
        <f t="shared" si="28"/>
        <v>0</v>
      </c>
      <c r="I475" s="1">
        <f t="shared" si="29"/>
        <v>0</v>
      </c>
      <c r="J475" s="1">
        <f t="shared" si="30"/>
        <v>0</v>
      </c>
      <c r="K475" s="19">
        <f t="shared" si="31"/>
        <v>0</v>
      </c>
    </row>
    <row r="476" spans="1:11" ht="15">
      <c r="A476" s="3">
        <v>750</v>
      </c>
      <c r="B476" s="151">
        <v>119</v>
      </c>
      <c r="C476" s="7" t="s">
        <v>158</v>
      </c>
      <c r="D476" s="4" t="s">
        <v>75</v>
      </c>
      <c r="E476" t="s">
        <v>478</v>
      </c>
      <c r="F476" s="12" t="str">
        <f>IFERROR(VLOOKUP(B476,'INSUMOS  JULIO'!$B$6:$CJ$109,18,0),"")</f>
        <v>0</v>
      </c>
      <c r="G476" s="8">
        <f>IFERROR(VLOOKUP($B476,'INSUMOS  JULIO'!$B$6:$CJ$109,19,0),"")</f>
        <v>2821.9350000000004</v>
      </c>
      <c r="H476" s="19">
        <f t="shared" si="28"/>
        <v>0</v>
      </c>
      <c r="I476" s="1">
        <f t="shared" si="29"/>
        <v>0</v>
      </c>
      <c r="J476" s="1">
        <f t="shared" si="30"/>
        <v>0</v>
      </c>
      <c r="K476" s="19">
        <f t="shared" si="31"/>
        <v>0</v>
      </c>
    </row>
    <row r="477" spans="1:11" ht="15">
      <c r="A477" s="3">
        <v>751</v>
      </c>
      <c r="B477" s="151">
        <v>120</v>
      </c>
      <c r="C477" s="7" t="s">
        <v>158</v>
      </c>
      <c r="D477" s="4" t="s">
        <v>76</v>
      </c>
      <c r="E477" t="s">
        <v>478</v>
      </c>
      <c r="F477" s="12" t="str">
        <f>IFERROR(VLOOKUP(B477,'INSUMOS  JULIO'!$B$6:$CJ$109,18,0),"")</f>
        <v>0</v>
      </c>
      <c r="G477" s="8">
        <f>IFERROR(VLOOKUP($B477,'INSUMOS  JULIO'!$B$6:$CJ$109,19,0),"")</f>
        <v>2821.9350000000004</v>
      </c>
      <c r="H477" s="19">
        <f t="shared" si="28"/>
        <v>0</v>
      </c>
      <c r="I477" s="1">
        <f t="shared" si="29"/>
        <v>0</v>
      </c>
      <c r="J477" s="1">
        <f t="shared" si="30"/>
        <v>0</v>
      </c>
      <c r="K477" s="19">
        <f t="shared" si="31"/>
        <v>0</v>
      </c>
    </row>
    <row r="478" spans="1:11" ht="15">
      <c r="A478" s="3">
        <v>752</v>
      </c>
      <c r="B478" s="151">
        <v>122</v>
      </c>
      <c r="C478" s="7" t="s">
        <v>158</v>
      </c>
      <c r="D478" s="4" t="s">
        <v>77</v>
      </c>
      <c r="E478" t="s">
        <v>478</v>
      </c>
      <c r="F478" s="12" t="str">
        <f>IFERROR(VLOOKUP(B478,'INSUMOS  JULIO'!$B$6:$CJ$109,18,0),"")</f>
        <v>0</v>
      </c>
      <c r="G478" s="8">
        <f>IFERROR(VLOOKUP($B478,'INSUMOS  JULIO'!$B$6:$CJ$109,19,0),"")</f>
        <v>5223.4699999999993</v>
      </c>
      <c r="H478" s="19">
        <f t="shared" si="28"/>
        <v>0</v>
      </c>
      <c r="I478" s="1">
        <f t="shared" si="29"/>
        <v>0</v>
      </c>
      <c r="J478" s="1">
        <f t="shared" si="30"/>
        <v>0</v>
      </c>
      <c r="K478" s="19">
        <f t="shared" si="31"/>
        <v>0</v>
      </c>
    </row>
    <row r="479" spans="1:11" ht="15">
      <c r="A479" s="3">
        <v>753</v>
      </c>
      <c r="B479" s="151">
        <v>123</v>
      </c>
      <c r="C479" s="7" t="s">
        <v>158</v>
      </c>
      <c r="D479" s="4" t="s">
        <v>78</v>
      </c>
      <c r="E479" t="s">
        <v>478</v>
      </c>
      <c r="F479" s="12" t="str">
        <f>IFERROR(VLOOKUP(B479,'INSUMOS  JULIO'!$B$6:$CJ$109,18,0),"")</f>
        <v>0</v>
      </c>
      <c r="G479" s="8">
        <f>IFERROR(VLOOKUP($B479,'INSUMOS  JULIO'!$B$6:$CJ$109,19,0),"")</f>
        <v>5765.7860000000001</v>
      </c>
      <c r="H479" s="19">
        <f t="shared" si="28"/>
        <v>0</v>
      </c>
      <c r="I479" s="1">
        <f t="shared" si="29"/>
        <v>0</v>
      </c>
      <c r="J479" s="1">
        <f t="shared" si="30"/>
        <v>0</v>
      </c>
      <c r="K479" s="19">
        <f t="shared" si="31"/>
        <v>0</v>
      </c>
    </row>
    <row r="480" spans="1:11" ht="15">
      <c r="A480" s="3">
        <v>754</v>
      </c>
      <c r="B480" s="151">
        <v>124</v>
      </c>
      <c r="C480" s="7" t="s">
        <v>158</v>
      </c>
      <c r="D480" s="4" t="s">
        <v>79</v>
      </c>
      <c r="E480" t="s">
        <v>478</v>
      </c>
      <c r="F480" s="12" t="str">
        <f>IFERROR(VLOOKUP(B480,'INSUMOS  JULIO'!$B$6:$CJ$109,18,0),"")</f>
        <v>0</v>
      </c>
      <c r="G480" s="8">
        <f>IFERROR(VLOOKUP($B480,'INSUMOS  JULIO'!$B$6:$CJ$109,19,0),"")</f>
        <v>5765.7860000000001</v>
      </c>
      <c r="H480" s="19">
        <f t="shared" si="28"/>
        <v>0</v>
      </c>
      <c r="I480" s="1">
        <f t="shared" si="29"/>
        <v>0</v>
      </c>
      <c r="J480" s="1">
        <f t="shared" si="30"/>
        <v>0</v>
      </c>
      <c r="K480" s="19">
        <f t="shared" si="31"/>
        <v>0</v>
      </c>
    </row>
    <row r="481" spans="1:11" ht="15">
      <c r="A481" s="3">
        <v>755</v>
      </c>
      <c r="B481" s="151">
        <v>126</v>
      </c>
      <c r="C481" s="7" t="s">
        <v>9</v>
      </c>
      <c r="D481" s="4" t="s">
        <v>80</v>
      </c>
      <c r="E481" t="s">
        <v>478</v>
      </c>
      <c r="F481" s="12" t="str">
        <f>IFERROR(VLOOKUP(B481,'INSUMOS  JULIO'!$B$6:$CJ$109,18,0),"")</f>
        <v>0</v>
      </c>
      <c r="G481" s="8">
        <f>IFERROR(VLOOKUP($B481,'INSUMOS  JULIO'!$B$6:$CJ$109,19,0),"")</f>
        <v>3316.9560000000001</v>
      </c>
      <c r="H481" s="19">
        <f t="shared" si="28"/>
        <v>0</v>
      </c>
      <c r="I481" s="1">
        <f t="shared" si="29"/>
        <v>0</v>
      </c>
      <c r="J481" s="1">
        <f t="shared" si="30"/>
        <v>0</v>
      </c>
      <c r="K481" s="19">
        <f t="shared" si="31"/>
        <v>0</v>
      </c>
    </row>
    <row r="482" spans="1:11" ht="15">
      <c r="A482" s="3">
        <v>756</v>
      </c>
      <c r="B482" s="151">
        <v>127</v>
      </c>
      <c r="C482" s="7" t="s">
        <v>156</v>
      </c>
      <c r="D482" s="4" t="s">
        <v>81</v>
      </c>
      <c r="E482" t="s">
        <v>478</v>
      </c>
      <c r="F482" s="12" t="str">
        <f>IFERROR(VLOOKUP(B482,'INSUMOS  JULIO'!$B$6:$CJ$109,18,0),"")</f>
        <v>0</v>
      </c>
      <c r="G482" s="8">
        <f>IFERROR(VLOOKUP($B482,'INSUMOS  JULIO'!$B$6:$CJ$109,19,0),"")</f>
        <v>3316.9560000000001</v>
      </c>
      <c r="H482" s="19">
        <f t="shared" si="28"/>
        <v>0</v>
      </c>
      <c r="I482" s="1">
        <f t="shared" si="29"/>
        <v>0</v>
      </c>
      <c r="J482" s="1">
        <f t="shared" si="30"/>
        <v>0</v>
      </c>
      <c r="K482" s="19">
        <f t="shared" si="31"/>
        <v>0</v>
      </c>
    </row>
    <row r="483" spans="1:11" ht="15">
      <c r="A483" s="3">
        <v>757</v>
      </c>
      <c r="B483" s="151">
        <v>129</v>
      </c>
      <c r="C483" s="7" t="s">
        <v>157</v>
      </c>
      <c r="D483" s="4" t="s">
        <v>82</v>
      </c>
      <c r="E483" t="s">
        <v>478</v>
      </c>
      <c r="F483" s="12" t="str">
        <f>IFERROR(VLOOKUP(B483,'INSUMOS  JULIO'!$B$6:$CJ$109,18,0),"")</f>
        <v>0</v>
      </c>
      <c r="G483" s="8">
        <f>IFERROR(VLOOKUP($B483,'INSUMOS  JULIO'!$B$6:$CJ$109,19,0),"")</f>
        <v>3787.8040000000001</v>
      </c>
      <c r="H483" s="19">
        <f t="shared" si="28"/>
        <v>0</v>
      </c>
      <c r="I483" s="1">
        <f t="shared" si="29"/>
        <v>0</v>
      </c>
      <c r="J483" s="1">
        <f t="shared" si="30"/>
        <v>0</v>
      </c>
      <c r="K483" s="19">
        <f t="shared" si="31"/>
        <v>0</v>
      </c>
    </row>
    <row r="484" spans="1:11" ht="15">
      <c r="A484" s="3">
        <v>758</v>
      </c>
      <c r="B484" s="151">
        <v>131</v>
      </c>
      <c r="C484" s="7" t="s">
        <v>13</v>
      </c>
      <c r="D484" s="4" t="s">
        <v>83</v>
      </c>
      <c r="E484" t="s">
        <v>478</v>
      </c>
      <c r="F484" s="12" t="str">
        <f>IFERROR(VLOOKUP(B484,'INSUMOS  JULIO'!$B$6:$CJ$109,18,0),"")</f>
        <v>0</v>
      </c>
      <c r="G484" s="8">
        <f>IFERROR(VLOOKUP($B484,'INSUMOS  JULIO'!$B$6:$CJ$109,19,0),"")</f>
        <v>0</v>
      </c>
      <c r="H484" s="19">
        <f t="shared" si="28"/>
        <v>0</v>
      </c>
      <c r="I484" s="1">
        <f t="shared" si="29"/>
        <v>0</v>
      </c>
      <c r="J484" s="1">
        <f t="shared" si="30"/>
        <v>0</v>
      </c>
      <c r="K484" s="19">
        <f t="shared" si="31"/>
        <v>0</v>
      </c>
    </row>
    <row r="485" spans="1:11" ht="15">
      <c r="A485" s="3">
        <v>759</v>
      </c>
      <c r="B485" s="151">
        <v>132</v>
      </c>
      <c r="C485" s="7" t="s">
        <v>13</v>
      </c>
      <c r="D485" s="4" t="s">
        <v>84</v>
      </c>
      <c r="E485" t="s">
        <v>478</v>
      </c>
      <c r="F485" s="12" t="str">
        <f>IFERROR(VLOOKUP(B485,'INSUMOS  JULIO'!$B$6:$CJ$109,18,0),"")</f>
        <v>0</v>
      </c>
      <c r="G485" s="8">
        <f>IFERROR(VLOOKUP($B485,'INSUMOS  JULIO'!$B$6:$CJ$109,19,0),"")</f>
        <v>0</v>
      </c>
      <c r="H485" s="19">
        <f t="shared" si="28"/>
        <v>0</v>
      </c>
      <c r="I485" s="1">
        <f t="shared" si="29"/>
        <v>0</v>
      </c>
      <c r="J485" s="1">
        <f t="shared" si="30"/>
        <v>0</v>
      </c>
      <c r="K485" s="19">
        <f t="shared" si="31"/>
        <v>0</v>
      </c>
    </row>
    <row r="486" spans="1:11" ht="15">
      <c r="A486" s="3">
        <v>760</v>
      </c>
      <c r="B486" s="151">
        <v>134</v>
      </c>
      <c r="C486" s="7" t="s">
        <v>16</v>
      </c>
      <c r="D486" s="4" t="s">
        <v>85</v>
      </c>
      <c r="E486" t="s">
        <v>478</v>
      </c>
      <c r="F486" s="12" t="str">
        <f>IFERROR(VLOOKUP(B486,'INSUMOS  JULIO'!$B$6:$CJ$109,18,0),"")</f>
        <v>0</v>
      </c>
      <c r="G486" s="8">
        <f>IFERROR(VLOOKUP($B486,'INSUMOS  JULIO'!$B$6:$CJ$109,19,0),"")</f>
        <v>0</v>
      </c>
      <c r="H486" s="19">
        <f t="shared" si="28"/>
        <v>0</v>
      </c>
      <c r="I486" s="1">
        <f t="shared" si="29"/>
        <v>0</v>
      </c>
      <c r="J486" s="1">
        <f t="shared" si="30"/>
        <v>0</v>
      </c>
      <c r="K486" s="19">
        <f t="shared" si="31"/>
        <v>0</v>
      </c>
    </row>
    <row r="487" spans="1:11" ht="15">
      <c r="A487" s="3">
        <v>761</v>
      </c>
      <c r="B487" s="151">
        <v>135</v>
      </c>
      <c r="C487" s="7" t="s">
        <v>18</v>
      </c>
      <c r="D487" s="4" t="s">
        <v>86</v>
      </c>
      <c r="E487" t="s">
        <v>478</v>
      </c>
      <c r="F487" s="12">
        <f>IFERROR(VLOOKUP(B487,'INSUMOS  JULIO'!$B$6:$CJ$109,18,0),"")</f>
        <v>0</v>
      </c>
      <c r="G487" s="8">
        <f>IFERROR(VLOOKUP($B487,'INSUMOS  JULIO'!$B$6:$CJ$109,19,0),"")</f>
        <v>6229.277</v>
      </c>
      <c r="H487" s="19">
        <f t="shared" si="28"/>
        <v>0</v>
      </c>
      <c r="I487" s="1">
        <f t="shared" si="29"/>
        <v>0</v>
      </c>
      <c r="J487" s="1">
        <f t="shared" si="30"/>
        <v>0</v>
      </c>
      <c r="K487" s="19">
        <f t="shared" si="31"/>
        <v>0</v>
      </c>
    </row>
    <row r="488" spans="1:11" ht="15">
      <c r="A488" s="3">
        <v>762</v>
      </c>
      <c r="B488" s="151">
        <v>137</v>
      </c>
      <c r="C488" s="7" t="s">
        <v>20</v>
      </c>
      <c r="D488" s="4" t="s">
        <v>88</v>
      </c>
      <c r="E488" t="s">
        <v>478</v>
      </c>
      <c r="F488" s="12" t="str">
        <f>IFERROR(VLOOKUP(B488,'INSUMOS  JULIO'!$B$6:$CJ$109,18,0),"")</f>
        <v>0</v>
      </c>
      <c r="G488" s="8">
        <f>IFERROR(VLOOKUP($B488,'INSUMOS  JULIO'!$B$6:$CJ$109,19,0),"")</f>
        <v>1245.4349999999999</v>
      </c>
      <c r="H488" s="19">
        <f t="shared" si="28"/>
        <v>0</v>
      </c>
      <c r="I488" s="1">
        <f t="shared" si="29"/>
        <v>0</v>
      </c>
      <c r="J488" s="1">
        <f t="shared" si="30"/>
        <v>0</v>
      </c>
      <c r="K488" s="19">
        <f t="shared" si="31"/>
        <v>0</v>
      </c>
    </row>
    <row r="489" spans="1:11" ht="15">
      <c r="A489" s="3">
        <v>763</v>
      </c>
      <c r="B489" s="151">
        <v>139</v>
      </c>
      <c r="C489" s="7" t="s">
        <v>22</v>
      </c>
      <c r="D489" s="4" t="s">
        <v>89</v>
      </c>
      <c r="E489" t="s">
        <v>478</v>
      </c>
      <c r="F489" s="12">
        <f>IFERROR(VLOOKUP(B489,'INSUMOS  JULIO'!$B$6:$CJ$109,18,0),"")</f>
        <v>0</v>
      </c>
      <c r="G489" s="8">
        <f>IFERROR(VLOOKUP($B489,'INSUMOS  JULIO'!$B$6:$CJ$109,19,0),"")</f>
        <v>25429.996000000003</v>
      </c>
      <c r="H489" s="19">
        <f t="shared" si="28"/>
        <v>0</v>
      </c>
      <c r="I489" s="1">
        <f t="shared" si="29"/>
        <v>0</v>
      </c>
      <c r="J489" s="1">
        <f t="shared" si="30"/>
        <v>0</v>
      </c>
      <c r="K489" s="19">
        <f t="shared" si="31"/>
        <v>0</v>
      </c>
    </row>
    <row r="490" spans="1:11" ht="15">
      <c r="A490" s="3">
        <v>764</v>
      </c>
      <c r="B490" s="151">
        <v>151</v>
      </c>
      <c r="C490" s="7" t="s">
        <v>18</v>
      </c>
      <c r="D490" s="4" t="s">
        <v>91</v>
      </c>
      <c r="E490" t="s">
        <v>478</v>
      </c>
      <c r="F490" s="12">
        <f>IFERROR(VLOOKUP(B490,'INSUMOS  JULIO'!$B$6:$CJ$109,18,0),"")</f>
        <v>50</v>
      </c>
      <c r="G490" s="8">
        <f>IFERROR(VLOOKUP($B490,'INSUMOS  JULIO'!$B$6:$CJ$109,19,0),"")</f>
        <v>4422.6080000000002</v>
      </c>
      <c r="H490" s="19">
        <f t="shared" si="28"/>
        <v>221130.40000000002</v>
      </c>
      <c r="I490" s="1">
        <f t="shared" si="29"/>
        <v>22113.040000000005</v>
      </c>
      <c r="J490" s="1">
        <f t="shared" si="30"/>
        <v>4201.4776000000011</v>
      </c>
      <c r="K490" s="19">
        <f t="shared" si="31"/>
        <v>247444.91760000004</v>
      </c>
    </row>
    <row r="491" spans="1:11" ht="15">
      <c r="A491" s="3">
        <v>765</v>
      </c>
      <c r="B491" s="151">
        <v>152</v>
      </c>
      <c r="C491" s="7" t="s">
        <v>155</v>
      </c>
      <c r="D491" s="4" t="s">
        <v>92</v>
      </c>
      <c r="E491" t="s">
        <v>478</v>
      </c>
      <c r="F491" s="12" t="str">
        <f>IFERROR(VLOOKUP(B491,'INSUMOS  JULIO'!$B$6:$CJ$109,18,0),"")</f>
        <v>0</v>
      </c>
      <c r="G491" s="8">
        <f>IFERROR(VLOOKUP($B491,'INSUMOS  JULIO'!$B$6:$CJ$109,19,0),"")</f>
        <v>0</v>
      </c>
      <c r="H491" s="19">
        <f t="shared" si="28"/>
        <v>0</v>
      </c>
      <c r="I491" s="1">
        <f t="shared" si="29"/>
        <v>0</v>
      </c>
      <c r="J491" s="1">
        <f t="shared" si="30"/>
        <v>0</v>
      </c>
      <c r="K491" s="19">
        <f t="shared" si="31"/>
        <v>0</v>
      </c>
    </row>
    <row r="492" spans="1:11" ht="15">
      <c r="A492" s="3">
        <v>766</v>
      </c>
      <c r="B492" s="151">
        <v>154</v>
      </c>
      <c r="C492" s="7" t="s">
        <v>16</v>
      </c>
      <c r="D492" s="4" t="s">
        <v>94</v>
      </c>
      <c r="E492" t="s">
        <v>478</v>
      </c>
      <c r="F492" s="12" t="str">
        <f>IFERROR(VLOOKUP(B492,'INSUMOS  JULIO'!$B$6:$CJ$109,18,0),"")</f>
        <v>0</v>
      </c>
      <c r="G492" s="8">
        <f>IFERROR(VLOOKUP($B492,'INSUMOS  JULIO'!$B$6:$CJ$109,19,0),"")</f>
        <v>0</v>
      </c>
      <c r="H492" s="19">
        <f t="shared" si="28"/>
        <v>0</v>
      </c>
      <c r="I492" s="1">
        <f t="shared" si="29"/>
        <v>0</v>
      </c>
      <c r="J492" s="1">
        <f t="shared" si="30"/>
        <v>0</v>
      </c>
      <c r="K492" s="19">
        <f t="shared" si="31"/>
        <v>0</v>
      </c>
    </row>
    <row r="493" spans="1:11" ht="15">
      <c r="A493" s="3">
        <v>767</v>
      </c>
      <c r="B493" s="151">
        <v>155</v>
      </c>
      <c r="C493" s="7" t="s">
        <v>27</v>
      </c>
      <c r="D493" s="4" t="s">
        <v>95</v>
      </c>
      <c r="E493" t="s">
        <v>478</v>
      </c>
      <c r="F493" s="12">
        <f>IFERROR(VLOOKUP(B493,'INSUMOS  JULIO'!$B$6:$CJ$109,18,0),"")</f>
        <v>0</v>
      </c>
      <c r="G493" s="8">
        <f>IFERROR(VLOOKUP($B493,'INSUMOS  JULIO'!$B$6:$CJ$109,19,0),"")</f>
        <v>3703.7239999999997</v>
      </c>
      <c r="H493" s="19">
        <f t="shared" si="28"/>
        <v>0</v>
      </c>
      <c r="I493" s="1">
        <f t="shared" si="29"/>
        <v>0</v>
      </c>
      <c r="J493" s="1">
        <f t="shared" si="30"/>
        <v>0</v>
      </c>
      <c r="K493" s="19">
        <f t="shared" si="31"/>
        <v>0</v>
      </c>
    </row>
    <row r="494" spans="1:11" ht="15">
      <c r="A494" s="3">
        <v>768</v>
      </c>
      <c r="B494" s="151">
        <v>156</v>
      </c>
      <c r="C494" s="7" t="s">
        <v>13</v>
      </c>
      <c r="D494" s="4" t="s">
        <v>96</v>
      </c>
      <c r="E494" t="s">
        <v>478</v>
      </c>
      <c r="F494" s="12" t="str">
        <f>IFERROR(VLOOKUP(B494,'INSUMOS  JULIO'!$B$6:$CJ$109,18,0),"")</f>
        <v>0</v>
      </c>
      <c r="G494" s="8">
        <f>IFERROR(VLOOKUP($B494,'INSUMOS  JULIO'!$B$6:$CJ$109,19,0),"")</f>
        <v>4422.6080000000002</v>
      </c>
      <c r="H494" s="19">
        <f t="shared" si="28"/>
        <v>0</v>
      </c>
      <c r="I494" s="1">
        <f t="shared" si="29"/>
        <v>0</v>
      </c>
      <c r="J494" s="1">
        <f t="shared" si="30"/>
        <v>0</v>
      </c>
      <c r="K494" s="19">
        <f t="shared" si="31"/>
        <v>0</v>
      </c>
    </row>
    <row r="495" spans="1:11" ht="15">
      <c r="A495" s="3">
        <v>769</v>
      </c>
      <c r="B495" s="151">
        <v>157</v>
      </c>
      <c r="C495" s="7" t="s">
        <v>13</v>
      </c>
      <c r="D495" s="4" t="s">
        <v>97</v>
      </c>
      <c r="E495" t="s">
        <v>478</v>
      </c>
      <c r="F495" s="12">
        <f>IFERROR(VLOOKUP(B495,'INSUMOS  JULIO'!$B$6:$CJ$109,18,0),"")</f>
        <v>0</v>
      </c>
      <c r="G495" s="8">
        <f>IFERROR(VLOOKUP($B495,'INSUMOS  JULIO'!$B$6:$CJ$109,19,0),"")</f>
        <v>5970.7309999999998</v>
      </c>
      <c r="H495" s="19">
        <f t="shared" si="28"/>
        <v>0</v>
      </c>
      <c r="I495" s="1">
        <f t="shared" si="29"/>
        <v>0</v>
      </c>
      <c r="J495" s="1">
        <f t="shared" si="30"/>
        <v>0</v>
      </c>
      <c r="K495" s="19">
        <f t="shared" si="31"/>
        <v>0</v>
      </c>
    </row>
    <row r="496" spans="1:11" ht="15">
      <c r="A496" s="3">
        <v>770</v>
      </c>
      <c r="B496" s="151">
        <v>159</v>
      </c>
      <c r="C496" s="7" t="s">
        <v>13</v>
      </c>
      <c r="D496" s="4" t="s">
        <v>98</v>
      </c>
      <c r="E496" t="s">
        <v>478</v>
      </c>
      <c r="F496" s="12" t="str">
        <f>IFERROR(VLOOKUP(B496,'INSUMOS  JULIO'!$B$6:$CJ$109,18,0),"")</f>
        <v>0</v>
      </c>
      <c r="G496" s="8">
        <f>IFERROR(VLOOKUP($B496,'INSUMOS  JULIO'!$B$6:$CJ$109,19,0),"")</f>
        <v>6716.8359</v>
      </c>
      <c r="H496" s="19">
        <f t="shared" si="28"/>
        <v>0</v>
      </c>
      <c r="I496" s="1">
        <f t="shared" si="29"/>
        <v>0</v>
      </c>
      <c r="J496" s="1">
        <f t="shared" si="30"/>
        <v>0</v>
      </c>
      <c r="K496" s="19">
        <f t="shared" si="31"/>
        <v>0</v>
      </c>
    </row>
    <row r="497" spans="1:11" ht="15">
      <c r="A497" s="3">
        <v>771</v>
      </c>
      <c r="B497" s="151">
        <v>160</v>
      </c>
      <c r="C497" s="7" t="s">
        <v>13</v>
      </c>
      <c r="D497" s="4" t="s">
        <v>99</v>
      </c>
      <c r="E497" t="s">
        <v>478</v>
      </c>
      <c r="F497" s="12" t="str">
        <f>IFERROR(VLOOKUP(B497,'INSUMOS  JULIO'!$B$6:$CJ$109,18,0),"")</f>
        <v>0</v>
      </c>
      <c r="G497" s="8">
        <f>IFERROR(VLOOKUP($B497,'INSUMOS  JULIO'!$B$6:$CJ$109,19,0),"")</f>
        <v>2276.4660000000003</v>
      </c>
      <c r="H497" s="19">
        <f t="shared" si="28"/>
        <v>0</v>
      </c>
      <c r="I497" s="1">
        <f t="shared" si="29"/>
        <v>0</v>
      </c>
      <c r="J497" s="1">
        <f t="shared" si="30"/>
        <v>0</v>
      </c>
      <c r="K497" s="19">
        <f t="shared" si="31"/>
        <v>0</v>
      </c>
    </row>
    <row r="498" spans="1:11" ht="15">
      <c r="A498" s="3">
        <v>772</v>
      </c>
      <c r="B498" s="151">
        <v>161</v>
      </c>
      <c r="C498" s="7" t="s">
        <v>33</v>
      </c>
      <c r="D498" s="4" t="s">
        <v>100</v>
      </c>
      <c r="E498" t="s">
        <v>478</v>
      </c>
      <c r="F498" s="12" t="str">
        <f>IFERROR(VLOOKUP(B498,'INSUMOS  JULIO'!$B$6:$CJ$109,18,0),"")</f>
        <v>0</v>
      </c>
      <c r="G498" s="8">
        <f>IFERROR(VLOOKUP($B498,'INSUMOS  JULIO'!$B$6:$CJ$109,19,0),"")</f>
        <v>2236.5280000000002</v>
      </c>
      <c r="H498" s="19">
        <f t="shared" si="28"/>
        <v>0</v>
      </c>
      <c r="I498" s="1">
        <f t="shared" si="29"/>
        <v>0</v>
      </c>
      <c r="J498" s="1">
        <f t="shared" si="30"/>
        <v>0</v>
      </c>
      <c r="K498" s="19">
        <f t="shared" si="31"/>
        <v>0</v>
      </c>
    </row>
    <row r="499" spans="1:11" ht="15">
      <c r="A499" s="3">
        <v>773</v>
      </c>
      <c r="B499" s="151">
        <v>162</v>
      </c>
      <c r="C499" s="7" t="s">
        <v>16</v>
      </c>
      <c r="D499" s="4" t="s">
        <v>101</v>
      </c>
      <c r="E499" t="s">
        <v>478</v>
      </c>
      <c r="F499" s="12">
        <f>IFERROR(VLOOKUP(B499,'INSUMOS  JULIO'!$B$6:$CJ$109,18,0),"")</f>
        <v>0</v>
      </c>
      <c r="G499" s="8">
        <f>IFERROR(VLOOKUP($B499,'INSUMOS  JULIO'!$B$6:$CJ$109,19,0),"")</f>
        <v>2684.2539999999999</v>
      </c>
      <c r="H499" s="19">
        <f t="shared" si="28"/>
        <v>0</v>
      </c>
      <c r="I499" s="1">
        <f t="shared" si="29"/>
        <v>0</v>
      </c>
      <c r="J499" s="1">
        <f t="shared" si="30"/>
        <v>0</v>
      </c>
      <c r="K499" s="19">
        <f t="shared" si="31"/>
        <v>0</v>
      </c>
    </row>
    <row r="500" spans="1:11" ht="15">
      <c r="A500" s="3">
        <v>774</v>
      </c>
      <c r="B500" s="151">
        <v>164</v>
      </c>
      <c r="C500" s="7" t="s">
        <v>36</v>
      </c>
      <c r="D500" s="4" t="s">
        <v>102</v>
      </c>
      <c r="E500" t="s">
        <v>478</v>
      </c>
      <c r="F500" s="12" t="str">
        <f>IFERROR(VLOOKUP(B500,'INSUMOS  JULIO'!$B$6:$CJ$109,18,0),"")</f>
        <v>0</v>
      </c>
      <c r="G500" s="8">
        <f>IFERROR(VLOOKUP($B500,'INSUMOS  JULIO'!$B$6:$CJ$109,19,0),"")</f>
        <v>1658.4780000000001</v>
      </c>
      <c r="H500" s="19">
        <f t="shared" si="28"/>
        <v>0</v>
      </c>
      <c r="I500" s="1">
        <f t="shared" si="29"/>
        <v>0</v>
      </c>
      <c r="J500" s="1">
        <f t="shared" si="30"/>
        <v>0</v>
      </c>
      <c r="K500" s="19">
        <f t="shared" si="31"/>
        <v>0</v>
      </c>
    </row>
    <row r="501" spans="1:11" ht="15">
      <c r="A501" s="3">
        <v>775</v>
      </c>
      <c r="B501" s="151">
        <v>169</v>
      </c>
      <c r="C501" s="7" t="s">
        <v>36</v>
      </c>
      <c r="D501" s="4" t="s">
        <v>104</v>
      </c>
      <c r="E501" t="s">
        <v>478</v>
      </c>
      <c r="F501" s="12" t="str">
        <f>IFERROR(VLOOKUP(B501,'INSUMOS  JULIO'!$B$6:$CJ$109,18,0),"")</f>
        <v>0</v>
      </c>
      <c r="G501" s="8">
        <f>IFERROR(VLOOKUP($B501,'INSUMOS  JULIO'!$B$6:$CJ$109,19,0),"")</f>
        <v>85897.178999999989</v>
      </c>
      <c r="H501" s="19">
        <f t="shared" si="28"/>
        <v>0</v>
      </c>
      <c r="I501" s="1">
        <f t="shared" si="29"/>
        <v>0</v>
      </c>
      <c r="J501" s="1">
        <f t="shared" si="30"/>
        <v>0</v>
      </c>
      <c r="K501" s="19">
        <f t="shared" si="31"/>
        <v>0</v>
      </c>
    </row>
    <row r="502" spans="1:11" ht="15">
      <c r="A502" s="3">
        <v>776</v>
      </c>
      <c r="B502" s="151">
        <v>170</v>
      </c>
      <c r="C502" s="7" t="s">
        <v>39</v>
      </c>
      <c r="D502" s="4" t="s">
        <v>106</v>
      </c>
      <c r="E502" t="s">
        <v>478</v>
      </c>
      <c r="F502" s="12">
        <f>IFERROR(VLOOKUP(B502,'INSUMOS  JULIO'!$B$6:$CJ$109,18,0),"")</f>
        <v>0</v>
      </c>
      <c r="G502" s="8">
        <f>IFERROR(VLOOKUP($B502,'INSUMOS  JULIO'!$B$6:$CJ$109,19,0),"")</f>
        <v>19405.664000000001</v>
      </c>
      <c r="H502" s="19">
        <f t="shared" si="28"/>
        <v>0</v>
      </c>
      <c r="I502" s="1">
        <f t="shared" si="29"/>
        <v>0</v>
      </c>
      <c r="J502" s="1">
        <f t="shared" si="30"/>
        <v>0</v>
      </c>
      <c r="K502" s="19">
        <f t="shared" si="31"/>
        <v>0</v>
      </c>
    </row>
    <row r="503" spans="1:11" ht="15">
      <c r="A503" s="3">
        <v>777</v>
      </c>
      <c r="B503" s="151">
        <v>173</v>
      </c>
      <c r="C503" s="7" t="s">
        <v>39</v>
      </c>
      <c r="D503" s="4" t="s">
        <v>107</v>
      </c>
      <c r="E503" t="s">
        <v>478</v>
      </c>
      <c r="F503" s="12" t="str">
        <f>IFERROR(VLOOKUP(B503,'INSUMOS  JULIO'!$B$6:$CJ$109,18,0),"")</f>
        <v>0</v>
      </c>
      <c r="G503" s="8">
        <f>IFERROR(VLOOKUP($B503,'INSUMOS  JULIO'!$B$6:$CJ$109,19,0),"")</f>
        <v>0</v>
      </c>
      <c r="H503" s="19">
        <f t="shared" si="28"/>
        <v>0</v>
      </c>
      <c r="I503" s="1">
        <f t="shared" si="29"/>
        <v>0</v>
      </c>
      <c r="J503" s="1">
        <f t="shared" si="30"/>
        <v>0</v>
      </c>
      <c r="K503" s="19">
        <f t="shared" si="31"/>
        <v>0</v>
      </c>
    </row>
    <row r="504" spans="1:11" ht="15">
      <c r="A504" s="3">
        <v>778</v>
      </c>
      <c r="B504" s="151">
        <v>174</v>
      </c>
      <c r="C504" s="7" t="s">
        <v>108</v>
      </c>
      <c r="D504" s="4" t="s">
        <v>109</v>
      </c>
      <c r="E504" t="s">
        <v>478</v>
      </c>
      <c r="F504" s="12" t="str">
        <f>IFERROR(VLOOKUP(B504,'INSUMOS  JULIO'!$B$6:$CJ$109,18,0),"")</f>
        <v>0</v>
      </c>
      <c r="G504" s="8">
        <f>IFERROR(VLOOKUP($B504,'INSUMOS  JULIO'!$B$6:$CJ$109,19,0),"")</f>
        <v>6081.0860000000002</v>
      </c>
      <c r="H504" s="19">
        <f t="shared" si="28"/>
        <v>0</v>
      </c>
      <c r="I504" s="1">
        <f t="shared" si="29"/>
        <v>0</v>
      </c>
      <c r="J504" s="1">
        <f t="shared" si="30"/>
        <v>0</v>
      </c>
      <c r="K504" s="19">
        <f t="shared" si="31"/>
        <v>0</v>
      </c>
    </row>
    <row r="505" spans="1:11" ht="15">
      <c r="A505" s="3">
        <v>779</v>
      </c>
      <c r="B505" s="151">
        <v>176</v>
      </c>
      <c r="C505" s="7" t="s">
        <v>108</v>
      </c>
      <c r="D505" s="4" t="s">
        <v>110</v>
      </c>
      <c r="E505" t="s">
        <v>478</v>
      </c>
      <c r="F505" s="12" t="str">
        <f>IFERROR(VLOOKUP(B505,'INSUMOS  JULIO'!$B$6:$CJ$109,18,0),"")</f>
        <v>0</v>
      </c>
      <c r="G505" s="8">
        <f>IFERROR(VLOOKUP($B505,'INSUMOS  JULIO'!$B$6:$CJ$109,19,0),"")</f>
        <v>2749.4160000000002</v>
      </c>
      <c r="H505" s="19">
        <f t="shared" si="28"/>
        <v>0</v>
      </c>
      <c r="I505" s="1">
        <f t="shared" si="29"/>
        <v>0</v>
      </c>
      <c r="J505" s="1">
        <f t="shared" si="30"/>
        <v>0</v>
      </c>
      <c r="K505" s="19">
        <f t="shared" si="31"/>
        <v>0</v>
      </c>
    </row>
    <row r="506" spans="1:11" ht="15">
      <c r="A506" s="3">
        <v>780</v>
      </c>
      <c r="B506" s="151">
        <v>192</v>
      </c>
      <c r="C506" s="7" t="s">
        <v>149</v>
      </c>
      <c r="D506" s="4" t="s">
        <v>111</v>
      </c>
      <c r="E506" t="s">
        <v>478</v>
      </c>
      <c r="F506" s="12">
        <f>IFERROR(VLOOKUP(B506,'INSUMOS  JULIO'!$B$6:$CJ$109,18,0),"")</f>
        <v>35</v>
      </c>
      <c r="G506" s="8">
        <f>IFERROR(VLOOKUP($B506,'INSUMOS  JULIO'!$B$6:$CJ$109,19,0),"")</f>
        <v>6866.2880999999998</v>
      </c>
      <c r="H506" s="19">
        <f t="shared" si="28"/>
        <v>240320.08349999998</v>
      </c>
      <c r="I506" s="1">
        <f t="shared" si="29"/>
        <v>24032.00835</v>
      </c>
      <c r="J506" s="1">
        <f t="shared" si="30"/>
        <v>4566.0815865000004</v>
      </c>
      <c r="K506" s="19">
        <f t="shared" si="31"/>
        <v>268918.17343649996</v>
      </c>
    </row>
    <row r="507" spans="1:11" ht="15">
      <c r="A507" s="3">
        <v>781</v>
      </c>
      <c r="B507" s="151">
        <v>195</v>
      </c>
      <c r="C507" s="7" t="s">
        <v>151</v>
      </c>
      <c r="D507" s="4" t="s">
        <v>112</v>
      </c>
      <c r="E507" t="s">
        <v>478</v>
      </c>
      <c r="F507" s="12">
        <f>IFERROR(VLOOKUP(B507,'INSUMOS  JULIO'!$B$6:$CJ$109,18,0),"")</f>
        <v>80</v>
      </c>
      <c r="G507" s="8">
        <f>IFERROR(VLOOKUP($B507,'INSUMOS  JULIO'!$B$6:$CJ$109,19,0),"")</f>
        <v>10697.1831</v>
      </c>
      <c r="H507" s="19">
        <f t="shared" si="28"/>
        <v>855774.64800000004</v>
      </c>
      <c r="I507" s="1">
        <f t="shared" si="29"/>
        <v>85577.464800000016</v>
      </c>
      <c r="J507" s="1">
        <f t="shared" si="30"/>
        <v>16259.718312000003</v>
      </c>
      <c r="K507" s="19">
        <f t="shared" si="31"/>
        <v>957611.83111200004</v>
      </c>
    </row>
    <row r="508" spans="1:11" ht="15">
      <c r="A508" s="3">
        <v>782</v>
      </c>
      <c r="B508" s="151">
        <v>204</v>
      </c>
      <c r="C508" s="7" t="s">
        <v>46</v>
      </c>
      <c r="D508" s="4" t="s">
        <v>113</v>
      </c>
      <c r="E508" t="s">
        <v>478</v>
      </c>
      <c r="F508" s="12">
        <f>IFERROR(VLOOKUP(B508,'INSUMOS  JULIO'!$B$6:$CJ$109,18,0),"")</f>
        <v>5</v>
      </c>
      <c r="G508" s="8">
        <f>IFERROR(VLOOKUP($B508,'INSUMOS  JULIO'!$B$6:$CJ$109,19,0),"")</f>
        <v>25673.6178</v>
      </c>
      <c r="H508" s="19">
        <f t="shared" si="28"/>
        <v>128368.08900000001</v>
      </c>
      <c r="I508" s="1">
        <f t="shared" si="29"/>
        <v>12836.808900000002</v>
      </c>
      <c r="J508" s="1">
        <f t="shared" si="30"/>
        <v>2438.9936910000006</v>
      </c>
      <c r="K508" s="19">
        <f t="shared" si="31"/>
        <v>143643.89159100002</v>
      </c>
    </row>
    <row r="509" spans="1:11" ht="27">
      <c r="A509" s="3">
        <v>783</v>
      </c>
      <c r="B509" s="151">
        <v>205</v>
      </c>
      <c r="C509" s="7" t="s">
        <v>159</v>
      </c>
      <c r="D509" s="4" t="s">
        <v>114</v>
      </c>
      <c r="E509" t="s">
        <v>478</v>
      </c>
      <c r="F509" s="12" t="str">
        <f>IFERROR(VLOOKUP(B509,'INSUMOS  JULIO'!$B$6:$CJ$109,18,0),"")</f>
        <v>0</v>
      </c>
      <c r="G509" s="8">
        <f>IFERROR(VLOOKUP($B509,'INSUMOS  JULIO'!$B$6:$CJ$109,19,0),"")</f>
        <v>17690.432000000001</v>
      </c>
      <c r="H509" s="19">
        <f t="shared" si="28"/>
        <v>0</v>
      </c>
      <c r="I509" s="1">
        <f t="shared" si="29"/>
        <v>0</v>
      </c>
      <c r="J509" s="1">
        <f t="shared" si="30"/>
        <v>0</v>
      </c>
      <c r="K509" s="19">
        <f t="shared" si="31"/>
        <v>0</v>
      </c>
    </row>
    <row r="510" spans="1:11" ht="15">
      <c r="A510" s="3">
        <v>784</v>
      </c>
      <c r="B510" s="151">
        <v>207</v>
      </c>
      <c r="C510" s="7" t="s">
        <v>159</v>
      </c>
      <c r="D510" s="4" t="s">
        <v>115</v>
      </c>
      <c r="E510" t="s">
        <v>478</v>
      </c>
      <c r="F510" s="12" t="str">
        <f>IFERROR(VLOOKUP(B510,'INSUMOS  JULIO'!$B$6:$CJ$109,18,0),"")</f>
        <v>0</v>
      </c>
      <c r="G510" s="8">
        <f>IFERROR(VLOOKUP($B510,'INSUMOS  JULIO'!$B$6:$CJ$109,19,0),"")</f>
        <v>7186.7380000000003</v>
      </c>
      <c r="H510" s="19">
        <f t="shared" si="28"/>
        <v>0</v>
      </c>
      <c r="I510" s="1">
        <f t="shared" si="29"/>
        <v>0</v>
      </c>
      <c r="J510" s="1">
        <f t="shared" si="30"/>
        <v>0</v>
      </c>
      <c r="K510" s="19">
        <f t="shared" si="31"/>
        <v>0</v>
      </c>
    </row>
    <row r="511" spans="1:11" ht="15">
      <c r="A511" s="3">
        <v>785</v>
      </c>
      <c r="B511" s="151">
        <v>208</v>
      </c>
      <c r="C511" s="7" t="s">
        <v>159</v>
      </c>
      <c r="D511" s="4" t="s">
        <v>634</v>
      </c>
      <c r="E511" t="s">
        <v>478</v>
      </c>
      <c r="F511" s="12" t="str">
        <f>IFERROR(VLOOKUP(B511,'INSUMOS  JULIO'!$B$6:$CJ$109,18,0),"")</f>
        <v>0</v>
      </c>
      <c r="G511" s="8">
        <f>IFERROR(VLOOKUP($B511,'INSUMOS  JULIO'!$B$6:$CJ$109,19,0),"")</f>
        <v>50779.065000000002</v>
      </c>
      <c r="H511" s="19">
        <f t="shared" si="28"/>
        <v>0</v>
      </c>
      <c r="I511" s="1">
        <f t="shared" si="29"/>
        <v>0</v>
      </c>
      <c r="J511" s="1">
        <f t="shared" si="30"/>
        <v>0</v>
      </c>
      <c r="K511" s="19">
        <f t="shared" si="31"/>
        <v>0</v>
      </c>
    </row>
    <row r="512" spans="1:11" ht="15">
      <c r="A512" s="3">
        <v>786</v>
      </c>
      <c r="B512" s="151">
        <v>209</v>
      </c>
      <c r="C512" s="7" t="s">
        <v>159</v>
      </c>
      <c r="D512" s="4" t="s">
        <v>635</v>
      </c>
      <c r="E512" t="s">
        <v>478</v>
      </c>
      <c r="F512" s="12" t="str">
        <f>IFERROR(VLOOKUP(B512,'INSUMOS  JULIO'!$B$6:$CJ$109,18,0),"")</f>
        <v>0</v>
      </c>
      <c r="G512" s="8">
        <f>IFERROR(VLOOKUP($B512,'INSUMOS  JULIO'!$B$6:$CJ$109,19,0),"")</f>
        <v>37357.794999999998</v>
      </c>
      <c r="H512" s="19">
        <f t="shared" si="28"/>
        <v>0</v>
      </c>
      <c r="I512" s="1">
        <f t="shared" si="29"/>
        <v>0</v>
      </c>
      <c r="J512" s="1">
        <f t="shared" si="30"/>
        <v>0</v>
      </c>
      <c r="K512" s="19">
        <f t="shared" si="31"/>
        <v>0</v>
      </c>
    </row>
    <row r="513" spans="1:11" ht="15">
      <c r="A513" s="3">
        <v>787</v>
      </c>
      <c r="B513" s="151">
        <v>210</v>
      </c>
      <c r="C513" s="7" t="s">
        <v>159</v>
      </c>
      <c r="D513" s="4" t="s">
        <v>636</v>
      </c>
      <c r="E513" t="s">
        <v>478</v>
      </c>
      <c r="F513" s="12" t="str">
        <f>IFERROR(VLOOKUP(B513,'INSUMOS  JULIO'!$B$6:$CJ$109,18,0),"")</f>
        <v>0</v>
      </c>
      <c r="G513" s="8">
        <f>IFERROR(VLOOKUP($B513,'INSUMOS  JULIO'!$B$6:$CJ$109,19,0),"")</f>
        <v>22537.643999999997</v>
      </c>
      <c r="H513" s="19">
        <f t="shared" si="28"/>
        <v>0</v>
      </c>
      <c r="I513" s="1">
        <f t="shared" si="29"/>
        <v>0</v>
      </c>
      <c r="J513" s="1">
        <f t="shared" si="30"/>
        <v>0</v>
      </c>
      <c r="K513" s="19">
        <f t="shared" si="31"/>
        <v>0</v>
      </c>
    </row>
    <row r="514" spans="1:11" ht="15">
      <c r="A514" s="3">
        <v>788</v>
      </c>
      <c r="B514" s="151">
        <v>211</v>
      </c>
      <c r="C514" s="7" t="s">
        <v>53</v>
      </c>
      <c r="D514" s="4" t="s">
        <v>637</v>
      </c>
      <c r="E514" t="s">
        <v>478</v>
      </c>
      <c r="F514" s="12" t="str">
        <f>IFERROR(VLOOKUP(B514,'INSUMOS  JULIO'!$B$6:$CJ$109,18,0),"")</f>
        <v>0</v>
      </c>
      <c r="G514" s="8">
        <f>IFERROR(VLOOKUP($B514,'INSUMOS  JULIO'!$B$6:$CJ$109,19,0),"")</f>
        <v>15992.016</v>
      </c>
      <c r="H514" s="19">
        <f t="shared" si="28"/>
        <v>0</v>
      </c>
      <c r="I514" s="1">
        <f t="shared" si="29"/>
        <v>0</v>
      </c>
      <c r="J514" s="1">
        <f t="shared" si="30"/>
        <v>0</v>
      </c>
      <c r="K514" s="19">
        <f t="shared" si="31"/>
        <v>0</v>
      </c>
    </row>
    <row r="515" spans="1:11" ht="15">
      <c r="A515" s="3">
        <v>789</v>
      </c>
      <c r="B515" s="151">
        <v>212</v>
      </c>
      <c r="C515" s="7" t="s">
        <v>53</v>
      </c>
      <c r="D515" s="4" t="s">
        <v>116</v>
      </c>
      <c r="E515" t="s">
        <v>478</v>
      </c>
      <c r="F515" s="12" t="str">
        <f>IFERROR(VLOOKUP(B515,'INSUMOS  JULIO'!$B$6:$CJ$109,18,0),"")</f>
        <v>0</v>
      </c>
      <c r="G515" s="8">
        <f>IFERROR(VLOOKUP($B515,'INSUMOS  JULIO'!$B$6:$CJ$109,19,0),"")</f>
        <v>2505.5839999999998</v>
      </c>
      <c r="H515" s="19">
        <f t="shared" si="28"/>
        <v>0</v>
      </c>
      <c r="I515" s="1">
        <f t="shared" si="29"/>
        <v>0</v>
      </c>
      <c r="J515" s="1">
        <f t="shared" si="30"/>
        <v>0</v>
      </c>
      <c r="K515" s="19">
        <f t="shared" si="31"/>
        <v>0</v>
      </c>
    </row>
    <row r="516" spans="1:11" ht="15">
      <c r="A516" s="3">
        <v>790</v>
      </c>
      <c r="B516" s="151">
        <v>213</v>
      </c>
      <c r="C516" s="7" t="s">
        <v>53</v>
      </c>
      <c r="D516" s="4" t="s">
        <v>638</v>
      </c>
      <c r="E516" t="s">
        <v>478</v>
      </c>
      <c r="F516" s="12" t="str">
        <f>IFERROR(VLOOKUP(B516,'INSUMOS  JULIO'!$B$6:$CJ$109,18,0),"")</f>
        <v>0</v>
      </c>
      <c r="G516" s="8">
        <f>IFERROR(VLOOKUP($B516,'INSUMOS  JULIO'!$B$6:$CJ$109,19,0),"")</f>
        <v>0</v>
      </c>
      <c r="H516" s="19">
        <f t="shared" si="28"/>
        <v>0</v>
      </c>
      <c r="I516" s="1">
        <f t="shared" si="29"/>
        <v>0</v>
      </c>
      <c r="J516" s="1">
        <f t="shared" si="30"/>
        <v>0</v>
      </c>
      <c r="K516" s="19">
        <f t="shared" si="31"/>
        <v>0</v>
      </c>
    </row>
    <row r="517" spans="1:11" ht="15">
      <c r="A517" s="3">
        <v>791</v>
      </c>
      <c r="B517" s="151">
        <v>215</v>
      </c>
      <c r="C517" s="7" t="s">
        <v>53</v>
      </c>
      <c r="D517" s="4" t="s">
        <v>639</v>
      </c>
      <c r="E517" t="s">
        <v>478</v>
      </c>
      <c r="F517" s="12" t="str">
        <f>IFERROR(VLOOKUP(B517,'INSUMOS  JULIO'!$B$6:$CJ$109,18,0),"")</f>
        <v>0</v>
      </c>
      <c r="G517" s="8">
        <f>IFERROR(VLOOKUP($B517,'INSUMOS  JULIO'!$B$6:$CJ$109,19,0),"")</f>
        <v>10476.367999999999</v>
      </c>
      <c r="H517" s="19">
        <f t="shared" si="28"/>
        <v>0</v>
      </c>
      <c r="I517" s="1">
        <f t="shared" si="29"/>
        <v>0</v>
      </c>
      <c r="J517" s="1">
        <f t="shared" si="30"/>
        <v>0</v>
      </c>
      <c r="K517" s="19">
        <f t="shared" si="31"/>
        <v>0</v>
      </c>
    </row>
    <row r="518" spans="1:11" ht="15">
      <c r="A518" s="3">
        <v>792</v>
      </c>
      <c r="B518" s="151">
        <v>216</v>
      </c>
      <c r="C518" s="7" t="s">
        <v>160</v>
      </c>
      <c r="D518" s="4" t="s">
        <v>640</v>
      </c>
      <c r="E518" t="s">
        <v>478</v>
      </c>
      <c r="F518" s="12" t="str">
        <f>IFERROR(VLOOKUP(B518,'INSUMOS  JULIO'!$B$6:$CJ$109,18,0),"")</f>
        <v>0</v>
      </c>
      <c r="G518" s="8">
        <f>IFERROR(VLOOKUP($B518,'INSUMOS  JULIO'!$B$6:$CJ$109,19,0),"")</f>
        <v>3954.9129999999996</v>
      </c>
      <c r="H518" s="19">
        <f t="shared" ref="H518:H581" si="32">+F518*G518</f>
        <v>0</v>
      </c>
      <c r="I518" s="1">
        <f t="shared" ref="I518:I581" si="33">+H518*10%</f>
        <v>0</v>
      </c>
      <c r="J518" s="1">
        <f t="shared" ref="J518:J581" si="34">+I518*19%</f>
        <v>0</v>
      </c>
      <c r="K518" s="19">
        <f t="shared" ref="K518:K581" si="35">SUM(H518:J518)</f>
        <v>0</v>
      </c>
    </row>
    <row r="519" spans="1:11" ht="15">
      <c r="A519" s="3">
        <v>793</v>
      </c>
      <c r="B519" s="151">
        <v>218</v>
      </c>
      <c r="C519" s="7" t="s">
        <v>160</v>
      </c>
      <c r="D519" s="4" t="s">
        <v>117</v>
      </c>
      <c r="E519" t="s">
        <v>478</v>
      </c>
      <c r="F519" s="12" t="str">
        <f>IFERROR(VLOOKUP(B519,'INSUMOS  JULIO'!$B$6:$CJ$109,18,0),"")</f>
        <v>0</v>
      </c>
      <c r="G519" s="8">
        <f>IFERROR(VLOOKUP($B519,'INSUMOS  JULIO'!$B$6:$CJ$109,19,0),"")</f>
        <v>1437.768</v>
      </c>
      <c r="H519" s="19">
        <f t="shared" si="32"/>
        <v>0</v>
      </c>
      <c r="I519" s="1">
        <f t="shared" si="33"/>
        <v>0</v>
      </c>
      <c r="J519" s="1">
        <f t="shared" si="34"/>
        <v>0</v>
      </c>
      <c r="K519" s="19">
        <f t="shared" si="35"/>
        <v>0</v>
      </c>
    </row>
    <row r="520" spans="1:11" ht="15">
      <c r="A520" s="3">
        <v>833</v>
      </c>
      <c r="B520" s="151">
        <v>251</v>
      </c>
      <c r="C520" s="7" t="s">
        <v>60</v>
      </c>
      <c r="D520" s="4" t="s">
        <v>118</v>
      </c>
      <c r="E520" t="s">
        <v>478</v>
      </c>
      <c r="F520" s="12" t="str">
        <f>IFERROR(VLOOKUP(B520,'INSUMOS  JULIO'!$B$6:$CJ$109,18,0),"")</f>
        <v>0</v>
      </c>
      <c r="G520" s="8">
        <f>IFERROR(VLOOKUP($B520,'INSUMOS  JULIO'!$B$6:$CJ$109,19,0),"")</f>
        <v>16031.954000000002</v>
      </c>
      <c r="H520" s="19">
        <f t="shared" si="32"/>
        <v>0</v>
      </c>
      <c r="I520" s="1">
        <f t="shared" si="33"/>
        <v>0</v>
      </c>
      <c r="J520" s="1">
        <f t="shared" si="34"/>
        <v>0</v>
      </c>
      <c r="K520" s="19">
        <f t="shared" si="35"/>
        <v>0</v>
      </c>
    </row>
    <row r="521" spans="1:11" ht="15">
      <c r="A521" s="3">
        <v>834</v>
      </c>
      <c r="B521" s="151">
        <v>255</v>
      </c>
      <c r="C521" s="7" t="s">
        <v>60</v>
      </c>
      <c r="D521" s="4" t="s">
        <v>641</v>
      </c>
      <c r="E521" t="s">
        <v>478</v>
      </c>
      <c r="F521" s="12" t="str">
        <f>IFERROR(VLOOKUP(B521,'INSUMOS  JULIO'!$B$6:$CJ$109,18,0),"")</f>
        <v>0</v>
      </c>
      <c r="G521" s="8">
        <f>IFERROR(VLOOKUP($B521,'INSUMOS  JULIO'!$B$6:$CJ$109,19,0),"")</f>
        <v>29299.777999999998</v>
      </c>
      <c r="H521" s="19">
        <f t="shared" si="32"/>
        <v>0</v>
      </c>
      <c r="I521" s="1">
        <f t="shared" si="33"/>
        <v>0</v>
      </c>
      <c r="J521" s="1">
        <f t="shared" si="34"/>
        <v>0</v>
      </c>
      <c r="K521" s="19">
        <f t="shared" si="35"/>
        <v>0</v>
      </c>
    </row>
    <row r="522" spans="1:11" ht="15">
      <c r="A522" s="3">
        <v>835</v>
      </c>
      <c r="B522" s="151">
        <v>257</v>
      </c>
      <c r="C522" s="7" t="s">
        <v>151</v>
      </c>
      <c r="D522" s="4" t="s">
        <v>642</v>
      </c>
      <c r="E522" t="s">
        <v>478</v>
      </c>
      <c r="F522" s="12" t="str">
        <f>IFERROR(VLOOKUP(B522,'INSUMOS  JULIO'!$B$6:$CJ$109,18,0),"")</f>
        <v>0</v>
      </c>
      <c r="G522" s="8">
        <f>IFERROR(VLOOKUP($B522,'INSUMOS  JULIO'!$B$6:$CJ$109,19,0),"")</f>
        <v>18796.084000000003</v>
      </c>
      <c r="H522" s="19">
        <f t="shared" si="32"/>
        <v>0</v>
      </c>
      <c r="I522" s="1">
        <f t="shared" si="33"/>
        <v>0</v>
      </c>
      <c r="J522" s="1">
        <f t="shared" si="34"/>
        <v>0</v>
      </c>
      <c r="K522" s="19">
        <f t="shared" si="35"/>
        <v>0</v>
      </c>
    </row>
    <row r="523" spans="1:11" ht="15">
      <c r="A523" s="3">
        <v>836</v>
      </c>
      <c r="B523" s="151">
        <v>260</v>
      </c>
      <c r="C523" s="7" t="s">
        <v>160</v>
      </c>
      <c r="D523" s="4" t="s">
        <v>643</v>
      </c>
      <c r="E523" t="s">
        <v>478</v>
      </c>
      <c r="F523" s="12" t="str">
        <f>IFERROR(VLOOKUP(B523,'INSUMOS  JULIO'!$B$6:$CJ$109,18,0),"")</f>
        <v>0</v>
      </c>
      <c r="G523" s="8">
        <f>IFERROR(VLOOKUP($B523,'INSUMOS  JULIO'!$B$6:$CJ$109,19,0),"")</f>
        <v>3417.8520000000008</v>
      </c>
      <c r="H523" s="19">
        <f t="shared" si="32"/>
        <v>0</v>
      </c>
      <c r="I523" s="1">
        <f t="shared" si="33"/>
        <v>0</v>
      </c>
      <c r="J523" s="1">
        <f t="shared" si="34"/>
        <v>0</v>
      </c>
      <c r="K523" s="19">
        <f t="shared" si="35"/>
        <v>0</v>
      </c>
    </row>
    <row r="524" spans="1:11" ht="15">
      <c r="A524" s="3">
        <v>837</v>
      </c>
      <c r="B524" s="151">
        <v>291</v>
      </c>
      <c r="C524" s="7" t="s">
        <v>60</v>
      </c>
      <c r="D524" s="4" t="s">
        <v>644</v>
      </c>
      <c r="E524" t="s">
        <v>478</v>
      </c>
      <c r="F524" s="12" t="str">
        <f>IFERROR(VLOOKUP(B524,'INSUMOS  JULIO'!$B$6:$CJ$109,18,0),"")</f>
        <v>0</v>
      </c>
      <c r="G524" s="8">
        <f>IFERROR(VLOOKUP($B524,'INSUMOS  JULIO'!$B$6:$CJ$109,19,0),"")</f>
        <v>20454.562000000005</v>
      </c>
      <c r="H524" s="19">
        <f t="shared" si="32"/>
        <v>0</v>
      </c>
      <c r="I524" s="1">
        <f t="shared" si="33"/>
        <v>0</v>
      </c>
      <c r="J524" s="1">
        <f t="shared" si="34"/>
        <v>0</v>
      </c>
      <c r="K524" s="19">
        <f t="shared" si="35"/>
        <v>0</v>
      </c>
    </row>
    <row r="525" spans="1:11" ht="15">
      <c r="A525" s="3">
        <v>838</v>
      </c>
      <c r="B525" s="151">
        <v>3</v>
      </c>
      <c r="C525" s="7" t="s">
        <v>155</v>
      </c>
      <c r="D525" s="4" t="s">
        <v>5</v>
      </c>
      <c r="E525" t="s">
        <v>479</v>
      </c>
      <c r="F525" s="12" t="str">
        <f>IFERROR(VLOOKUP($B525,'INSUMOS  JULIO'!$B$6:$CJ$109,21,0),"")</f>
        <v>0</v>
      </c>
      <c r="G525" s="8">
        <f>IFERROR(VLOOKUP($B525,'INSUMOS  JULIO'!$B$6:$CJ$109,22,0),"")</f>
        <v>7268.7160000000003</v>
      </c>
      <c r="H525" s="19">
        <f t="shared" si="32"/>
        <v>0</v>
      </c>
      <c r="I525" s="1">
        <f t="shared" si="33"/>
        <v>0</v>
      </c>
      <c r="J525" s="1">
        <f t="shared" si="34"/>
        <v>0</v>
      </c>
      <c r="K525" s="19">
        <f t="shared" si="35"/>
        <v>0</v>
      </c>
    </row>
    <row r="526" spans="1:11" ht="15">
      <c r="A526" s="3">
        <v>839</v>
      </c>
      <c r="B526" s="151">
        <v>5</v>
      </c>
      <c r="C526" s="7" t="s">
        <v>6</v>
      </c>
      <c r="D526" s="4" t="s">
        <v>7</v>
      </c>
      <c r="E526" t="s">
        <v>479</v>
      </c>
      <c r="F526" s="12" t="str">
        <f>IFERROR(VLOOKUP(B526,'INSUMOS  JULIO'!$B$6:$CJ$109,21,0),"")</f>
        <v>0</v>
      </c>
      <c r="G526" s="8">
        <f>IFERROR(VLOOKUP($B526,'INSUMOS  JULIO'!$B$6:$CJ$109,22,0),"")</f>
        <v>6494.1289999999999</v>
      </c>
      <c r="H526" s="19">
        <f t="shared" si="32"/>
        <v>0</v>
      </c>
      <c r="I526" s="1">
        <f t="shared" si="33"/>
        <v>0</v>
      </c>
      <c r="J526" s="1">
        <f t="shared" si="34"/>
        <v>0</v>
      </c>
      <c r="K526" s="19">
        <f t="shared" si="35"/>
        <v>0</v>
      </c>
    </row>
    <row r="527" spans="1:11" ht="15">
      <c r="A527" s="3">
        <v>840</v>
      </c>
      <c r="B527" s="151">
        <v>8</v>
      </c>
      <c r="C527" s="7" t="s">
        <v>6</v>
      </c>
      <c r="D527" s="4" t="s">
        <v>8</v>
      </c>
      <c r="E527" t="s">
        <v>479</v>
      </c>
      <c r="F527" s="12">
        <f>IFERROR(VLOOKUP(B527,'INSUMOS  JULIO'!$B$6:$CJ$109,21,0),"")</f>
        <v>0</v>
      </c>
      <c r="G527" s="8">
        <f>IFERROR(VLOOKUP($B527,'INSUMOS  JULIO'!$B$6:$CJ$109,22,0),"")</f>
        <v>2211.3040000000001</v>
      </c>
      <c r="H527" s="19">
        <f t="shared" si="32"/>
        <v>0</v>
      </c>
      <c r="I527" s="1">
        <f t="shared" si="33"/>
        <v>0</v>
      </c>
      <c r="J527" s="1">
        <f t="shared" si="34"/>
        <v>0</v>
      </c>
      <c r="K527" s="19">
        <f t="shared" si="35"/>
        <v>0</v>
      </c>
    </row>
    <row r="528" spans="1:11" ht="15">
      <c r="A528" s="3">
        <v>841</v>
      </c>
      <c r="B528" s="151">
        <v>9</v>
      </c>
      <c r="C528" s="7" t="s">
        <v>9</v>
      </c>
      <c r="D528" s="4" t="s">
        <v>10</v>
      </c>
      <c r="E528" t="s">
        <v>479</v>
      </c>
      <c r="F528" s="12">
        <f>IFERROR(VLOOKUP(B528,'INSUMOS  JULIO'!$B$6:$CJ$109,21,0),"")</f>
        <v>0</v>
      </c>
      <c r="G528" s="8">
        <f>IFERROR(VLOOKUP($B528,'INSUMOS  JULIO'!$B$6:$CJ$109,22,0),"")</f>
        <v>3298.0379999999996</v>
      </c>
      <c r="H528" s="19">
        <f t="shared" si="32"/>
        <v>0</v>
      </c>
      <c r="I528" s="1">
        <f t="shared" si="33"/>
        <v>0</v>
      </c>
      <c r="J528" s="1">
        <f t="shared" si="34"/>
        <v>0</v>
      </c>
      <c r="K528" s="19">
        <f t="shared" si="35"/>
        <v>0</v>
      </c>
    </row>
    <row r="529" spans="1:11" ht="15">
      <c r="A529" s="3">
        <v>842</v>
      </c>
      <c r="B529" s="151">
        <v>11</v>
      </c>
      <c r="C529" s="7" t="s">
        <v>156</v>
      </c>
      <c r="D529" s="4" t="s">
        <v>11</v>
      </c>
      <c r="E529" t="s">
        <v>479</v>
      </c>
      <c r="F529" s="12" t="str">
        <f>IFERROR(VLOOKUP(B529,'INSUMOS  JULIO'!$B$6:$CJ$109,21,0),"")</f>
        <v>0</v>
      </c>
      <c r="G529" s="8">
        <f>IFERROR(VLOOKUP($B529,'INSUMOS  JULIO'!$B$6:$CJ$109,22,0),"")</f>
        <v>7739.5639999999985</v>
      </c>
      <c r="H529" s="19">
        <f t="shared" si="32"/>
        <v>0</v>
      </c>
      <c r="I529" s="1">
        <f t="shared" si="33"/>
        <v>0</v>
      </c>
      <c r="J529" s="1">
        <f t="shared" si="34"/>
        <v>0</v>
      </c>
      <c r="K529" s="19">
        <f t="shared" si="35"/>
        <v>0</v>
      </c>
    </row>
    <row r="530" spans="1:11" ht="15">
      <c r="A530" s="3">
        <v>843</v>
      </c>
      <c r="B530" s="151">
        <v>13</v>
      </c>
      <c r="C530" s="7" t="s">
        <v>157</v>
      </c>
      <c r="D530" s="4" t="s">
        <v>12</v>
      </c>
      <c r="E530" t="s">
        <v>479</v>
      </c>
      <c r="F530" s="12">
        <f>IFERROR(VLOOKUP(B530,'INSUMOS  JULIO'!$B$6:$CJ$109,21,0),"")</f>
        <v>2</v>
      </c>
      <c r="G530" s="8">
        <f>IFERROR(VLOOKUP($B530,'INSUMOS  JULIO'!$B$6:$CJ$109,22,0),"")</f>
        <v>6507.7919999999995</v>
      </c>
      <c r="H530" s="19">
        <f t="shared" si="32"/>
        <v>13015.583999999999</v>
      </c>
      <c r="I530" s="1">
        <f t="shared" si="33"/>
        <v>1301.5583999999999</v>
      </c>
      <c r="J530" s="1">
        <f t="shared" si="34"/>
        <v>247.29609599999998</v>
      </c>
      <c r="K530" s="19">
        <f t="shared" si="35"/>
        <v>14564.438495999999</v>
      </c>
    </row>
    <row r="531" spans="1:11" ht="15">
      <c r="A531" s="3">
        <v>844</v>
      </c>
      <c r="B531" s="151">
        <v>17</v>
      </c>
      <c r="C531" s="7" t="s">
        <v>13</v>
      </c>
      <c r="D531" s="4" t="s">
        <v>14</v>
      </c>
      <c r="E531" t="s">
        <v>479</v>
      </c>
      <c r="F531" s="12">
        <f>IFERROR(VLOOKUP(B531,'INSUMOS  JULIO'!$B$6:$CJ$109,21,0),"")</f>
        <v>2</v>
      </c>
      <c r="G531" s="8">
        <f>IFERROR(VLOOKUP($B531,'INSUMOS  JULIO'!$B$6:$CJ$109,22,0),"")</f>
        <v>5647.0229999999992</v>
      </c>
      <c r="H531" s="19">
        <f t="shared" si="32"/>
        <v>11294.045999999998</v>
      </c>
      <c r="I531" s="1">
        <f t="shared" si="33"/>
        <v>1129.4045999999998</v>
      </c>
      <c r="J531" s="1">
        <f t="shared" si="34"/>
        <v>214.58687399999997</v>
      </c>
      <c r="K531" s="19">
        <f t="shared" si="35"/>
        <v>12638.037473999999</v>
      </c>
    </row>
    <row r="532" spans="1:11" ht="15">
      <c r="A532" s="3">
        <v>845</v>
      </c>
      <c r="B532" s="151">
        <v>20</v>
      </c>
      <c r="C532" s="7" t="s">
        <v>13</v>
      </c>
      <c r="D532" s="4" t="s">
        <v>15</v>
      </c>
      <c r="E532" t="s">
        <v>479</v>
      </c>
      <c r="F532" s="12">
        <f>IFERROR(VLOOKUP(B532,'INSUMOS  JULIO'!$B$6:$CJ$109,21,0),"")</f>
        <v>0</v>
      </c>
      <c r="G532" s="8">
        <f>IFERROR(VLOOKUP($B532,'INSUMOS  JULIO'!$B$6:$CJ$109,22,0),"")</f>
        <v>9851.5485000000008</v>
      </c>
      <c r="H532" s="19">
        <f t="shared" si="32"/>
        <v>0</v>
      </c>
      <c r="I532" s="1">
        <f t="shared" si="33"/>
        <v>0</v>
      </c>
      <c r="J532" s="1">
        <f t="shared" si="34"/>
        <v>0</v>
      </c>
      <c r="K532" s="19">
        <f t="shared" si="35"/>
        <v>0</v>
      </c>
    </row>
    <row r="533" spans="1:11" ht="15">
      <c r="A533" s="3">
        <v>846</v>
      </c>
      <c r="B533" s="151">
        <v>21</v>
      </c>
      <c r="C533" s="7" t="s">
        <v>16</v>
      </c>
      <c r="D533" s="4" t="s">
        <v>17</v>
      </c>
      <c r="E533" t="s">
        <v>479</v>
      </c>
      <c r="F533" s="12">
        <f>IFERROR(VLOOKUP(B533,'INSUMOS  JULIO'!$B$6:$CJ$109,21,0),"")</f>
        <v>0</v>
      </c>
      <c r="G533" s="8">
        <f>IFERROR(VLOOKUP($B533,'INSUMOS  JULIO'!$B$6:$CJ$109,22,0),"")</f>
        <v>5932.8950000000013</v>
      </c>
      <c r="H533" s="19">
        <f t="shared" si="32"/>
        <v>0</v>
      </c>
      <c r="I533" s="1">
        <f t="shared" si="33"/>
        <v>0</v>
      </c>
      <c r="J533" s="1">
        <f t="shared" si="34"/>
        <v>0</v>
      </c>
      <c r="K533" s="19">
        <f t="shared" si="35"/>
        <v>0</v>
      </c>
    </row>
    <row r="534" spans="1:11" ht="15">
      <c r="A534" s="3">
        <v>847</v>
      </c>
      <c r="B534" s="151">
        <v>28</v>
      </c>
      <c r="C534" s="7" t="s">
        <v>18</v>
      </c>
      <c r="D534" s="4" t="s">
        <v>19</v>
      </c>
      <c r="E534" t="s">
        <v>479</v>
      </c>
      <c r="F534" s="12">
        <f>IFERROR(VLOOKUP(B534,'INSUMOS  JULIO'!$B$6:$CJ$109,21,0),"")</f>
        <v>0</v>
      </c>
      <c r="G534" s="8">
        <f>IFERROR(VLOOKUP($B534,'INSUMOS  JULIO'!$B$6:$CJ$109,22,0),"")</f>
        <v>2764.13</v>
      </c>
      <c r="H534" s="19">
        <f t="shared" si="32"/>
        <v>0</v>
      </c>
      <c r="I534" s="1">
        <f t="shared" si="33"/>
        <v>0</v>
      </c>
      <c r="J534" s="1">
        <f t="shared" si="34"/>
        <v>0</v>
      </c>
      <c r="K534" s="19">
        <f t="shared" si="35"/>
        <v>0</v>
      </c>
    </row>
    <row r="535" spans="1:11" ht="15">
      <c r="A535" s="3">
        <v>848</v>
      </c>
      <c r="B535" s="151">
        <v>29</v>
      </c>
      <c r="C535" s="7" t="s">
        <v>20</v>
      </c>
      <c r="D535" s="4" t="s">
        <v>21</v>
      </c>
      <c r="E535" t="s">
        <v>479</v>
      </c>
      <c r="F535" s="12" t="str">
        <f>IFERROR(VLOOKUP(B535,'INSUMOS  JULIO'!$B$6:$CJ$109,21,0),"")</f>
        <v>0</v>
      </c>
      <c r="G535" s="8">
        <f>IFERROR(VLOOKUP($B535,'INSUMOS  JULIO'!$B$6:$CJ$109,22,0),"")</f>
        <v>4829.3450000000012</v>
      </c>
      <c r="H535" s="19">
        <f t="shared" si="32"/>
        <v>0</v>
      </c>
      <c r="I535" s="1">
        <f t="shared" si="33"/>
        <v>0</v>
      </c>
      <c r="J535" s="1">
        <f t="shared" si="34"/>
        <v>0</v>
      </c>
      <c r="K535" s="19">
        <f t="shared" si="35"/>
        <v>0</v>
      </c>
    </row>
    <row r="536" spans="1:11" ht="15">
      <c r="A536" s="3">
        <v>849</v>
      </c>
      <c r="B536" s="151">
        <v>32</v>
      </c>
      <c r="C536" s="7" t="s">
        <v>22</v>
      </c>
      <c r="D536" s="4" t="s">
        <v>23</v>
      </c>
      <c r="E536" t="s">
        <v>479</v>
      </c>
      <c r="F536" s="12">
        <f>IFERROR(VLOOKUP(B536,'INSUMOS  JULIO'!$B$6:$CJ$109,21,0),"")</f>
        <v>0</v>
      </c>
      <c r="G536" s="8">
        <f>IFERROR(VLOOKUP($B536,'INSUMOS  JULIO'!$B$6:$CJ$109,22,0),"")</f>
        <v>4115.7160000000003</v>
      </c>
      <c r="H536" s="19">
        <f t="shared" si="32"/>
        <v>0</v>
      </c>
      <c r="I536" s="1">
        <f t="shared" si="33"/>
        <v>0</v>
      </c>
      <c r="J536" s="1">
        <f t="shared" si="34"/>
        <v>0</v>
      </c>
      <c r="K536" s="19">
        <f t="shared" si="35"/>
        <v>0</v>
      </c>
    </row>
    <row r="537" spans="1:11" ht="15">
      <c r="A537" s="3">
        <v>850</v>
      </c>
      <c r="B537" s="151">
        <v>38</v>
      </c>
      <c r="C537" s="7" t="s">
        <v>18</v>
      </c>
      <c r="D537" s="4" t="s">
        <v>24</v>
      </c>
      <c r="E537" t="s">
        <v>479</v>
      </c>
      <c r="F537" s="12" t="str">
        <f>IFERROR(VLOOKUP(B537,'INSUMOS  JULIO'!$B$6:$CJ$109,21,0),"")</f>
        <v>0</v>
      </c>
      <c r="G537" s="8">
        <f>IFERROR(VLOOKUP($B537,'INSUMOS  JULIO'!$B$6:$CJ$109,22,0),"")</f>
        <v>15622.484399999999</v>
      </c>
      <c r="H537" s="19">
        <f t="shared" si="32"/>
        <v>0</v>
      </c>
      <c r="I537" s="1">
        <f t="shared" si="33"/>
        <v>0</v>
      </c>
      <c r="J537" s="1">
        <f t="shared" si="34"/>
        <v>0</v>
      </c>
      <c r="K537" s="19">
        <f t="shared" si="35"/>
        <v>0</v>
      </c>
    </row>
    <row r="538" spans="1:11" ht="15">
      <c r="A538" s="3">
        <v>851</v>
      </c>
      <c r="B538" s="151">
        <v>41</v>
      </c>
      <c r="C538" s="7" t="s">
        <v>155</v>
      </c>
      <c r="D538" s="4" t="s">
        <v>25</v>
      </c>
      <c r="E538" t="s">
        <v>479</v>
      </c>
      <c r="F538" s="12" t="str">
        <f>IFERROR(VLOOKUP(B538,'INSUMOS  JULIO'!$B$6:$CJ$109,21,0),"")</f>
        <v>0</v>
      </c>
      <c r="G538" s="8">
        <f>IFERROR(VLOOKUP($B538,'INSUMOS  JULIO'!$B$6:$CJ$109,22,0),"")</f>
        <v>7034.3429999999989</v>
      </c>
      <c r="H538" s="19">
        <f t="shared" si="32"/>
        <v>0</v>
      </c>
      <c r="I538" s="1">
        <f t="shared" si="33"/>
        <v>0</v>
      </c>
      <c r="J538" s="1">
        <f t="shared" si="34"/>
        <v>0</v>
      </c>
      <c r="K538" s="19">
        <f t="shared" si="35"/>
        <v>0</v>
      </c>
    </row>
    <row r="539" spans="1:11" ht="15">
      <c r="A539" s="3">
        <v>852</v>
      </c>
      <c r="B539" s="151">
        <v>44</v>
      </c>
      <c r="C539" s="7" t="s">
        <v>16</v>
      </c>
      <c r="D539" s="4" t="s">
        <v>26</v>
      </c>
      <c r="E539" t="s">
        <v>479</v>
      </c>
      <c r="F539" s="12">
        <f>IFERROR(VLOOKUP(B539,'INSUMOS  JULIO'!$B$6:$CJ$109,21,0),"")</f>
        <v>0</v>
      </c>
      <c r="G539" s="8">
        <f>IFERROR(VLOOKUP($B539,'INSUMOS  JULIO'!$B$6:$CJ$109,22,0),"")</f>
        <v>2787.2520000000004</v>
      </c>
      <c r="H539" s="19">
        <f t="shared" si="32"/>
        <v>0</v>
      </c>
      <c r="I539" s="1">
        <f t="shared" si="33"/>
        <v>0</v>
      </c>
      <c r="J539" s="1">
        <f t="shared" si="34"/>
        <v>0</v>
      </c>
      <c r="K539" s="19">
        <f t="shared" si="35"/>
        <v>0</v>
      </c>
    </row>
    <row r="540" spans="1:11" ht="15">
      <c r="A540" s="3">
        <v>853</v>
      </c>
      <c r="B540" s="151">
        <v>46</v>
      </c>
      <c r="C540" s="7" t="s">
        <v>27</v>
      </c>
      <c r="D540" s="4" t="s">
        <v>28</v>
      </c>
      <c r="E540" t="s">
        <v>479</v>
      </c>
      <c r="F540" s="12" t="str">
        <f>IFERROR(VLOOKUP(B540,'INSUMOS  JULIO'!$B$6:$CJ$109,21,0),"")</f>
        <v>0</v>
      </c>
      <c r="G540" s="8">
        <f>IFERROR(VLOOKUP($B540,'INSUMOS  JULIO'!$B$6:$CJ$109,22,0),"")</f>
        <v>7739.5640000000021</v>
      </c>
      <c r="H540" s="19">
        <f t="shared" si="32"/>
        <v>0</v>
      </c>
      <c r="I540" s="1">
        <f t="shared" si="33"/>
        <v>0</v>
      </c>
      <c r="J540" s="1">
        <f t="shared" si="34"/>
        <v>0</v>
      </c>
      <c r="K540" s="19">
        <f t="shared" si="35"/>
        <v>0</v>
      </c>
    </row>
    <row r="541" spans="1:11" ht="15">
      <c r="A541" s="3">
        <v>854</v>
      </c>
      <c r="B541" s="151">
        <v>50</v>
      </c>
      <c r="C541" s="7" t="s">
        <v>13</v>
      </c>
      <c r="D541" s="4" t="s">
        <v>29</v>
      </c>
      <c r="E541" t="s">
        <v>479</v>
      </c>
      <c r="F541" s="12">
        <f>IFERROR(VLOOKUP(B541,'INSUMOS  JULIO'!$B$6:$CJ$109,21,0),"")</f>
        <v>0</v>
      </c>
      <c r="G541" s="8">
        <f>IFERROR(VLOOKUP($B541,'INSUMOS  JULIO'!$B$6:$CJ$109,22,0),"")</f>
        <v>48162.390299999999</v>
      </c>
      <c r="H541" s="19">
        <f t="shared" si="32"/>
        <v>0</v>
      </c>
      <c r="I541" s="1">
        <f t="shared" si="33"/>
        <v>0</v>
      </c>
      <c r="J541" s="1">
        <f t="shared" si="34"/>
        <v>0</v>
      </c>
      <c r="K541" s="19">
        <f t="shared" si="35"/>
        <v>0</v>
      </c>
    </row>
    <row r="542" spans="1:11" ht="15">
      <c r="A542" s="3">
        <v>855</v>
      </c>
      <c r="B542" s="151">
        <v>51</v>
      </c>
      <c r="C542" s="7" t="s">
        <v>13</v>
      </c>
      <c r="D542" s="4" t="s">
        <v>30</v>
      </c>
      <c r="E542" t="s">
        <v>479</v>
      </c>
      <c r="F542" s="12" t="str">
        <f>IFERROR(VLOOKUP(B542,'INSUMOS  JULIO'!$B$6:$CJ$109,21,0),"")</f>
        <v>0</v>
      </c>
      <c r="G542" s="8">
        <f>IFERROR(VLOOKUP($B542,'INSUMOS  JULIO'!$B$6:$CJ$109,22,0),"")</f>
        <v>7739.5640000000021</v>
      </c>
      <c r="H542" s="19">
        <f t="shared" si="32"/>
        <v>0</v>
      </c>
      <c r="I542" s="1">
        <f t="shared" si="33"/>
        <v>0</v>
      </c>
      <c r="J542" s="1">
        <f t="shared" si="34"/>
        <v>0</v>
      </c>
      <c r="K542" s="19">
        <f t="shared" si="35"/>
        <v>0</v>
      </c>
    </row>
    <row r="543" spans="1:11" ht="15">
      <c r="A543" s="3">
        <v>856</v>
      </c>
      <c r="B543" s="151">
        <v>52</v>
      </c>
      <c r="C543" s="7" t="s">
        <v>13</v>
      </c>
      <c r="D543" s="4" t="s">
        <v>31</v>
      </c>
      <c r="E543" t="s">
        <v>479</v>
      </c>
      <c r="F543" s="12">
        <f>IFERROR(VLOOKUP(B543,'INSUMOS  JULIO'!$B$6:$CJ$109,21,0),"")</f>
        <v>0</v>
      </c>
      <c r="G543" s="8">
        <f>IFERROR(VLOOKUP($B543,'INSUMOS  JULIO'!$B$6:$CJ$109,22,0),"")</f>
        <v>6412.1509999999998</v>
      </c>
      <c r="H543" s="19">
        <f t="shared" si="32"/>
        <v>0</v>
      </c>
      <c r="I543" s="1">
        <f t="shared" si="33"/>
        <v>0</v>
      </c>
      <c r="J543" s="1">
        <f t="shared" si="34"/>
        <v>0</v>
      </c>
      <c r="K543" s="19">
        <f t="shared" si="35"/>
        <v>0</v>
      </c>
    </row>
    <row r="544" spans="1:11" ht="15">
      <c r="A544" s="3">
        <v>857</v>
      </c>
      <c r="B544" s="151">
        <v>54</v>
      </c>
      <c r="C544" s="7" t="s">
        <v>13</v>
      </c>
      <c r="D544" s="4" t="s">
        <v>32</v>
      </c>
      <c r="E544" t="s">
        <v>479</v>
      </c>
      <c r="F544" s="12">
        <f>IFERROR(VLOOKUP(B544,'INSUMOS  JULIO'!$B$6:$CJ$109,21,0),"")</f>
        <v>0</v>
      </c>
      <c r="G544" s="8">
        <f>IFERROR(VLOOKUP($B544,'INSUMOS  JULIO'!$B$6:$CJ$109,22,0),"")</f>
        <v>5359.049</v>
      </c>
      <c r="H544" s="19">
        <f t="shared" si="32"/>
        <v>0</v>
      </c>
      <c r="I544" s="1">
        <f t="shared" si="33"/>
        <v>0</v>
      </c>
      <c r="J544" s="1">
        <f t="shared" si="34"/>
        <v>0</v>
      </c>
      <c r="K544" s="19">
        <f t="shared" si="35"/>
        <v>0</v>
      </c>
    </row>
    <row r="545" spans="1:11" ht="15">
      <c r="A545" s="3">
        <v>858</v>
      </c>
      <c r="B545" s="151">
        <v>57</v>
      </c>
      <c r="C545" s="7" t="s">
        <v>33</v>
      </c>
      <c r="D545" s="4" t="s">
        <v>34</v>
      </c>
      <c r="E545" t="s">
        <v>479</v>
      </c>
      <c r="F545" s="12">
        <f>IFERROR(VLOOKUP(B545,'INSUMOS  JULIO'!$B$6:$CJ$109,21,0),"")</f>
        <v>0</v>
      </c>
      <c r="G545" s="8">
        <f>IFERROR(VLOOKUP($B545,'INSUMOS  JULIO'!$B$6:$CJ$109,22,0),"")</f>
        <v>12823.251000000004</v>
      </c>
      <c r="H545" s="19">
        <f t="shared" si="32"/>
        <v>0</v>
      </c>
      <c r="I545" s="1">
        <f t="shared" si="33"/>
        <v>0</v>
      </c>
      <c r="J545" s="1">
        <f t="shared" si="34"/>
        <v>0</v>
      </c>
      <c r="K545" s="19">
        <f t="shared" si="35"/>
        <v>0</v>
      </c>
    </row>
    <row r="546" spans="1:11" ht="15">
      <c r="A546" s="3">
        <v>859</v>
      </c>
      <c r="B546" s="151">
        <v>59</v>
      </c>
      <c r="C546" s="7" t="s">
        <v>16</v>
      </c>
      <c r="D546" s="4" t="s">
        <v>35</v>
      </c>
      <c r="E546" t="s">
        <v>479</v>
      </c>
      <c r="F546" s="12" t="str">
        <f>IFERROR(VLOOKUP(B546,'INSUMOS  JULIO'!$B$6:$CJ$109,21,0),"")</f>
        <v>0</v>
      </c>
      <c r="G546" s="8">
        <f>IFERROR(VLOOKUP($B546,'INSUMOS  JULIO'!$B$6:$CJ$109,22,0),"")</f>
        <v>5528.260000000002</v>
      </c>
      <c r="H546" s="19">
        <f t="shared" si="32"/>
        <v>0</v>
      </c>
      <c r="I546" s="1">
        <f t="shared" si="33"/>
        <v>0</v>
      </c>
      <c r="J546" s="1">
        <f t="shared" si="34"/>
        <v>0</v>
      </c>
      <c r="K546" s="19">
        <f t="shared" si="35"/>
        <v>0</v>
      </c>
    </row>
    <row r="547" spans="1:11" ht="15">
      <c r="A547" s="3">
        <v>860</v>
      </c>
      <c r="B547" s="151">
        <v>62</v>
      </c>
      <c r="C547" s="7" t="s">
        <v>36</v>
      </c>
      <c r="D547" s="4" t="s">
        <v>37</v>
      </c>
      <c r="E547" t="s">
        <v>479</v>
      </c>
      <c r="F547" s="12">
        <f>IFERROR(VLOOKUP(B547,'INSUMOS  JULIO'!$B$6:$CJ$109,21,0),"")</f>
        <v>5</v>
      </c>
      <c r="G547" s="8">
        <f>IFERROR(VLOOKUP($B547,'INSUMOS  JULIO'!$B$6:$CJ$109,22,0),"")</f>
        <v>10100.3202</v>
      </c>
      <c r="H547" s="19">
        <f t="shared" si="32"/>
        <v>50501.601000000002</v>
      </c>
      <c r="I547" s="1">
        <f t="shared" si="33"/>
        <v>5050.160100000001</v>
      </c>
      <c r="J547" s="1">
        <f t="shared" si="34"/>
        <v>959.53041900000017</v>
      </c>
      <c r="K547" s="19">
        <f t="shared" si="35"/>
        <v>56511.291519000006</v>
      </c>
    </row>
    <row r="548" spans="1:11" ht="15">
      <c r="A548" s="3">
        <v>861</v>
      </c>
      <c r="B548" s="151">
        <v>63</v>
      </c>
      <c r="C548" s="7" t="s">
        <v>36</v>
      </c>
      <c r="D548" s="4" t="s">
        <v>38</v>
      </c>
      <c r="E548" t="s">
        <v>479</v>
      </c>
      <c r="F548" s="12">
        <f>IFERROR(VLOOKUP(B548,'INSUMOS  JULIO'!$B$6:$CJ$109,21,0),"")</f>
        <v>5</v>
      </c>
      <c r="G548" s="8">
        <f>IFERROR(VLOOKUP($B548,'INSUMOS  JULIO'!$B$6:$CJ$109,22,0),"")</f>
        <v>11443.4982</v>
      </c>
      <c r="H548" s="19">
        <f t="shared" si="32"/>
        <v>57217.491000000002</v>
      </c>
      <c r="I548" s="1">
        <f t="shared" si="33"/>
        <v>5721.7491000000009</v>
      </c>
      <c r="J548" s="1">
        <f t="shared" si="34"/>
        <v>1087.1323290000003</v>
      </c>
      <c r="K548" s="19">
        <f t="shared" si="35"/>
        <v>64026.372429000003</v>
      </c>
    </row>
    <row r="549" spans="1:11" ht="15">
      <c r="A549" s="3">
        <v>862</v>
      </c>
      <c r="B549" s="151">
        <v>64</v>
      </c>
      <c r="C549" s="7" t="s">
        <v>39</v>
      </c>
      <c r="D549" s="4" t="s">
        <v>40</v>
      </c>
      <c r="E549" t="s">
        <v>479</v>
      </c>
      <c r="F549" s="12">
        <f>IFERROR(VLOOKUP(B549,'INSUMOS  JULIO'!$B$6:$CJ$109,21,0),"")</f>
        <v>0</v>
      </c>
      <c r="G549" s="8">
        <f>IFERROR(VLOOKUP($B549,'INSUMOS  JULIO'!$B$6:$CJ$109,22,0),"")</f>
        <v>13820.650000000001</v>
      </c>
      <c r="H549" s="19">
        <f t="shared" si="32"/>
        <v>0</v>
      </c>
      <c r="I549" s="1">
        <f t="shared" si="33"/>
        <v>0</v>
      </c>
      <c r="J549" s="1">
        <f t="shared" si="34"/>
        <v>0</v>
      </c>
      <c r="K549" s="19">
        <f t="shared" si="35"/>
        <v>0</v>
      </c>
    </row>
    <row r="550" spans="1:11" ht="15">
      <c r="A550" s="3">
        <v>863</v>
      </c>
      <c r="B550" s="151">
        <v>65</v>
      </c>
      <c r="C550" s="7" t="s">
        <v>39</v>
      </c>
      <c r="D550" s="4" t="s">
        <v>41</v>
      </c>
      <c r="E550" t="s">
        <v>479</v>
      </c>
      <c r="F550" s="12">
        <f>IFERROR(VLOOKUP(B550,'INSUMOS  JULIO'!$B$6:$CJ$109,21,0),"")</f>
        <v>0</v>
      </c>
      <c r="G550" s="8">
        <f>IFERROR(VLOOKUP($B550,'INSUMOS  JULIO'!$B$6:$CJ$109,22,0),"")</f>
        <v>13820.650000000001</v>
      </c>
      <c r="H550" s="19">
        <f t="shared" si="32"/>
        <v>0</v>
      </c>
      <c r="I550" s="1">
        <f t="shared" si="33"/>
        <v>0</v>
      </c>
      <c r="J550" s="1">
        <f t="shared" si="34"/>
        <v>0</v>
      </c>
      <c r="K550" s="19">
        <f t="shared" si="35"/>
        <v>0</v>
      </c>
    </row>
    <row r="551" spans="1:11" ht="15">
      <c r="A551" s="3">
        <v>864</v>
      </c>
      <c r="B551" s="151">
        <v>66</v>
      </c>
      <c r="C551" s="7" t="s">
        <v>151</v>
      </c>
      <c r="D551" s="4" t="s">
        <v>42</v>
      </c>
      <c r="E551" t="s">
        <v>479</v>
      </c>
      <c r="F551" s="12">
        <f>IFERROR(VLOOKUP(B551,'INSUMOS  JULIO'!$B$6:$CJ$109,21,0),"")</f>
        <v>15</v>
      </c>
      <c r="G551" s="8">
        <f>IFERROR(VLOOKUP($B551,'INSUMOS  JULIO'!$B$6:$CJ$109,22,0),"")</f>
        <v>4178.9862000000003</v>
      </c>
      <c r="H551" s="19">
        <f t="shared" si="32"/>
        <v>62684.793000000005</v>
      </c>
      <c r="I551" s="1">
        <f t="shared" si="33"/>
        <v>6268.4793000000009</v>
      </c>
      <c r="J551" s="1">
        <f t="shared" si="34"/>
        <v>1191.0110670000001</v>
      </c>
      <c r="K551" s="19">
        <f t="shared" si="35"/>
        <v>70144.283367000011</v>
      </c>
    </row>
    <row r="552" spans="1:11" ht="15">
      <c r="A552" s="3">
        <v>865</v>
      </c>
      <c r="B552" s="151">
        <v>71</v>
      </c>
      <c r="C552" s="7" t="s">
        <v>151</v>
      </c>
      <c r="D552" s="4" t="s">
        <v>43</v>
      </c>
      <c r="E552" t="s">
        <v>479</v>
      </c>
      <c r="F552" s="12" t="str">
        <f>IFERROR(VLOOKUP(B552,'INSUMOS  JULIO'!$B$6:$CJ$109,21,0),"")</f>
        <v>0</v>
      </c>
      <c r="G552" s="8">
        <f>IFERROR(VLOOKUP($B552,'INSUMOS  JULIO'!$B$6:$CJ$109,22,0),"")</f>
        <v>5196.1440000000002</v>
      </c>
      <c r="H552" s="19">
        <f t="shared" si="32"/>
        <v>0</v>
      </c>
      <c r="I552" s="1">
        <f t="shared" si="33"/>
        <v>0</v>
      </c>
      <c r="J552" s="1">
        <f t="shared" si="34"/>
        <v>0</v>
      </c>
      <c r="K552" s="19">
        <f t="shared" si="35"/>
        <v>0</v>
      </c>
    </row>
    <row r="553" spans="1:11" ht="15">
      <c r="A553" s="3">
        <v>866</v>
      </c>
      <c r="B553" s="151">
        <v>72</v>
      </c>
      <c r="C553" s="7" t="s">
        <v>151</v>
      </c>
      <c r="D553" s="4" t="s">
        <v>44</v>
      </c>
      <c r="E553" t="s">
        <v>479</v>
      </c>
      <c r="F553" s="12">
        <f>IFERROR(VLOOKUP(B553,'INSUMOS  JULIO'!$B$6:$CJ$109,21,0),"")</f>
        <v>15</v>
      </c>
      <c r="G553" s="8">
        <f>IFERROR(VLOOKUP($B553,'INSUMOS  JULIO'!$B$6:$CJ$109,22,0),"")</f>
        <v>7861.3749000000007</v>
      </c>
      <c r="H553" s="19">
        <f t="shared" si="32"/>
        <v>117920.62350000002</v>
      </c>
      <c r="I553" s="1">
        <f t="shared" si="33"/>
        <v>11792.062350000002</v>
      </c>
      <c r="J553" s="1">
        <f t="shared" si="34"/>
        <v>2240.4918465000005</v>
      </c>
      <c r="K553" s="19">
        <f t="shared" si="35"/>
        <v>131953.17769650003</v>
      </c>
    </row>
    <row r="554" spans="1:11" ht="27">
      <c r="A554" s="3">
        <v>867</v>
      </c>
      <c r="B554" s="151">
        <v>73</v>
      </c>
      <c r="C554" s="7" t="s">
        <v>151</v>
      </c>
      <c r="D554" s="4" t="s">
        <v>45</v>
      </c>
      <c r="E554" t="s">
        <v>479</v>
      </c>
      <c r="F554" s="12">
        <f>IFERROR(VLOOKUP(B554,'INSUMOS  JULIO'!$B$6:$CJ$109,21,0),"")</f>
        <v>0</v>
      </c>
      <c r="G554" s="8">
        <f>IFERROR(VLOOKUP($B554,'INSUMOS  JULIO'!$B$6:$CJ$109,22,0),"")</f>
        <v>4975.4340000000011</v>
      </c>
      <c r="H554" s="19">
        <f t="shared" si="32"/>
        <v>0</v>
      </c>
      <c r="I554" s="1">
        <f t="shared" si="33"/>
        <v>0</v>
      </c>
      <c r="J554" s="1">
        <f t="shared" si="34"/>
        <v>0</v>
      </c>
      <c r="K554" s="19">
        <f t="shared" si="35"/>
        <v>0</v>
      </c>
    </row>
    <row r="555" spans="1:11" ht="15">
      <c r="A555" s="3">
        <v>868</v>
      </c>
      <c r="B555" s="151">
        <v>74</v>
      </c>
      <c r="C555" s="7" t="s">
        <v>46</v>
      </c>
      <c r="D555" s="4" t="s">
        <v>47</v>
      </c>
      <c r="E555" t="s">
        <v>479</v>
      </c>
      <c r="F555" s="12">
        <f>IFERROR(VLOOKUP(B555,'INSUMOS  JULIO'!$B$6:$CJ$109,21,0),"")</f>
        <v>0</v>
      </c>
      <c r="G555" s="8">
        <f>IFERROR(VLOOKUP($B555,'INSUMOS  JULIO'!$B$6:$CJ$109,22,0),"")</f>
        <v>3261.2529999999997</v>
      </c>
      <c r="H555" s="19">
        <f t="shared" si="32"/>
        <v>0</v>
      </c>
      <c r="I555" s="1">
        <f t="shared" si="33"/>
        <v>0</v>
      </c>
      <c r="J555" s="1">
        <f t="shared" si="34"/>
        <v>0</v>
      </c>
      <c r="K555" s="19">
        <f t="shared" si="35"/>
        <v>0</v>
      </c>
    </row>
    <row r="556" spans="1:11" ht="15">
      <c r="A556" s="3">
        <v>869</v>
      </c>
      <c r="B556" s="151">
        <v>79</v>
      </c>
      <c r="C556" s="7" t="s">
        <v>159</v>
      </c>
      <c r="D556" s="4" t="s">
        <v>48</v>
      </c>
      <c r="E556" t="s">
        <v>479</v>
      </c>
      <c r="F556" s="12">
        <f>IFERROR(VLOOKUP(B556,'INSUMOS  JULIO'!$B$6:$CJ$109,21,0),"")</f>
        <v>0</v>
      </c>
      <c r="G556" s="8">
        <f>IFERROR(VLOOKUP($B556,'INSUMOS  JULIO'!$B$6:$CJ$109,22,0),"")</f>
        <v>541.2650000000001</v>
      </c>
      <c r="H556" s="19">
        <f t="shared" si="32"/>
        <v>0</v>
      </c>
      <c r="I556" s="1">
        <f t="shared" si="33"/>
        <v>0</v>
      </c>
      <c r="J556" s="1">
        <f t="shared" si="34"/>
        <v>0</v>
      </c>
      <c r="K556" s="19">
        <f t="shared" si="35"/>
        <v>0</v>
      </c>
    </row>
    <row r="557" spans="1:11" ht="15">
      <c r="A557" s="3">
        <v>870</v>
      </c>
      <c r="B557" s="151">
        <v>80</v>
      </c>
      <c r="C557" s="7" t="s">
        <v>159</v>
      </c>
      <c r="D557" s="4" t="s">
        <v>49</v>
      </c>
      <c r="E557" t="s">
        <v>479</v>
      </c>
      <c r="F557" s="12">
        <f>IFERROR(VLOOKUP(B557,'INSUMOS  JULIO'!$B$6:$CJ$109,21,0),"")</f>
        <v>0</v>
      </c>
      <c r="G557" s="8">
        <f>IFERROR(VLOOKUP($B557,'INSUMOS  JULIO'!$B$6:$CJ$109,22,0),"")</f>
        <v>433.01199999999994</v>
      </c>
      <c r="H557" s="19">
        <f t="shared" si="32"/>
        <v>0</v>
      </c>
      <c r="I557" s="1">
        <f t="shared" si="33"/>
        <v>0</v>
      </c>
      <c r="J557" s="1">
        <f t="shared" si="34"/>
        <v>0</v>
      </c>
      <c r="K557" s="19">
        <f t="shared" si="35"/>
        <v>0</v>
      </c>
    </row>
    <row r="558" spans="1:11" ht="15">
      <c r="A558" s="3">
        <v>871</v>
      </c>
      <c r="B558" s="151">
        <v>81</v>
      </c>
      <c r="C558" s="7" t="s">
        <v>159</v>
      </c>
      <c r="D558" s="4" t="s">
        <v>50</v>
      </c>
      <c r="E558" t="s">
        <v>479</v>
      </c>
      <c r="F558" s="12">
        <f>IFERROR(VLOOKUP(B558,'INSUMOS  JULIO'!$B$6:$CJ$109,21,0),"")</f>
        <v>0</v>
      </c>
      <c r="G558" s="8">
        <f>IFERROR(VLOOKUP($B558,'INSUMOS  JULIO'!$B$6:$CJ$109,22,0),"")</f>
        <v>211.251</v>
      </c>
      <c r="H558" s="19">
        <f t="shared" si="32"/>
        <v>0</v>
      </c>
      <c r="I558" s="1">
        <f t="shared" si="33"/>
        <v>0</v>
      </c>
      <c r="J558" s="1">
        <f t="shared" si="34"/>
        <v>0</v>
      </c>
      <c r="K558" s="19">
        <f t="shared" si="35"/>
        <v>0</v>
      </c>
    </row>
    <row r="559" spans="1:11" ht="15">
      <c r="A559" s="3">
        <v>872</v>
      </c>
      <c r="B559" s="151">
        <v>82</v>
      </c>
      <c r="C559" s="7" t="s">
        <v>159</v>
      </c>
      <c r="D559" s="4" t="s">
        <v>51</v>
      </c>
      <c r="E559" t="s">
        <v>479</v>
      </c>
      <c r="F559" s="12" t="str">
        <f>IFERROR(VLOOKUP(B559,'INSUMOS  JULIO'!$B$6:$CJ$109,21,0),"")</f>
        <v>0</v>
      </c>
      <c r="G559" s="8">
        <f>IFERROR(VLOOKUP($B559,'INSUMOS  JULIO'!$B$6:$CJ$109,22,0),"")</f>
        <v>1003.7049999999999</v>
      </c>
      <c r="H559" s="19">
        <f t="shared" si="32"/>
        <v>0</v>
      </c>
      <c r="I559" s="1">
        <f t="shared" si="33"/>
        <v>0</v>
      </c>
      <c r="J559" s="1">
        <f t="shared" si="34"/>
        <v>0</v>
      </c>
      <c r="K559" s="19">
        <f t="shared" si="35"/>
        <v>0</v>
      </c>
    </row>
    <row r="560" spans="1:11" ht="15">
      <c r="A560" s="3">
        <v>873</v>
      </c>
      <c r="B560" s="151">
        <v>83</v>
      </c>
      <c r="C560" s="7" t="s">
        <v>159</v>
      </c>
      <c r="D560" s="4" t="s">
        <v>52</v>
      </c>
      <c r="E560" t="s">
        <v>479</v>
      </c>
      <c r="F560" s="12" t="str">
        <f>IFERROR(VLOOKUP(B560,'INSUMOS  JULIO'!$B$6:$CJ$109,21,0),"")</f>
        <v>0</v>
      </c>
      <c r="G560" s="8">
        <f>IFERROR(VLOOKUP($B560,'INSUMOS  JULIO'!$B$6:$CJ$109,22,0),"")</f>
        <v>336.32</v>
      </c>
      <c r="H560" s="19">
        <f t="shared" si="32"/>
        <v>0</v>
      </c>
      <c r="I560" s="1">
        <f t="shared" si="33"/>
        <v>0</v>
      </c>
      <c r="J560" s="1">
        <f t="shared" si="34"/>
        <v>0</v>
      </c>
      <c r="K560" s="19">
        <f t="shared" si="35"/>
        <v>0</v>
      </c>
    </row>
    <row r="561" spans="1:11" ht="15">
      <c r="A561" s="3">
        <v>874</v>
      </c>
      <c r="B561" s="151">
        <v>86</v>
      </c>
      <c r="C561" s="7" t="s">
        <v>53</v>
      </c>
      <c r="D561" s="4" t="s">
        <v>54</v>
      </c>
      <c r="E561" t="s">
        <v>479</v>
      </c>
      <c r="F561" s="12" t="str">
        <f>IFERROR(VLOOKUP(B561,'INSUMOS  JULIO'!$B$6:$CJ$109,21,0),"")</f>
        <v>0</v>
      </c>
      <c r="G561" s="8">
        <f>IFERROR(VLOOKUP($B561,'INSUMOS  JULIO'!$B$6:$CJ$109,22,0),"")</f>
        <v>2792.5070000000005</v>
      </c>
      <c r="H561" s="19">
        <f t="shared" si="32"/>
        <v>0</v>
      </c>
      <c r="I561" s="1">
        <f t="shared" si="33"/>
        <v>0</v>
      </c>
      <c r="J561" s="1">
        <f t="shared" si="34"/>
        <v>0</v>
      </c>
      <c r="K561" s="19">
        <f t="shared" si="35"/>
        <v>0</v>
      </c>
    </row>
    <row r="562" spans="1:11" ht="15">
      <c r="A562" s="3">
        <v>875</v>
      </c>
      <c r="B562" s="151">
        <v>87</v>
      </c>
      <c r="C562" s="7" t="s">
        <v>53</v>
      </c>
      <c r="D562" s="4" t="s">
        <v>55</v>
      </c>
      <c r="E562" t="s">
        <v>479</v>
      </c>
      <c r="F562" s="12" t="str">
        <f>IFERROR(VLOOKUP(B562,'INSUMOS  JULIO'!$B$6:$CJ$109,21,0),"")</f>
        <v>0</v>
      </c>
      <c r="G562" s="8">
        <f>IFERROR(VLOOKUP($B562,'INSUMOS  JULIO'!$B$6:$CJ$109,22,0),"")</f>
        <v>0</v>
      </c>
      <c r="H562" s="19">
        <f t="shared" si="32"/>
        <v>0</v>
      </c>
      <c r="I562" s="1">
        <f t="shared" si="33"/>
        <v>0</v>
      </c>
      <c r="J562" s="1">
        <f t="shared" si="34"/>
        <v>0</v>
      </c>
      <c r="K562" s="19">
        <f t="shared" si="35"/>
        <v>0</v>
      </c>
    </row>
    <row r="563" spans="1:11" ht="15">
      <c r="A563" s="3">
        <v>876</v>
      </c>
      <c r="B563" s="151">
        <v>88</v>
      </c>
      <c r="C563" s="7" t="s">
        <v>53</v>
      </c>
      <c r="D563" s="4" t="s">
        <v>56</v>
      </c>
      <c r="E563" t="s">
        <v>479</v>
      </c>
      <c r="F563" s="12">
        <f>IFERROR(VLOOKUP(B563,'INSUMOS  JULIO'!$B$6:$CJ$109,21,0),"")</f>
        <v>0</v>
      </c>
      <c r="G563" s="8">
        <f>IFERROR(VLOOKUP($B563,'INSUMOS  JULIO'!$B$6:$CJ$109,22,0),"")</f>
        <v>2717.886</v>
      </c>
      <c r="H563" s="19">
        <f t="shared" si="32"/>
        <v>0</v>
      </c>
      <c r="I563" s="1">
        <f t="shared" si="33"/>
        <v>0</v>
      </c>
      <c r="J563" s="1">
        <f t="shared" si="34"/>
        <v>0</v>
      </c>
      <c r="K563" s="19">
        <f t="shared" si="35"/>
        <v>0</v>
      </c>
    </row>
    <row r="564" spans="1:11" ht="15">
      <c r="A564" s="3">
        <v>877</v>
      </c>
      <c r="B564" s="151">
        <v>89</v>
      </c>
      <c r="C564" s="7" t="s">
        <v>53</v>
      </c>
      <c r="D564" s="4" t="s">
        <v>57</v>
      </c>
      <c r="E564" t="s">
        <v>479</v>
      </c>
      <c r="F564" s="12" t="str">
        <f>IFERROR(VLOOKUP(B564,'INSUMOS  JULIO'!$B$6:$CJ$109,21,0),"")</f>
        <v>0</v>
      </c>
      <c r="G564" s="8">
        <f>IFERROR(VLOOKUP($B564,'INSUMOS  JULIO'!$B$6:$CJ$109,22,0),"")</f>
        <v>2650.6220000000003</v>
      </c>
      <c r="H564" s="19">
        <f t="shared" si="32"/>
        <v>0</v>
      </c>
      <c r="I564" s="1">
        <f t="shared" si="33"/>
        <v>0</v>
      </c>
      <c r="J564" s="1">
        <f t="shared" si="34"/>
        <v>0</v>
      </c>
      <c r="K564" s="19">
        <f t="shared" si="35"/>
        <v>0</v>
      </c>
    </row>
    <row r="565" spans="1:11" ht="15">
      <c r="A565" s="3">
        <v>878</v>
      </c>
      <c r="B565" s="151">
        <v>91</v>
      </c>
      <c r="C565" s="7" t="s">
        <v>160</v>
      </c>
      <c r="D565" s="4" t="s">
        <v>58</v>
      </c>
      <c r="E565" t="s">
        <v>479</v>
      </c>
      <c r="F565" s="12" t="str">
        <f>IFERROR(VLOOKUP(B565,'INSUMOS  JULIO'!$B$6:$CJ$109,21,0),"")</f>
        <v>0</v>
      </c>
      <c r="G565" s="8">
        <f>IFERROR(VLOOKUP($B565,'INSUMOS  JULIO'!$B$6:$CJ$109,22,0),"")</f>
        <v>4364.8029999999999</v>
      </c>
      <c r="H565" s="19">
        <f t="shared" si="32"/>
        <v>0</v>
      </c>
      <c r="I565" s="1">
        <f t="shared" si="33"/>
        <v>0</v>
      </c>
      <c r="J565" s="1">
        <f t="shared" si="34"/>
        <v>0</v>
      </c>
      <c r="K565" s="19">
        <f t="shared" si="35"/>
        <v>0</v>
      </c>
    </row>
    <row r="566" spans="1:11" ht="15">
      <c r="A566" s="3">
        <v>879</v>
      </c>
      <c r="B566" s="151">
        <v>92</v>
      </c>
      <c r="C566" s="7" t="s">
        <v>160</v>
      </c>
      <c r="D566" s="4" t="s">
        <v>59</v>
      </c>
      <c r="E566" t="s">
        <v>479</v>
      </c>
      <c r="F566" s="12" t="str">
        <f>IFERROR(VLOOKUP(B566,'INSUMOS  JULIO'!$B$6:$CJ$109,21,0),"")</f>
        <v>0</v>
      </c>
      <c r="G566" s="8">
        <f>IFERROR(VLOOKUP($B566,'INSUMOS  JULIO'!$B$6:$CJ$109,22,0),"")</f>
        <v>2380.5149999999999</v>
      </c>
      <c r="H566" s="19">
        <f t="shared" si="32"/>
        <v>0</v>
      </c>
      <c r="I566" s="1">
        <f t="shared" si="33"/>
        <v>0</v>
      </c>
      <c r="J566" s="1">
        <f t="shared" si="34"/>
        <v>0</v>
      </c>
      <c r="K566" s="19">
        <f t="shared" si="35"/>
        <v>0</v>
      </c>
    </row>
    <row r="567" spans="1:11" ht="15">
      <c r="A567" s="3">
        <v>880</v>
      </c>
      <c r="B567" s="151">
        <v>94</v>
      </c>
      <c r="C567" s="7" t="s">
        <v>60</v>
      </c>
      <c r="D567" s="4" t="s">
        <v>61</v>
      </c>
      <c r="E567" t="s">
        <v>479</v>
      </c>
      <c r="F567" s="12" t="str">
        <f>IFERROR(VLOOKUP(B567,'INSUMOS  JULIO'!$B$6:$CJ$109,21,0),"")</f>
        <v>0</v>
      </c>
      <c r="G567" s="8">
        <f>IFERROR(VLOOKUP($B567,'INSUMOS  JULIO'!$B$6:$CJ$109,22,0),"")</f>
        <v>3316.9560000000001</v>
      </c>
      <c r="H567" s="19">
        <f t="shared" si="32"/>
        <v>0</v>
      </c>
      <c r="I567" s="1">
        <f t="shared" si="33"/>
        <v>0</v>
      </c>
      <c r="J567" s="1">
        <f t="shared" si="34"/>
        <v>0</v>
      </c>
      <c r="K567" s="19">
        <f t="shared" si="35"/>
        <v>0</v>
      </c>
    </row>
    <row r="568" spans="1:11" ht="15">
      <c r="A568" s="3">
        <v>881</v>
      </c>
      <c r="B568" s="151">
        <v>95</v>
      </c>
      <c r="C568" s="7" t="s">
        <v>60</v>
      </c>
      <c r="D568" s="4" t="s">
        <v>62</v>
      </c>
      <c r="E568" t="s">
        <v>479</v>
      </c>
      <c r="F568" s="12" t="str">
        <f>IFERROR(VLOOKUP(B568,'INSUMOS  JULIO'!$B$6:$CJ$109,21,0),"")</f>
        <v>0</v>
      </c>
      <c r="G568" s="8">
        <f>IFERROR(VLOOKUP($B568,'INSUMOS  JULIO'!$B$6:$CJ$109,22,0),"")</f>
        <v>11056.52</v>
      </c>
      <c r="H568" s="19">
        <f t="shared" si="32"/>
        <v>0</v>
      </c>
      <c r="I568" s="1">
        <f t="shared" si="33"/>
        <v>0</v>
      </c>
      <c r="J568" s="1">
        <f t="shared" si="34"/>
        <v>0</v>
      </c>
      <c r="K568" s="19">
        <f t="shared" si="35"/>
        <v>0</v>
      </c>
    </row>
    <row r="569" spans="1:11" ht="15">
      <c r="A569" s="3">
        <v>882</v>
      </c>
      <c r="B569" s="151">
        <v>98</v>
      </c>
      <c r="C569" s="7" t="s">
        <v>151</v>
      </c>
      <c r="D569" s="4" t="s">
        <v>63</v>
      </c>
      <c r="E569" t="s">
        <v>479</v>
      </c>
      <c r="F569" s="12">
        <f>IFERROR(VLOOKUP(B569,'INSUMOS  JULIO'!$B$6:$CJ$109,21,0),"")</f>
        <v>10</v>
      </c>
      <c r="G569" s="8">
        <f>IFERROR(VLOOKUP($B569,'INSUMOS  JULIO'!$B$6:$CJ$109,22,0),"")</f>
        <v>6633.9120000000003</v>
      </c>
      <c r="H569" s="19">
        <f t="shared" si="32"/>
        <v>66339.12</v>
      </c>
      <c r="I569" s="1">
        <f t="shared" si="33"/>
        <v>6633.9120000000003</v>
      </c>
      <c r="J569" s="1">
        <f t="shared" si="34"/>
        <v>1260.44328</v>
      </c>
      <c r="K569" s="19">
        <f t="shared" si="35"/>
        <v>74233.475279999999</v>
      </c>
    </row>
    <row r="570" spans="1:11" ht="15">
      <c r="A570" s="3">
        <v>883</v>
      </c>
      <c r="B570" s="151">
        <v>100</v>
      </c>
      <c r="C570" s="7" t="s">
        <v>160</v>
      </c>
      <c r="D570" s="4" t="s">
        <v>64</v>
      </c>
      <c r="E570" t="s">
        <v>479</v>
      </c>
      <c r="F570" s="12" t="str">
        <f>IFERROR(VLOOKUP(B570,'INSUMOS  JULIO'!$B$6:$CJ$109,21,0),"")</f>
        <v>0</v>
      </c>
      <c r="G570" s="8">
        <f>IFERROR(VLOOKUP($B570,'INSUMOS  JULIO'!$B$6:$CJ$109,22,0),"")</f>
        <v>4364.8029999999999</v>
      </c>
      <c r="H570" s="19">
        <f t="shared" si="32"/>
        <v>0</v>
      </c>
      <c r="I570" s="1">
        <f t="shared" si="33"/>
        <v>0</v>
      </c>
      <c r="J570" s="1">
        <f t="shared" si="34"/>
        <v>0</v>
      </c>
      <c r="K570" s="19">
        <f t="shared" si="35"/>
        <v>0</v>
      </c>
    </row>
    <row r="571" spans="1:11" ht="15">
      <c r="A571" s="3">
        <v>884</v>
      </c>
      <c r="B571" s="151">
        <v>102</v>
      </c>
      <c r="C571" s="7" t="s">
        <v>60</v>
      </c>
      <c r="D571" s="4" t="s">
        <v>65</v>
      </c>
      <c r="E571" t="s">
        <v>479</v>
      </c>
      <c r="F571" s="12" t="str">
        <f>IFERROR(VLOOKUP(B571,'INSUMOS  JULIO'!$B$6:$CJ$109,21,0),"")</f>
        <v>0</v>
      </c>
      <c r="G571" s="8">
        <f>IFERROR(VLOOKUP($B571,'INSUMOS  JULIO'!$B$6:$CJ$109,22,0),"")</f>
        <v>3811.9770000000003</v>
      </c>
      <c r="H571" s="19">
        <f t="shared" si="32"/>
        <v>0</v>
      </c>
      <c r="I571" s="1">
        <f t="shared" si="33"/>
        <v>0</v>
      </c>
      <c r="J571" s="1">
        <f t="shared" si="34"/>
        <v>0</v>
      </c>
      <c r="K571" s="19">
        <f t="shared" si="35"/>
        <v>0</v>
      </c>
    </row>
    <row r="572" spans="1:11" ht="15">
      <c r="A572" s="3">
        <v>885</v>
      </c>
      <c r="B572" s="151">
        <v>103</v>
      </c>
      <c r="C572" s="7" t="s">
        <v>66</v>
      </c>
      <c r="D572" s="4" t="s">
        <v>67</v>
      </c>
      <c r="E572" t="s">
        <v>479</v>
      </c>
      <c r="F572" s="12" t="str">
        <f>IFERROR(VLOOKUP(B572,'INSUMOS  JULIO'!$B$6:$CJ$109,21,0),"")</f>
        <v>0</v>
      </c>
      <c r="G572" s="8">
        <f>IFERROR(VLOOKUP($B572,'INSUMOS  JULIO'!$B$6:$CJ$109,22,0),"")</f>
        <v>18022.547999999999</v>
      </c>
      <c r="H572" s="19">
        <f t="shared" si="32"/>
        <v>0</v>
      </c>
      <c r="I572" s="1">
        <f t="shared" si="33"/>
        <v>0</v>
      </c>
      <c r="J572" s="1">
        <f t="shared" si="34"/>
        <v>0</v>
      </c>
      <c r="K572" s="19">
        <f t="shared" si="35"/>
        <v>0</v>
      </c>
    </row>
    <row r="573" spans="1:11" ht="15">
      <c r="A573" s="3">
        <v>886</v>
      </c>
      <c r="B573" s="151">
        <v>104</v>
      </c>
      <c r="C573" s="7" t="s">
        <v>66</v>
      </c>
      <c r="D573" s="4" t="s">
        <v>68</v>
      </c>
      <c r="E573" t="s">
        <v>479</v>
      </c>
      <c r="F573" s="12" t="str">
        <f>IFERROR(VLOOKUP(B573,'INSUMOS  JULIO'!$B$6:$CJ$109,21,0),"")</f>
        <v>0</v>
      </c>
      <c r="G573" s="8">
        <f>IFERROR(VLOOKUP($B573,'INSUMOS  JULIO'!$B$6:$CJ$109,22,0),"")</f>
        <v>18022.547999999999</v>
      </c>
      <c r="H573" s="19">
        <f t="shared" si="32"/>
        <v>0</v>
      </c>
      <c r="I573" s="1">
        <f t="shared" si="33"/>
        <v>0</v>
      </c>
      <c r="J573" s="1">
        <f t="shared" si="34"/>
        <v>0</v>
      </c>
      <c r="K573" s="19">
        <f t="shared" si="35"/>
        <v>0</v>
      </c>
    </row>
    <row r="574" spans="1:11" ht="15">
      <c r="A574" s="3">
        <v>887</v>
      </c>
      <c r="B574" s="151">
        <v>105</v>
      </c>
      <c r="C574" s="7" t="s">
        <v>66</v>
      </c>
      <c r="D574" s="4" t="s">
        <v>69</v>
      </c>
      <c r="E574" t="s">
        <v>479</v>
      </c>
      <c r="F574" s="12" t="str">
        <f>IFERROR(VLOOKUP(B574,'INSUMOS  JULIO'!$B$6:$CJ$109,21,0),"")</f>
        <v>0</v>
      </c>
      <c r="G574" s="8">
        <f>IFERROR(VLOOKUP($B574,'INSUMOS  JULIO'!$B$6:$CJ$109,22,0),"")</f>
        <v>27641.3</v>
      </c>
      <c r="H574" s="19">
        <f t="shared" si="32"/>
        <v>0</v>
      </c>
      <c r="I574" s="1">
        <f t="shared" si="33"/>
        <v>0</v>
      </c>
      <c r="J574" s="1">
        <f t="shared" si="34"/>
        <v>0</v>
      </c>
      <c r="K574" s="19">
        <f t="shared" si="35"/>
        <v>0</v>
      </c>
    </row>
    <row r="575" spans="1:11" ht="15">
      <c r="A575" s="3">
        <v>888</v>
      </c>
      <c r="B575" s="151">
        <v>106</v>
      </c>
      <c r="C575" s="7" t="s">
        <v>66</v>
      </c>
      <c r="D575" s="4" t="s">
        <v>70</v>
      </c>
      <c r="E575" t="s">
        <v>479</v>
      </c>
      <c r="F575" s="12" t="str">
        <f>IFERROR(VLOOKUP(B575,'INSUMOS  JULIO'!$B$6:$CJ$109,21,0),"")</f>
        <v>0</v>
      </c>
      <c r="G575" s="8">
        <f>IFERROR(VLOOKUP($B575,'INSUMOS  JULIO'!$B$6:$CJ$109,22,0),"")</f>
        <v>0</v>
      </c>
      <c r="H575" s="19">
        <f t="shared" si="32"/>
        <v>0</v>
      </c>
      <c r="I575" s="1">
        <f t="shared" si="33"/>
        <v>0</v>
      </c>
      <c r="J575" s="1">
        <f t="shared" si="34"/>
        <v>0</v>
      </c>
      <c r="K575" s="19">
        <f t="shared" si="35"/>
        <v>0</v>
      </c>
    </row>
    <row r="576" spans="1:11" ht="15">
      <c r="A576" s="3">
        <v>889</v>
      </c>
      <c r="B576" s="151">
        <v>108</v>
      </c>
      <c r="C576" s="7" t="s">
        <v>66</v>
      </c>
      <c r="D576" s="4" t="s">
        <v>71</v>
      </c>
      <c r="E576" t="s">
        <v>479</v>
      </c>
      <c r="F576" s="12" t="str">
        <f>IFERROR(VLOOKUP(B576,'INSUMOS  JULIO'!$B$6:$CJ$109,21,0),"")</f>
        <v>0</v>
      </c>
      <c r="G576" s="8">
        <f>IFERROR(VLOOKUP($B576,'INSUMOS  JULIO'!$B$6:$CJ$109,22,0),"")</f>
        <v>38697.82</v>
      </c>
      <c r="H576" s="19">
        <f t="shared" si="32"/>
        <v>0</v>
      </c>
      <c r="I576" s="1">
        <f t="shared" si="33"/>
        <v>0</v>
      </c>
      <c r="J576" s="1">
        <f t="shared" si="34"/>
        <v>0</v>
      </c>
      <c r="K576" s="19">
        <f t="shared" si="35"/>
        <v>0</v>
      </c>
    </row>
    <row r="577" spans="1:11" ht="15">
      <c r="A577" s="3">
        <v>890</v>
      </c>
      <c r="B577" s="151">
        <v>109</v>
      </c>
      <c r="C577" s="7" t="s">
        <v>66</v>
      </c>
      <c r="D577" s="4" t="s">
        <v>72</v>
      </c>
      <c r="E577" t="s">
        <v>479</v>
      </c>
      <c r="F577" s="12" t="str">
        <f>IFERROR(VLOOKUP(B577,'INSUMOS  JULIO'!$B$6:$CJ$109,21,0),"")</f>
        <v>0</v>
      </c>
      <c r="G577" s="8">
        <f>IFERROR(VLOOKUP($B577,'INSUMOS  JULIO'!$B$6:$CJ$109,22,0),"")</f>
        <v>49754.340000000004</v>
      </c>
      <c r="H577" s="19">
        <f t="shared" si="32"/>
        <v>0</v>
      </c>
      <c r="I577" s="1">
        <f t="shared" si="33"/>
        <v>0</v>
      </c>
      <c r="J577" s="1">
        <f t="shared" si="34"/>
        <v>0</v>
      </c>
      <c r="K577" s="19">
        <f t="shared" si="35"/>
        <v>0</v>
      </c>
    </row>
    <row r="578" spans="1:11" ht="15">
      <c r="A578" s="3">
        <v>891</v>
      </c>
      <c r="B578" s="151">
        <v>110</v>
      </c>
      <c r="C578" s="7" t="s">
        <v>158</v>
      </c>
      <c r="D578" s="4" t="s">
        <v>73</v>
      </c>
      <c r="E578" t="s">
        <v>479</v>
      </c>
      <c r="F578" s="12">
        <f>IFERROR(VLOOKUP(B578,'INSUMOS  JULIO'!$B$6:$CJ$109,21,0),"")</f>
        <v>20</v>
      </c>
      <c r="G578" s="8">
        <f>IFERROR(VLOOKUP($B578,'INSUMOS  JULIO'!$B$6:$CJ$109,22,0),"")</f>
        <v>1442.4974999999999</v>
      </c>
      <c r="H578" s="19">
        <f t="shared" si="32"/>
        <v>28849.949999999997</v>
      </c>
      <c r="I578" s="1">
        <f t="shared" si="33"/>
        <v>2884.9949999999999</v>
      </c>
      <c r="J578" s="1">
        <f t="shared" si="34"/>
        <v>548.14904999999999</v>
      </c>
      <c r="K578" s="19">
        <f t="shared" si="35"/>
        <v>32283.094049999996</v>
      </c>
    </row>
    <row r="579" spans="1:11" ht="15">
      <c r="A579" s="3">
        <v>892</v>
      </c>
      <c r="B579" s="151">
        <v>118</v>
      </c>
      <c r="C579" s="7" t="s">
        <v>158</v>
      </c>
      <c r="D579" s="4" t="s">
        <v>74</v>
      </c>
      <c r="E579" t="s">
        <v>479</v>
      </c>
      <c r="F579" s="12">
        <f>IFERROR(VLOOKUP(B579,'INSUMOS  JULIO'!$B$6:$CJ$109,21,0),"")</f>
        <v>0</v>
      </c>
      <c r="G579" s="8">
        <f>IFERROR(VLOOKUP($B579,'INSUMOS  JULIO'!$B$6:$CJ$109,22,0),"")</f>
        <v>2455.136</v>
      </c>
      <c r="H579" s="19">
        <f t="shared" si="32"/>
        <v>0</v>
      </c>
      <c r="I579" s="1">
        <f t="shared" si="33"/>
        <v>0</v>
      </c>
      <c r="J579" s="1">
        <f t="shared" si="34"/>
        <v>0</v>
      </c>
      <c r="K579" s="19">
        <f t="shared" si="35"/>
        <v>0</v>
      </c>
    </row>
    <row r="580" spans="1:11" ht="15">
      <c r="A580" s="3">
        <v>893</v>
      </c>
      <c r="B580" s="151">
        <v>119</v>
      </c>
      <c r="C580" s="7" t="s">
        <v>158</v>
      </c>
      <c r="D580" s="4" t="s">
        <v>75</v>
      </c>
      <c r="E580" t="s">
        <v>479</v>
      </c>
      <c r="F580" s="12" t="str">
        <f>IFERROR(VLOOKUP(B580,'INSUMOS  JULIO'!$B$6:$CJ$109,21,0),"")</f>
        <v>0</v>
      </c>
      <c r="G580" s="8">
        <f>IFERROR(VLOOKUP($B580,'INSUMOS  JULIO'!$B$6:$CJ$109,22,0),"")</f>
        <v>2821.9350000000004</v>
      </c>
      <c r="H580" s="19">
        <f t="shared" si="32"/>
        <v>0</v>
      </c>
      <c r="I580" s="1">
        <f t="shared" si="33"/>
        <v>0</v>
      </c>
      <c r="J580" s="1">
        <f t="shared" si="34"/>
        <v>0</v>
      </c>
      <c r="K580" s="19">
        <f t="shared" si="35"/>
        <v>0</v>
      </c>
    </row>
    <row r="581" spans="1:11" ht="15">
      <c r="A581" s="3">
        <v>894</v>
      </c>
      <c r="B581" s="151">
        <v>120</v>
      </c>
      <c r="C581" s="7" t="s">
        <v>158</v>
      </c>
      <c r="D581" s="4" t="s">
        <v>76</v>
      </c>
      <c r="E581" t="s">
        <v>479</v>
      </c>
      <c r="F581" s="12" t="str">
        <f>IFERROR(VLOOKUP(B581,'INSUMOS  JULIO'!$B$6:$CJ$109,21,0),"")</f>
        <v>0</v>
      </c>
      <c r="G581" s="8">
        <f>IFERROR(VLOOKUP($B581,'INSUMOS  JULIO'!$B$6:$CJ$109,22,0),"")</f>
        <v>2821.9350000000004</v>
      </c>
      <c r="H581" s="19">
        <f t="shared" si="32"/>
        <v>0</v>
      </c>
      <c r="I581" s="1">
        <f t="shared" si="33"/>
        <v>0</v>
      </c>
      <c r="J581" s="1">
        <f t="shared" si="34"/>
        <v>0</v>
      </c>
      <c r="K581" s="19">
        <f t="shared" si="35"/>
        <v>0</v>
      </c>
    </row>
    <row r="582" spans="1:11" ht="15">
      <c r="A582" s="3">
        <v>895</v>
      </c>
      <c r="B582" s="151">
        <v>122</v>
      </c>
      <c r="C582" s="7" t="s">
        <v>158</v>
      </c>
      <c r="D582" s="4" t="s">
        <v>77</v>
      </c>
      <c r="E582" t="s">
        <v>479</v>
      </c>
      <c r="F582" s="12" t="str">
        <f>IFERROR(VLOOKUP(B582,'INSUMOS  JULIO'!$B$6:$CJ$109,21,0),"")</f>
        <v>0</v>
      </c>
      <c r="G582" s="8">
        <f>IFERROR(VLOOKUP($B582,'INSUMOS  JULIO'!$B$6:$CJ$109,22,0),"")</f>
        <v>5223.4699999999993</v>
      </c>
      <c r="H582" s="19">
        <f t="shared" ref="H582:H645" si="36">+F582*G582</f>
        <v>0</v>
      </c>
      <c r="I582" s="1">
        <f t="shared" ref="I582:I645" si="37">+H582*10%</f>
        <v>0</v>
      </c>
      <c r="J582" s="1">
        <f t="shared" ref="J582:J645" si="38">+I582*19%</f>
        <v>0</v>
      </c>
      <c r="K582" s="19">
        <f t="shared" ref="K582:K645" si="39">SUM(H582:J582)</f>
        <v>0</v>
      </c>
    </row>
    <row r="583" spans="1:11" ht="15">
      <c r="A583" s="3">
        <v>896</v>
      </c>
      <c r="B583" s="151">
        <v>123</v>
      </c>
      <c r="C583" s="7" t="s">
        <v>158</v>
      </c>
      <c r="D583" s="4" t="s">
        <v>78</v>
      </c>
      <c r="E583" t="s">
        <v>479</v>
      </c>
      <c r="F583" s="12" t="str">
        <f>IFERROR(VLOOKUP(B583,'INSUMOS  JULIO'!$B$6:$CJ$109,21,0),"")</f>
        <v>0</v>
      </c>
      <c r="G583" s="8">
        <f>IFERROR(VLOOKUP($B583,'INSUMOS  JULIO'!$B$6:$CJ$109,22,0),"")</f>
        <v>5765.7860000000001</v>
      </c>
      <c r="H583" s="19">
        <f t="shared" si="36"/>
        <v>0</v>
      </c>
      <c r="I583" s="1">
        <f t="shared" si="37"/>
        <v>0</v>
      </c>
      <c r="J583" s="1">
        <f t="shared" si="38"/>
        <v>0</v>
      </c>
      <c r="K583" s="19">
        <f t="shared" si="39"/>
        <v>0</v>
      </c>
    </row>
    <row r="584" spans="1:11" ht="15">
      <c r="A584" s="3">
        <v>897</v>
      </c>
      <c r="B584" s="151">
        <v>124</v>
      </c>
      <c r="C584" s="7" t="s">
        <v>158</v>
      </c>
      <c r="D584" s="4" t="s">
        <v>79</v>
      </c>
      <c r="E584" t="s">
        <v>479</v>
      </c>
      <c r="F584" s="12" t="str">
        <f>IFERROR(VLOOKUP(B584,'INSUMOS  JULIO'!$B$6:$CJ$109,21,0),"")</f>
        <v>0</v>
      </c>
      <c r="G584" s="8">
        <f>IFERROR(VLOOKUP($B584,'INSUMOS  JULIO'!$B$6:$CJ$109,22,0),"")</f>
        <v>5765.7860000000001</v>
      </c>
      <c r="H584" s="19">
        <f t="shared" si="36"/>
        <v>0</v>
      </c>
      <c r="I584" s="1">
        <f t="shared" si="37"/>
        <v>0</v>
      </c>
      <c r="J584" s="1">
        <f t="shared" si="38"/>
        <v>0</v>
      </c>
      <c r="K584" s="19">
        <f t="shared" si="39"/>
        <v>0</v>
      </c>
    </row>
    <row r="585" spans="1:11" ht="15">
      <c r="A585" s="3">
        <v>941</v>
      </c>
      <c r="B585" s="151">
        <v>126</v>
      </c>
      <c r="C585" s="7" t="s">
        <v>9</v>
      </c>
      <c r="D585" s="4" t="s">
        <v>80</v>
      </c>
      <c r="E585" t="s">
        <v>479</v>
      </c>
      <c r="F585" s="12" t="str">
        <f>IFERROR(VLOOKUP(B585,'INSUMOS  JULIO'!$B$6:$CJ$109,21,0),"")</f>
        <v>0</v>
      </c>
      <c r="G585" s="8">
        <f>IFERROR(VLOOKUP($B585,'INSUMOS  JULIO'!$B$6:$CJ$109,22,0),"")</f>
        <v>3316.9560000000001</v>
      </c>
      <c r="H585" s="19">
        <f t="shared" si="36"/>
        <v>0</v>
      </c>
      <c r="I585" s="1">
        <f t="shared" si="37"/>
        <v>0</v>
      </c>
      <c r="J585" s="1">
        <f t="shared" si="38"/>
        <v>0</v>
      </c>
      <c r="K585" s="19">
        <f t="shared" si="39"/>
        <v>0</v>
      </c>
    </row>
    <row r="586" spans="1:11" ht="15">
      <c r="A586" s="3">
        <v>942</v>
      </c>
      <c r="B586" s="151">
        <v>127</v>
      </c>
      <c r="C586" s="7" t="s">
        <v>156</v>
      </c>
      <c r="D586" s="4" t="s">
        <v>81</v>
      </c>
      <c r="E586" t="s">
        <v>479</v>
      </c>
      <c r="F586" s="12" t="str">
        <f>IFERROR(VLOOKUP(B586,'INSUMOS  JULIO'!$B$6:$CJ$109,21,0),"")</f>
        <v>0</v>
      </c>
      <c r="G586" s="8">
        <f>IFERROR(VLOOKUP($B586,'INSUMOS  JULIO'!$B$6:$CJ$109,22,0),"")</f>
        <v>3316.9560000000001</v>
      </c>
      <c r="H586" s="19">
        <f t="shared" si="36"/>
        <v>0</v>
      </c>
      <c r="I586" s="1">
        <f t="shared" si="37"/>
        <v>0</v>
      </c>
      <c r="J586" s="1">
        <f t="shared" si="38"/>
        <v>0</v>
      </c>
      <c r="K586" s="19">
        <f t="shared" si="39"/>
        <v>0</v>
      </c>
    </row>
    <row r="587" spans="1:11" ht="15">
      <c r="A587" s="3">
        <v>943</v>
      </c>
      <c r="B587" s="151">
        <v>129</v>
      </c>
      <c r="C587" s="7" t="s">
        <v>157</v>
      </c>
      <c r="D587" s="4" t="s">
        <v>82</v>
      </c>
      <c r="E587" t="s">
        <v>479</v>
      </c>
      <c r="F587" s="12" t="str">
        <f>IFERROR(VLOOKUP(B587,'INSUMOS  JULIO'!$B$6:$CJ$109,21,0),"")</f>
        <v>0</v>
      </c>
      <c r="G587" s="8">
        <f>IFERROR(VLOOKUP($B587,'INSUMOS  JULIO'!$B$6:$CJ$109,22,0),"")</f>
        <v>3787.8040000000001</v>
      </c>
      <c r="H587" s="19">
        <f t="shared" si="36"/>
        <v>0</v>
      </c>
      <c r="I587" s="1">
        <f t="shared" si="37"/>
        <v>0</v>
      </c>
      <c r="J587" s="1">
        <f t="shared" si="38"/>
        <v>0</v>
      </c>
      <c r="K587" s="19">
        <f t="shared" si="39"/>
        <v>0</v>
      </c>
    </row>
    <row r="588" spans="1:11" ht="15">
      <c r="A588" s="3">
        <v>944</v>
      </c>
      <c r="B588" s="151">
        <v>131</v>
      </c>
      <c r="C588" s="7" t="s">
        <v>13</v>
      </c>
      <c r="D588" s="4" t="s">
        <v>83</v>
      </c>
      <c r="E588" t="s">
        <v>479</v>
      </c>
      <c r="F588" s="12" t="str">
        <f>IFERROR(VLOOKUP(B588,'INSUMOS  JULIO'!$B$6:$CJ$109,21,0),"")</f>
        <v>0</v>
      </c>
      <c r="G588" s="8">
        <f>IFERROR(VLOOKUP($B588,'INSUMOS  JULIO'!$B$6:$CJ$109,22,0),"")</f>
        <v>0</v>
      </c>
      <c r="H588" s="19">
        <f t="shared" si="36"/>
        <v>0</v>
      </c>
      <c r="I588" s="1">
        <f t="shared" si="37"/>
        <v>0</v>
      </c>
      <c r="J588" s="1">
        <f t="shared" si="38"/>
        <v>0</v>
      </c>
      <c r="K588" s="19">
        <f t="shared" si="39"/>
        <v>0</v>
      </c>
    </row>
    <row r="589" spans="1:11" ht="15">
      <c r="A589" s="3">
        <v>945</v>
      </c>
      <c r="B589" s="151">
        <v>132</v>
      </c>
      <c r="C589" s="7" t="s">
        <v>13</v>
      </c>
      <c r="D589" s="4" t="s">
        <v>84</v>
      </c>
      <c r="E589" t="s">
        <v>479</v>
      </c>
      <c r="F589" s="12" t="str">
        <f>IFERROR(VLOOKUP(B589,'INSUMOS  JULIO'!$B$6:$CJ$109,21,0),"")</f>
        <v>0</v>
      </c>
      <c r="G589" s="8">
        <f>IFERROR(VLOOKUP($B589,'INSUMOS  JULIO'!$B$6:$CJ$109,22,0),"")</f>
        <v>0</v>
      </c>
      <c r="H589" s="19">
        <f t="shared" si="36"/>
        <v>0</v>
      </c>
      <c r="I589" s="1">
        <f t="shared" si="37"/>
        <v>0</v>
      </c>
      <c r="J589" s="1">
        <f t="shared" si="38"/>
        <v>0</v>
      </c>
      <c r="K589" s="19">
        <f t="shared" si="39"/>
        <v>0</v>
      </c>
    </row>
    <row r="590" spans="1:11" ht="15">
      <c r="A590" s="3">
        <v>946</v>
      </c>
      <c r="B590" s="151">
        <v>134</v>
      </c>
      <c r="C590" s="7" t="s">
        <v>16</v>
      </c>
      <c r="D590" s="4" t="s">
        <v>85</v>
      </c>
      <c r="E590" t="s">
        <v>479</v>
      </c>
      <c r="F590" s="12" t="str">
        <f>IFERROR(VLOOKUP(B590,'INSUMOS  JULIO'!$B$6:$CJ$109,21,0),"")</f>
        <v>0</v>
      </c>
      <c r="G590" s="8">
        <f>IFERROR(VLOOKUP($B590,'INSUMOS  JULIO'!$B$6:$CJ$109,22,0),"")</f>
        <v>0</v>
      </c>
      <c r="H590" s="19">
        <f t="shared" si="36"/>
        <v>0</v>
      </c>
      <c r="I590" s="1">
        <f t="shared" si="37"/>
        <v>0</v>
      </c>
      <c r="J590" s="1">
        <f t="shared" si="38"/>
        <v>0</v>
      </c>
      <c r="K590" s="19">
        <f t="shared" si="39"/>
        <v>0</v>
      </c>
    </row>
    <row r="591" spans="1:11" ht="15">
      <c r="A591" s="3">
        <v>947</v>
      </c>
      <c r="B591" s="151">
        <v>135</v>
      </c>
      <c r="C591" s="7" t="s">
        <v>18</v>
      </c>
      <c r="D591" s="4" t="s">
        <v>86</v>
      </c>
      <c r="E591" t="s">
        <v>479</v>
      </c>
      <c r="F591" s="12">
        <f>IFERROR(VLOOKUP(B591,'INSUMOS  JULIO'!$B$6:$CJ$109,21,0),"")</f>
        <v>0</v>
      </c>
      <c r="G591" s="8">
        <f>IFERROR(VLOOKUP($B591,'INSUMOS  JULIO'!$B$6:$CJ$109,22,0),"")</f>
        <v>6229.277</v>
      </c>
      <c r="H591" s="19">
        <f t="shared" si="36"/>
        <v>0</v>
      </c>
      <c r="I591" s="1">
        <f t="shared" si="37"/>
        <v>0</v>
      </c>
      <c r="J591" s="1">
        <f t="shared" si="38"/>
        <v>0</v>
      </c>
      <c r="K591" s="19">
        <f t="shared" si="39"/>
        <v>0</v>
      </c>
    </row>
    <row r="592" spans="1:11" ht="15">
      <c r="A592" s="3">
        <v>948</v>
      </c>
      <c r="B592" s="151">
        <v>137</v>
      </c>
      <c r="C592" s="7" t="s">
        <v>20</v>
      </c>
      <c r="D592" s="4" t="s">
        <v>88</v>
      </c>
      <c r="E592" t="s">
        <v>479</v>
      </c>
      <c r="F592" s="12" t="str">
        <f>IFERROR(VLOOKUP(B592,'INSUMOS  JULIO'!$B$6:$CJ$109,21,0),"")</f>
        <v>0</v>
      </c>
      <c r="G592" s="8">
        <f>IFERROR(VLOOKUP($B592,'INSUMOS  JULIO'!$B$6:$CJ$109,22,0),"")</f>
        <v>1245.4349999999999</v>
      </c>
      <c r="H592" s="19">
        <f t="shared" si="36"/>
        <v>0</v>
      </c>
      <c r="I592" s="1">
        <f t="shared" si="37"/>
        <v>0</v>
      </c>
      <c r="J592" s="1">
        <f t="shared" si="38"/>
        <v>0</v>
      </c>
      <c r="K592" s="19">
        <f t="shared" si="39"/>
        <v>0</v>
      </c>
    </row>
    <row r="593" spans="1:11" ht="15">
      <c r="A593" s="3">
        <v>949</v>
      </c>
      <c r="B593" s="151">
        <v>139</v>
      </c>
      <c r="C593" s="7" t="s">
        <v>22</v>
      </c>
      <c r="D593" s="4" t="s">
        <v>89</v>
      </c>
      <c r="E593" t="s">
        <v>479</v>
      </c>
      <c r="F593" s="12">
        <f>IFERROR(VLOOKUP(B593,'INSUMOS  JULIO'!$B$6:$CJ$109,21,0),"")</f>
        <v>0</v>
      </c>
      <c r="G593" s="8">
        <f>IFERROR(VLOOKUP($B593,'INSUMOS  JULIO'!$B$6:$CJ$109,22,0),"")</f>
        <v>25429.996000000003</v>
      </c>
      <c r="H593" s="19">
        <f t="shared" si="36"/>
        <v>0</v>
      </c>
      <c r="I593" s="1">
        <f t="shared" si="37"/>
        <v>0</v>
      </c>
      <c r="J593" s="1">
        <f t="shared" si="38"/>
        <v>0</v>
      </c>
      <c r="K593" s="19">
        <f t="shared" si="39"/>
        <v>0</v>
      </c>
    </row>
    <row r="594" spans="1:11" ht="15">
      <c r="A594" s="3">
        <v>950</v>
      </c>
      <c r="B594" s="151">
        <v>151</v>
      </c>
      <c r="C594" s="7" t="s">
        <v>18</v>
      </c>
      <c r="D594" s="4" t="s">
        <v>91</v>
      </c>
      <c r="E594" t="s">
        <v>479</v>
      </c>
      <c r="F594" s="12">
        <f>IFERROR(VLOOKUP(B594,'INSUMOS  JULIO'!$B$6:$CJ$109,21,0),"")</f>
        <v>30</v>
      </c>
      <c r="G594" s="8">
        <f>IFERROR(VLOOKUP($B594,'INSUMOS  JULIO'!$B$6:$CJ$109,22,0),"")</f>
        <v>4422.6080000000002</v>
      </c>
      <c r="H594" s="19">
        <f t="shared" si="36"/>
        <v>132678.24</v>
      </c>
      <c r="I594" s="1">
        <f t="shared" si="37"/>
        <v>13267.824000000001</v>
      </c>
      <c r="J594" s="1">
        <f t="shared" si="38"/>
        <v>2520.8865599999999</v>
      </c>
      <c r="K594" s="19">
        <f t="shared" si="39"/>
        <v>148466.95056</v>
      </c>
    </row>
    <row r="595" spans="1:11" ht="15">
      <c r="A595" s="3">
        <v>951</v>
      </c>
      <c r="B595" s="151">
        <v>152</v>
      </c>
      <c r="C595" s="7" t="s">
        <v>155</v>
      </c>
      <c r="D595" s="4" t="s">
        <v>92</v>
      </c>
      <c r="E595" t="s">
        <v>479</v>
      </c>
      <c r="F595" s="12" t="str">
        <f>IFERROR(VLOOKUP(B595,'INSUMOS  JULIO'!$B$6:$CJ$109,21,0),"")</f>
        <v>0</v>
      </c>
      <c r="G595" s="8">
        <f>IFERROR(VLOOKUP($B595,'INSUMOS  JULIO'!$B$6:$CJ$109,22,0),"")</f>
        <v>0</v>
      </c>
      <c r="H595" s="19">
        <f t="shared" si="36"/>
        <v>0</v>
      </c>
      <c r="I595" s="1">
        <f t="shared" si="37"/>
        <v>0</v>
      </c>
      <c r="J595" s="1">
        <f t="shared" si="38"/>
        <v>0</v>
      </c>
      <c r="K595" s="19">
        <f t="shared" si="39"/>
        <v>0</v>
      </c>
    </row>
    <row r="596" spans="1:11" ht="15">
      <c r="A596" s="3">
        <v>952</v>
      </c>
      <c r="B596" s="151">
        <v>154</v>
      </c>
      <c r="C596" s="7" t="s">
        <v>16</v>
      </c>
      <c r="D596" s="4" t="s">
        <v>94</v>
      </c>
      <c r="E596" t="s">
        <v>479</v>
      </c>
      <c r="F596" s="12" t="str">
        <f>IFERROR(VLOOKUP(B596,'INSUMOS  JULIO'!$B$6:$CJ$109,21,0),"")</f>
        <v>0</v>
      </c>
      <c r="G596" s="8">
        <f>IFERROR(VLOOKUP($B596,'INSUMOS  JULIO'!$B$6:$CJ$109,22,0),"")</f>
        <v>0</v>
      </c>
      <c r="H596" s="19">
        <f t="shared" si="36"/>
        <v>0</v>
      </c>
      <c r="I596" s="1">
        <f t="shared" si="37"/>
        <v>0</v>
      </c>
      <c r="J596" s="1">
        <f t="shared" si="38"/>
        <v>0</v>
      </c>
      <c r="K596" s="19">
        <f t="shared" si="39"/>
        <v>0</v>
      </c>
    </row>
    <row r="597" spans="1:11" ht="15">
      <c r="A597" s="3">
        <v>953</v>
      </c>
      <c r="B597" s="151">
        <v>155</v>
      </c>
      <c r="C597" s="7" t="s">
        <v>27</v>
      </c>
      <c r="D597" s="4" t="s">
        <v>95</v>
      </c>
      <c r="E597" t="s">
        <v>479</v>
      </c>
      <c r="F597" s="12">
        <f>IFERROR(VLOOKUP(B597,'INSUMOS  JULIO'!$B$6:$CJ$109,21,0),"")</f>
        <v>0</v>
      </c>
      <c r="G597" s="8">
        <f>IFERROR(VLOOKUP($B597,'INSUMOS  JULIO'!$B$6:$CJ$109,22,0),"")</f>
        <v>3703.7239999999997</v>
      </c>
      <c r="H597" s="19">
        <f t="shared" si="36"/>
        <v>0</v>
      </c>
      <c r="I597" s="1">
        <f t="shared" si="37"/>
        <v>0</v>
      </c>
      <c r="J597" s="1">
        <f t="shared" si="38"/>
        <v>0</v>
      </c>
      <c r="K597" s="19">
        <f t="shared" si="39"/>
        <v>0</v>
      </c>
    </row>
    <row r="598" spans="1:11" ht="15">
      <c r="A598" s="3">
        <v>954</v>
      </c>
      <c r="B598" s="151">
        <v>156</v>
      </c>
      <c r="C598" s="7" t="s">
        <v>13</v>
      </c>
      <c r="D598" s="4" t="s">
        <v>96</v>
      </c>
      <c r="E598" t="s">
        <v>479</v>
      </c>
      <c r="F598" s="12" t="str">
        <f>IFERROR(VLOOKUP(B598,'INSUMOS  JULIO'!$B$6:$CJ$109,21,0),"")</f>
        <v>0</v>
      </c>
      <c r="G598" s="8">
        <f>IFERROR(VLOOKUP($B598,'INSUMOS  JULIO'!$B$6:$CJ$109,22,0),"")</f>
        <v>4422.6080000000002</v>
      </c>
      <c r="H598" s="19">
        <f t="shared" si="36"/>
        <v>0</v>
      </c>
      <c r="I598" s="1">
        <f t="shared" si="37"/>
        <v>0</v>
      </c>
      <c r="J598" s="1">
        <f t="shared" si="38"/>
        <v>0</v>
      </c>
      <c r="K598" s="19">
        <f t="shared" si="39"/>
        <v>0</v>
      </c>
    </row>
    <row r="599" spans="1:11" ht="15">
      <c r="A599" s="3">
        <v>955</v>
      </c>
      <c r="B599" s="151">
        <v>157</v>
      </c>
      <c r="C599" s="7" t="s">
        <v>13</v>
      </c>
      <c r="D599" s="4" t="s">
        <v>97</v>
      </c>
      <c r="E599" t="s">
        <v>479</v>
      </c>
      <c r="F599" s="12">
        <f>IFERROR(VLOOKUP(B599,'INSUMOS  JULIO'!$B$6:$CJ$109,21,0),"")</f>
        <v>0</v>
      </c>
      <c r="G599" s="8">
        <f>IFERROR(VLOOKUP($B599,'INSUMOS  JULIO'!$B$6:$CJ$109,22,0),"")</f>
        <v>5970.7309999999998</v>
      </c>
      <c r="H599" s="19">
        <f t="shared" si="36"/>
        <v>0</v>
      </c>
      <c r="I599" s="1">
        <f t="shared" si="37"/>
        <v>0</v>
      </c>
      <c r="J599" s="1">
        <f t="shared" si="38"/>
        <v>0</v>
      </c>
      <c r="K599" s="19">
        <f t="shared" si="39"/>
        <v>0</v>
      </c>
    </row>
    <row r="600" spans="1:11" ht="15">
      <c r="A600" s="3">
        <v>956</v>
      </c>
      <c r="B600" s="151">
        <v>159</v>
      </c>
      <c r="C600" s="7" t="s">
        <v>13</v>
      </c>
      <c r="D600" s="4" t="s">
        <v>98</v>
      </c>
      <c r="E600" t="s">
        <v>479</v>
      </c>
      <c r="F600" s="12" t="str">
        <f>IFERROR(VLOOKUP(B600,'INSUMOS  JULIO'!$B$6:$CJ$109,21,0),"")</f>
        <v>0</v>
      </c>
      <c r="G600" s="8">
        <f>IFERROR(VLOOKUP($B600,'INSUMOS  JULIO'!$B$6:$CJ$109,22,0),"")</f>
        <v>0</v>
      </c>
      <c r="H600" s="19">
        <f t="shared" si="36"/>
        <v>0</v>
      </c>
      <c r="I600" s="1">
        <f t="shared" si="37"/>
        <v>0</v>
      </c>
      <c r="J600" s="1">
        <f t="shared" si="38"/>
        <v>0</v>
      </c>
      <c r="K600" s="19">
        <f t="shared" si="39"/>
        <v>0</v>
      </c>
    </row>
    <row r="601" spans="1:11" ht="15">
      <c r="A601" s="3">
        <v>957</v>
      </c>
      <c r="B601" s="151">
        <v>160</v>
      </c>
      <c r="C601" s="7" t="s">
        <v>13</v>
      </c>
      <c r="D601" s="4" t="s">
        <v>99</v>
      </c>
      <c r="E601" t="s">
        <v>479</v>
      </c>
      <c r="F601" s="12" t="str">
        <f>IFERROR(VLOOKUP(B601,'INSUMOS  JULIO'!$B$6:$CJ$109,21,0),"")</f>
        <v>0</v>
      </c>
      <c r="G601" s="8">
        <f>IFERROR(VLOOKUP($B601,'INSUMOS  JULIO'!$B$6:$CJ$109,22,0),"")</f>
        <v>2276.4660000000003</v>
      </c>
      <c r="H601" s="19">
        <f t="shared" si="36"/>
        <v>0</v>
      </c>
      <c r="I601" s="1">
        <f t="shared" si="37"/>
        <v>0</v>
      </c>
      <c r="J601" s="1">
        <f t="shared" si="38"/>
        <v>0</v>
      </c>
      <c r="K601" s="19">
        <f t="shared" si="39"/>
        <v>0</v>
      </c>
    </row>
    <row r="602" spans="1:11" ht="15">
      <c r="A602" s="3">
        <v>958</v>
      </c>
      <c r="B602" s="151">
        <v>161</v>
      </c>
      <c r="C602" s="7" t="s">
        <v>33</v>
      </c>
      <c r="D602" s="4" t="s">
        <v>100</v>
      </c>
      <c r="E602" t="s">
        <v>479</v>
      </c>
      <c r="F602" s="12" t="str">
        <f>IFERROR(VLOOKUP(B602,'INSUMOS  JULIO'!$B$6:$CJ$109,21,0),"")</f>
        <v>0</v>
      </c>
      <c r="G602" s="8">
        <f>IFERROR(VLOOKUP($B602,'INSUMOS  JULIO'!$B$6:$CJ$109,22,0),"")</f>
        <v>2236.5280000000002</v>
      </c>
      <c r="H602" s="19">
        <f t="shared" si="36"/>
        <v>0</v>
      </c>
      <c r="I602" s="1">
        <f t="shared" si="37"/>
        <v>0</v>
      </c>
      <c r="J602" s="1">
        <f t="shared" si="38"/>
        <v>0</v>
      </c>
      <c r="K602" s="19">
        <f t="shared" si="39"/>
        <v>0</v>
      </c>
    </row>
    <row r="603" spans="1:11" ht="15">
      <c r="A603" s="3">
        <v>959</v>
      </c>
      <c r="B603" s="151">
        <v>162</v>
      </c>
      <c r="C603" s="7" t="s">
        <v>16</v>
      </c>
      <c r="D603" s="4" t="s">
        <v>101</v>
      </c>
      <c r="E603" t="s">
        <v>479</v>
      </c>
      <c r="F603" s="12">
        <f>IFERROR(VLOOKUP(B603,'INSUMOS  JULIO'!$B$6:$CJ$109,21,0),"")</f>
        <v>0</v>
      </c>
      <c r="G603" s="8">
        <f>IFERROR(VLOOKUP($B603,'INSUMOS  JULIO'!$B$6:$CJ$109,22,0),"")</f>
        <v>2684.2539999999999</v>
      </c>
      <c r="H603" s="19">
        <f t="shared" si="36"/>
        <v>0</v>
      </c>
      <c r="I603" s="1">
        <f t="shared" si="37"/>
        <v>0</v>
      </c>
      <c r="J603" s="1">
        <f t="shared" si="38"/>
        <v>0</v>
      </c>
      <c r="K603" s="19">
        <f t="shared" si="39"/>
        <v>0</v>
      </c>
    </row>
    <row r="604" spans="1:11" ht="15">
      <c r="A604" s="3">
        <v>960</v>
      </c>
      <c r="B604" s="151">
        <v>164</v>
      </c>
      <c r="C604" s="7" t="s">
        <v>36</v>
      </c>
      <c r="D604" s="4" t="s">
        <v>102</v>
      </c>
      <c r="E604" t="s">
        <v>479</v>
      </c>
      <c r="F604" s="12" t="str">
        <f>IFERROR(VLOOKUP(B604,'INSUMOS  JULIO'!$B$6:$CJ$109,21,0),"")</f>
        <v>0</v>
      </c>
      <c r="G604" s="8">
        <f>IFERROR(VLOOKUP($B604,'INSUMOS  JULIO'!$B$6:$CJ$109,22,0),"")</f>
        <v>1658.4780000000001</v>
      </c>
      <c r="H604" s="19">
        <f t="shared" si="36"/>
        <v>0</v>
      </c>
      <c r="I604" s="1">
        <f t="shared" si="37"/>
        <v>0</v>
      </c>
      <c r="J604" s="1">
        <f t="shared" si="38"/>
        <v>0</v>
      </c>
      <c r="K604" s="19">
        <f t="shared" si="39"/>
        <v>0</v>
      </c>
    </row>
    <row r="605" spans="1:11" ht="15">
      <c r="A605" s="3">
        <v>961</v>
      </c>
      <c r="B605" s="151">
        <v>169</v>
      </c>
      <c r="C605" s="7" t="s">
        <v>36</v>
      </c>
      <c r="D605" s="4" t="s">
        <v>104</v>
      </c>
      <c r="E605" t="s">
        <v>479</v>
      </c>
      <c r="F605" s="12" t="str">
        <f>IFERROR(VLOOKUP(B605,'INSUMOS  JULIO'!$B$6:$CJ$109,21,0),"")</f>
        <v>0</v>
      </c>
      <c r="G605" s="8">
        <f>IFERROR(VLOOKUP($B605,'INSUMOS  JULIO'!$B$6:$CJ$109,22,0),"")</f>
        <v>85897.178999999989</v>
      </c>
      <c r="H605" s="19">
        <f t="shared" si="36"/>
        <v>0</v>
      </c>
      <c r="I605" s="1">
        <f t="shared" si="37"/>
        <v>0</v>
      </c>
      <c r="J605" s="1">
        <f t="shared" si="38"/>
        <v>0</v>
      </c>
      <c r="K605" s="19">
        <f t="shared" si="39"/>
        <v>0</v>
      </c>
    </row>
    <row r="606" spans="1:11" ht="15">
      <c r="A606" s="3">
        <v>962</v>
      </c>
      <c r="B606" s="151">
        <v>170</v>
      </c>
      <c r="C606" s="7" t="s">
        <v>39</v>
      </c>
      <c r="D606" s="4" t="s">
        <v>106</v>
      </c>
      <c r="E606" t="s">
        <v>479</v>
      </c>
      <c r="F606" s="12">
        <f>IFERROR(VLOOKUP(B606,'INSUMOS  JULIO'!$B$6:$CJ$109,21,0),"")</f>
        <v>0</v>
      </c>
      <c r="G606" s="8">
        <f>IFERROR(VLOOKUP($B606,'INSUMOS  JULIO'!$B$6:$CJ$109,22,0),"")</f>
        <v>19405.664000000001</v>
      </c>
      <c r="H606" s="19">
        <f t="shared" si="36"/>
        <v>0</v>
      </c>
      <c r="I606" s="1">
        <f t="shared" si="37"/>
        <v>0</v>
      </c>
      <c r="J606" s="1">
        <f t="shared" si="38"/>
        <v>0</v>
      </c>
      <c r="K606" s="19">
        <f t="shared" si="39"/>
        <v>0</v>
      </c>
    </row>
    <row r="607" spans="1:11" ht="15">
      <c r="A607" s="3">
        <v>963</v>
      </c>
      <c r="B607" s="151">
        <v>173</v>
      </c>
      <c r="C607" s="7" t="s">
        <v>39</v>
      </c>
      <c r="D607" s="4" t="s">
        <v>107</v>
      </c>
      <c r="E607" t="s">
        <v>479</v>
      </c>
      <c r="F607" s="12" t="str">
        <f>IFERROR(VLOOKUP(B607,'INSUMOS  JULIO'!$B$6:$CJ$109,21,0),"")</f>
        <v>0</v>
      </c>
      <c r="G607" s="8">
        <f>IFERROR(VLOOKUP($B607,'INSUMOS  JULIO'!$B$6:$CJ$109,22,0),"")</f>
        <v>0</v>
      </c>
      <c r="H607" s="19">
        <f t="shared" si="36"/>
        <v>0</v>
      </c>
      <c r="I607" s="1">
        <f t="shared" si="37"/>
        <v>0</v>
      </c>
      <c r="J607" s="1">
        <f t="shared" si="38"/>
        <v>0</v>
      </c>
      <c r="K607" s="19">
        <f t="shared" si="39"/>
        <v>0</v>
      </c>
    </row>
    <row r="608" spans="1:11" ht="15">
      <c r="A608" s="3">
        <v>964</v>
      </c>
      <c r="B608" s="151">
        <v>174</v>
      </c>
      <c r="C608" s="7" t="s">
        <v>108</v>
      </c>
      <c r="D608" s="4" t="s">
        <v>109</v>
      </c>
      <c r="E608" t="s">
        <v>479</v>
      </c>
      <c r="F608" s="12" t="str">
        <f>IFERROR(VLOOKUP(B608,'INSUMOS  JULIO'!$B$6:$CJ$109,21,0),"")</f>
        <v>0</v>
      </c>
      <c r="G608" s="8">
        <f>IFERROR(VLOOKUP($B608,'INSUMOS  JULIO'!$B$6:$CJ$109,22,0),"")</f>
        <v>6081.0860000000002</v>
      </c>
      <c r="H608" s="19">
        <f t="shared" si="36"/>
        <v>0</v>
      </c>
      <c r="I608" s="1">
        <f t="shared" si="37"/>
        <v>0</v>
      </c>
      <c r="J608" s="1">
        <f t="shared" si="38"/>
        <v>0</v>
      </c>
      <c r="K608" s="19">
        <f t="shared" si="39"/>
        <v>0</v>
      </c>
    </row>
    <row r="609" spans="1:11" ht="15">
      <c r="A609" s="3">
        <v>965</v>
      </c>
      <c r="B609" s="151">
        <v>176</v>
      </c>
      <c r="C609" s="7" t="s">
        <v>108</v>
      </c>
      <c r="D609" s="4" t="s">
        <v>110</v>
      </c>
      <c r="E609" t="s">
        <v>479</v>
      </c>
      <c r="F609" s="12" t="str">
        <f>IFERROR(VLOOKUP(B609,'INSUMOS  JULIO'!$B$6:$CJ$109,21,0),"")</f>
        <v>0</v>
      </c>
      <c r="G609" s="8">
        <f>IFERROR(VLOOKUP($B609,'INSUMOS  JULIO'!$B$6:$CJ$109,22,0),"")</f>
        <v>2749.4160000000002</v>
      </c>
      <c r="H609" s="19">
        <f t="shared" si="36"/>
        <v>0</v>
      </c>
      <c r="I609" s="1">
        <f t="shared" si="37"/>
        <v>0</v>
      </c>
      <c r="J609" s="1">
        <f t="shared" si="38"/>
        <v>0</v>
      </c>
      <c r="K609" s="19">
        <f t="shared" si="39"/>
        <v>0</v>
      </c>
    </row>
    <row r="610" spans="1:11" ht="15">
      <c r="A610" s="3">
        <v>966</v>
      </c>
      <c r="B610" s="151">
        <v>192</v>
      </c>
      <c r="C610" s="7" t="s">
        <v>149</v>
      </c>
      <c r="D610" s="4" t="s">
        <v>111</v>
      </c>
      <c r="E610" t="s">
        <v>479</v>
      </c>
      <c r="F610" s="12">
        <f>IFERROR(VLOOKUP(B610,'INSUMOS  JULIO'!$B$6:$CJ$109,21,0),"")</f>
        <v>0</v>
      </c>
      <c r="G610" s="8">
        <f>IFERROR(VLOOKUP($B610,'INSUMOS  JULIO'!$B$6:$CJ$109,22,0),"")</f>
        <v>3930.7400000000002</v>
      </c>
      <c r="H610" s="19">
        <f t="shared" si="36"/>
        <v>0</v>
      </c>
      <c r="I610" s="1">
        <f t="shared" si="37"/>
        <v>0</v>
      </c>
      <c r="J610" s="1">
        <f t="shared" si="38"/>
        <v>0</v>
      </c>
      <c r="K610" s="19">
        <f t="shared" si="39"/>
        <v>0</v>
      </c>
    </row>
    <row r="611" spans="1:11" ht="15">
      <c r="A611" s="3">
        <v>967</v>
      </c>
      <c r="B611" s="151">
        <v>195</v>
      </c>
      <c r="C611" s="7" t="s">
        <v>151</v>
      </c>
      <c r="D611" s="4" t="s">
        <v>112</v>
      </c>
      <c r="E611" t="s">
        <v>479</v>
      </c>
      <c r="F611" s="12">
        <f>IFERROR(VLOOKUP(B611,'INSUMOS  JULIO'!$B$6:$CJ$109,21,0),"")</f>
        <v>40</v>
      </c>
      <c r="G611" s="8">
        <f>IFERROR(VLOOKUP($B611,'INSUMOS  JULIO'!$B$6:$CJ$109,22,0),"")</f>
        <v>10697.1831</v>
      </c>
      <c r="H611" s="19">
        <f t="shared" si="36"/>
        <v>427887.32400000002</v>
      </c>
      <c r="I611" s="1">
        <f t="shared" si="37"/>
        <v>42788.732400000008</v>
      </c>
      <c r="J611" s="1">
        <f t="shared" si="38"/>
        <v>8129.8591560000013</v>
      </c>
      <c r="K611" s="19">
        <f t="shared" si="39"/>
        <v>478805.91555600002</v>
      </c>
    </row>
    <row r="612" spans="1:11" ht="15">
      <c r="A612" s="3">
        <v>968</v>
      </c>
      <c r="B612" s="151">
        <v>204</v>
      </c>
      <c r="C612" s="7" t="s">
        <v>46</v>
      </c>
      <c r="D612" s="4" t="s">
        <v>113</v>
      </c>
      <c r="E612" t="s">
        <v>479</v>
      </c>
      <c r="F612" s="12">
        <f>IFERROR(VLOOKUP(B612,'INSUMOS  JULIO'!$B$6:$CJ$109,21,0),"")</f>
        <v>40</v>
      </c>
      <c r="G612" s="8">
        <f>IFERROR(VLOOKUP($B612,'INSUMOS  JULIO'!$B$6:$CJ$109,22,0),"")</f>
        <v>25673.6178</v>
      </c>
      <c r="H612" s="19">
        <f t="shared" si="36"/>
        <v>1026944.7120000001</v>
      </c>
      <c r="I612" s="1">
        <f t="shared" si="37"/>
        <v>102694.47120000001</v>
      </c>
      <c r="J612" s="1">
        <f t="shared" si="38"/>
        <v>19511.949528000005</v>
      </c>
      <c r="K612" s="19">
        <f t="shared" si="39"/>
        <v>1149151.1327280002</v>
      </c>
    </row>
    <row r="613" spans="1:11" ht="27">
      <c r="A613" s="3">
        <v>969</v>
      </c>
      <c r="B613" s="151">
        <v>205</v>
      </c>
      <c r="C613" s="7" t="s">
        <v>159</v>
      </c>
      <c r="D613" s="4" t="s">
        <v>114</v>
      </c>
      <c r="E613" t="s">
        <v>479</v>
      </c>
      <c r="F613" s="12" t="str">
        <f>IFERROR(VLOOKUP(B613,'INSUMOS  JULIO'!$B$6:$CJ$109,21,0),"")</f>
        <v>0</v>
      </c>
      <c r="G613" s="8">
        <f>IFERROR(VLOOKUP($B613,'INSUMOS  JULIO'!$B$6:$CJ$109,22,0),"")</f>
        <v>17690.432000000001</v>
      </c>
      <c r="H613" s="19">
        <f t="shared" si="36"/>
        <v>0</v>
      </c>
      <c r="I613" s="1">
        <f t="shared" si="37"/>
        <v>0</v>
      </c>
      <c r="J613" s="1">
        <f t="shared" si="38"/>
        <v>0</v>
      </c>
      <c r="K613" s="19">
        <f t="shared" si="39"/>
        <v>0</v>
      </c>
    </row>
    <row r="614" spans="1:11" ht="15">
      <c r="A614" s="3">
        <v>970</v>
      </c>
      <c r="B614" s="151">
        <v>207</v>
      </c>
      <c r="C614" s="7" t="s">
        <v>159</v>
      </c>
      <c r="D614" s="4" t="s">
        <v>115</v>
      </c>
      <c r="E614" t="s">
        <v>479</v>
      </c>
      <c r="F614" s="12" t="str">
        <f>IFERROR(VLOOKUP(B614,'INSUMOS  JULIO'!$B$6:$CJ$109,21,0),"")</f>
        <v>0</v>
      </c>
      <c r="G614" s="8">
        <f>IFERROR(VLOOKUP($B614,'INSUMOS  JULIO'!$B$6:$CJ$109,22,0),"")</f>
        <v>7186.7380000000003</v>
      </c>
      <c r="H614" s="19">
        <f t="shared" si="36"/>
        <v>0</v>
      </c>
      <c r="I614" s="1">
        <f t="shared" si="37"/>
        <v>0</v>
      </c>
      <c r="J614" s="1">
        <f t="shared" si="38"/>
        <v>0</v>
      </c>
      <c r="K614" s="19">
        <f t="shared" si="39"/>
        <v>0</v>
      </c>
    </row>
    <row r="615" spans="1:11" ht="15">
      <c r="A615" s="3">
        <v>971</v>
      </c>
      <c r="B615" s="151">
        <v>208</v>
      </c>
      <c r="C615" s="7" t="s">
        <v>159</v>
      </c>
      <c r="D615" s="4" t="s">
        <v>634</v>
      </c>
      <c r="E615" t="s">
        <v>479</v>
      </c>
      <c r="F615" s="12" t="str">
        <f>IFERROR(VLOOKUP(B615,'INSUMOS  JULIO'!$B$6:$CJ$109,21,0),"")</f>
        <v>0</v>
      </c>
      <c r="G615" s="8">
        <f>IFERROR(VLOOKUP($B615,'INSUMOS  JULIO'!$B$6:$CJ$109,22,0),"")</f>
        <v>50779.065000000002</v>
      </c>
      <c r="H615" s="19">
        <f t="shared" si="36"/>
        <v>0</v>
      </c>
      <c r="I615" s="1">
        <f t="shared" si="37"/>
        <v>0</v>
      </c>
      <c r="J615" s="1">
        <f t="shared" si="38"/>
        <v>0</v>
      </c>
      <c r="K615" s="19">
        <f t="shared" si="39"/>
        <v>0</v>
      </c>
    </row>
    <row r="616" spans="1:11" ht="15">
      <c r="A616" s="3">
        <v>972</v>
      </c>
      <c r="B616" s="151">
        <v>209</v>
      </c>
      <c r="C616" s="7" t="s">
        <v>159</v>
      </c>
      <c r="D616" s="4" t="s">
        <v>635</v>
      </c>
      <c r="E616" t="s">
        <v>479</v>
      </c>
      <c r="F616" s="12" t="str">
        <f>IFERROR(VLOOKUP(B616,'INSUMOS  JULIO'!$B$6:$CJ$109,21,0),"")</f>
        <v>0</v>
      </c>
      <c r="G616" s="8">
        <f>IFERROR(VLOOKUP($B616,'INSUMOS  JULIO'!$B$6:$CJ$109,22,0),"")</f>
        <v>37357.794999999998</v>
      </c>
      <c r="H616" s="19">
        <f t="shared" si="36"/>
        <v>0</v>
      </c>
      <c r="I616" s="1">
        <f t="shared" si="37"/>
        <v>0</v>
      </c>
      <c r="J616" s="1">
        <f t="shared" si="38"/>
        <v>0</v>
      </c>
      <c r="K616" s="19">
        <f t="shared" si="39"/>
        <v>0</v>
      </c>
    </row>
    <row r="617" spans="1:11" ht="15">
      <c r="A617" s="3">
        <v>973</v>
      </c>
      <c r="B617" s="151">
        <v>210</v>
      </c>
      <c r="C617" s="7" t="s">
        <v>159</v>
      </c>
      <c r="D617" s="4" t="s">
        <v>636</v>
      </c>
      <c r="E617" t="s">
        <v>479</v>
      </c>
      <c r="F617" s="12" t="str">
        <f>IFERROR(VLOOKUP(B617,'INSUMOS  JULIO'!$B$6:$CJ$109,21,0),"")</f>
        <v>0</v>
      </c>
      <c r="G617" s="8">
        <f>IFERROR(VLOOKUP($B617,'INSUMOS  JULIO'!$B$6:$CJ$109,22,0),"")</f>
        <v>22537.643999999997</v>
      </c>
      <c r="H617" s="19">
        <f t="shared" si="36"/>
        <v>0</v>
      </c>
      <c r="I617" s="1">
        <f t="shared" si="37"/>
        <v>0</v>
      </c>
      <c r="J617" s="1">
        <f t="shared" si="38"/>
        <v>0</v>
      </c>
      <c r="K617" s="19">
        <f t="shared" si="39"/>
        <v>0</v>
      </c>
    </row>
    <row r="618" spans="1:11" ht="15">
      <c r="A618" s="3">
        <v>974</v>
      </c>
      <c r="B618" s="151">
        <v>211</v>
      </c>
      <c r="C618" s="7" t="s">
        <v>53</v>
      </c>
      <c r="D618" s="4" t="s">
        <v>637</v>
      </c>
      <c r="E618" t="s">
        <v>479</v>
      </c>
      <c r="F618" s="12" t="str">
        <f>IFERROR(VLOOKUP(B618,'INSUMOS  JULIO'!$B$6:$CJ$109,21,0),"")</f>
        <v>0</v>
      </c>
      <c r="G618" s="8">
        <f>IFERROR(VLOOKUP($B618,'INSUMOS  JULIO'!$B$6:$CJ$109,22,0),"")</f>
        <v>15992.016</v>
      </c>
      <c r="H618" s="19">
        <f t="shared" si="36"/>
        <v>0</v>
      </c>
      <c r="I618" s="1">
        <f t="shared" si="37"/>
        <v>0</v>
      </c>
      <c r="J618" s="1">
        <f t="shared" si="38"/>
        <v>0</v>
      </c>
      <c r="K618" s="19">
        <f t="shared" si="39"/>
        <v>0</v>
      </c>
    </row>
    <row r="619" spans="1:11" ht="15">
      <c r="A619" s="3">
        <v>975</v>
      </c>
      <c r="B619" s="151">
        <v>212</v>
      </c>
      <c r="C619" s="7" t="s">
        <v>53</v>
      </c>
      <c r="D619" s="4" t="s">
        <v>116</v>
      </c>
      <c r="E619" t="s">
        <v>479</v>
      </c>
      <c r="F619" s="12" t="str">
        <f>IFERROR(VLOOKUP(B619,'INSUMOS  JULIO'!$B$6:$CJ$109,21,0),"")</f>
        <v>0</v>
      </c>
      <c r="G619" s="8">
        <f>IFERROR(VLOOKUP($B619,'INSUMOS  JULIO'!$B$6:$CJ$109,22,0),"")</f>
        <v>2505.5839999999998</v>
      </c>
      <c r="H619" s="19">
        <f t="shared" si="36"/>
        <v>0</v>
      </c>
      <c r="I619" s="1">
        <f t="shared" si="37"/>
        <v>0</v>
      </c>
      <c r="J619" s="1">
        <f t="shared" si="38"/>
        <v>0</v>
      </c>
      <c r="K619" s="19">
        <f t="shared" si="39"/>
        <v>0</v>
      </c>
    </row>
    <row r="620" spans="1:11" ht="15">
      <c r="A620" s="3">
        <v>976</v>
      </c>
      <c r="B620" s="151">
        <v>213</v>
      </c>
      <c r="C620" s="7" t="s">
        <v>53</v>
      </c>
      <c r="D620" s="4" t="s">
        <v>638</v>
      </c>
      <c r="E620" t="s">
        <v>479</v>
      </c>
      <c r="F620" s="12" t="str">
        <f>IFERROR(VLOOKUP(B620,'INSUMOS  JULIO'!$B$6:$CJ$109,21,0),"")</f>
        <v>0</v>
      </c>
      <c r="G620" s="8">
        <f>IFERROR(VLOOKUP($B620,'INSUMOS  JULIO'!$B$6:$CJ$109,22,0),"")</f>
        <v>0</v>
      </c>
      <c r="H620" s="19">
        <f t="shared" si="36"/>
        <v>0</v>
      </c>
      <c r="I620" s="1">
        <f t="shared" si="37"/>
        <v>0</v>
      </c>
      <c r="J620" s="1">
        <f t="shared" si="38"/>
        <v>0</v>
      </c>
      <c r="K620" s="19">
        <f t="shared" si="39"/>
        <v>0</v>
      </c>
    </row>
    <row r="621" spans="1:11" ht="15">
      <c r="A621" s="3">
        <v>977</v>
      </c>
      <c r="B621" s="151">
        <v>215</v>
      </c>
      <c r="C621" s="7" t="s">
        <v>53</v>
      </c>
      <c r="D621" s="4" t="s">
        <v>639</v>
      </c>
      <c r="E621" t="s">
        <v>479</v>
      </c>
      <c r="F621" s="12" t="str">
        <f>IFERROR(VLOOKUP(B621,'INSUMOS  JULIO'!$B$6:$CJ$109,21,0),"")</f>
        <v>0</v>
      </c>
      <c r="G621" s="8">
        <f>IFERROR(VLOOKUP($B621,'INSUMOS  JULIO'!$B$6:$CJ$109,22,0),"")</f>
        <v>10476.367999999999</v>
      </c>
      <c r="H621" s="19">
        <f t="shared" si="36"/>
        <v>0</v>
      </c>
      <c r="I621" s="1">
        <f t="shared" si="37"/>
        <v>0</v>
      </c>
      <c r="J621" s="1">
        <f t="shared" si="38"/>
        <v>0</v>
      </c>
      <c r="K621" s="19">
        <f t="shared" si="39"/>
        <v>0</v>
      </c>
    </row>
    <row r="622" spans="1:11" ht="15">
      <c r="A622" s="3">
        <v>978</v>
      </c>
      <c r="B622" s="151">
        <v>216</v>
      </c>
      <c r="C622" s="7" t="s">
        <v>160</v>
      </c>
      <c r="D622" s="4" t="s">
        <v>640</v>
      </c>
      <c r="E622" t="s">
        <v>479</v>
      </c>
      <c r="F622" s="12" t="str">
        <f>IFERROR(VLOOKUP(B622,'INSUMOS  JULIO'!$B$6:$CJ$109,21,0),"")</f>
        <v>0</v>
      </c>
      <c r="G622" s="8">
        <f>IFERROR(VLOOKUP($B622,'INSUMOS  JULIO'!$B$6:$CJ$109,22,0),"")</f>
        <v>3954.9129999999996</v>
      </c>
      <c r="H622" s="19">
        <f t="shared" si="36"/>
        <v>0</v>
      </c>
      <c r="I622" s="1">
        <f t="shared" si="37"/>
        <v>0</v>
      </c>
      <c r="J622" s="1">
        <f t="shared" si="38"/>
        <v>0</v>
      </c>
      <c r="K622" s="19">
        <f t="shared" si="39"/>
        <v>0</v>
      </c>
    </row>
    <row r="623" spans="1:11" ht="15">
      <c r="A623" s="3">
        <v>979</v>
      </c>
      <c r="B623" s="151">
        <v>218</v>
      </c>
      <c r="C623" s="7" t="s">
        <v>160</v>
      </c>
      <c r="D623" s="4" t="s">
        <v>117</v>
      </c>
      <c r="E623" t="s">
        <v>479</v>
      </c>
      <c r="F623" s="12" t="str">
        <f>IFERROR(VLOOKUP(B623,'INSUMOS  JULIO'!$B$6:$CJ$109,21,0),"")</f>
        <v>0</v>
      </c>
      <c r="G623" s="8">
        <f>IFERROR(VLOOKUP($B623,'INSUMOS  JULIO'!$B$6:$CJ$109,22,0),"")</f>
        <v>1437.768</v>
      </c>
      <c r="H623" s="19">
        <f t="shared" si="36"/>
        <v>0</v>
      </c>
      <c r="I623" s="1">
        <f t="shared" si="37"/>
        <v>0</v>
      </c>
      <c r="J623" s="1">
        <f t="shared" si="38"/>
        <v>0</v>
      </c>
      <c r="K623" s="19">
        <f t="shared" si="39"/>
        <v>0</v>
      </c>
    </row>
    <row r="624" spans="1:11" ht="15">
      <c r="A624" s="3">
        <v>980</v>
      </c>
      <c r="B624" s="151">
        <v>251</v>
      </c>
      <c r="C624" s="7" t="s">
        <v>60</v>
      </c>
      <c r="D624" s="4" t="s">
        <v>118</v>
      </c>
      <c r="E624" t="s">
        <v>479</v>
      </c>
      <c r="F624" s="12" t="str">
        <f>IFERROR(VLOOKUP(B624,'INSUMOS  JULIO'!$B$6:$CJ$109,21,0),"")</f>
        <v>0</v>
      </c>
      <c r="G624" s="8">
        <f>IFERROR(VLOOKUP($B624,'INSUMOS  JULIO'!$B$6:$CJ$109,22,0),"")</f>
        <v>16031.954000000002</v>
      </c>
      <c r="H624" s="19">
        <f t="shared" si="36"/>
        <v>0</v>
      </c>
      <c r="I624" s="1">
        <f t="shared" si="37"/>
        <v>0</v>
      </c>
      <c r="J624" s="1">
        <f t="shared" si="38"/>
        <v>0</v>
      </c>
      <c r="K624" s="19">
        <f t="shared" si="39"/>
        <v>0</v>
      </c>
    </row>
    <row r="625" spans="1:11" ht="15">
      <c r="A625" s="3">
        <v>981</v>
      </c>
      <c r="B625" s="151">
        <v>255</v>
      </c>
      <c r="C625" s="7" t="s">
        <v>60</v>
      </c>
      <c r="D625" s="4" t="s">
        <v>641</v>
      </c>
      <c r="E625" t="s">
        <v>479</v>
      </c>
      <c r="F625" s="12" t="str">
        <f>IFERROR(VLOOKUP(B625,'INSUMOS  JULIO'!$B$6:$CJ$109,21,0),"")</f>
        <v>0</v>
      </c>
      <c r="G625" s="8">
        <f>IFERROR(VLOOKUP($B625,'INSUMOS  JULIO'!$B$6:$CJ$109,22,0),"")</f>
        <v>29299.777999999998</v>
      </c>
      <c r="H625" s="19">
        <f t="shared" si="36"/>
        <v>0</v>
      </c>
      <c r="I625" s="1">
        <f t="shared" si="37"/>
        <v>0</v>
      </c>
      <c r="J625" s="1">
        <f t="shared" si="38"/>
        <v>0</v>
      </c>
      <c r="K625" s="19">
        <f t="shared" si="39"/>
        <v>0</v>
      </c>
    </row>
    <row r="626" spans="1:11" ht="15">
      <c r="A626" s="3">
        <v>982</v>
      </c>
      <c r="B626" s="151">
        <v>257</v>
      </c>
      <c r="C626" s="7" t="s">
        <v>151</v>
      </c>
      <c r="D626" s="4" t="s">
        <v>642</v>
      </c>
      <c r="E626" t="s">
        <v>479</v>
      </c>
      <c r="F626" s="12" t="str">
        <f>IFERROR(VLOOKUP(B626,'INSUMOS  JULIO'!$B$6:$CJ$109,21,0),"")</f>
        <v>0</v>
      </c>
      <c r="G626" s="8">
        <f>IFERROR(VLOOKUP($B626,'INSUMOS  JULIO'!$B$6:$CJ$109,22,0),"")</f>
        <v>18796.084000000003</v>
      </c>
      <c r="H626" s="19">
        <f t="shared" si="36"/>
        <v>0</v>
      </c>
      <c r="I626" s="1">
        <f t="shared" si="37"/>
        <v>0</v>
      </c>
      <c r="J626" s="1">
        <f t="shared" si="38"/>
        <v>0</v>
      </c>
      <c r="K626" s="19">
        <f t="shared" si="39"/>
        <v>0</v>
      </c>
    </row>
    <row r="627" spans="1:11" ht="15">
      <c r="A627" s="3">
        <v>983</v>
      </c>
      <c r="B627" s="151">
        <v>260</v>
      </c>
      <c r="C627" s="7" t="s">
        <v>160</v>
      </c>
      <c r="D627" s="4" t="s">
        <v>643</v>
      </c>
      <c r="E627" t="s">
        <v>479</v>
      </c>
      <c r="F627" s="12" t="str">
        <f>IFERROR(VLOOKUP(B627,'INSUMOS  JULIO'!$B$6:$CJ$109,21,0),"")</f>
        <v>0</v>
      </c>
      <c r="G627" s="8">
        <f>IFERROR(VLOOKUP($B627,'INSUMOS  JULIO'!$B$6:$CJ$109,22,0),"")</f>
        <v>3417.8520000000008</v>
      </c>
      <c r="H627" s="19">
        <f t="shared" si="36"/>
        <v>0</v>
      </c>
      <c r="I627" s="1">
        <f t="shared" si="37"/>
        <v>0</v>
      </c>
      <c r="J627" s="1">
        <f t="shared" si="38"/>
        <v>0</v>
      </c>
      <c r="K627" s="19">
        <f t="shared" si="39"/>
        <v>0</v>
      </c>
    </row>
    <row r="628" spans="1:11" ht="15">
      <c r="A628" s="3">
        <v>984</v>
      </c>
      <c r="B628" s="151">
        <v>291</v>
      </c>
      <c r="C628" s="7" t="s">
        <v>60</v>
      </c>
      <c r="D628" s="4" t="s">
        <v>644</v>
      </c>
      <c r="E628" t="s">
        <v>479</v>
      </c>
      <c r="F628" s="12" t="str">
        <f>IFERROR(VLOOKUP(B628,'INSUMOS  JULIO'!$B$6:$CJ$109,21,0),"")</f>
        <v>0</v>
      </c>
      <c r="G628" s="8">
        <f>IFERROR(VLOOKUP($B628,'INSUMOS  JULIO'!$B$6:$CJ$109,22,0),"")</f>
        <v>20454.562000000005</v>
      </c>
      <c r="H628" s="19">
        <f t="shared" si="36"/>
        <v>0</v>
      </c>
      <c r="I628" s="1">
        <f t="shared" si="37"/>
        <v>0</v>
      </c>
      <c r="J628" s="1">
        <f t="shared" si="38"/>
        <v>0</v>
      </c>
      <c r="K628" s="19">
        <f t="shared" si="39"/>
        <v>0</v>
      </c>
    </row>
    <row r="629" spans="1:11" ht="15">
      <c r="A629" s="3">
        <v>985</v>
      </c>
      <c r="B629" s="151">
        <v>3</v>
      </c>
      <c r="C629" s="7" t="s">
        <v>155</v>
      </c>
      <c r="D629" s="4" t="s">
        <v>5</v>
      </c>
      <c r="E629" t="s">
        <v>480</v>
      </c>
      <c r="F629" s="12" t="str">
        <f>IFERROR(VLOOKUP($B629,'INSUMOS  JULIO'!$B$6:$CJ$109,24,0),"")</f>
        <v>0</v>
      </c>
      <c r="G629" s="8">
        <f>IFERROR(VLOOKUP($B629,'INSUMOS  JULIO'!$B$6:$CJ$109,25,0),"")</f>
        <v>7268.7160000000003</v>
      </c>
      <c r="H629" s="19">
        <f t="shared" si="36"/>
        <v>0</v>
      </c>
      <c r="I629" s="1">
        <f t="shared" si="37"/>
        <v>0</v>
      </c>
      <c r="J629" s="1">
        <f t="shared" si="38"/>
        <v>0</v>
      </c>
      <c r="K629" s="19">
        <f t="shared" si="39"/>
        <v>0</v>
      </c>
    </row>
    <row r="630" spans="1:11" ht="15">
      <c r="A630" s="3">
        <v>986</v>
      </c>
      <c r="B630" s="151">
        <v>5</v>
      </c>
      <c r="C630" s="7" t="s">
        <v>6</v>
      </c>
      <c r="D630" s="4" t="s">
        <v>7</v>
      </c>
      <c r="E630" t="s">
        <v>480</v>
      </c>
      <c r="F630" s="12" t="str">
        <f>IFERROR(VLOOKUP(B630,'INSUMOS  JULIO'!$B$6:$CJ$109,24,0),"")</f>
        <v>0</v>
      </c>
      <c r="G630" s="8">
        <f>IFERROR(VLOOKUP($B630,'INSUMOS  JULIO'!$B$6:$CJ$109,25,0),"")</f>
        <v>6494.1289999999999</v>
      </c>
      <c r="H630" s="19">
        <f t="shared" si="36"/>
        <v>0</v>
      </c>
      <c r="I630" s="1">
        <f t="shared" si="37"/>
        <v>0</v>
      </c>
      <c r="J630" s="1">
        <f t="shared" si="38"/>
        <v>0</v>
      </c>
      <c r="K630" s="19">
        <f t="shared" si="39"/>
        <v>0</v>
      </c>
    </row>
    <row r="631" spans="1:11" ht="15">
      <c r="A631" s="3">
        <v>987</v>
      </c>
      <c r="B631" s="151">
        <v>8</v>
      </c>
      <c r="C631" s="7" t="s">
        <v>6</v>
      </c>
      <c r="D631" s="4" t="s">
        <v>8</v>
      </c>
      <c r="E631" t="s">
        <v>480</v>
      </c>
      <c r="F631" s="12">
        <f>IFERROR(VLOOKUP(B631,'INSUMOS  JULIO'!$B$6:$CJ$109,24,0),"")</f>
        <v>0</v>
      </c>
      <c r="G631" s="8">
        <f>IFERROR(VLOOKUP($B631,'INSUMOS  JULIO'!$B$6:$CJ$109,25,0),"")</f>
        <v>2211.3040000000001</v>
      </c>
      <c r="H631" s="19">
        <f t="shared" si="36"/>
        <v>0</v>
      </c>
      <c r="I631" s="1">
        <f t="shared" si="37"/>
        <v>0</v>
      </c>
      <c r="J631" s="1">
        <f t="shared" si="38"/>
        <v>0</v>
      </c>
      <c r="K631" s="19">
        <f t="shared" si="39"/>
        <v>0</v>
      </c>
    </row>
    <row r="632" spans="1:11" ht="15">
      <c r="A632" s="3">
        <v>988</v>
      </c>
      <c r="B632" s="151">
        <v>9</v>
      </c>
      <c r="C632" s="7" t="s">
        <v>9</v>
      </c>
      <c r="D632" s="4" t="s">
        <v>10</v>
      </c>
      <c r="E632" t="s">
        <v>480</v>
      </c>
      <c r="F632" s="12">
        <f>IFERROR(VLOOKUP(B632,'INSUMOS  JULIO'!$B$6:$CJ$109,24,0),"")</f>
        <v>0</v>
      </c>
      <c r="G632" s="8">
        <f>IFERROR(VLOOKUP($B632,'INSUMOS  JULIO'!$B$6:$CJ$109,25,0),"")</f>
        <v>3298.0379999999996</v>
      </c>
      <c r="H632" s="19">
        <f t="shared" si="36"/>
        <v>0</v>
      </c>
      <c r="I632" s="1">
        <f t="shared" si="37"/>
        <v>0</v>
      </c>
      <c r="J632" s="1">
        <f t="shared" si="38"/>
        <v>0</v>
      </c>
      <c r="K632" s="19">
        <f t="shared" si="39"/>
        <v>0</v>
      </c>
    </row>
    <row r="633" spans="1:11" ht="15">
      <c r="A633" s="3">
        <v>989</v>
      </c>
      <c r="B633" s="151">
        <v>11</v>
      </c>
      <c r="C633" s="7" t="s">
        <v>156</v>
      </c>
      <c r="D633" s="4" t="s">
        <v>11</v>
      </c>
      <c r="E633" t="s">
        <v>480</v>
      </c>
      <c r="F633" s="12" t="str">
        <f>IFERROR(VLOOKUP(B633,'INSUMOS  JULIO'!$B$6:$CJ$109,24,0),"")</f>
        <v>0</v>
      </c>
      <c r="G633" s="8">
        <f>IFERROR(VLOOKUP($B633,'INSUMOS  JULIO'!$B$6:$CJ$109,25,0),"")</f>
        <v>7739.5639999999985</v>
      </c>
      <c r="H633" s="19">
        <f t="shared" si="36"/>
        <v>0</v>
      </c>
      <c r="I633" s="1">
        <f t="shared" si="37"/>
        <v>0</v>
      </c>
      <c r="J633" s="1">
        <f t="shared" si="38"/>
        <v>0</v>
      </c>
      <c r="K633" s="19">
        <f t="shared" si="39"/>
        <v>0</v>
      </c>
    </row>
    <row r="634" spans="1:11" ht="15">
      <c r="A634" s="3">
        <v>990</v>
      </c>
      <c r="B634" s="151">
        <v>13</v>
      </c>
      <c r="C634" s="7" t="s">
        <v>157</v>
      </c>
      <c r="D634" s="4" t="s">
        <v>12</v>
      </c>
      <c r="E634" t="s">
        <v>480</v>
      </c>
      <c r="F634" s="12">
        <f>IFERROR(VLOOKUP(B634,'INSUMOS  JULIO'!$B$6:$CJ$109,24,0),"")</f>
        <v>0</v>
      </c>
      <c r="G634" s="8">
        <f>IFERROR(VLOOKUP($B634,'INSUMOS  JULIO'!$B$6:$CJ$109,25,0),"")</f>
        <v>6507.7919999999995</v>
      </c>
      <c r="H634" s="19">
        <f t="shared" si="36"/>
        <v>0</v>
      </c>
      <c r="I634" s="1">
        <f t="shared" si="37"/>
        <v>0</v>
      </c>
      <c r="J634" s="1">
        <f t="shared" si="38"/>
        <v>0</v>
      </c>
      <c r="K634" s="19">
        <f t="shared" si="39"/>
        <v>0</v>
      </c>
    </row>
    <row r="635" spans="1:11" ht="15">
      <c r="A635" s="3">
        <v>991</v>
      </c>
      <c r="B635" s="151">
        <v>17</v>
      </c>
      <c r="C635" s="7" t="s">
        <v>13</v>
      </c>
      <c r="D635" s="4" t="s">
        <v>14</v>
      </c>
      <c r="E635" t="s">
        <v>480</v>
      </c>
      <c r="F635" s="12">
        <f>IFERROR(VLOOKUP(B635,'INSUMOS  JULIO'!$B$6:$CJ$109,24,0),"")</f>
        <v>0</v>
      </c>
      <c r="G635" s="8">
        <f>IFERROR(VLOOKUP($B635,'INSUMOS  JULIO'!$B$6:$CJ$109,25,0),"")</f>
        <v>5647.0229999999992</v>
      </c>
      <c r="H635" s="19">
        <f t="shared" si="36"/>
        <v>0</v>
      </c>
      <c r="I635" s="1">
        <f t="shared" si="37"/>
        <v>0</v>
      </c>
      <c r="J635" s="1">
        <f t="shared" si="38"/>
        <v>0</v>
      </c>
      <c r="K635" s="19">
        <f t="shared" si="39"/>
        <v>0</v>
      </c>
    </row>
    <row r="636" spans="1:11" ht="15">
      <c r="A636" s="3">
        <v>992</v>
      </c>
      <c r="B636" s="151">
        <v>20</v>
      </c>
      <c r="C636" s="7" t="s">
        <v>13</v>
      </c>
      <c r="D636" s="4" t="s">
        <v>15</v>
      </c>
      <c r="E636" t="s">
        <v>480</v>
      </c>
      <c r="F636" s="12">
        <f>IFERROR(VLOOKUP(B636,'INSUMOS  JULIO'!$B$6:$CJ$109,24,0),"")</f>
        <v>0</v>
      </c>
      <c r="G636" s="8">
        <f>IFERROR(VLOOKUP($B636,'INSUMOS  JULIO'!$B$6:$CJ$109,25,0),"")</f>
        <v>0</v>
      </c>
      <c r="H636" s="19">
        <f t="shared" si="36"/>
        <v>0</v>
      </c>
      <c r="I636" s="1">
        <f t="shared" si="37"/>
        <v>0</v>
      </c>
      <c r="J636" s="1">
        <f t="shared" si="38"/>
        <v>0</v>
      </c>
      <c r="K636" s="19">
        <f t="shared" si="39"/>
        <v>0</v>
      </c>
    </row>
    <row r="637" spans="1:11" ht="15">
      <c r="A637" s="3">
        <v>993</v>
      </c>
      <c r="B637" s="151">
        <v>21</v>
      </c>
      <c r="C637" s="7" t="s">
        <v>16</v>
      </c>
      <c r="D637" s="4" t="s">
        <v>17</v>
      </c>
      <c r="E637" t="s">
        <v>480</v>
      </c>
      <c r="F637" s="12">
        <f>IFERROR(VLOOKUP(B637,'INSUMOS  JULIO'!$B$6:$CJ$109,24,0),"")</f>
        <v>0</v>
      </c>
      <c r="G637" s="8">
        <f>IFERROR(VLOOKUP($B637,'INSUMOS  JULIO'!$B$6:$CJ$109,25,0),"")</f>
        <v>5932.8950000000013</v>
      </c>
      <c r="H637" s="19">
        <f t="shared" si="36"/>
        <v>0</v>
      </c>
      <c r="I637" s="1">
        <f t="shared" si="37"/>
        <v>0</v>
      </c>
      <c r="J637" s="1">
        <f t="shared" si="38"/>
        <v>0</v>
      </c>
      <c r="K637" s="19">
        <f t="shared" si="39"/>
        <v>0</v>
      </c>
    </row>
    <row r="638" spans="1:11" ht="15">
      <c r="A638" s="3">
        <v>994</v>
      </c>
      <c r="B638" s="151">
        <v>28</v>
      </c>
      <c r="C638" s="7" t="s">
        <v>18</v>
      </c>
      <c r="D638" s="4" t="s">
        <v>19</v>
      </c>
      <c r="E638" t="s">
        <v>480</v>
      </c>
      <c r="F638" s="12">
        <f>IFERROR(VLOOKUP(B638,'INSUMOS  JULIO'!$B$6:$CJ$109,24,0),"")</f>
        <v>0</v>
      </c>
      <c r="G638" s="8">
        <f>IFERROR(VLOOKUP($B638,'INSUMOS  JULIO'!$B$6:$CJ$109,25,0),"")</f>
        <v>2764.13</v>
      </c>
      <c r="H638" s="19">
        <f t="shared" si="36"/>
        <v>0</v>
      </c>
      <c r="I638" s="1">
        <f t="shared" si="37"/>
        <v>0</v>
      </c>
      <c r="J638" s="1">
        <f t="shared" si="38"/>
        <v>0</v>
      </c>
      <c r="K638" s="19">
        <f t="shared" si="39"/>
        <v>0</v>
      </c>
    </row>
    <row r="639" spans="1:11" ht="15">
      <c r="A639" s="3">
        <v>995</v>
      </c>
      <c r="B639" s="151">
        <v>29</v>
      </c>
      <c r="C639" s="7" t="s">
        <v>20</v>
      </c>
      <c r="D639" s="4" t="s">
        <v>21</v>
      </c>
      <c r="E639" t="s">
        <v>480</v>
      </c>
      <c r="F639" s="12" t="str">
        <f>IFERROR(VLOOKUP(B639,'INSUMOS  JULIO'!$B$6:$CJ$109,24,0),"")</f>
        <v>0</v>
      </c>
      <c r="G639" s="8">
        <f>IFERROR(VLOOKUP($B639,'INSUMOS  JULIO'!$B$6:$CJ$109,25,0),"")</f>
        <v>4829.3450000000012</v>
      </c>
      <c r="H639" s="19">
        <f t="shared" si="36"/>
        <v>0</v>
      </c>
      <c r="I639" s="1">
        <f t="shared" si="37"/>
        <v>0</v>
      </c>
      <c r="J639" s="1">
        <f t="shared" si="38"/>
        <v>0</v>
      </c>
      <c r="K639" s="19">
        <f t="shared" si="39"/>
        <v>0</v>
      </c>
    </row>
    <row r="640" spans="1:11" ht="15">
      <c r="A640" s="3">
        <v>996</v>
      </c>
      <c r="B640" s="151">
        <v>32</v>
      </c>
      <c r="C640" s="7" t="s">
        <v>22</v>
      </c>
      <c r="D640" s="4" t="s">
        <v>23</v>
      </c>
      <c r="E640" t="s">
        <v>480</v>
      </c>
      <c r="F640" s="12">
        <f>IFERROR(VLOOKUP(B640,'INSUMOS  JULIO'!$B$6:$CJ$109,24,0),"")</f>
        <v>0</v>
      </c>
      <c r="G640" s="8">
        <f>IFERROR(VLOOKUP($B640,'INSUMOS  JULIO'!$B$6:$CJ$109,25,0),"")</f>
        <v>4115.7160000000003</v>
      </c>
      <c r="H640" s="19">
        <f t="shared" si="36"/>
        <v>0</v>
      </c>
      <c r="I640" s="1">
        <f t="shared" si="37"/>
        <v>0</v>
      </c>
      <c r="J640" s="1">
        <f t="shared" si="38"/>
        <v>0</v>
      </c>
      <c r="K640" s="19">
        <f t="shared" si="39"/>
        <v>0</v>
      </c>
    </row>
    <row r="641" spans="1:11" ht="15">
      <c r="A641" s="3">
        <v>997</v>
      </c>
      <c r="B641" s="151">
        <v>38</v>
      </c>
      <c r="C641" s="7" t="s">
        <v>18</v>
      </c>
      <c r="D641" s="4" t="s">
        <v>24</v>
      </c>
      <c r="E641" t="s">
        <v>480</v>
      </c>
      <c r="F641" s="12" t="str">
        <f>IFERROR(VLOOKUP(B641,'INSUMOS  JULIO'!$B$6:$CJ$109,24,0),"")</f>
        <v>0</v>
      </c>
      <c r="G641" s="8">
        <f>IFERROR(VLOOKUP($B641,'INSUMOS  JULIO'!$B$6:$CJ$109,25,0),"")</f>
        <v>11100.662</v>
      </c>
      <c r="H641" s="19">
        <f t="shared" si="36"/>
        <v>0</v>
      </c>
      <c r="I641" s="1">
        <f t="shared" si="37"/>
        <v>0</v>
      </c>
      <c r="J641" s="1">
        <f t="shared" si="38"/>
        <v>0</v>
      </c>
      <c r="K641" s="19">
        <f t="shared" si="39"/>
        <v>0</v>
      </c>
    </row>
    <row r="642" spans="1:11" ht="15">
      <c r="A642" s="3">
        <v>998</v>
      </c>
      <c r="B642" s="151">
        <v>41</v>
      </c>
      <c r="C642" s="7" t="s">
        <v>155</v>
      </c>
      <c r="D642" s="4" t="s">
        <v>25</v>
      </c>
      <c r="E642" t="s">
        <v>480</v>
      </c>
      <c r="F642" s="12" t="str">
        <f>IFERROR(VLOOKUP(B642,'INSUMOS  JULIO'!$B$6:$CJ$109,24,0),"")</f>
        <v>0</v>
      </c>
      <c r="G642" s="8">
        <f>IFERROR(VLOOKUP($B642,'INSUMOS  JULIO'!$B$6:$CJ$109,25,0),"")</f>
        <v>7034.3429999999989</v>
      </c>
      <c r="H642" s="19">
        <f t="shared" si="36"/>
        <v>0</v>
      </c>
      <c r="I642" s="1">
        <f t="shared" si="37"/>
        <v>0</v>
      </c>
      <c r="J642" s="1">
        <f t="shared" si="38"/>
        <v>0</v>
      </c>
      <c r="K642" s="19">
        <f t="shared" si="39"/>
        <v>0</v>
      </c>
    </row>
    <row r="643" spans="1:11" ht="15">
      <c r="A643" s="3">
        <v>999</v>
      </c>
      <c r="B643" s="151">
        <v>44</v>
      </c>
      <c r="C643" s="7" t="s">
        <v>16</v>
      </c>
      <c r="D643" s="4" t="s">
        <v>26</v>
      </c>
      <c r="E643" t="s">
        <v>480</v>
      </c>
      <c r="F643" s="12">
        <f>IFERROR(VLOOKUP(B643,'INSUMOS  JULIO'!$B$6:$CJ$109,24,0),"")</f>
        <v>0</v>
      </c>
      <c r="G643" s="8">
        <f>IFERROR(VLOOKUP($B643,'INSUMOS  JULIO'!$B$6:$CJ$109,25,0),"")</f>
        <v>2787.2520000000004</v>
      </c>
      <c r="H643" s="19">
        <f t="shared" si="36"/>
        <v>0</v>
      </c>
      <c r="I643" s="1">
        <f t="shared" si="37"/>
        <v>0</v>
      </c>
      <c r="J643" s="1">
        <f t="shared" si="38"/>
        <v>0</v>
      </c>
      <c r="K643" s="19">
        <f t="shared" si="39"/>
        <v>0</v>
      </c>
    </row>
    <row r="644" spans="1:11" ht="15">
      <c r="A644" s="3">
        <v>1000</v>
      </c>
      <c r="B644" s="151">
        <v>46</v>
      </c>
      <c r="C644" s="7" t="s">
        <v>27</v>
      </c>
      <c r="D644" s="4" t="s">
        <v>28</v>
      </c>
      <c r="E644" t="s">
        <v>480</v>
      </c>
      <c r="F644" s="12" t="str">
        <f>IFERROR(VLOOKUP(B644,'INSUMOS  JULIO'!$B$6:$CJ$109,24,0),"")</f>
        <v>0</v>
      </c>
      <c r="G644" s="8">
        <f>IFERROR(VLOOKUP($B644,'INSUMOS  JULIO'!$B$6:$CJ$109,25,0),"")</f>
        <v>7739.5640000000021</v>
      </c>
      <c r="H644" s="19">
        <f t="shared" si="36"/>
        <v>0</v>
      </c>
      <c r="I644" s="1">
        <f t="shared" si="37"/>
        <v>0</v>
      </c>
      <c r="J644" s="1">
        <f t="shared" si="38"/>
        <v>0</v>
      </c>
      <c r="K644" s="19">
        <f t="shared" si="39"/>
        <v>0</v>
      </c>
    </row>
    <row r="645" spans="1:11" ht="15">
      <c r="A645" s="3">
        <v>1001</v>
      </c>
      <c r="B645" s="151">
        <v>50</v>
      </c>
      <c r="C645" s="7" t="s">
        <v>13</v>
      </c>
      <c r="D645" s="4" t="s">
        <v>29</v>
      </c>
      <c r="E645" t="s">
        <v>480</v>
      </c>
      <c r="F645" s="12">
        <f>IFERROR(VLOOKUP(B645,'INSUMOS  JULIO'!$B$6:$CJ$109,24,0),"")</f>
        <v>3</v>
      </c>
      <c r="G645" s="8">
        <f>IFERROR(VLOOKUP($B645,'INSUMOS  JULIO'!$B$6:$CJ$109,25,0),"")</f>
        <v>38567.495999999999</v>
      </c>
      <c r="H645" s="19">
        <f t="shared" si="36"/>
        <v>115702.488</v>
      </c>
      <c r="I645" s="1">
        <f t="shared" si="37"/>
        <v>11570.248800000001</v>
      </c>
      <c r="J645" s="1">
        <f t="shared" si="38"/>
        <v>2198.3472720000004</v>
      </c>
      <c r="K645" s="19">
        <f t="shared" si="39"/>
        <v>129471.084072</v>
      </c>
    </row>
    <row r="646" spans="1:11" ht="15">
      <c r="A646" s="3">
        <v>1002</v>
      </c>
      <c r="B646" s="151">
        <v>51</v>
      </c>
      <c r="C646" s="7" t="s">
        <v>13</v>
      </c>
      <c r="D646" s="4" t="s">
        <v>30</v>
      </c>
      <c r="E646" t="s">
        <v>480</v>
      </c>
      <c r="F646" s="12" t="str">
        <f>IFERROR(VLOOKUP(B646,'INSUMOS  JULIO'!$B$6:$CJ$109,24,0),"")</f>
        <v>0</v>
      </c>
      <c r="G646" s="8">
        <f>IFERROR(VLOOKUP($B646,'INSUMOS  JULIO'!$B$6:$CJ$109,25,0),"")</f>
        <v>7739.5640000000021</v>
      </c>
      <c r="H646" s="19">
        <f t="shared" ref="H646:H709" si="40">+F646*G646</f>
        <v>0</v>
      </c>
      <c r="I646" s="1">
        <f t="shared" ref="I646:I709" si="41">+H646*10%</f>
        <v>0</v>
      </c>
      <c r="J646" s="1">
        <f t="shared" ref="J646:J709" si="42">+I646*19%</f>
        <v>0</v>
      </c>
      <c r="K646" s="19">
        <f t="shared" ref="K646:K709" si="43">SUM(H646:J646)</f>
        <v>0</v>
      </c>
    </row>
    <row r="647" spans="1:11" ht="15">
      <c r="A647" s="3">
        <v>1003</v>
      </c>
      <c r="B647" s="151">
        <v>52</v>
      </c>
      <c r="C647" s="7" t="s">
        <v>13</v>
      </c>
      <c r="D647" s="4" t="s">
        <v>31</v>
      </c>
      <c r="E647" t="s">
        <v>480</v>
      </c>
      <c r="F647" s="12">
        <f>IFERROR(VLOOKUP(B647,'INSUMOS  JULIO'!$B$6:$CJ$109,24,0),"")</f>
        <v>3</v>
      </c>
      <c r="G647" s="8">
        <f>IFERROR(VLOOKUP($B647,'INSUMOS  JULIO'!$B$6:$CJ$109,25,0),"")</f>
        <v>6412.1509999999998</v>
      </c>
      <c r="H647" s="19">
        <f t="shared" si="40"/>
        <v>19236.453000000001</v>
      </c>
      <c r="I647" s="1">
        <f t="shared" si="41"/>
        <v>1923.6453000000001</v>
      </c>
      <c r="J647" s="1">
        <f t="shared" si="42"/>
        <v>365.49260700000002</v>
      </c>
      <c r="K647" s="19">
        <f t="shared" si="43"/>
        <v>21525.590907000002</v>
      </c>
    </row>
    <row r="648" spans="1:11" ht="15">
      <c r="A648" s="3">
        <v>1004</v>
      </c>
      <c r="B648" s="151">
        <v>54</v>
      </c>
      <c r="C648" s="7" t="s">
        <v>13</v>
      </c>
      <c r="D648" s="4" t="s">
        <v>32</v>
      </c>
      <c r="E648" t="s">
        <v>480</v>
      </c>
      <c r="F648" s="12">
        <f>IFERROR(VLOOKUP(B648,'INSUMOS  JULIO'!$B$6:$CJ$109,24,0),"")</f>
        <v>0</v>
      </c>
      <c r="G648" s="8">
        <f>IFERROR(VLOOKUP($B648,'INSUMOS  JULIO'!$B$6:$CJ$109,25,0),"")</f>
        <v>5359.049</v>
      </c>
      <c r="H648" s="19">
        <f t="shared" si="40"/>
        <v>0</v>
      </c>
      <c r="I648" s="1">
        <f t="shared" si="41"/>
        <v>0</v>
      </c>
      <c r="J648" s="1">
        <f t="shared" si="42"/>
        <v>0</v>
      </c>
      <c r="K648" s="19">
        <f t="shared" si="43"/>
        <v>0</v>
      </c>
    </row>
    <row r="649" spans="1:11" ht="15">
      <c r="A649" s="3">
        <v>1005</v>
      </c>
      <c r="B649" s="151">
        <v>57</v>
      </c>
      <c r="C649" s="7" t="s">
        <v>33</v>
      </c>
      <c r="D649" s="4" t="s">
        <v>34</v>
      </c>
      <c r="E649" t="s">
        <v>480</v>
      </c>
      <c r="F649" s="12">
        <f>IFERROR(VLOOKUP(B649,'INSUMOS  JULIO'!$B$6:$CJ$109,24,0),"")</f>
        <v>2</v>
      </c>
      <c r="G649" s="8">
        <f>IFERROR(VLOOKUP($B649,'INSUMOS  JULIO'!$B$6:$CJ$109,25,0),"")</f>
        <v>12823.251000000004</v>
      </c>
      <c r="H649" s="19">
        <f t="shared" si="40"/>
        <v>25646.502000000008</v>
      </c>
      <c r="I649" s="1">
        <f t="shared" si="41"/>
        <v>2564.650200000001</v>
      </c>
      <c r="J649" s="1">
        <f t="shared" si="42"/>
        <v>487.28353800000019</v>
      </c>
      <c r="K649" s="19">
        <f t="shared" si="43"/>
        <v>28698.435738000007</v>
      </c>
    </row>
    <row r="650" spans="1:11" ht="15">
      <c r="A650" s="3">
        <v>1043</v>
      </c>
      <c r="B650" s="151">
        <v>59</v>
      </c>
      <c r="C650" s="7" t="s">
        <v>16</v>
      </c>
      <c r="D650" s="4" t="s">
        <v>35</v>
      </c>
      <c r="E650" t="s">
        <v>480</v>
      </c>
      <c r="F650" s="12" t="str">
        <f>IFERROR(VLOOKUP(B650,'INSUMOS  JULIO'!$B$6:$CJ$109,24,0),"")</f>
        <v>0</v>
      </c>
      <c r="G650" s="8">
        <f>IFERROR(VLOOKUP($B650,'INSUMOS  JULIO'!$B$6:$CJ$109,25,0),"")</f>
        <v>5528.260000000002</v>
      </c>
      <c r="H650" s="19">
        <f t="shared" si="40"/>
        <v>0</v>
      </c>
      <c r="I650" s="1">
        <f t="shared" si="41"/>
        <v>0</v>
      </c>
      <c r="J650" s="1">
        <f t="shared" si="42"/>
        <v>0</v>
      </c>
      <c r="K650" s="19">
        <f t="shared" si="43"/>
        <v>0</v>
      </c>
    </row>
    <row r="651" spans="1:11" ht="15">
      <c r="A651" s="3">
        <v>1044</v>
      </c>
      <c r="B651" s="151">
        <v>62</v>
      </c>
      <c r="C651" s="7" t="s">
        <v>36</v>
      </c>
      <c r="D651" s="4" t="s">
        <v>37</v>
      </c>
      <c r="E651" t="s">
        <v>480</v>
      </c>
      <c r="F651" s="12">
        <f>IFERROR(VLOOKUP(B651,'INSUMOS  JULIO'!$B$6:$CJ$109,24,0),"")</f>
        <v>2</v>
      </c>
      <c r="G651" s="8">
        <f>IFERROR(VLOOKUP($B651,'INSUMOS  JULIO'!$B$6:$CJ$109,25,0),"")</f>
        <v>10100.3202</v>
      </c>
      <c r="H651" s="19">
        <f t="shared" si="40"/>
        <v>20200.6404</v>
      </c>
      <c r="I651" s="1">
        <f t="shared" si="41"/>
        <v>2020.0640400000002</v>
      </c>
      <c r="J651" s="1">
        <f t="shared" si="42"/>
        <v>383.81216760000007</v>
      </c>
      <c r="K651" s="19">
        <f t="shared" si="43"/>
        <v>22604.516607600002</v>
      </c>
    </row>
    <row r="652" spans="1:11" ht="15">
      <c r="A652" s="3">
        <v>1045</v>
      </c>
      <c r="B652" s="151">
        <v>63</v>
      </c>
      <c r="C652" s="7" t="s">
        <v>36</v>
      </c>
      <c r="D652" s="4" t="s">
        <v>38</v>
      </c>
      <c r="E652" t="s">
        <v>480</v>
      </c>
      <c r="F652" s="12">
        <f>IFERROR(VLOOKUP(B652,'INSUMOS  JULIO'!$B$6:$CJ$109,24,0),"")</f>
        <v>6</v>
      </c>
      <c r="G652" s="8">
        <f>IFERROR(VLOOKUP($B652,'INSUMOS  JULIO'!$B$6:$CJ$109,25,0),"")</f>
        <v>11443.4982</v>
      </c>
      <c r="H652" s="19">
        <f t="shared" si="40"/>
        <v>68660.989199999996</v>
      </c>
      <c r="I652" s="1">
        <f t="shared" si="41"/>
        <v>6866.0989200000004</v>
      </c>
      <c r="J652" s="1">
        <f t="shared" si="42"/>
        <v>1304.5587948</v>
      </c>
      <c r="K652" s="19">
        <f t="shared" si="43"/>
        <v>76831.646914800003</v>
      </c>
    </row>
    <row r="653" spans="1:11" ht="15">
      <c r="A653" s="3">
        <v>1046</v>
      </c>
      <c r="B653" s="151">
        <v>64</v>
      </c>
      <c r="C653" s="7" t="s">
        <v>39</v>
      </c>
      <c r="D653" s="4" t="s">
        <v>40</v>
      </c>
      <c r="E653" t="s">
        <v>480</v>
      </c>
      <c r="F653" s="12">
        <f>IFERROR(VLOOKUP(B653,'INSUMOS  JULIO'!$B$6:$CJ$109,24,0),"")</f>
        <v>0</v>
      </c>
      <c r="G653" s="8">
        <f>IFERROR(VLOOKUP($B653,'INSUMOS  JULIO'!$B$6:$CJ$109,25,0),"")</f>
        <v>13820.650000000001</v>
      </c>
      <c r="H653" s="19">
        <f t="shared" si="40"/>
        <v>0</v>
      </c>
      <c r="I653" s="1">
        <f t="shared" si="41"/>
        <v>0</v>
      </c>
      <c r="J653" s="1">
        <f t="shared" si="42"/>
        <v>0</v>
      </c>
      <c r="K653" s="19">
        <f t="shared" si="43"/>
        <v>0</v>
      </c>
    </row>
    <row r="654" spans="1:11" ht="15">
      <c r="A654" s="3">
        <v>1047</v>
      </c>
      <c r="B654" s="151">
        <v>65</v>
      </c>
      <c r="C654" s="7" t="s">
        <v>39</v>
      </c>
      <c r="D654" s="4" t="s">
        <v>41</v>
      </c>
      <c r="E654" t="s">
        <v>480</v>
      </c>
      <c r="F654" s="12">
        <f>IFERROR(VLOOKUP(B654,'INSUMOS  JULIO'!$B$6:$CJ$109,24,0),"")</f>
        <v>0</v>
      </c>
      <c r="G654" s="8">
        <f>IFERROR(VLOOKUP($B654,'INSUMOS  JULIO'!$B$6:$CJ$109,25,0),"")</f>
        <v>13820.650000000001</v>
      </c>
      <c r="H654" s="19">
        <f t="shared" si="40"/>
        <v>0</v>
      </c>
      <c r="I654" s="1">
        <f t="shared" si="41"/>
        <v>0</v>
      </c>
      <c r="J654" s="1">
        <f t="shared" si="42"/>
        <v>0</v>
      </c>
      <c r="K654" s="19">
        <f t="shared" si="43"/>
        <v>0</v>
      </c>
    </row>
    <row r="655" spans="1:11" ht="15">
      <c r="A655" s="3">
        <v>1048</v>
      </c>
      <c r="B655" s="151">
        <v>66</v>
      </c>
      <c r="C655" s="7" t="s">
        <v>151</v>
      </c>
      <c r="D655" s="4" t="s">
        <v>42</v>
      </c>
      <c r="E655" t="s">
        <v>480</v>
      </c>
      <c r="F655" s="12">
        <f>IFERROR(VLOOKUP(B655,'INSUMOS  JULIO'!$B$6:$CJ$109,24,0),"")</f>
        <v>0</v>
      </c>
      <c r="G655" s="8">
        <f>IFERROR(VLOOKUP($B655,'INSUMOS  JULIO'!$B$6:$CJ$109,25,0),"")</f>
        <v>4178.9862000000003</v>
      </c>
      <c r="H655" s="19">
        <f t="shared" si="40"/>
        <v>0</v>
      </c>
      <c r="I655" s="1">
        <f t="shared" si="41"/>
        <v>0</v>
      </c>
      <c r="J655" s="1">
        <f t="shared" si="42"/>
        <v>0</v>
      </c>
      <c r="K655" s="19">
        <f t="shared" si="43"/>
        <v>0</v>
      </c>
    </row>
    <row r="656" spans="1:11" ht="15">
      <c r="A656" s="3">
        <v>1049</v>
      </c>
      <c r="B656" s="151">
        <v>71</v>
      </c>
      <c r="C656" s="7" t="s">
        <v>151</v>
      </c>
      <c r="D656" s="4" t="s">
        <v>43</v>
      </c>
      <c r="E656" t="s">
        <v>480</v>
      </c>
      <c r="F656" s="12" t="str">
        <f>IFERROR(VLOOKUP(B656,'INSUMOS  JULIO'!$B$6:$CJ$109,24,0),"")</f>
        <v>0</v>
      </c>
      <c r="G656" s="8">
        <f>IFERROR(VLOOKUP($B656,'INSUMOS  JULIO'!$B$6:$CJ$109,25,0),"")</f>
        <v>5196.1440000000002</v>
      </c>
      <c r="H656" s="19">
        <f t="shared" si="40"/>
        <v>0</v>
      </c>
      <c r="I656" s="1">
        <f t="shared" si="41"/>
        <v>0</v>
      </c>
      <c r="J656" s="1">
        <f t="shared" si="42"/>
        <v>0</v>
      </c>
      <c r="K656" s="19">
        <f t="shared" si="43"/>
        <v>0</v>
      </c>
    </row>
    <row r="657" spans="1:11" ht="15">
      <c r="A657" s="3">
        <v>1050</v>
      </c>
      <c r="B657" s="151">
        <v>72</v>
      </c>
      <c r="C657" s="7" t="s">
        <v>151</v>
      </c>
      <c r="D657" s="4" t="s">
        <v>44</v>
      </c>
      <c r="E657" t="s">
        <v>480</v>
      </c>
      <c r="F657" s="12">
        <f>IFERROR(VLOOKUP(B657,'INSUMOS  JULIO'!$B$6:$CJ$109,24,0),"")</f>
        <v>0</v>
      </c>
      <c r="G657" s="8">
        <f>IFERROR(VLOOKUP($B657,'INSUMOS  JULIO'!$B$6:$CJ$109,25,0),"")</f>
        <v>5196.1440000000002</v>
      </c>
      <c r="H657" s="19">
        <f t="shared" si="40"/>
        <v>0</v>
      </c>
      <c r="I657" s="1">
        <f t="shared" si="41"/>
        <v>0</v>
      </c>
      <c r="J657" s="1">
        <f t="shared" si="42"/>
        <v>0</v>
      </c>
      <c r="K657" s="19">
        <f t="shared" si="43"/>
        <v>0</v>
      </c>
    </row>
    <row r="658" spans="1:11" ht="27">
      <c r="A658" s="3">
        <v>1051</v>
      </c>
      <c r="B658" s="151">
        <v>73</v>
      </c>
      <c r="C658" s="7" t="s">
        <v>151</v>
      </c>
      <c r="D658" s="4" t="s">
        <v>45</v>
      </c>
      <c r="E658" t="s">
        <v>480</v>
      </c>
      <c r="F658" s="12">
        <f>IFERROR(VLOOKUP(B658,'INSUMOS  JULIO'!$B$6:$CJ$109,24,0),"")</f>
        <v>4</v>
      </c>
      <c r="G658" s="8">
        <f>IFERROR(VLOOKUP($B658,'INSUMOS  JULIO'!$B$6:$CJ$109,25,0),"")</f>
        <v>21493.685699999998</v>
      </c>
      <c r="H658" s="19">
        <f t="shared" si="40"/>
        <v>85974.742799999993</v>
      </c>
      <c r="I658" s="1">
        <f t="shared" si="41"/>
        <v>8597.4742800000004</v>
      </c>
      <c r="J658" s="1">
        <f t="shared" si="42"/>
        <v>1633.5201132000002</v>
      </c>
      <c r="K658" s="19">
        <f t="shared" si="43"/>
        <v>96205.737193199981</v>
      </c>
    </row>
    <row r="659" spans="1:11" ht="15">
      <c r="A659" s="3">
        <v>1052</v>
      </c>
      <c r="B659" s="151">
        <v>74</v>
      </c>
      <c r="C659" s="7" t="s">
        <v>46</v>
      </c>
      <c r="D659" s="4" t="s">
        <v>47</v>
      </c>
      <c r="E659" t="s">
        <v>480</v>
      </c>
      <c r="F659" s="12">
        <f>IFERROR(VLOOKUP(B659,'INSUMOS  JULIO'!$B$6:$CJ$109,24,0),"")</f>
        <v>0</v>
      </c>
      <c r="G659" s="8">
        <f>IFERROR(VLOOKUP($B659,'INSUMOS  JULIO'!$B$6:$CJ$109,25,0),"")</f>
        <v>3261.2529999999997</v>
      </c>
      <c r="H659" s="19">
        <f t="shared" si="40"/>
        <v>0</v>
      </c>
      <c r="I659" s="1">
        <f t="shared" si="41"/>
        <v>0</v>
      </c>
      <c r="J659" s="1">
        <f t="shared" si="42"/>
        <v>0</v>
      </c>
      <c r="K659" s="19">
        <f t="shared" si="43"/>
        <v>0</v>
      </c>
    </row>
    <row r="660" spans="1:11" ht="15">
      <c r="A660" s="3">
        <v>1053</v>
      </c>
      <c r="B660" s="151">
        <v>79</v>
      </c>
      <c r="C660" s="7" t="s">
        <v>159</v>
      </c>
      <c r="D660" s="4" t="s">
        <v>48</v>
      </c>
      <c r="E660" t="s">
        <v>480</v>
      </c>
      <c r="F660" s="12">
        <f>IFERROR(VLOOKUP(B660,'INSUMOS  JULIO'!$B$6:$CJ$109,24,0),"")</f>
        <v>0</v>
      </c>
      <c r="G660" s="8">
        <f>IFERROR(VLOOKUP($B660,'INSUMOS  JULIO'!$B$6:$CJ$109,25,0),"")</f>
        <v>541.2650000000001</v>
      </c>
      <c r="H660" s="19">
        <f t="shared" si="40"/>
        <v>0</v>
      </c>
      <c r="I660" s="1">
        <f t="shared" si="41"/>
        <v>0</v>
      </c>
      <c r="J660" s="1">
        <f t="shared" si="42"/>
        <v>0</v>
      </c>
      <c r="K660" s="19">
        <f t="shared" si="43"/>
        <v>0</v>
      </c>
    </row>
    <row r="661" spans="1:11" ht="15">
      <c r="A661" s="3">
        <v>1054</v>
      </c>
      <c r="B661" s="151">
        <v>80</v>
      </c>
      <c r="C661" s="7" t="s">
        <v>159</v>
      </c>
      <c r="D661" s="4" t="s">
        <v>49</v>
      </c>
      <c r="E661" t="s">
        <v>480</v>
      </c>
      <c r="F661" s="12">
        <f>IFERROR(VLOOKUP(B661,'INSUMOS  JULIO'!$B$6:$CJ$109,24,0),"")</f>
        <v>0</v>
      </c>
      <c r="G661" s="8">
        <f>IFERROR(VLOOKUP($B661,'INSUMOS  JULIO'!$B$6:$CJ$109,25,0),"")</f>
        <v>433.01199999999994</v>
      </c>
      <c r="H661" s="19">
        <f t="shared" si="40"/>
        <v>0</v>
      </c>
      <c r="I661" s="1">
        <f t="shared" si="41"/>
        <v>0</v>
      </c>
      <c r="J661" s="1">
        <f t="shared" si="42"/>
        <v>0</v>
      </c>
      <c r="K661" s="19">
        <f t="shared" si="43"/>
        <v>0</v>
      </c>
    </row>
    <row r="662" spans="1:11" ht="15">
      <c r="A662" s="3">
        <v>1055</v>
      </c>
      <c r="B662" s="151">
        <v>81</v>
      </c>
      <c r="C662" s="7" t="s">
        <v>159</v>
      </c>
      <c r="D662" s="4" t="s">
        <v>50</v>
      </c>
      <c r="E662" t="s">
        <v>480</v>
      </c>
      <c r="F662" s="12">
        <f>IFERROR(VLOOKUP(B662,'INSUMOS  JULIO'!$B$6:$CJ$109,24,0),"")</f>
        <v>0</v>
      </c>
      <c r="G662" s="8">
        <f>IFERROR(VLOOKUP($B662,'INSUMOS  JULIO'!$B$6:$CJ$109,25,0),"")</f>
        <v>211.251</v>
      </c>
      <c r="H662" s="19">
        <f t="shared" si="40"/>
        <v>0</v>
      </c>
      <c r="I662" s="1">
        <f t="shared" si="41"/>
        <v>0</v>
      </c>
      <c r="J662" s="1">
        <f t="shared" si="42"/>
        <v>0</v>
      </c>
      <c r="K662" s="19">
        <f t="shared" si="43"/>
        <v>0</v>
      </c>
    </row>
    <row r="663" spans="1:11" ht="15">
      <c r="A663" s="3">
        <v>1056</v>
      </c>
      <c r="B663" s="151">
        <v>82</v>
      </c>
      <c r="C663" s="7" t="s">
        <v>159</v>
      </c>
      <c r="D663" s="4" t="s">
        <v>51</v>
      </c>
      <c r="E663" t="s">
        <v>480</v>
      </c>
      <c r="F663" s="12" t="str">
        <f>IFERROR(VLOOKUP(B663,'INSUMOS  JULIO'!$B$6:$CJ$109,24,0),"")</f>
        <v>0</v>
      </c>
      <c r="G663" s="8">
        <f>IFERROR(VLOOKUP($B663,'INSUMOS  JULIO'!$B$6:$CJ$109,25,0),"")</f>
        <v>1003.7049999999999</v>
      </c>
      <c r="H663" s="19">
        <f t="shared" si="40"/>
        <v>0</v>
      </c>
      <c r="I663" s="1">
        <f t="shared" si="41"/>
        <v>0</v>
      </c>
      <c r="J663" s="1">
        <f t="shared" si="42"/>
        <v>0</v>
      </c>
      <c r="K663" s="19">
        <f t="shared" si="43"/>
        <v>0</v>
      </c>
    </row>
    <row r="664" spans="1:11" ht="15">
      <c r="A664" s="3">
        <v>1057</v>
      </c>
      <c r="B664" s="151">
        <v>83</v>
      </c>
      <c r="C664" s="7" t="s">
        <v>159</v>
      </c>
      <c r="D664" s="4" t="s">
        <v>52</v>
      </c>
      <c r="E664" t="s">
        <v>480</v>
      </c>
      <c r="F664" s="12" t="str">
        <f>IFERROR(VLOOKUP(B664,'INSUMOS  JULIO'!$B$6:$CJ$109,24,0),"")</f>
        <v>0</v>
      </c>
      <c r="G664" s="8">
        <f>IFERROR(VLOOKUP($B664,'INSUMOS  JULIO'!$B$6:$CJ$109,25,0),"")</f>
        <v>336.32</v>
      </c>
      <c r="H664" s="19">
        <f t="shared" si="40"/>
        <v>0</v>
      </c>
      <c r="I664" s="1">
        <f t="shared" si="41"/>
        <v>0</v>
      </c>
      <c r="J664" s="1">
        <f t="shared" si="42"/>
        <v>0</v>
      </c>
      <c r="K664" s="19">
        <f t="shared" si="43"/>
        <v>0</v>
      </c>
    </row>
    <row r="665" spans="1:11" ht="15">
      <c r="A665" s="3">
        <v>1058</v>
      </c>
      <c r="B665" s="151">
        <v>86</v>
      </c>
      <c r="C665" s="7" t="s">
        <v>53</v>
      </c>
      <c r="D665" s="4" t="s">
        <v>54</v>
      </c>
      <c r="E665" t="s">
        <v>480</v>
      </c>
      <c r="F665" s="12" t="str">
        <f>IFERROR(VLOOKUP(B665,'INSUMOS  JULIO'!$B$6:$CJ$109,24,0),"")</f>
        <v>0</v>
      </c>
      <c r="G665" s="8">
        <f>IFERROR(VLOOKUP($B665,'INSUMOS  JULIO'!$B$6:$CJ$109,25,0),"")</f>
        <v>2792.5070000000005</v>
      </c>
      <c r="H665" s="19">
        <f t="shared" si="40"/>
        <v>0</v>
      </c>
      <c r="I665" s="1">
        <f t="shared" si="41"/>
        <v>0</v>
      </c>
      <c r="J665" s="1">
        <f t="shared" si="42"/>
        <v>0</v>
      </c>
      <c r="K665" s="19">
        <f t="shared" si="43"/>
        <v>0</v>
      </c>
    </row>
    <row r="666" spans="1:11" ht="15">
      <c r="A666" s="3">
        <v>1059</v>
      </c>
      <c r="B666" s="151">
        <v>87</v>
      </c>
      <c r="C666" s="7" t="s">
        <v>53</v>
      </c>
      <c r="D666" s="4" t="s">
        <v>55</v>
      </c>
      <c r="E666" t="s">
        <v>480</v>
      </c>
      <c r="F666" s="12" t="str">
        <f>IFERROR(VLOOKUP(B666,'INSUMOS  JULIO'!$B$6:$CJ$109,24,0),"")</f>
        <v>0</v>
      </c>
      <c r="G666" s="8">
        <f>IFERROR(VLOOKUP($B666,'INSUMOS  JULIO'!$B$6:$CJ$109,25,0),"")</f>
        <v>0</v>
      </c>
      <c r="H666" s="19">
        <f t="shared" si="40"/>
        <v>0</v>
      </c>
      <c r="I666" s="1">
        <f t="shared" si="41"/>
        <v>0</v>
      </c>
      <c r="J666" s="1">
        <f t="shared" si="42"/>
        <v>0</v>
      </c>
      <c r="K666" s="19">
        <f t="shared" si="43"/>
        <v>0</v>
      </c>
    </row>
    <row r="667" spans="1:11" ht="15">
      <c r="A667" s="3">
        <v>1060</v>
      </c>
      <c r="B667" s="151">
        <v>88</v>
      </c>
      <c r="C667" s="7" t="s">
        <v>53</v>
      </c>
      <c r="D667" s="4" t="s">
        <v>56</v>
      </c>
      <c r="E667" t="s">
        <v>480</v>
      </c>
      <c r="F667" s="12">
        <f>IFERROR(VLOOKUP(B667,'INSUMOS  JULIO'!$B$6:$CJ$109,24,0),"")</f>
        <v>0</v>
      </c>
      <c r="G667" s="8">
        <f>IFERROR(VLOOKUP($B667,'INSUMOS  JULIO'!$B$6:$CJ$109,25,0),"")</f>
        <v>2717.886</v>
      </c>
      <c r="H667" s="19">
        <f t="shared" si="40"/>
        <v>0</v>
      </c>
      <c r="I667" s="1">
        <f t="shared" si="41"/>
        <v>0</v>
      </c>
      <c r="J667" s="1">
        <f t="shared" si="42"/>
        <v>0</v>
      </c>
      <c r="K667" s="19">
        <f t="shared" si="43"/>
        <v>0</v>
      </c>
    </row>
    <row r="668" spans="1:11" ht="15">
      <c r="A668" s="3">
        <v>1061</v>
      </c>
      <c r="B668" s="151">
        <v>89</v>
      </c>
      <c r="C668" s="7" t="s">
        <v>53</v>
      </c>
      <c r="D668" s="4" t="s">
        <v>57</v>
      </c>
      <c r="E668" t="s">
        <v>480</v>
      </c>
      <c r="F668" s="12" t="str">
        <f>IFERROR(VLOOKUP(B668,'INSUMOS  JULIO'!$B$6:$CJ$109,24,0),"")</f>
        <v>0</v>
      </c>
      <c r="G668" s="8">
        <f>IFERROR(VLOOKUP($B668,'INSUMOS  JULIO'!$B$6:$CJ$109,25,0),"")</f>
        <v>2650.6220000000003</v>
      </c>
      <c r="H668" s="19">
        <f t="shared" si="40"/>
        <v>0</v>
      </c>
      <c r="I668" s="1">
        <f t="shared" si="41"/>
        <v>0</v>
      </c>
      <c r="J668" s="1">
        <f t="shared" si="42"/>
        <v>0</v>
      </c>
      <c r="K668" s="19">
        <f t="shared" si="43"/>
        <v>0</v>
      </c>
    </row>
    <row r="669" spans="1:11" ht="15">
      <c r="A669" s="3">
        <v>1062</v>
      </c>
      <c r="B669" s="151">
        <v>91</v>
      </c>
      <c r="C669" s="7" t="s">
        <v>160</v>
      </c>
      <c r="D669" s="4" t="s">
        <v>58</v>
      </c>
      <c r="E669" t="s">
        <v>480</v>
      </c>
      <c r="F669" s="12" t="str">
        <f>IFERROR(VLOOKUP(B669,'INSUMOS  JULIO'!$B$6:$CJ$109,24,0),"")</f>
        <v>0</v>
      </c>
      <c r="G669" s="8">
        <f>IFERROR(VLOOKUP($B669,'INSUMOS  JULIO'!$B$6:$CJ$109,25,0),"")</f>
        <v>4364.8029999999999</v>
      </c>
      <c r="H669" s="19">
        <f t="shared" si="40"/>
        <v>0</v>
      </c>
      <c r="I669" s="1">
        <f t="shared" si="41"/>
        <v>0</v>
      </c>
      <c r="J669" s="1">
        <f t="shared" si="42"/>
        <v>0</v>
      </c>
      <c r="K669" s="19">
        <f t="shared" si="43"/>
        <v>0</v>
      </c>
    </row>
    <row r="670" spans="1:11" ht="15">
      <c r="A670" s="3">
        <v>1063</v>
      </c>
      <c r="B670" s="151">
        <v>92</v>
      </c>
      <c r="C670" s="7" t="s">
        <v>160</v>
      </c>
      <c r="D670" s="4" t="s">
        <v>59</v>
      </c>
      <c r="E670" t="s">
        <v>480</v>
      </c>
      <c r="F670" s="12" t="str">
        <f>IFERROR(VLOOKUP(B670,'INSUMOS  JULIO'!$B$6:$CJ$109,24,0),"")</f>
        <v>0</v>
      </c>
      <c r="G670" s="8">
        <f>IFERROR(VLOOKUP($B670,'INSUMOS  JULIO'!$B$6:$CJ$109,25,0),"")</f>
        <v>2380.5149999999999</v>
      </c>
      <c r="H670" s="19">
        <f t="shared" si="40"/>
        <v>0</v>
      </c>
      <c r="I670" s="1">
        <f t="shared" si="41"/>
        <v>0</v>
      </c>
      <c r="J670" s="1">
        <f t="shared" si="42"/>
        <v>0</v>
      </c>
      <c r="K670" s="19">
        <f t="shared" si="43"/>
        <v>0</v>
      </c>
    </row>
    <row r="671" spans="1:11" ht="15">
      <c r="A671" s="3">
        <v>1064</v>
      </c>
      <c r="B671" s="151">
        <v>94</v>
      </c>
      <c r="C671" s="7" t="s">
        <v>60</v>
      </c>
      <c r="D671" s="4" t="s">
        <v>61</v>
      </c>
      <c r="E671" t="s">
        <v>480</v>
      </c>
      <c r="F671" s="12" t="str">
        <f>IFERROR(VLOOKUP(B671,'INSUMOS  JULIO'!$B$6:$CJ$109,24,0),"")</f>
        <v>0</v>
      </c>
      <c r="G671" s="8">
        <f>IFERROR(VLOOKUP($B671,'INSUMOS  JULIO'!$B$6:$CJ$109,25,0),"")</f>
        <v>3316.9560000000001</v>
      </c>
      <c r="H671" s="19">
        <f t="shared" si="40"/>
        <v>0</v>
      </c>
      <c r="I671" s="1">
        <f t="shared" si="41"/>
        <v>0</v>
      </c>
      <c r="J671" s="1">
        <f t="shared" si="42"/>
        <v>0</v>
      </c>
      <c r="K671" s="19">
        <f t="shared" si="43"/>
        <v>0</v>
      </c>
    </row>
    <row r="672" spans="1:11" ht="15">
      <c r="A672" s="3">
        <v>1065</v>
      </c>
      <c r="B672" s="151">
        <v>95</v>
      </c>
      <c r="C672" s="7" t="s">
        <v>60</v>
      </c>
      <c r="D672" s="4" t="s">
        <v>62</v>
      </c>
      <c r="E672" t="s">
        <v>480</v>
      </c>
      <c r="F672" s="12" t="str">
        <f>IFERROR(VLOOKUP(B672,'INSUMOS  JULIO'!$B$6:$CJ$109,24,0),"")</f>
        <v>0</v>
      </c>
      <c r="G672" s="8">
        <f>IFERROR(VLOOKUP($B672,'INSUMOS  JULIO'!$B$6:$CJ$109,25,0),"")</f>
        <v>11056.52</v>
      </c>
      <c r="H672" s="19">
        <f t="shared" si="40"/>
        <v>0</v>
      </c>
      <c r="I672" s="1">
        <f t="shared" si="41"/>
        <v>0</v>
      </c>
      <c r="J672" s="1">
        <f t="shared" si="42"/>
        <v>0</v>
      </c>
      <c r="K672" s="19">
        <f t="shared" si="43"/>
        <v>0</v>
      </c>
    </row>
    <row r="673" spans="1:11" ht="15">
      <c r="A673" s="3">
        <v>1066</v>
      </c>
      <c r="B673" s="151">
        <v>98</v>
      </c>
      <c r="C673" s="7" t="s">
        <v>151</v>
      </c>
      <c r="D673" s="4" t="s">
        <v>63</v>
      </c>
      <c r="E673" t="s">
        <v>480</v>
      </c>
      <c r="F673" s="12">
        <f>IFERROR(VLOOKUP(B673,'INSUMOS  JULIO'!$B$6:$CJ$109,24,0),"")</f>
        <v>0</v>
      </c>
      <c r="G673" s="8">
        <f>IFERROR(VLOOKUP($B673,'INSUMOS  JULIO'!$B$6:$CJ$109,25,0),"")</f>
        <v>6633.9120000000003</v>
      </c>
      <c r="H673" s="19">
        <f t="shared" si="40"/>
        <v>0</v>
      </c>
      <c r="I673" s="1">
        <f t="shared" si="41"/>
        <v>0</v>
      </c>
      <c r="J673" s="1">
        <f t="shared" si="42"/>
        <v>0</v>
      </c>
      <c r="K673" s="19">
        <f t="shared" si="43"/>
        <v>0</v>
      </c>
    </row>
    <row r="674" spans="1:11" ht="15">
      <c r="A674" s="3">
        <v>1067</v>
      </c>
      <c r="B674" s="151">
        <v>100</v>
      </c>
      <c r="C674" s="7" t="s">
        <v>160</v>
      </c>
      <c r="D674" s="4" t="s">
        <v>64</v>
      </c>
      <c r="E674" t="s">
        <v>480</v>
      </c>
      <c r="F674" s="12" t="str">
        <f>IFERROR(VLOOKUP(B674,'INSUMOS  JULIO'!$B$6:$CJ$109,24,0),"")</f>
        <v>0</v>
      </c>
      <c r="G674" s="8">
        <f>IFERROR(VLOOKUP($B674,'INSUMOS  JULIO'!$B$6:$CJ$109,25,0),"")</f>
        <v>4364.8029999999999</v>
      </c>
      <c r="H674" s="19">
        <f t="shared" si="40"/>
        <v>0</v>
      </c>
      <c r="I674" s="1">
        <f t="shared" si="41"/>
        <v>0</v>
      </c>
      <c r="J674" s="1">
        <f t="shared" si="42"/>
        <v>0</v>
      </c>
      <c r="K674" s="19">
        <f t="shared" si="43"/>
        <v>0</v>
      </c>
    </row>
    <row r="675" spans="1:11" ht="15">
      <c r="A675" s="3">
        <v>1068</v>
      </c>
      <c r="B675" s="151">
        <v>102</v>
      </c>
      <c r="C675" s="7" t="s">
        <v>60</v>
      </c>
      <c r="D675" s="4" t="s">
        <v>65</v>
      </c>
      <c r="E675" t="s">
        <v>480</v>
      </c>
      <c r="F675" s="12" t="str">
        <f>IFERROR(VLOOKUP(B675,'INSUMOS  JULIO'!$B$6:$CJ$109,24,0),"")</f>
        <v>0</v>
      </c>
      <c r="G675" s="8">
        <f>IFERROR(VLOOKUP($B675,'INSUMOS  JULIO'!$B$6:$CJ$109,25,0),"")</f>
        <v>3811.9770000000003</v>
      </c>
      <c r="H675" s="19">
        <f t="shared" si="40"/>
        <v>0</v>
      </c>
      <c r="I675" s="1">
        <f t="shared" si="41"/>
        <v>0</v>
      </c>
      <c r="J675" s="1">
        <f t="shared" si="42"/>
        <v>0</v>
      </c>
      <c r="K675" s="19">
        <f t="shared" si="43"/>
        <v>0</v>
      </c>
    </row>
    <row r="676" spans="1:11" ht="15">
      <c r="A676" s="3">
        <v>1069</v>
      </c>
      <c r="B676" s="151">
        <v>103</v>
      </c>
      <c r="C676" s="7" t="s">
        <v>66</v>
      </c>
      <c r="D676" s="4" t="s">
        <v>67</v>
      </c>
      <c r="E676" t="s">
        <v>480</v>
      </c>
      <c r="F676" s="12" t="str">
        <f>IFERROR(VLOOKUP(B676,'INSUMOS  JULIO'!$B$6:$CJ$109,24,0),"")</f>
        <v>0</v>
      </c>
      <c r="G676" s="8">
        <f>IFERROR(VLOOKUP($B676,'INSUMOS  JULIO'!$B$6:$CJ$109,25,0),"")</f>
        <v>18022.547999999999</v>
      </c>
      <c r="H676" s="19">
        <f t="shared" si="40"/>
        <v>0</v>
      </c>
      <c r="I676" s="1">
        <f t="shared" si="41"/>
        <v>0</v>
      </c>
      <c r="J676" s="1">
        <f t="shared" si="42"/>
        <v>0</v>
      </c>
      <c r="K676" s="19">
        <f t="shared" si="43"/>
        <v>0</v>
      </c>
    </row>
    <row r="677" spans="1:11" ht="15">
      <c r="A677" s="3">
        <v>1070</v>
      </c>
      <c r="B677" s="151">
        <v>104</v>
      </c>
      <c r="C677" s="7" t="s">
        <v>66</v>
      </c>
      <c r="D677" s="4" t="s">
        <v>68</v>
      </c>
      <c r="E677" t="s">
        <v>480</v>
      </c>
      <c r="F677" s="12" t="str">
        <f>IFERROR(VLOOKUP(B677,'INSUMOS  JULIO'!$B$6:$CJ$109,24,0),"")</f>
        <v>0</v>
      </c>
      <c r="G677" s="8">
        <f>IFERROR(VLOOKUP($B677,'INSUMOS  JULIO'!$B$6:$CJ$109,25,0),"")</f>
        <v>18022.547999999999</v>
      </c>
      <c r="H677" s="19">
        <f t="shared" si="40"/>
        <v>0</v>
      </c>
      <c r="I677" s="1">
        <f t="shared" si="41"/>
        <v>0</v>
      </c>
      <c r="J677" s="1">
        <f t="shared" si="42"/>
        <v>0</v>
      </c>
      <c r="K677" s="19">
        <f t="shared" si="43"/>
        <v>0</v>
      </c>
    </row>
    <row r="678" spans="1:11" ht="15">
      <c r="A678" s="3">
        <v>1071</v>
      </c>
      <c r="B678" s="151">
        <v>105</v>
      </c>
      <c r="C678" s="7" t="s">
        <v>66</v>
      </c>
      <c r="D678" s="4" t="s">
        <v>69</v>
      </c>
      <c r="E678" t="s">
        <v>480</v>
      </c>
      <c r="F678" s="12" t="str">
        <f>IFERROR(VLOOKUP(B678,'INSUMOS  JULIO'!$B$6:$CJ$109,24,0),"")</f>
        <v>0</v>
      </c>
      <c r="G678" s="8">
        <f>IFERROR(VLOOKUP($B678,'INSUMOS  JULIO'!$B$6:$CJ$109,25,0),"")</f>
        <v>27641.3</v>
      </c>
      <c r="H678" s="19">
        <f t="shared" si="40"/>
        <v>0</v>
      </c>
      <c r="I678" s="1">
        <f t="shared" si="41"/>
        <v>0</v>
      </c>
      <c r="J678" s="1">
        <f t="shared" si="42"/>
        <v>0</v>
      </c>
      <c r="K678" s="19">
        <f t="shared" si="43"/>
        <v>0</v>
      </c>
    </row>
    <row r="679" spans="1:11" ht="15">
      <c r="A679" s="3">
        <v>1072</v>
      </c>
      <c r="B679" s="151">
        <v>106</v>
      </c>
      <c r="C679" s="7" t="s">
        <v>66</v>
      </c>
      <c r="D679" s="4" t="s">
        <v>70</v>
      </c>
      <c r="E679" t="s">
        <v>480</v>
      </c>
      <c r="F679" s="12" t="str">
        <f>IFERROR(VLOOKUP(B679,'INSUMOS  JULIO'!$B$6:$CJ$109,24,0),"")</f>
        <v>0</v>
      </c>
      <c r="G679" s="8">
        <f>IFERROR(VLOOKUP($B679,'INSUMOS  JULIO'!$B$6:$CJ$109,25,0),"")</f>
        <v>0</v>
      </c>
      <c r="H679" s="19">
        <f t="shared" si="40"/>
        <v>0</v>
      </c>
      <c r="I679" s="1">
        <f t="shared" si="41"/>
        <v>0</v>
      </c>
      <c r="J679" s="1">
        <f t="shared" si="42"/>
        <v>0</v>
      </c>
      <c r="K679" s="19">
        <f t="shared" si="43"/>
        <v>0</v>
      </c>
    </row>
    <row r="680" spans="1:11" ht="15">
      <c r="A680" s="3">
        <v>1073</v>
      </c>
      <c r="B680" s="151">
        <v>108</v>
      </c>
      <c r="C680" s="7" t="s">
        <v>66</v>
      </c>
      <c r="D680" s="4" t="s">
        <v>71</v>
      </c>
      <c r="E680" t="s">
        <v>480</v>
      </c>
      <c r="F680" s="12" t="str">
        <f>IFERROR(VLOOKUP(B680,'INSUMOS  JULIO'!$B$6:$CJ$109,24,0),"")</f>
        <v>0</v>
      </c>
      <c r="G680" s="8">
        <f>IFERROR(VLOOKUP($B680,'INSUMOS  JULIO'!$B$6:$CJ$109,25,0),"")</f>
        <v>38697.82</v>
      </c>
      <c r="H680" s="19">
        <f t="shared" si="40"/>
        <v>0</v>
      </c>
      <c r="I680" s="1">
        <f t="shared" si="41"/>
        <v>0</v>
      </c>
      <c r="J680" s="1">
        <f t="shared" si="42"/>
        <v>0</v>
      </c>
      <c r="K680" s="19">
        <f t="shared" si="43"/>
        <v>0</v>
      </c>
    </row>
    <row r="681" spans="1:11" ht="15">
      <c r="A681" s="3">
        <v>1074</v>
      </c>
      <c r="B681" s="151">
        <v>109</v>
      </c>
      <c r="C681" s="7" t="s">
        <v>66</v>
      </c>
      <c r="D681" s="4" t="s">
        <v>72</v>
      </c>
      <c r="E681" t="s">
        <v>480</v>
      </c>
      <c r="F681" s="12" t="str">
        <f>IFERROR(VLOOKUP(B681,'INSUMOS  JULIO'!$B$6:$CJ$109,24,0),"")</f>
        <v>0</v>
      </c>
      <c r="G681" s="8">
        <f>IFERROR(VLOOKUP($B681,'INSUMOS  JULIO'!$B$6:$CJ$109,25,0),"")</f>
        <v>49754.340000000004</v>
      </c>
      <c r="H681" s="19">
        <f t="shared" si="40"/>
        <v>0</v>
      </c>
      <c r="I681" s="1">
        <f t="shared" si="41"/>
        <v>0</v>
      </c>
      <c r="J681" s="1">
        <f t="shared" si="42"/>
        <v>0</v>
      </c>
      <c r="K681" s="19">
        <f t="shared" si="43"/>
        <v>0</v>
      </c>
    </row>
    <row r="682" spans="1:11" ht="15">
      <c r="A682" s="3">
        <v>1075</v>
      </c>
      <c r="B682" s="151">
        <v>110</v>
      </c>
      <c r="C682" s="7" t="s">
        <v>158</v>
      </c>
      <c r="D682" s="4" t="s">
        <v>73</v>
      </c>
      <c r="E682" t="s">
        <v>480</v>
      </c>
      <c r="F682" s="12">
        <f>IFERROR(VLOOKUP(B682,'INSUMOS  JULIO'!$B$6:$CJ$109,24,0),"")</f>
        <v>20</v>
      </c>
      <c r="G682" s="8">
        <f>IFERROR(VLOOKUP($B682,'INSUMOS  JULIO'!$B$6:$CJ$109,25,0),"")</f>
        <v>1442.4974999999999</v>
      </c>
      <c r="H682" s="19">
        <f t="shared" si="40"/>
        <v>28849.949999999997</v>
      </c>
      <c r="I682" s="1">
        <f t="shared" si="41"/>
        <v>2884.9949999999999</v>
      </c>
      <c r="J682" s="1">
        <f t="shared" si="42"/>
        <v>548.14904999999999</v>
      </c>
      <c r="K682" s="19">
        <f t="shared" si="43"/>
        <v>32283.094049999996</v>
      </c>
    </row>
    <row r="683" spans="1:11" ht="15">
      <c r="A683" s="3">
        <v>1076</v>
      </c>
      <c r="B683" s="151">
        <v>118</v>
      </c>
      <c r="C683" s="7" t="s">
        <v>158</v>
      </c>
      <c r="D683" s="4" t="s">
        <v>74</v>
      </c>
      <c r="E683" t="s">
        <v>480</v>
      </c>
      <c r="F683" s="12">
        <f>IFERROR(VLOOKUP(B683,'INSUMOS  JULIO'!$B$6:$CJ$109,24,0),"")</f>
        <v>0</v>
      </c>
      <c r="G683" s="8">
        <f>IFERROR(VLOOKUP($B683,'INSUMOS  JULIO'!$B$6:$CJ$109,25,0),"")</f>
        <v>2455.136</v>
      </c>
      <c r="H683" s="19">
        <f t="shared" si="40"/>
        <v>0</v>
      </c>
      <c r="I683" s="1">
        <f t="shared" si="41"/>
        <v>0</v>
      </c>
      <c r="J683" s="1">
        <f t="shared" si="42"/>
        <v>0</v>
      </c>
      <c r="K683" s="19">
        <f t="shared" si="43"/>
        <v>0</v>
      </c>
    </row>
    <row r="684" spans="1:11" ht="15">
      <c r="A684" s="3">
        <v>1077</v>
      </c>
      <c r="B684" s="151">
        <v>119</v>
      </c>
      <c r="C684" s="7" t="s">
        <v>158</v>
      </c>
      <c r="D684" s="4" t="s">
        <v>75</v>
      </c>
      <c r="E684" t="s">
        <v>480</v>
      </c>
      <c r="F684" s="12" t="str">
        <f>IFERROR(VLOOKUP(B684,'INSUMOS  JULIO'!$B$6:$CJ$109,24,0),"")</f>
        <v>0</v>
      </c>
      <c r="G684" s="8">
        <f>IFERROR(VLOOKUP($B684,'INSUMOS  JULIO'!$B$6:$CJ$109,25,0),"")</f>
        <v>2821.9350000000004</v>
      </c>
      <c r="H684" s="19">
        <f t="shared" si="40"/>
        <v>0</v>
      </c>
      <c r="I684" s="1">
        <f t="shared" si="41"/>
        <v>0</v>
      </c>
      <c r="J684" s="1">
        <f t="shared" si="42"/>
        <v>0</v>
      </c>
      <c r="K684" s="19">
        <f t="shared" si="43"/>
        <v>0</v>
      </c>
    </row>
    <row r="685" spans="1:11" ht="15">
      <c r="A685" s="3">
        <v>1078</v>
      </c>
      <c r="B685" s="151">
        <v>120</v>
      </c>
      <c r="C685" s="7" t="s">
        <v>158</v>
      </c>
      <c r="D685" s="4" t="s">
        <v>76</v>
      </c>
      <c r="E685" t="s">
        <v>480</v>
      </c>
      <c r="F685" s="12" t="str">
        <f>IFERROR(VLOOKUP(B685,'INSUMOS  JULIO'!$B$6:$CJ$109,24,0),"")</f>
        <v>0</v>
      </c>
      <c r="G685" s="8">
        <f>IFERROR(VLOOKUP($B685,'INSUMOS  JULIO'!$B$6:$CJ$109,25,0),"")</f>
        <v>2821.9350000000004</v>
      </c>
      <c r="H685" s="19">
        <f t="shared" si="40"/>
        <v>0</v>
      </c>
      <c r="I685" s="1">
        <f t="shared" si="41"/>
        <v>0</v>
      </c>
      <c r="J685" s="1">
        <f t="shared" si="42"/>
        <v>0</v>
      </c>
      <c r="K685" s="19">
        <f t="shared" si="43"/>
        <v>0</v>
      </c>
    </row>
    <row r="686" spans="1:11" ht="15">
      <c r="A686" s="3">
        <v>1079</v>
      </c>
      <c r="B686" s="151">
        <v>122</v>
      </c>
      <c r="C686" s="7" t="s">
        <v>158</v>
      </c>
      <c r="D686" s="4" t="s">
        <v>77</v>
      </c>
      <c r="E686" t="s">
        <v>480</v>
      </c>
      <c r="F686" s="12" t="str">
        <f>IFERROR(VLOOKUP(B686,'INSUMOS  JULIO'!$B$6:$CJ$109,24,0),"")</f>
        <v>0</v>
      </c>
      <c r="G686" s="8">
        <f>IFERROR(VLOOKUP($B686,'INSUMOS  JULIO'!$B$6:$CJ$109,25,0),"")</f>
        <v>5223.4699999999993</v>
      </c>
      <c r="H686" s="19">
        <f t="shared" si="40"/>
        <v>0</v>
      </c>
      <c r="I686" s="1">
        <f t="shared" si="41"/>
        <v>0</v>
      </c>
      <c r="J686" s="1">
        <f t="shared" si="42"/>
        <v>0</v>
      </c>
      <c r="K686" s="19">
        <f t="shared" si="43"/>
        <v>0</v>
      </c>
    </row>
    <row r="687" spans="1:11" ht="15">
      <c r="A687" s="3">
        <v>1080</v>
      </c>
      <c r="B687" s="151">
        <v>123</v>
      </c>
      <c r="C687" s="7" t="s">
        <v>158</v>
      </c>
      <c r="D687" s="4" t="s">
        <v>78</v>
      </c>
      <c r="E687" t="s">
        <v>480</v>
      </c>
      <c r="F687" s="12" t="str">
        <f>IFERROR(VLOOKUP(B687,'INSUMOS  JULIO'!$B$6:$CJ$109,24,0),"")</f>
        <v>0</v>
      </c>
      <c r="G687" s="8">
        <f>IFERROR(VLOOKUP($B687,'INSUMOS  JULIO'!$B$6:$CJ$109,25,0),"")</f>
        <v>5765.7860000000001</v>
      </c>
      <c r="H687" s="19">
        <f t="shared" si="40"/>
        <v>0</v>
      </c>
      <c r="I687" s="1">
        <f t="shared" si="41"/>
        <v>0</v>
      </c>
      <c r="J687" s="1">
        <f t="shared" si="42"/>
        <v>0</v>
      </c>
      <c r="K687" s="19">
        <f t="shared" si="43"/>
        <v>0</v>
      </c>
    </row>
    <row r="688" spans="1:11" ht="15">
      <c r="A688" s="3">
        <v>1081</v>
      </c>
      <c r="B688" s="151">
        <v>124</v>
      </c>
      <c r="C688" s="7" t="s">
        <v>158</v>
      </c>
      <c r="D688" s="4" t="s">
        <v>79</v>
      </c>
      <c r="E688" t="s">
        <v>480</v>
      </c>
      <c r="F688" s="12" t="str">
        <f>IFERROR(VLOOKUP(B688,'INSUMOS  JULIO'!$B$6:$CJ$109,24,0),"")</f>
        <v>0</v>
      </c>
      <c r="G688" s="8">
        <f>IFERROR(VLOOKUP($B688,'INSUMOS  JULIO'!$B$6:$CJ$109,25,0),"")</f>
        <v>5765.7860000000001</v>
      </c>
      <c r="H688" s="19">
        <f t="shared" si="40"/>
        <v>0</v>
      </c>
      <c r="I688" s="1">
        <f t="shared" si="41"/>
        <v>0</v>
      </c>
      <c r="J688" s="1">
        <f t="shared" si="42"/>
        <v>0</v>
      </c>
      <c r="K688" s="19">
        <f t="shared" si="43"/>
        <v>0</v>
      </c>
    </row>
    <row r="689" spans="1:11" ht="15">
      <c r="A689" s="3">
        <v>1082</v>
      </c>
      <c r="B689" s="151">
        <v>126</v>
      </c>
      <c r="C689" s="7" t="s">
        <v>9</v>
      </c>
      <c r="D689" s="4" t="s">
        <v>80</v>
      </c>
      <c r="E689" t="s">
        <v>480</v>
      </c>
      <c r="F689" s="12" t="str">
        <f>IFERROR(VLOOKUP(B689,'INSUMOS  JULIO'!$B$6:$CJ$109,24,0),"")</f>
        <v>0</v>
      </c>
      <c r="G689" s="8">
        <f>IFERROR(VLOOKUP($B689,'INSUMOS  JULIO'!$B$6:$CJ$109,25,0),"")</f>
        <v>3316.9560000000001</v>
      </c>
      <c r="H689" s="19">
        <f t="shared" si="40"/>
        <v>0</v>
      </c>
      <c r="I689" s="1">
        <f t="shared" si="41"/>
        <v>0</v>
      </c>
      <c r="J689" s="1">
        <f t="shared" si="42"/>
        <v>0</v>
      </c>
      <c r="K689" s="19">
        <f t="shared" si="43"/>
        <v>0</v>
      </c>
    </row>
    <row r="690" spans="1:11" ht="15">
      <c r="A690" s="3">
        <v>1083</v>
      </c>
      <c r="B690" s="151">
        <v>127</v>
      </c>
      <c r="C690" s="7" t="s">
        <v>156</v>
      </c>
      <c r="D690" s="4" t="s">
        <v>81</v>
      </c>
      <c r="E690" t="s">
        <v>480</v>
      </c>
      <c r="F690" s="12" t="str">
        <f>IFERROR(VLOOKUP(B690,'INSUMOS  JULIO'!$B$6:$CJ$109,24,0),"")</f>
        <v>0</v>
      </c>
      <c r="G690" s="8">
        <f>IFERROR(VLOOKUP($B690,'INSUMOS  JULIO'!$B$6:$CJ$109,25,0),"")</f>
        <v>3316.9560000000001</v>
      </c>
      <c r="H690" s="19">
        <f t="shared" si="40"/>
        <v>0</v>
      </c>
      <c r="I690" s="1">
        <f t="shared" si="41"/>
        <v>0</v>
      </c>
      <c r="J690" s="1">
        <f t="shared" si="42"/>
        <v>0</v>
      </c>
      <c r="K690" s="19">
        <f t="shared" si="43"/>
        <v>0</v>
      </c>
    </row>
    <row r="691" spans="1:11" ht="15">
      <c r="A691" s="3">
        <v>1084</v>
      </c>
      <c r="B691" s="151">
        <v>129</v>
      </c>
      <c r="C691" s="7" t="s">
        <v>157</v>
      </c>
      <c r="D691" s="4" t="s">
        <v>82</v>
      </c>
      <c r="E691" t="s">
        <v>480</v>
      </c>
      <c r="F691" s="12" t="str">
        <f>IFERROR(VLOOKUP(B691,'INSUMOS  JULIO'!$B$6:$CJ$109,24,0),"")</f>
        <v>0</v>
      </c>
      <c r="G691" s="8">
        <f>IFERROR(VLOOKUP($B691,'INSUMOS  JULIO'!$B$6:$CJ$109,25,0),"")</f>
        <v>3787.8040000000001</v>
      </c>
      <c r="H691" s="19">
        <f t="shared" si="40"/>
        <v>0</v>
      </c>
      <c r="I691" s="1">
        <f t="shared" si="41"/>
        <v>0</v>
      </c>
      <c r="J691" s="1">
        <f t="shared" si="42"/>
        <v>0</v>
      </c>
      <c r="K691" s="19">
        <f t="shared" si="43"/>
        <v>0</v>
      </c>
    </row>
    <row r="692" spans="1:11" ht="15">
      <c r="A692" s="3">
        <v>1085</v>
      </c>
      <c r="B692" s="151">
        <v>131</v>
      </c>
      <c r="C692" s="7" t="s">
        <v>13</v>
      </c>
      <c r="D692" s="4" t="s">
        <v>83</v>
      </c>
      <c r="E692" t="s">
        <v>480</v>
      </c>
      <c r="F692" s="12" t="str">
        <f>IFERROR(VLOOKUP(B692,'INSUMOS  JULIO'!$B$6:$CJ$109,24,0),"")</f>
        <v>0</v>
      </c>
      <c r="G692" s="8">
        <f>IFERROR(VLOOKUP($B692,'INSUMOS  JULIO'!$B$6:$CJ$109,25,0),"")</f>
        <v>0</v>
      </c>
      <c r="H692" s="19">
        <f t="shared" si="40"/>
        <v>0</v>
      </c>
      <c r="I692" s="1">
        <f t="shared" si="41"/>
        <v>0</v>
      </c>
      <c r="J692" s="1">
        <f t="shared" si="42"/>
        <v>0</v>
      </c>
      <c r="K692" s="19">
        <f t="shared" si="43"/>
        <v>0</v>
      </c>
    </row>
    <row r="693" spans="1:11" ht="15">
      <c r="A693" s="3">
        <v>1086</v>
      </c>
      <c r="B693" s="151">
        <v>132</v>
      </c>
      <c r="C693" s="7" t="s">
        <v>13</v>
      </c>
      <c r="D693" s="4" t="s">
        <v>84</v>
      </c>
      <c r="E693" t="s">
        <v>480</v>
      </c>
      <c r="F693" s="12" t="str">
        <f>IFERROR(VLOOKUP(B693,'INSUMOS  JULIO'!$B$6:$CJ$109,24,0),"")</f>
        <v>0</v>
      </c>
      <c r="G693" s="8">
        <f>IFERROR(VLOOKUP($B693,'INSUMOS  JULIO'!$B$6:$CJ$109,25,0),"")</f>
        <v>0</v>
      </c>
      <c r="H693" s="19">
        <f t="shared" si="40"/>
        <v>0</v>
      </c>
      <c r="I693" s="1">
        <f t="shared" si="41"/>
        <v>0</v>
      </c>
      <c r="J693" s="1">
        <f t="shared" si="42"/>
        <v>0</v>
      </c>
      <c r="K693" s="19">
        <f t="shared" si="43"/>
        <v>0</v>
      </c>
    </row>
    <row r="694" spans="1:11" ht="15">
      <c r="A694" s="3">
        <v>1087</v>
      </c>
      <c r="B694" s="151">
        <v>134</v>
      </c>
      <c r="C694" s="7" t="s">
        <v>16</v>
      </c>
      <c r="D694" s="4" t="s">
        <v>85</v>
      </c>
      <c r="E694" t="s">
        <v>480</v>
      </c>
      <c r="F694" s="12" t="str">
        <f>IFERROR(VLOOKUP(B694,'INSUMOS  JULIO'!$B$6:$CJ$109,24,0),"")</f>
        <v>0</v>
      </c>
      <c r="G694" s="8">
        <f>IFERROR(VLOOKUP($B694,'INSUMOS  JULIO'!$B$6:$CJ$109,25,0),"")</f>
        <v>0</v>
      </c>
      <c r="H694" s="19">
        <f t="shared" si="40"/>
        <v>0</v>
      </c>
      <c r="I694" s="1">
        <f t="shared" si="41"/>
        <v>0</v>
      </c>
      <c r="J694" s="1">
        <f t="shared" si="42"/>
        <v>0</v>
      </c>
      <c r="K694" s="19">
        <f t="shared" si="43"/>
        <v>0</v>
      </c>
    </row>
    <row r="695" spans="1:11" ht="15">
      <c r="A695" s="3">
        <v>1088</v>
      </c>
      <c r="B695" s="151">
        <v>135</v>
      </c>
      <c r="C695" s="7" t="s">
        <v>18</v>
      </c>
      <c r="D695" s="4" t="s">
        <v>86</v>
      </c>
      <c r="E695" t="s">
        <v>480</v>
      </c>
      <c r="F695" s="12">
        <f>IFERROR(VLOOKUP(B695,'INSUMOS  JULIO'!$B$6:$CJ$109,24,0),"")</f>
        <v>9</v>
      </c>
      <c r="G695" s="8">
        <f>IFERROR(VLOOKUP($B695,'INSUMOS  JULIO'!$B$6:$CJ$109,25,0),"")</f>
        <v>17215.38</v>
      </c>
      <c r="H695" s="19">
        <f t="shared" si="40"/>
        <v>154938.42000000001</v>
      </c>
      <c r="I695" s="1">
        <f t="shared" si="41"/>
        <v>15493.842000000002</v>
      </c>
      <c r="J695" s="1">
        <f t="shared" si="42"/>
        <v>2943.8299800000004</v>
      </c>
      <c r="K695" s="19">
        <f t="shared" si="43"/>
        <v>173376.09198000003</v>
      </c>
    </row>
    <row r="696" spans="1:11" ht="15">
      <c r="A696" s="3">
        <v>1089</v>
      </c>
      <c r="B696" s="151">
        <v>137</v>
      </c>
      <c r="C696" s="7" t="s">
        <v>20</v>
      </c>
      <c r="D696" s="4" t="s">
        <v>88</v>
      </c>
      <c r="E696" t="s">
        <v>480</v>
      </c>
      <c r="F696" s="12" t="str">
        <f>IFERROR(VLOOKUP(B696,'INSUMOS  JULIO'!$B$6:$CJ$109,24,0),"")</f>
        <v>0</v>
      </c>
      <c r="G696" s="8">
        <f>IFERROR(VLOOKUP($B696,'INSUMOS  JULIO'!$B$6:$CJ$109,25,0),"")</f>
        <v>1245.4349999999999</v>
      </c>
      <c r="H696" s="19">
        <f t="shared" si="40"/>
        <v>0</v>
      </c>
      <c r="I696" s="1">
        <f t="shared" si="41"/>
        <v>0</v>
      </c>
      <c r="J696" s="1">
        <f t="shared" si="42"/>
        <v>0</v>
      </c>
      <c r="K696" s="19">
        <f t="shared" si="43"/>
        <v>0</v>
      </c>
    </row>
    <row r="697" spans="1:11" ht="15">
      <c r="A697" s="3">
        <v>1090</v>
      </c>
      <c r="B697" s="151">
        <v>139</v>
      </c>
      <c r="C697" s="7" t="s">
        <v>22</v>
      </c>
      <c r="D697" s="4" t="s">
        <v>89</v>
      </c>
      <c r="E697" t="s">
        <v>480</v>
      </c>
      <c r="F697" s="12">
        <f>IFERROR(VLOOKUP(B697,'INSUMOS  JULIO'!$B$6:$CJ$109,24,0),"")</f>
        <v>0</v>
      </c>
      <c r="G697" s="8">
        <f>IFERROR(VLOOKUP($B697,'INSUMOS  JULIO'!$B$6:$CJ$109,25,0),"")</f>
        <v>25429.996000000003</v>
      </c>
      <c r="H697" s="19">
        <f t="shared" si="40"/>
        <v>0</v>
      </c>
      <c r="I697" s="1">
        <f t="shared" si="41"/>
        <v>0</v>
      </c>
      <c r="J697" s="1">
        <f t="shared" si="42"/>
        <v>0</v>
      </c>
      <c r="K697" s="19">
        <f t="shared" si="43"/>
        <v>0</v>
      </c>
    </row>
    <row r="698" spans="1:11" ht="15">
      <c r="A698" s="3">
        <v>1091</v>
      </c>
      <c r="B698" s="151">
        <v>151</v>
      </c>
      <c r="C698" s="7" t="s">
        <v>18</v>
      </c>
      <c r="D698" s="4" t="s">
        <v>91</v>
      </c>
      <c r="E698" t="s">
        <v>480</v>
      </c>
      <c r="F698" s="12">
        <f>IFERROR(VLOOKUP(B698,'INSUMOS  JULIO'!$B$6:$CJ$109,24,0),"")</f>
        <v>50</v>
      </c>
      <c r="G698" s="8">
        <f>IFERROR(VLOOKUP($B698,'INSUMOS  JULIO'!$B$6:$CJ$109,25,0),"")</f>
        <v>4422.6080000000002</v>
      </c>
      <c r="H698" s="19">
        <f t="shared" si="40"/>
        <v>221130.40000000002</v>
      </c>
      <c r="I698" s="1">
        <f t="shared" si="41"/>
        <v>22113.040000000005</v>
      </c>
      <c r="J698" s="1">
        <f t="shared" si="42"/>
        <v>4201.4776000000011</v>
      </c>
      <c r="K698" s="19">
        <f t="shared" si="43"/>
        <v>247444.91760000004</v>
      </c>
    </row>
    <row r="699" spans="1:11" ht="15">
      <c r="A699" s="3">
        <v>1092</v>
      </c>
      <c r="B699" s="151">
        <v>152</v>
      </c>
      <c r="C699" s="7" t="s">
        <v>155</v>
      </c>
      <c r="D699" s="4" t="s">
        <v>92</v>
      </c>
      <c r="E699" t="s">
        <v>480</v>
      </c>
      <c r="F699" s="12" t="str">
        <f>IFERROR(VLOOKUP(B699,'INSUMOS  JULIO'!$B$6:$CJ$109,24,0),"")</f>
        <v>0</v>
      </c>
      <c r="G699" s="8">
        <f>IFERROR(VLOOKUP($B699,'INSUMOS  JULIO'!$B$6:$CJ$109,25,0),"")</f>
        <v>0</v>
      </c>
      <c r="H699" s="19">
        <f t="shared" si="40"/>
        <v>0</v>
      </c>
      <c r="I699" s="1">
        <f t="shared" si="41"/>
        <v>0</v>
      </c>
      <c r="J699" s="1">
        <f t="shared" si="42"/>
        <v>0</v>
      </c>
      <c r="K699" s="19">
        <f t="shared" si="43"/>
        <v>0</v>
      </c>
    </row>
    <row r="700" spans="1:11" ht="15">
      <c r="A700" s="3">
        <v>1093</v>
      </c>
      <c r="B700" s="151">
        <v>154</v>
      </c>
      <c r="C700" s="7" t="s">
        <v>16</v>
      </c>
      <c r="D700" s="4" t="s">
        <v>94</v>
      </c>
      <c r="E700" t="s">
        <v>480</v>
      </c>
      <c r="F700" s="12" t="str">
        <f>IFERROR(VLOOKUP(B700,'INSUMOS  JULIO'!$B$6:$CJ$109,24,0),"")</f>
        <v>0</v>
      </c>
      <c r="G700" s="8">
        <f>IFERROR(VLOOKUP($B700,'INSUMOS  JULIO'!$B$6:$CJ$109,25,0),"")</f>
        <v>0</v>
      </c>
      <c r="H700" s="19">
        <f t="shared" si="40"/>
        <v>0</v>
      </c>
      <c r="I700" s="1">
        <f t="shared" si="41"/>
        <v>0</v>
      </c>
      <c r="J700" s="1">
        <f t="shared" si="42"/>
        <v>0</v>
      </c>
      <c r="K700" s="19">
        <f t="shared" si="43"/>
        <v>0</v>
      </c>
    </row>
    <row r="701" spans="1:11" ht="15">
      <c r="A701" s="3">
        <v>1094</v>
      </c>
      <c r="B701" s="151">
        <v>155</v>
      </c>
      <c r="C701" s="7" t="s">
        <v>27</v>
      </c>
      <c r="D701" s="4" t="s">
        <v>95</v>
      </c>
      <c r="E701" t="s">
        <v>480</v>
      </c>
      <c r="F701" s="12">
        <f>IFERROR(VLOOKUP(B701,'INSUMOS  JULIO'!$B$6:$CJ$109,24,0),"")</f>
        <v>0</v>
      </c>
      <c r="G701" s="8">
        <f>IFERROR(VLOOKUP($B701,'INSUMOS  JULIO'!$B$6:$CJ$109,25,0),"")</f>
        <v>3703.7239999999997</v>
      </c>
      <c r="H701" s="19">
        <f t="shared" si="40"/>
        <v>0</v>
      </c>
      <c r="I701" s="1">
        <f t="shared" si="41"/>
        <v>0</v>
      </c>
      <c r="J701" s="1">
        <f t="shared" si="42"/>
        <v>0</v>
      </c>
      <c r="K701" s="19">
        <f t="shared" si="43"/>
        <v>0</v>
      </c>
    </row>
    <row r="702" spans="1:11" ht="15">
      <c r="A702" s="3">
        <v>1095</v>
      </c>
      <c r="B702" s="151">
        <v>156</v>
      </c>
      <c r="C702" s="7" t="s">
        <v>13</v>
      </c>
      <c r="D702" s="4" t="s">
        <v>96</v>
      </c>
      <c r="E702" t="s">
        <v>480</v>
      </c>
      <c r="F702" s="12" t="str">
        <f>IFERROR(VLOOKUP(B702,'INSUMOS  JULIO'!$B$6:$CJ$109,24,0),"")</f>
        <v>0</v>
      </c>
      <c r="G702" s="8">
        <f>IFERROR(VLOOKUP($B702,'INSUMOS  JULIO'!$B$6:$CJ$109,25,0),"")</f>
        <v>4422.6080000000002</v>
      </c>
      <c r="H702" s="19">
        <f t="shared" si="40"/>
        <v>0</v>
      </c>
      <c r="I702" s="1">
        <f t="shared" si="41"/>
        <v>0</v>
      </c>
      <c r="J702" s="1">
        <f t="shared" si="42"/>
        <v>0</v>
      </c>
      <c r="K702" s="19">
        <f t="shared" si="43"/>
        <v>0</v>
      </c>
    </row>
    <row r="703" spans="1:11" ht="15">
      <c r="A703" s="3">
        <v>1096</v>
      </c>
      <c r="B703" s="151">
        <v>157</v>
      </c>
      <c r="C703" s="7" t="s">
        <v>13</v>
      </c>
      <c r="D703" s="4" t="s">
        <v>97</v>
      </c>
      <c r="E703" t="s">
        <v>480</v>
      </c>
      <c r="F703" s="12">
        <f>IFERROR(VLOOKUP(B703,'INSUMOS  JULIO'!$B$6:$CJ$109,24,0),"")</f>
        <v>0</v>
      </c>
      <c r="G703" s="8">
        <f>IFERROR(VLOOKUP($B703,'INSUMOS  JULIO'!$B$6:$CJ$109,25,0),"")</f>
        <v>5970.7309999999998</v>
      </c>
      <c r="H703" s="19">
        <f t="shared" si="40"/>
        <v>0</v>
      </c>
      <c r="I703" s="1">
        <f t="shared" si="41"/>
        <v>0</v>
      </c>
      <c r="J703" s="1">
        <f t="shared" si="42"/>
        <v>0</v>
      </c>
      <c r="K703" s="19">
        <f t="shared" si="43"/>
        <v>0</v>
      </c>
    </row>
    <row r="704" spans="1:11" ht="15">
      <c r="A704" s="3">
        <v>1097</v>
      </c>
      <c r="B704" s="151">
        <v>159</v>
      </c>
      <c r="C704" s="7" t="s">
        <v>13</v>
      </c>
      <c r="D704" s="4" t="s">
        <v>98</v>
      </c>
      <c r="E704" t="s">
        <v>480</v>
      </c>
      <c r="F704" s="12" t="str">
        <f>IFERROR(VLOOKUP(B704,'INSUMOS  JULIO'!$B$6:$CJ$109,24,0),"")</f>
        <v>0</v>
      </c>
      <c r="G704" s="8">
        <f>IFERROR(VLOOKUP($B704,'INSUMOS  JULIO'!$B$6:$CJ$109,25,0),"")</f>
        <v>0</v>
      </c>
      <c r="H704" s="19">
        <f t="shared" si="40"/>
        <v>0</v>
      </c>
      <c r="I704" s="1">
        <f t="shared" si="41"/>
        <v>0</v>
      </c>
      <c r="J704" s="1">
        <f t="shared" si="42"/>
        <v>0</v>
      </c>
      <c r="K704" s="19">
        <f t="shared" si="43"/>
        <v>0</v>
      </c>
    </row>
    <row r="705" spans="1:11" ht="15">
      <c r="A705" s="3">
        <v>1098</v>
      </c>
      <c r="B705" s="151">
        <v>160</v>
      </c>
      <c r="C705" s="7" t="s">
        <v>13</v>
      </c>
      <c r="D705" s="4" t="s">
        <v>99</v>
      </c>
      <c r="E705" t="s">
        <v>480</v>
      </c>
      <c r="F705" s="12" t="str">
        <f>IFERROR(VLOOKUP(B705,'INSUMOS  JULIO'!$B$6:$CJ$109,24,0),"")</f>
        <v>0</v>
      </c>
      <c r="G705" s="8">
        <f>IFERROR(VLOOKUP($B705,'INSUMOS  JULIO'!$B$6:$CJ$109,25,0),"")</f>
        <v>2276.4660000000003</v>
      </c>
      <c r="H705" s="19">
        <f t="shared" si="40"/>
        <v>0</v>
      </c>
      <c r="I705" s="1">
        <f t="shared" si="41"/>
        <v>0</v>
      </c>
      <c r="J705" s="1">
        <f t="shared" si="42"/>
        <v>0</v>
      </c>
      <c r="K705" s="19">
        <f t="shared" si="43"/>
        <v>0</v>
      </c>
    </row>
    <row r="706" spans="1:11" ht="15">
      <c r="A706" s="3">
        <v>1099</v>
      </c>
      <c r="B706" s="151">
        <v>161</v>
      </c>
      <c r="C706" s="7" t="s">
        <v>33</v>
      </c>
      <c r="D706" s="4" t="s">
        <v>100</v>
      </c>
      <c r="E706" t="s">
        <v>480</v>
      </c>
      <c r="F706" s="12" t="str">
        <f>IFERROR(VLOOKUP(B706,'INSUMOS  JULIO'!$B$6:$CJ$109,24,0),"")</f>
        <v>0</v>
      </c>
      <c r="G706" s="8">
        <f>IFERROR(VLOOKUP($B706,'INSUMOS  JULIO'!$B$6:$CJ$109,25,0),"")</f>
        <v>2236.5280000000002</v>
      </c>
      <c r="H706" s="19">
        <f t="shared" si="40"/>
        <v>0</v>
      </c>
      <c r="I706" s="1">
        <f t="shared" si="41"/>
        <v>0</v>
      </c>
      <c r="J706" s="1">
        <f t="shared" si="42"/>
        <v>0</v>
      </c>
      <c r="K706" s="19">
        <f t="shared" si="43"/>
        <v>0</v>
      </c>
    </row>
    <row r="707" spans="1:11" ht="15">
      <c r="A707" s="3">
        <v>1100</v>
      </c>
      <c r="B707" s="151">
        <v>162</v>
      </c>
      <c r="C707" s="7" t="s">
        <v>16</v>
      </c>
      <c r="D707" s="4" t="s">
        <v>101</v>
      </c>
      <c r="E707" t="s">
        <v>480</v>
      </c>
      <c r="F707" s="12">
        <f>IFERROR(VLOOKUP(B707,'INSUMOS  JULIO'!$B$6:$CJ$109,24,0),"")</f>
        <v>0</v>
      </c>
      <c r="G707" s="8">
        <f>IFERROR(VLOOKUP($B707,'INSUMOS  JULIO'!$B$6:$CJ$109,25,0),"")</f>
        <v>2684.2539999999999</v>
      </c>
      <c r="H707" s="19">
        <f t="shared" si="40"/>
        <v>0</v>
      </c>
      <c r="I707" s="1">
        <f t="shared" si="41"/>
        <v>0</v>
      </c>
      <c r="J707" s="1">
        <f t="shared" si="42"/>
        <v>0</v>
      </c>
      <c r="K707" s="19">
        <f t="shared" si="43"/>
        <v>0</v>
      </c>
    </row>
    <row r="708" spans="1:11" ht="15">
      <c r="A708" s="3">
        <v>1101</v>
      </c>
      <c r="B708" s="151">
        <v>164</v>
      </c>
      <c r="C708" s="7" t="s">
        <v>36</v>
      </c>
      <c r="D708" s="4" t="s">
        <v>102</v>
      </c>
      <c r="E708" t="s">
        <v>480</v>
      </c>
      <c r="F708" s="12" t="str">
        <f>IFERROR(VLOOKUP(B708,'INSUMOS  JULIO'!$B$6:$CJ$109,24,0),"")</f>
        <v>0</v>
      </c>
      <c r="G708" s="8">
        <f>IFERROR(VLOOKUP($B708,'INSUMOS  JULIO'!$B$6:$CJ$109,25,0),"")</f>
        <v>1658.4780000000001</v>
      </c>
      <c r="H708" s="19">
        <f t="shared" si="40"/>
        <v>0</v>
      </c>
      <c r="I708" s="1">
        <f t="shared" si="41"/>
        <v>0</v>
      </c>
      <c r="J708" s="1">
        <f t="shared" si="42"/>
        <v>0</v>
      </c>
      <c r="K708" s="19">
        <f t="shared" si="43"/>
        <v>0</v>
      </c>
    </row>
    <row r="709" spans="1:11" ht="15">
      <c r="A709" s="3">
        <v>1102</v>
      </c>
      <c r="B709" s="151">
        <v>169</v>
      </c>
      <c r="C709" s="7" t="s">
        <v>36</v>
      </c>
      <c r="D709" s="4" t="s">
        <v>104</v>
      </c>
      <c r="E709" t="s">
        <v>480</v>
      </c>
      <c r="F709" s="12" t="str">
        <f>IFERROR(VLOOKUP(B709,'INSUMOS  JULIO'!$B$6:$CJ$109,24,0),"")</f>
        <v>0</v>
      </c>
      <c r="G709" s="8">
        <f>IFERROR(VLOOKUP($B709,'INSUMOS  JULIO'!$B$6:$CJ$109,25,0),"")</f>
        <v>85897.178999999989</v>
      </c>
      <c r="H709" s="19">
        <f t="shared" si="40"/>
        <v>0</v>
      </c>
      <c r="I709" s="1">
        <f t="shared" si="41"/>
        <v>0</v>
      </c>
      <c r="J709" s="1">
        <f t="shared" si="42"/>
        <v>0</v>
      </c>
      <c r="K709" s="19">
        <f t="shared" si="43"/>
        <v>0</v>
      </c>
    </row>
    <row r="710" spans="1:11" ht="15">
      <c r="A710" s="3">
        <v>1103</v>
      </c>
      <c r="B710" s="151">
        <v>170</v>
      </c>
      <c r="C710" s="7" t="s">
        <v>39</v>
      </c>
      <c r="D710" s="4" t="s">
        <v>106</v>
      </c>
      <c r="E710" t="s">
        <v>480</v>
      </c>
      <c r="F710" s="12">
        <f>IFERROR(VLOOKUP(B710,'INSUMOS  JULIO'!$B$6:$CJ$109,24,0),"")</f>
        <v>0</v>
      </c>
      <c r="G710" s="8">
        <f>IFERROR(VLOOKUP($B710,'INSUMOS  JULIO'!$B$6:$CJ$109,25,0),"")</f>
        <v>19405.664000000001</v>
      </c>
      <c r="H710" s="19">
        <f t="shared" ref="H710:H773" si="44">+F710*G710</f>
        <v>0</v>
      </c>
      <c r="I710" s="1">
        <f t="shared" ref="I710:I773" si="45">+H710*10%</f>
        <v>0</v>
      </c>
      <c r="J710" s="1">
        <f t="shared" ref="J710:J773" si="46">+I710*19%</f>
        <v>0</v>
      </c>
      <c r="K710" s="19">
        <f t="shared" ref="K710:K773" si="47">SUM(H710:J710)</f>
        <v>0</v>
      </c>
    </row>
    <row r="711" spans="1:11" ht="15">
      <c r="A711" s="3">
        <v>1104</v>
      </c>
      <c r="B711" s="151">
        <v>173</v>
      </c>
      <c r="C711" s="7" t="s">
        <v>39</v>
      </c>
      <c r="D711" s="4" t="s">
        <v>107</v>
      </c>
      <c r="E711" t="s">
        <v>480</v>
      </c>
      <c r="F711" s="12" t="str">
        <f>IFERROR(VLOOKUP(B711,'INSUMOS  JULIO'!$B$6:$CJ$109,24,0),"")</f>
        <v>0</v>
      </c>
      <c r="G711" s="8">
        <f>IFERROR(VLOOKUP($B711,'INSUMOS  JULIO'!$B$6:$CJ$109,25,0),"")</f>
        <v>0</v>
      </c>
      <c r="H711" s="19">
        <f t="shared" si="44"/>
        <v>0</v>
      </c>
      <c r="I711" s="1">
        <f t="shared" si="45"/>
        <v>0</v>
      </c>
      <c r="J711" s="1">
        <f t="shared" si="46"/>
        <v>0</v>
      </c>
      <c r="K711" s="19">
        <f t="shared" si="47"/>
        <v>0</v>
      </c>
    </row>
    <row r="712" spans="1:11" ht="15">
      <c r="A712" s="3">
        <v>1105</v>
      </c>
      <c r="B712" s="151">
        <v>174</v>
      </c>
      <c r="C712" s="7" t="s">
        <v>108</v>
      </c>
      <c r="D712" s="4" t="s">
        <v>109</v>
      </c>
      <c r="E712" t="s">
        <v>480</v>
      </c>
      <c r="F712" s="12" t="str">
        <f>IFERROR(VLOOKUP(B712,'INSUMOS  JULIO'!$B$6:$CJ$109,24,0),"")</f>
        <v>0</v>
      </c>
      <c r="G712" s="8">
        <f>IFERROR(VLOOKUP($B712,'INSUMOS  JULIO'!$B$6:$CJ$109,25,0),"")</f>
        <v>6081.0860000000002</v>
      </c>
      <c r="H712" s="19">
        <f t="shared" si="44"/>
        <v>0</v>
      </c>
      <c r="I712" s="1">
        <f t="shared" si="45"/>
        <v>0</v>
      </c>
      <c r="J712" s="1">
        <f t="shared" si="46"/>
        <v>0</v>
      </c>
      <c r="K712" s="19">
        <f t="shared" si="47"/>
        <v>0</v>
      </c>
    </row>
    <row r="713" spans="1:11" ht="15">
      <c r="A713" s="3">
        <v>1106</v>
      </c>
      <c r="B713" s="151">
        <v>176</v>
      </c>
      <c r="C713" s="7" t="s">
        <v>108</v>
      </c>
      <c r="D713" s="4" t="s">
        <v>110</v>
      </c>
      <c r="E713" t="s">
        <v>480</v>
      </c>
      <c r="F713" s="12" t="str">
        <f>IFERROR(VLOOKUP(B713,'INSUMOS  JULIO'!$B$6:$CJ$109,24,0),"")</f>
        <v>0</v>
      </c>
      <c r="G713" s="8">
        <f>IFERROR(VLOOKUP($B713,'INSUMOS  JULIO'!$B$6:$CJ$109,25,0),"")</f>
        <v>2749.4160000000002</v>
      </c>
      <c r="H713" s="19">
        <f t="shared" si="44"/>
        <v>0</v>
      </c>
      <c r="I713" s="1">
        <f t="shared" si="45"/>
        <v>0</v>
      </c>
      <c r="J713" s="1">
        <f t="shared" si="46"/>
        <v>0</v>
      </c>
      <c r="K713" s="19">
        <f t="shared" si="47"/>
        <v>0</v>
      </c>
    </row>
    <row r="714" spans="1:11" ht="15">
      <c r="A714" s="3">
        <v>1107</v>
      </c>
      <c r="B714" s="151">
        <v>192</v>
      </c>
      <c r="C714" s="7" t="s">
        <v>149</v>
      </c>
      <c r="D714" s="4" t="s">
        <v>111</v>
      </c>
      <c r="E714" t="s">
        <v>480</v>
      </c>
      <c r="F714" s="12">
        <f>IFERROR(VLOOKUP(B714,'INSUMOS  JULIO'!$B$6:$CJ$109,24,0),"")</f>
        <v>0</v>
      </c>
      <c r="G714" s="8">
        <f>IFERROR(VLOOKUP($B714,'INSUMOS  JULIO'!$B$6:$CJ$109,25,0),"")</f>
        <v>3930.7400000000002</v>
      </c>
      <c r="H714" s="19">
        <f t="shared" si="44"/>
        <v>0</v>
      </c>
      <c r="I714" s="1">
        <f t="shared" si="45"/>
        <v>0</v>
      </c>
      <c r="J714" s="1">
        <f t="shared" si="46"/>
        <v>0</v>
      </c>
      <c r="K714" s="19">
        <f t="shared" si="47"/>
        <v>0</v>
      </c>
    </row>
    <row r="715" spans="1:11" ht="15">
      <c r="A715" s="3">
        <v>1145</v>
      </c>
      <c r="B715" s="151">
        <v>195</v>
      </c>
      <c r="C715" s="7" t="s">
        <v>151</v>
      </c>
      <c r="D715" s="4" t="s">
        <v>112</v>
      </c>
      <c r="E715" t="s">
        <v>480</v>
      </c>
      <c r="F715" s="12">
        <f>IFERROR(VLOOKUP(B715,'INSUMOS  JULIO'!$B$6:$CJ$109,24,0),"")</f>
        <v>50</v>
      </c>
      <c r="G715" s="8">
        <f>IFERROR(VLOOKUP($B715,'INSUMOS  JULIO'!$B$6:$CJ$109,25,0),"")</f>
        <v>10697.1831</v>
      </c>
      <c r="H715" s="19">
        <f t="shared" si="44"/>
        <v>534859.15500000003</v>
      </c>
      <c r="I715" s="1">
        <f t="shared" si="45"/>
        <v>53485.915500000003</v>
      </c>
      <c r="J715" s="1">
        <f t="shared" si="46"/>
        <v>10162.323945</v>
      </c>
      <c r="K715" s="19">
        <f t="shared" si="47"/>
        <v>598507.39444499998</v>
      </c>
    </row>
    <row r="716" spans="1:11" ht="15">
      <c r="A716" s="3">
        <v>1146</v>
      </c>
      <c r="B716" s="151">
        <v>204</v>
      </c>
      <c r="C716" s="7" t="s">
        <v>46</v>
      </c>
      <c r="D716" s="4" t="s">
        <v>113</v>
      </c>
      <c r="E716" t="s">
        <v>480</v>
      </c>
      <c r="F716" s="12">
        <f>IFERROR(VLOOKUP(B716,'INSUMOS  JULIO'!$B$6:$CJ$109,24,0),"")</f>
        <v>50</v>
      </c>
      <c r="G716" s="8">
        <f>IFERROR(VLOOKUP($B716,'INSUMOS  JULIO'!$B$6:$CJ$109,25,0),"")</f>
        <v>25673.6178</v>
      </c>
      <c r="H716" s="19">
        <f t="shared" si="44"/>
        <v>1283680.8899999999</v>
      </c>
      <c r="I716" s="1">
        <f t="shared" si="45"/>
        <v>128368.08899999999</v>
      </c>
      <c r="J716" s="1">
        <f t="shared" si="46"/>
        <v>24389.93691</v>
      </c>
      <c r="K716" s="19">
        <f t="shared" si="47"/>
        <v>1436438.9159099997</v>
      </c>
    </row>
    <row r="717" spans="1:11" ht="27">
      <c r="A717" s="3">
        <v>1147</v>
      </c>
      <c r="B717" s="151">
        <v>205</v>
      </c>
      <c r="C717" s="7" t="s">
        <v>159</v>
      </c>
      <c r="D717" s="4" t="s">
        <v>114</v>
      </c>
      <c r="E717" t="s">
        <v>480</v>
      </c>
      <c r="F717" s="12" t="str">
        <f>IFERROR(VLOOKUP(B717,'INSUMOS  JULIO'!$B$6:$CJ$109,24,0),"")</f>
        <v>0</v>
      </c>
      <c r="G717" s="8">
        <f>IFERROR(VLOOKUP($B717,'INSUMOS  JULIO'!$B$6:$CJ$109,25,0),"")</f>
        <v>17690.432000000001</v>
      </c>
      <c r="H717" s="19">
        <f t="shared" si="44"/>
        <v>0</v>
      </c>
      <c r="I717" s="1">
        <f t="shared" si="45"/>
        <v>0</v>
      </c>
      <c r="J717" s="1">
        <f t="shared" si="46"/>
        <v>0</v>
      </c>
      <c r="K717" s="19">
        <f t="shared" si="47"/>
        <v>0</v>
      </c>
    </row>
    <row r="718" spans="1:11" ht="15">
      <c r="A718" s="3">
        <v>1148</v>
      </c>
      <c r="B718" s="151">
        <v>207</v>
      </c>
      <c r="C718" s="7" t="s">
        <v>159</v>
      </c>
      <c r="D718" s="4" t="s">
        <v>115</v>
      </c>
      <c r="E718" t="s">
        <v>480</v>
      </c>
      <c r="F718" s="12" t="str">
        <f>IFERROR(VLOOKUP(B718,'INSUMOS  JULIO'!$B$6:$CJ$109,24,0),"")</f>
        <v>0</v>
      </c>
      <c r="G718" s="8">
        <f>IFERROR(VLOOKUP($B718,'INSUMOS  JULIO'!$B$6:$CJ$109,25,0),"")</f>
        <v>7186.7380000000003</v>
      </c>
      <c r="H718" s="19">
        <f t="shared" si="44"/>
        <v>0</v>
      </c>
      <c r="I718" s="1">
        <f t="shared" si="45"/>
        <v>0</v>
      </c>
      <c r="J718" s="1">
        <f t="shared" si="46"/>
        <v>0</v>
      </c>
      <c r="K718" s="19">
        <f t="shared" si="47"/>
        <v>0</v>
      </c>
    </row>
    <row r="719" spans="1:11" ht="15">
      <c r="A719" s="3">
        <v>1149</v>
      </c>
      <c r="B719" s="151">
        <v>208</v>
      </c>
      <c r="C719" s="7" t="s">
        <v>159</v>
      </c>
      <c r="D719" s="4" t="s">
        <v>634</v>
      </c>
      <c r="E719" t="s">
        <v>480</v>
      </c>
      <c r="F719" s="12" t="str">
        <f>IFERROR(VLOOKUP(B719,'INSUMOS  JULIO'!$B$6:$CJ$109,24,0),"")</f>
        <v>0</v>
      </c>
      <c r="G719" s="8">
        <f>IFERROR(VLOOKUP($B719,'INSUMOS  JULIO'!$B$6:$CJ$109,25,0),"")</f>
        <v>50779.065000000002</v>
      </c>
      <c r="H719" s="19">
        <f t="shared" si="44"/>
        <v>0</v>
      </c>
      <c r="I719" s="1">
        <f t="shared" si="45"/>
        <v>0</v>
      </c>
      <c r="J719" s="1">
        <f t="shared" si="46"/>
        <v>0</v>
      </c>
      <c r="K719" s="19">
        <f t="shared" si="47"/>
        <v>0</v>
      </c>
    </row>
    <row r="720" spans="1:11" ht="15">
      <c r="A720" s="3">
        <v>1150</v>
      </c>
      <c r="B720" s="151">
        <v>209</v>
      </c>
      <c r="C720" s="7" t="s">
        <v>159</v>
      </c>
      <c r="D720" s="4" t="s">
        <v>635</v>
      </c>
      <c r="E720" t="s">
        <v>480</v>
      </c>
      <c r="F720" s="12" t="str">
        <f>IFERROR(VLOOKUP(B720,'INSUMOS  JULIO'!$B$6:$CJ$109,24,0),"")</f>
        <v>0</v>
      </c>
      <c r="G720" s="8">
        <f>IFERROR(VLOOKUP($B720,'INSUMOS  JULIO'!$B$6:$CJ$109,25,0),"")</f>
        <v>37357.794999999998</v>
      </c>
      <c r="H720" s="19">
        <f t="shared" si="44"/>
        <v>0</v>
      </c>
      <c r="I720" s="1">
        <f t="shared" si="45"/>
        <v>0</v>
      </c>
      <c r="J720" s="1">
        <f t="shared" si="46"/>
        <v>0</v>
      </c>
      <c r="K720" s="19">
        <f t="shared" si="47"/>
        <v>0</v>
      </c>
    </row>
    <row r="721" spans="1:11" ht="15">
      <c r="A721" s="3">
        <v>1151</v>
      </c>
      <c r="B721" s="151">
        <v>210</v>
      </c>
      <c r="C721" s="7" t="s">
        <v>159</v>
      </c>
      <c r="D721" s="4" t="s">
        <v>636</v>
      </c>
      <c r="E721" t="s">
        <v>480</v>
      </c>
      <c r="F721" s="12" t="str">
        <f>IFERROR(VLOOKUP(B721,'INSUMOS  JULIO'!$B$6:$CJ$109,24,0),"")</f>
        <v>0</v>
      </c>
      <c r="G721" s="8">
        <f>IFERROR(VLOOKUP($B721,'INSUMOS  JULIO'!$B$6:$CJ$109,25,0),"")</f>
        <v>22537.643999999997</v>
      </c>
      <c r="H721" s="19">
        <f t="shared" si="44"/>
        <v>0</v>
      </c>
      <c r="I721" s="1">
        <f t="shared" si="45"/>
        <v>0</v>
      </c>
      <c r="J721" s="1">
        <f t="shared" si="46"/>
        <v>0</v>
      </c>
      <c r="K721" s="19">
        <f t="shared" si="47"/>
        <v>0</v>
      </c>
    </row>
    <row r="722" spans="1:11" ht="15">
      <c r="A722" s="3">
        <v>1152</v>
      </c>
      <c r="B722" s="151">
        <v>211</v>
      </c>
      <c r="C722" s="7" t="s">
        <v>53</v>
      </c>
      <c r="D722" s="4" t="s">
        <v>637</v>
      </c>
      <c r="E722" t="s">
        <v>480</v>
      </c>
      <c r="F722" s="12" t="str">
        <f>IFERROR(VLOOKUP(B722,'INSUMOS  JULIO'!$B$6:$CJ$109,24,0),"")</f>
        <v>0</v>
      </c>
      <c r="G722" s="8">
        <f>IFERROR(VLOOKUP($B722,'INSUMOS  JULIO'!$B$6:$CJ$109,25,0),"")</f>
        <v>15992.016</v>
      </c>
      <c r="H722" s="19">
        <f t="shared" si="44"/>
        <v>0</v>
      </c>
      <c r="I722" s="1">
        <f t="shared" si="45"/>
        <v>0</v>
      </c>
      <c r="J722" s="1">
        <f t="shared" si="46"/>
        <v>0</v>
      </c>
      <c r="K722" s="19">
        <f t="shared" si="47"/>
        <v>0</v>
      </c>
    </row>
    <row r="723" spans="1:11" ht="15">
      <c r="A723" s="3">
        <v>1153</v>
      </c>
      <c r="B723" s="151">
        <v>212</v>
      </c>
      <c r="C723" s="7" t="s">
        <v>53</v>
      </c>
      <c r="D723" s="4" t="s">
        <v>116</v>
      </c>
      <c r="E723" t="s">
        <v>480</v>
      </c>
      <c r="F723" s="12" t="str">
        <f>IFERROR(VLOOKUP(B723,'INSUMOS  JULIO'!$B$6:$CJ$109,24,0),"")</f>
        <v>0</v>
      </c>
      <c r="G723" s="8">
        <f>IFERROR(VLOOKUP($B723,'INSUMOS  JULIO'!$B$6:$CJ$109,25,0),"")</f>
        <v>2505.5839999999998</v>
      </c>
      <c r="H723" s="19">
        <f t="shared" si="44"/>
        <v>0</v>
      </c>
      <c r="I723" s="1">
        <f t="shared" si="45"/>
        <v>0</v>
      </c>
      <c r="J723" s="1">
        <f t="shared" si="46"/>
        <v>0</v>
      </c>
      <c r="K723" s="19">
        <f t="shared" si="47"/>
        <v>0</v>
      </c>
    </row>
    <row r="724" spans="1:11" ht="15">
      <c r="A724" s="3">
        <v>1154</v>
      </c>
      <c r="B724" s="151">
        <v>213</v>
      </c>
      <c r="C724" s="7" t="s">
        <v>53</v>
      </c>
      <c r="D724" s="4" t="s">
        <v>638</v>
      </c>
      <c r="E724" t="s">
        <v>480</v>
      </c>
      <c r="F724" s="12" t="str">
        <f>IFERROR(VLOOKUP(B724,'INSUMOS  JULIO'!$B$6:$CJ$109,24,0),"")</f>
        <v>0</v>
      </c>
      <c r="G724" s="8">
        <f>IFERROR(VLOOKUP($B724,'INSUMOS  JULIO'!$B$6:$CJ$109,25,0),"")</f>
        <v>0</v>
      </c>
      <c r="H724" s="19">
        <f t="shared" si="44"/>
        <v>0</v>
      </c>
      <c r="I724" s="1">
        <f t="shared" si="45"/>
        <v>0</v>
      </c>
      <c r="J724" s="1">
        <f t="shared" si="46"/>
        <v>0</v>
      </c>
      <c r="K724" s="19">
        <f t="shared" si="47"/>
        <v>0</v>
      </c>
    </row>
    <row r="725" spans="1:11" ht="15">
      <c r="A725" s="3">
        <v>1155</v>
      </c>
      <c r="B725" s="151">
        <v>215</v>
      </c>
      <c r="C725" s="7" t="s">
        <v>53</v>
      </c>
      <c r="D725" s="4" t="s">
        <v>639</v>
      </c>
      <c r="E725" t="s">
        <v>480</v>
      </c>
      <c r="F725" s="12" t="str">
        <f>IFERROR(VLOOKUP(B725,'INSUMOS  JULIO'!$B$6:$CJ$109,24,0),"")</f>
        <v>0</v>
      </c>
      <c r="G725" s="8">
        <f>IFERROR(VLOOKUP($B725,'INSUMOS  JULIO'!$B$6:$CJ$109,25,0),"")</f>
        <v>10476.367999999999</v>
      </c>
      <c r="H725" s="19">
        <f t="shared" si="44"/>
        <v>0</v>
      </c>
      <c r="I725" s="1">
        <f t="shared" si="45"/>
        <v>0</v>
      </c>
      <c r="J725" s="1">
        <f t="shared" si="46"/>
        <v>0</v>
      </c>
      <c r="K725" s="19">
        <f t="shared" si="47"/>
        <v>0</v>
      </c>
    </row>
    <row r="726" spans="1:11" ht="15">
      <c r="A726" s="3">
        <v>1156</v>
      </c>
      <c r="B726" s="151">
        <v>216</v>
      </c>
      <c r="C726" s="7" t="s">
        <v>160</v>
      </c>
      <c r="D726" s="4" t="s">
        <v>640</v>
      </c>
      <c r="E726" t="s">
        <v>480</v>
      </c>
      <c r="F726" s="12" t="str">
        <f>IFERROR(VLOOKUP(B726,'INSUMOS  JULIO'!$B$6:$CJ$109,24,0),"")</f>
        <v>0</v>
      </c>
      <c r="G726" s="8">
        <f>IFERROR(VLOOKUP($B726,'INSUMOS  JULIO'!$B$6:$CJ$109,25,0),"")</f>
        <v>3954.9129999999996</v>
      </c>
      <c r="H726" s="19">
        <f t="shared" si="44"/>
        <v>0</v>
      </c>
      <c r="I726" s="1">
        <f t="shared" si="45"/>
        <v>0</v>
      </c>
      <c r="J726" s="1">
        <f t="shared" si="46"/>
        <v>0</v>
      </c>
      <c r="K726" s="19">
        <f t="shared" si="47"/>
        <v>0</v>
      </c>
    </row>
    <row r="727" spans="1:11" ht="15">
      <c r="A727" s="3">
        <v>1157</v>
      </c>
      <c r="B727" s="151">
        <v>218</v>
      </c>
      <c r="C727" s="7" t="s">
        <v>160</v>
      </c>
      <c r="D727" s="4" t="s">
        <v>117</v>
      </c>
      <c r="E727" t="s">
        <v>480</v>
      </c>
      <c r="F727" s="12" t="str">
        <f>IFERROR(VLOOKUP(B727,'INSUMOS  JULIO'!$B$6:$CJ$109,24,0),"")</f>
        <v>0</v>
      </c>
      <c r="G727" s="8">
        <f>IFERROR(VLOOKUP($B727,'INSUMOS  JULIO'!$B$6:$CJ$109,25,0),"")</f>
        <v>1437.768</v>
      </c>
      <c r="H727" s="19">
        <f t="shared" si="44"/>
        <v>0</v>
      </c>
      <c r="I727" s="1">
        <f t="shared" si="45"/>
        <v>0</v>
      </c>
      <c r="J727" s="1">
        <f t="shared" si="46"/>
        <v>0</v>
      </c>
      <c r="K727" s="19">
        <f t="shared" si="47"/>
        <v>0</v>
      </c>
    </row>
    <row r="728" spans="1:11" ht="15">
      <c r="A728" s="3">
        <v>1158</v>
      </c>
      <c r="B728" s="151">
        <v>251</v>
      </c>
      <c r="C728" s="7" t="s">
        <v>60</v>
      </c>
      <c r="D728" s="4" t="s">
        <v>118</v>
      </c>
      <c r="E728" t="s">
        <v>480</v>
      </c>
      <c r="F728" s="12" t="str">
        <f>IFERROR(VLOOKUP(B728,'INSUMOS  JULIO'!$B$6:$CJ$109,24,0),"")</f>
        <v>0</v>
      </c>
      <c r="G728" s="8">
        <f>IFERROR(VLOOKUP($B728,'INSUMOS  JULIO'!$B$6:$CJ$109,25,0),"")</f>
        <v>16031.954000000002</v>
      </c>
      <c r="H728" s="19">
        <f t="shared" si="44"/>
        <v>0</v>
      </c>
      <c r="I728" s="1">
        <f t="shared" si="45"/>
        <v>0</v>
      </c>
      <c r="J728" s="1">
        <f t="shared" si="46"/>
        <v>0</v>
      </c>
      <c r="K728" s="19">
        <f t="shared" si="47"/>
        <v>0</v>
      </c>
    </row>
    <row r="729" spans="1:11" ht="15">
      <c r="A729" s="3">
        <v>1159</v>
      </c>
      <c r="B729" s="151">
        <v>255</v>
      </c>
      <c r="C729" s="7" t="s">
        <v>60</v>
      </c>
      <c r="D729" s="4" t="s">
        <v>641</v>
      </c>
      <c r="E729" t="s">
        <v>480</v>
      </c>
      <c r="F729" s="12" t="str">
        <f>IFERROR(VLOOKUP(B729,'INSUMOS  JULIO'!$B$6:$CJ$109,24,0),"")</f>
        <v>0</v>
      </c>
      <c r="G729" s="8">
        <f>IFERROR(VLOOKUP($B729,'INSUMOS  JULIO'!$B$6:$CJ$109,25,0),"")</f>
        <v>29299.777999999998</v>
      </c>
      <c r="H729" s="19">
        <f t="shared" si="44"/>
        <v>0</v>
      </c>
      <c r="I729" s="1">
        <f t="shared" si="45"/>
        <v>0</v>
      </c>
      <c r="J729" s="1">
        <f t="shared" si="46"/>
        <v>0</v>
      </c>
      <c r="K729" s="19">
        <f t="shared" si="47"/>
        <v>0</v>
      </c>
    </row>
    <row r="730" spans="1:11" ht="15">
      <c r="A730" s="3">
        <v>1160</v>
      </c>
      <c r="B730" s="151">
        <v>257</v>
      </c>
      <c r="C730" s="7" t="s">
        <v>151</v>
      </c>
      <c r="D730" s="4" t="s">
        <v>642</v>
      </c>
      <c r="E730" t="s">
        <v>480</v>
      </c>
      <c r="F730" s="12" t="str">
        <f>IFERROR(VLOOKUP(B730,'INSUMOS  JULIO'!$B$6:$CJ$109,24,0),"")</f>
        <v>0</v>
      </c>
      <c r="G730" s="8">
        <f>IFERROR(VLOOKUP($B730,'INSUMOS  JULIO'!$B$6:$CJ$109,25,0),"")</f>
        <v>18796.084000000003</v>
      </c>
      <c r="H730" s="19">
        <f t="shared" si="44"/>
        <v>0</v>
      </c>
      <c r="I730" s="1">
        <f t="shared" si="45"/>
        <v>0</v>
      </c>
      <c r="J730" s="1">
        <f t="shared" si="46"/>
        <v>0</v>
      </c>
      <c r="K730" s="19">
        <f t="shared" si="47"/>
        <v>0</v>
      </c>
    </row>
    <row r="731" spans="1:11" ht="15">
      <c r="A731" s="3">
        <v>1161</v>
      </c>
      <c r="B731" s="151">
        <v>260</v>
      </c>
      <c r="C731" s="7" t="s">
        <v>160</v>
      </c>
      <c r="D731" s="4" t="s">
        <v>643</v>
      </c>
      <c r="E731" t="s">
        <v>480</v>
      </c>
      <c r="F731" s="12" t="str">
        <f>IFERROR(VLOOKUP(B731,'INSUMOS  JULIO'!$B$6:$CJ$109,24,0),"")</f>
        <v>0</v>
      </c>
      <c r="G731" s="8">
        <f>IFERROR(VLOOKUP($B731,'INSUMOS  JULIO'!$B$6:$CJ$109,25,0),"")</f>
        <v>3417.8520000000008</v>
      </c>
      <c r="H731" s="19">
        <f t="shared" si="44"/>
        <v>0</v>
      </c>
      <c r="I731" s="1">
        <f t="shared" si="45"/>
        <v>0</v>
      </c>
      <c r="J731" s="1">
        <f t="shared" si="46"/>
        <v>0</v>
      </c>
      <c r="K731" s="19">
        <f t="shared" si="47"/>
        <v>0</v>
      </c>
    </row>
    <row r="732" spans="1:11" ht="15">
      <c r="A732" s="3">
        <v>1162</v>
      </c>
      <c r="B732" s="151">
        <v>291</v>
      </c>
      <c r="C732" s="7" t="s">
        <v>60</v>
      </c>
      <c r="D732" s="4" t="s">
        <v>644</v>
      </c>
      <c r="E732" t="s">
        <v>480</v>
      </c>
      <c r="F732" s="12" t="str">
        <f>IFERROR(VLOOKUP(B732,'INSUMOS  JULIO'!$B$6:$CJ$109,24,0),"")</f>
        <v>0</v>
      </c>
      <c r="G732" s="8">
        <f>IFERROR(VLOOKUP($B732,'INSUMOS  JULIO'!$B$6:$CJ$109,25,0),"")</f>
        <v>20454.562000000005</v>
      </c>
      <c r="H732" s="19">
        <f t="shared" si="44"/>
        <v>0</v>
      </c>
      <c r="I732" s="1">
        <f t="shared" si="45"/>
        <v>0</v>
      </c>
      <c r="J732" s="1">
        <f t="shared" si="46"/>
        <v>0</v>
      </c>
      <c r="K732" s="19">
        <f t="shared" si="47"/>
        <v>0</v>
      </c>
    </row>
    <row r="733" spans="1:11" ht="15">
      <c r="A733" s="3">
        <v>1163</v>
      </c>
      <c r="B733" s="151">
        <v>3</v>
      </c>
      <c r="C733" s="7" t="s">
        <v>155</v>
      </c>
      <c r="D733" s="4" t="s">
        <v>5</v>
      </c>
      <c r="E733" t="s">
        <v>481</v>
      </c>
      <c r="F733" s="12" t="str">
        <f>IFERROR(VLOOKUP($B733,'INSUMOS  JULIO'!$B$6:$CJ$109,27,0),"")</f>
        <v>0</v>
      </c>
      <c r="G733" s="8">
        <f>IFERROR(VLOOKUP($B733,'INSUMOS  JULIO'!$B$6:$CJ$109,28,0),"")</f>
        <v>7268.7160000000003</v>
      </c>
      <c r="H733" s="19">
        <f t="shared" si="44"/>
        <v>0</v>
      </c>
      <c r="I733" s="1">
        <f t="shared" si="45"/>
        <v>0</v>
      </c>
      <c r="J733" s="1">
        <f t="shared" si="46"/>
        <v>0</v>
      </c>
      <c r="K733" s="19">
        <f t="shared" si="47"/>
        <v>0</v>
      </c>
    </row>
    <row r="734" spans="1:11" ht="15">
      <c r="A734" s="3">
        <v>1164</v>
      </c>
      <c r="B734" s="151">
        <v>5</v>
      </c>
      <c r="C734" s="7" t="s">
        <v>6</v>
      </c>
      <c r="D734" s="4" t="s">
        <v>7</v>
      </c>
      <c r="E734" t="s">
        <v>481</v>
      </c>
      <c r="F734" s="12" t="str">
        <f>IFERROR(VLOOKUP(B734,'INSUMOS  JULIO'!$B$6:$CJ$109,27,0),"")</f>
        <v>0</v>
      </c>
      <c r="G734" s="8">
        <f>IFERROR(VLOOKUP($B734,'INSUMOS  JULIO'!$B$6:$CJ$109,28,0),"")</f>
        <v>6494.1289999999999</v>
      </c>
      <c r="H734" s="19">
        <f t="shared" si="44"/>
        <v>0</v>
      </c>
      <c r="I734" s="1">
        <f t="shared" si="45"/>
        <v>0</v>
      </c>
      <c r="J734" s="1">
        <f t="shared" si="46"/>
        <v>0</v>
      </c>
      <c r="K734" s="19">
        <f t="shared" si="47"/>
        <v>0</v>
      </c>
    </row>
    <row r="735" spans="1:11" ht="15">
      <c r="A735" s="3">
        <v>1165</v>
      </c>
      <c r="B735" s="151">
        <v>8</v>
      </c>
      <c r="C735" s="7" t="s">
        <v>6</v>
      </c>
      <c r="D735" s="4" t="s">
        <v>8</v>
      </c>
      <c r="E735" t="s">
        <v>481</v>
      </c>
      <c r="F735" s="12">
        <f>IFERROR(VLOOKUP(B735,'INSUMOS  JULIO'!$B$6:$CJ$109,27,0),"")</f>
        <v>0</v>
      </c>
      <c r="G735" s="8">
        <f>IFERROR(VLOOKUP($B735,'INSUMOS  JULIO'!$B$6:$CJ$109,28,0),"")</f>
        <v>2211.3040000000001</v>
      </c>
      <c r="H735" s="19">
        <f t="shared" si="44"/>
        <v>0</v>
      </c>
      <c r="I735" s="1">
        <f t="shared" si="45"/>
        <v>0</v>
      </c>
      <c r="J735" s="1">
        <f t="shared" si="46"/>
        <v>0</v>
      </c>
      <c r="K735" s="19">
        <f t="shared" si="47"/>
        <v>0</v>
      </c>
    </row>
    <row r="736" spans="1:11" ht="15">
      <c r="A736" s="3">
        <v>1166</v>
      </c>
      <c r="B736" s="151">
        <v>9</v>
      </c>
      <c r="C736" s="7" t="s">
        <v>9</v>
      </c>
      <c r="D736" s="4" t="s">
        <v>10</v>
      </c>
      <c r="E736" t="s">
        <v>481</v>
      </c>
      <c r="F736" s="12">
        <f>IFERROR(VLOOKUP(B736,'INSUMOS  JULIO'!$B$6:$CJ$109,27,0),"")</f>
        <v>0</v>
      </c>
      <c r="G736" s="8">
        <f>IFERROR(VLOOKUP($B736,'INSUMOS  JULIO'!$B$6:$CJ$109,28,0),"")</f>
        <v>3298.0379999999996</v>
      </c>
      <c r="H736" s="19">
        <f t="shared" si="44"/>
        <v>0</v>
      </c>
      <c r="I736" s="1">
        <f t="shared" si="45"/>
        <v>0</v>
      </c>
      <c r="J736" s="1">
        <f t="shared" si="46"/>
        <v>0</v>
      </c>
      <c r="K736" s="19">
        <f t="shared" si="47"/>
        <v>0</v>
      </c>
    </row>
    <row r="737" spans="1:11" ht="15">
      <c r="A737" s="3">
        <v>1167</v>
      </c>
      <c r="B737" s="151">
        <v>11</v>
      </c>
      <c r="C737" s="7" t="s">
        <v>156</v>
      </c>
      <c r="D737" s="4" t="s">
        <v>11</v>
      </c>
      <c r="E737" t="s">
        <v>481</v>
      </c>
      <c r="F737" s="12" t="str">
        <f>IFERROR(VLOOKUP(B737,'INSUMOS  JULIO'!$B$6:$CJ$109,27,0),"")</f>
        <v>0</v>
      </c>
      <c r="G737" s="8">
        <f>IFERROR(VLOOKUP($B737,'INSUMOS  JULIO'!$B$6:$CJ$109,28,0),"")</f>
        <v>7739.5639999999985</v>
      </c>
      <c r="H737" s="19">
        <f t="shared" si="44"/>
        <v>0</v>
      </c>
      <c r="I737" s="1">
        <f t="shared" si="45"/>
        <v>0</v>
      </c>
      <c r="J737" s="1">
        <f t="shared" si="46"/>
        <v>0</v>
      </c>
      <c r="K737" s="19">
        <f t="shared" si="47"/>
        <v>0</v>
      </c>
    </row>
    <row r="738" spans="1:11" ht="15">
      <c r="A738" s="3">
        <v>1168</v>
      </c>
      <c r="B738" s="151">
        <v>13</v>
      </c>
      <c r="C738" s="7" t="s">
        <v>157</v>
      </c>
      <c r="D738" s="4" t="s">
        <v>12</v>
      </c>
      <c r="E738" t="s">
        <v>481</v>
      </c>
      <c r="F738" s="12">
        <f>IFERROR(VLOOKUP(B738,'INSUMOS  JULIO'!$B$6:$CJ$109,27,0),"")</f>
        <v>0</v>
      </c>
      <c r="G738" s="8">
        <f>IFERROR(VLOOKUP($B738,'INSUMOS  JULIO'!$B$6:$CJ$109,28,0),"")</f>
        <v>6507.7919999999995</v>
      </c>
      <c r="H738" s="19">
        <f t="shared" si="44"/>
        <v>0</v>
      </c>
      <c r="I738" s="1">
        <f t="shared" si="45"/>
        <v>0</v>
      </c>
      <c r="J738" s="1">
        <f t="shared" si="46"/>
        <v>0</v>
      </c>
      <c r="K738" s="19">
        <f t="shared" si="47"/>
        <v>0</v>
      </c>
    </row>
    <row r="739" spans="1:11" ht="15">
      <c r="A739" s="3">
        <v>1169</v>
      </c>
      <c r="B739" s="151">
        <v>17</v>
      </c>
      <c r="C739" s="7" t="s">
        <v>13</v>
      </c>
      <c r="D739" s="4" t="s">
        <v>14</v>
      </c>
      <c r="E739" t="s">
        <v>481</v>
      </c>
      <c r="F739" s="12">
        <f>IFERROR(VLOOKUP(B739,'INSUMOS  JULIO'!$B$6:$CJ$109,27,0),"")</f>
        <v>3</v>
      </c>
      <c r="G739" s="8">
        <f>IFERROR(VLOOKUP($B739,'INSUMOS  JULIO'!$B$6:$CJ$109,28,0),"")</f>
        <v>5647.0229999999992</v>
      </c>
      <c r="H739" s="19">
        <f t="shared" si="44"/>
        <v>16941.068999999996</v>
      </c>
      <c r="I739" s="1">
        <f t="shared" si="45"/>
        <v>1694.1068999999998</v>
      </c>
      <c r="J739" s="1">
        <f t="shared" si="46"/>
        <v>321.88031099999995</v>
      </c>
      <c r="K739" s="19">
        <f t="shared" si="47"/>
        <v>18957.056210999996</v>
      </c>
    </row>
    <row r="740" spans="1:11" ht="15">
      <c r="A740" s="3">
        <v>1170</v>
      </c>
      <c r="B740" s="151">
        <v>20</v>
      </c>
      <c r="C740" s="7" t="s">
        <v>13</v>
      </c>
      <c r="D740" s="4" t="s">
        <v>15</v>
      </c>
      <c r="E740" t="s">
        <v>481</v>
      </c>
      <c r="F740" s="12">
        <f>IFERROR(VLOOKUP(B740,'INSUMOS  JULIO'!$B$6:$CJ$109,27,0),"")</f>
        <v>0</v>
      </c>
      <c r="G740" s="8">
        <f>IFERROR(VLOOKUP($B740,'INSUMOS  JULIO'!$B$6:$CJ$109,28,0),"")</f>
        <v>9851.5485000000008</v>
      </c>
      <c r="H740" s="19">
        <f t="shared" si="44"/>
        <v>0</v>
      </c>
      <c r="I740" s="1">
        <f t="shared" si="45"/>
        <v>0</v>
      </c>
      <c r="J740" s="1">
        <f t="shared" si="46"/>
        <v>0</v>
      </c>
      <c r="K740" s="19">
        <f t="shared" si="47"/>
        <v>0</v>
      </c>
    </row>
    <row r="741" spans="1:11" ht="15">
      <c r="A741" s="3">
        <v>1171</v>
      </c>
      <c r="B741" s="151">
        <v>21</v>
      </c>
      <c r="C741" s="7" t="s">
        <v>16</v>
      </c>
      <c r="D741" s="4" t="s">
        <v>17</v>
      </c>
      <c r="E741" t="s">
        <v>481</v>
      </c>
      <c r="F741" s="12">
        <f>IFERROR(VLOOKUP(B741,'INSUMOS  JULIO'!$B$6:$CJ$109,27,0),"")</f>
        <v>0</v>
      </c>
      <c r="G741" s="8">
        <f>IFERROR(VLOOKUP($B741,'INSUMOS  JULIO'!$B$6:$CJ$109,28,0),"")</f>
        <v>5932.8950000000013</v>
      </c>
      <c r="H741" s="19">
        <f t="shared" si="44"/>
        <v>0</v>
      </c>
      <c r="I741" s="1">
        <f t="shared" si="45"/>
        <v>0</v>
      </c>
      <c r="J741" s="1">
        <f t="shared" si="46"/>
        <v>0</v>
      </c>
      <c r="K741" s="19">
        <f t="shared" si="47"/>
        <v>0</v>
      </c>
    </row>
    <row r="742" spans="1:11" ht="15">
      <c r="A742" s="3">
        <v>1172</v>
      </c>
      <c r="B742" s="151">
        <v>28</v>
      </c>
      <c r="C742" s="7" t="s">
        <v>18</v>
      </c>
      <c r="D742" s="4" t="s">
        <v>19</v>
      </c>
      <c r="E742" t="s">
        <v>481</v>
      </c>
      <c r="F742" s="12">
        <f>IFERROR(VLOOKUP(B742,'INSUMOS  JULIO'!$B$6:$CJ$109,27,0),"")</f>
        <v>0</v>
      </c>
      <c r="G742" s="8">
        <f>IFERROR(VLOOKUP($B742,'INSUMOS  JULIO'!$B$6:$CJ$109,28,0),"")</f>
        <v>2764.13</v>
      </c>
      <c r="H742" s="19">
        <f t="shared" si="44"/>
        <v>0</v>
      </c>
      <c r="I742" s="1">
        <f t="shared" si="45"/>
        <v>0</v>
      </c>
      <c r="J742" s="1">
        <f t="shared" si="46"/>
        <v>0</v>
      </c>
      <c r="K742" s="19">
        <f t="shared" si="47"/>
        <v>0</v>
      </c>
    </row>
    <row r="743" spans="1:11" ht="15">
      <c r="A743" s="3">
        <v>1173</v>
      </c>
      <c r="B743" s="151">
        <v>29</v>
      </c>
      <c r="C743" s="7" t="s">
        <v>20</v>
      </c>
      <c r="D743" s="4" t="s">
        <v>21</v>
      </c>
      <c r="E743" t="s">
        <v>481</v>
      </c>
      <c r="F743" s="12" t="str">
        <f>IFERROR(VLOOKUP(B743,'INSUMOS  JULIO'!$B$6:$CJ$109,27,0),"")</f>
        <v>0</v>
      </c>
      <c r="G743" s="8">
        <f>IFERROR(VLOOKUP($B743,'INSUMOS  JULIO'!$B$6:$CJ$109,28,0),"")</f>
        <v>4829.3450000000012</v>
      </c>
      <c r="H743" s="19">
        <f t="shared" si="44"/>
        <v>0</v>
      </c>
      <c r="I743" s="1">
        <f t="shared" si="45"/>
        <v>0</v>
      </c>
      <c r="J743" s="1">
        <f t="shared" si="46"/>
        <v>0</v>
      </c>
      <c r="K743" s="19">
        <f t="shared" si="47"/>
        <v>0</v>
      </c>
    </row>
    <row r="744" spans="1:11" ht="15">
      <c r="A744" s="3">
        <v>1174</v>
      </c>
      <c r="B744" s="151">
        <v>32</v>
      </c>
      <c r="C744" s="7" t="s">
        <v>22</v>
      </c>
      <c r="D744" s="4" t="s">
        <v>23</v>
      </c>
      <c r="E744" t="s">
        <v>481</v>
      </c>
      <c r="F744" s="12">
        <f>IFERROR(VLOOKUP(B744,'INSUMOS  JULIO'!$B$6:$CJ$109,27,0),"")</f>
        <v>2</v>
      </c>
      <c r="G744" s="8">
        <f>IFERROR(VLOOKUP($B744,'INSUMOS  JULIO'!$B$6:$CJ$109,28,0),"")</f>
        <v>4115.7160000000003</v>
      </c>
      <c r="H744" s="19">
        <f t="shared" si="44"/>
        <v>8231.4320000000007</v>
      </c>
      <c r="I744" s="1">
        <f t="shared" si="45"/>
        <v>823.14320000000009</v>
      </c>
      <c r="J744" s="1">
        <f t="shared" si="46"/>
        <v>156.39720800000001</v>
      </c>
      <c r="K744" s="19">
        <f t="shared" si="47"/>
        <v>9210.9724080000015</v>
      </c>
    </row>
    <row r="745" spans="1:11" ht="15">
      <c r="A745" s="3">
        <v>1175</v>
      </c>
      <c r="B745" s="151">
        <v>38</v>
      </c>
      <c r="C745" s="7" t="s">
        <v>18</v>
      </c>
      <c r="D745" s="4" t="s">
        <v>24</v>
      </c>
      <c r="E745" t="s">
        <v>481</v>
      </c>
      <c r="F745" s="12" t="str">
        <f>IFERROR(VLOOKUP(B745,'INSUMOS  JULIO'!$B$6:$CJ$109,27,0),"")</f>
        <v>0</v>
      </c>
      <c r="G745" s="8">
        <f>IFERROR(VLOOKUP($B745,'INSUMOS  JULIO'!$B$6:$CJ$109,28,0),"")</f>
        <v>11100.662</v>
      </c>
      <c r="H745" s="19">
        <f t="shared" si="44"/>
        <v>0</v>
      </c>
      <c r="I745" s="1">
        <f t="shared" si="45"/>
        <v>0</v>
      </c>
      <c r="J745" s="1">
        <f t="shared" si="46"/>
        <v>0</v>
      </c>
      <c r="K745" s="19">
        <f t="shared" si="47"/>
        <v>0</v>
      </c>
    </row>
    <row r="746" spans="1:11" ht="15">
      <c r="A746" s="3">
        <v>1176</v>
      </c>
      <c r="B746" s="151">
        <v>41</v>
      </c>
      <c r="C746" s="7" t="s">
        <v>155</v>
      </c>
      <c r="D746" s="4" t="s">
        <v>25</v>
      </c>
      <c r="E746" t="s">
        <v>481</v>
      </c>
      <c r="F746" s="12" t="str">
        <f>IFERROR(VLOOKUP(B746,'INSUMOS  JULIO'!$B$6:$CJ$109,27,0),"")</f>
        <v>0</v>
      </c>
      <c r="G746" s="8">
        <f>IFERROR(VLOOKUP($B746,'INSUMOS  JULIO'!$B$6:$CJ$109,28,0),"")</f>
        <v>7034.3429999999989</v>
      </c>
      <c r="H746" s="19">
        <f t="shared" si="44"/>
        <v>0</v>
      </c>
      <c r="I746" s="1">
        <f t="shared" si="45"/>
        <v>0</v>
      </c>
      <c r="J746" s="1">
        <f t="shared" si="46"/>
        <v>0</v>
      </c>
      <c r="K746" s="19">
        <f t="shared" si="47"/>
        <v>0</v>
      </c>
    </row>
    <row r="747" spans="1:11" ht="15">
      <c r="A747" s="3">
        <v>1177</v>
      </c>
      <c r="B747" s="151">
        <v>44</v>
      </c>
      <c r="C747" s="7" t="s">
        <v>16</v>
      </c>
      <c r="D747" s="4" t="s">
        <v>26</v>
      </c>
      <c r="E747" t="s">
        <v>481</v>
      </c>
      <c r="F747" s="12">
        <f>IFERROR(VLOOKUP(B747,'INSUMOS  JULIO'!$B$6:$CJ$109,27,0),"")</f>
        <v>0</v>
      </c>
      <c r="G747" s="8">
        <f>IFERROR(VLOOKUP($B747,'INSUMOS  JULIO'!$B$6:$CJ$109,28,0),"")</f>
        <v>2787.2520000000004</v>
      </c>
      <c r="H747" s="19">
        <f t="shared" si="44"/>
        <v>0</v>
      </c>
      <c r="I747" s="1">
        <f t="shared" si="45"/>
        <v>0</v>
      </c>
      <c r="J747" s="1">
        <f t="shared" si="46"/>
        <v>0</v>
      </c>
      <c r="K747" s="19">
        <f t="shared" si="47"/>
        <v>0</v>
      </c>
    </row>
    <row r="748" spans="1:11" ht="15">
      <c r="A748" s="3">
        <v>1178</v>
      </c>
      <c r="B748" s="151">
        <v>46</v>
      </c>
      <c r="C748" s="7" t="s">
        <v>27</v>
      </c>
      <c r="D748" s="4" t="s">
        <v>28</v>
      </c>
      <c r="E748" t="s">
        <v>481</v>
      </c>
      <c r="F748" s="12" t="str">
        <f>IFERROR(VLOOKUP(B748,'INSUMOS  JULIO'!$B$6:$CJ$109,27,0),"")</f>
        <v>0</v>
      </c>
      <c r="G748" s="8">
        <f>IFERROR(VLOOKUP($B748,'INSUMOS  JULIO'!$B$6:$CJ$109,28,0),"")</f>
        <v>7739.5640000000021</v>
      </c>
      <c r="H748" s="19">
        <f t="shared" si="44"/>
        <v>0</v>
      </c>
      <c r="I748" s="1">
        <f t="shared" si="45"/>
        <v>0</v>
      </c>
      <c r="J748" s="1">
        <f t="shared" si="46"/>
        <v>0</v>
      </c>
      <c r="K748" s="19">
        <f t="shared" si="47"/>
        <v>0</v>
      </c>
    </row>
    <row r="749" spans="1:11" ht="15">
      <c r="A749" s="3">
        <v>1179</v>
      </c>
      <c r="B749" s="151">
        <v>50</v>
      </c>
      <c r="C749" s="7" t="s">
        <v>13</v>
      </c>
      <c r="D749" s="4" t="s">
        <v>29</v>
      </c>
      <c r="E749" t="s">
        <v>481</v>
      </c>
      <c r="F749" s="12">
        <f>IFERROR(VLOOKUP(B749,'INSUMOS  JULIO'!$B$6:$CJ$109,27,0),"")</f>
        <v>0</v>
      </c>
      <c r="G749" s="8">
        <f>IFERROR(VLOOKUP($B749,'INSUMOS  JULIO'!$B$6:$CJ$109,28,0),"")</f>
        <v>48162.390299999999</v>
      </c>
      <c r="H749" s="19">
        <f t="shared" si="44"/>
        <v>0</v>
      </c>
      <c r="I749" s="1">
        <f t="shared" si="45"/>
        <v>0</v>
      </c>
      <c r="J749" s="1">
        <f t="shared" si="46"/>
        <v>0</v>
      </c>
      <c r="K749" s="19">
        <f t="shared" si="47"/>
        <v>0</v>
      </c>
    </row>
    <row r="750" spans="1:11" ht="15">
      <c r="A750" s="3">
        <v>1180</v>
      </c>
      <c r="B750" s="151">
        <v>51</v>
      </c>
      <c r="C750" s="7" t="s">
        <v>13</v>
      </c>
      <c r="D750" s="4" t="s">
        <v>30</v>
      </c>
      <c r="E750" t="s">
        <v>481</v>
      </c>
      <c r="F750" s="12" t="str">
        <f>IFERROR(VLOOKUP(B750,'INSUMOS  JULIO'!$B$6:$CJ$109,27,0),"")</f>
        <v>0</v>
      </c>
      <c r="G750" s="8">
        <f>IFERROR(VLOOKUP($B750,'INSUMOS  JULIO'!$B$6:$CJ$109,28,0),"")</f>
        <v>7739.5640000000021</v>
      </c>
      <c r="H750" s="19">
        <f t="shared" si="44"/>
        <v>0</v>
      </c>
      <c r="I750" s="1">
        <f t="shared" si="45"/>
        <v>0</v>
      </c>
      <c r="J750" s="1">
        <f t="shared" si="46"/>
        <v>0</v>
      </c>
      <c r="K750" s="19">
        <f t="shared" si="47"/>
        <v>0</v>
      </c>
    </row>
    <row r="751" spans="1:11" ht="15">
      <c r="A751" s="3">
        <v>1181</v>
      </c>
      <c r="B751" s="151">
        <v>52</v>
      </c>
      <c r="C751" s="7" t="s">
        <v>13</v>
      </c>
      <c r="D751" s="4" t="s">
        <v>31</v>
      </c>
      <c r="E751" t="s">
        <v>481</v>
      </c>
      <c r="F751" s="12">
        <f>IFERROR(VLOOKUP(B751,'INSUMOS  JULIO'!$B$6:$CJ$109,27,0),"")</f>
        <v>0</v>
      </c>
      <c r="G751" s="8">
        <f>IFERROR(VLOOKUP($B751,'INSUMOS  JULIO'!$B$6:$CJ$109,28,0),"")</f>
        <v>6412.1509999999998</v>
      </c>
      <c r="H751" s="19">
        <f t="shared" si="44"/>
        <v>0</v>
      </c>
      <c r="I751" s="1">
        <f t="shared" si="45"/>
        <v>0</v>
      </c>
      <c r="J751" s="1">
        <f t="shared" si="46"/>
        <v>0</v>
      </c>
      <c r="K751" s="19">
        <f t="shared" si="47"/>
        <v>0</v>
      </c>
    </row>
    <row r="752" spans="1:11" ht="15">
      <c r="A752" s="3">
        <v>1182</v>
      </c>
      <c r="B752" s="151">
        <v>54</v>
      </c>
      <c r="C752" s="7" t="s">
        <v>13</v>
      </c>
      <c r="D752" s="4" t="s">
        <v>32</v>
      </c>
      <c r="E752" t="s">
        <v>481</v>
      </c>
      <c r="F752" s="12">
        <f>IFERROR(VLOOKUP(B752,'INSUMOS  JULIO'!$B$6:$CJ$109,27,0),"")</f>
        <v>0</v>
      </c>
      <c r="G752" s="8">
        <f>IFERROR(VLOOKUP($B752,'INSUMOS  JULIO'!$B$6:$CJ$109,28,0),"")</f>
        <v>5359.049</v>
      </c>
      <c r="H752" s="19">
        <f t="shared" si="44"/>
        <v>0</v>
      </c>
      <c r="I752" s="1">
        <f t="shared" si="45"/>
        <v>0</v>
      </c>
      <c r="J752" s="1">
        <f t="shared" si="46"/>
        <v>0</v>
      </c>
      <c r="K752" s="19">
        <f t="shared" si="47"/>
        <v>0</v>
      </c>
    </row>
    <row r="753" spans="1:11" ht="15">
      <c r="A753" s="3">
        <v>1183</v>
      </c>
      <c r="B753" s="151">
        <v>57</v>
      </c>
      <c r="C753" s="7" t="s">
        <v>33</v>
      </c>
      <c r="D753" s="4" t="s">
        <v>34</v>
      </c>
      <c r="E753" t="s">
        <v>481</v>
      </c>
      <c r="F753" s="12">
        <f>IFERROR(VLOOKUP(B753,'INSUMOS  JULIO'!$B$6:$CJ$109,27,0),"")</f>
        <v>0</v>
      </c>
      <c r="G753" s="8">
        <f>IFERROR(VLOOKUP($B753,'INSUMOS  JULIO'!$B$6:$CJ$109,28,0),"")</f>
        <v>12823.251000000004</v>
      </c>
      <c r="H753" s="19">
        <f t="shared" si="44"/>
        <v>0</v>
      </c>
      <c r="I753" s="1">
        <f t="shared" si="45"/>
        <v>0</v>
      </c>
      <c r="J753" s="1">
        <f t="shared" si="46"/>
        <v>0</v>
      </c>
      <c r="K753" s="19">
        <f t="shared" si="47"/>
        <v>0</v>
      </c>
    </row>
    <row r="754" spans="1:11" ht="15">
      <c r="A754" s="3">
        <v>1184</v>
      </c>
      <c r="B754" s="151">
        <v>59</v>
      </c>
      <c r="C754" s="7" t="s">
        <v>16</v>
      </c>
      <c r="D754" s="4" t="s">
        <v>35</v>
      </c>
      <c r="E754" t="s">
        <v>481</v>
      </c>
      <c r="F754" s="12" t="str">
        <f>IFERROR(VLOOKUP(B754,'INSUMOS  JULIO'!$B$6:$CJ$109,27,0),"")</f>
        <v>0</v>
      </c>
      <c r="G754" s="8">
        <f>IFERROR(VLOOKUP($B754,'INSUMOS  JULIO'!$B$6:$CJ$109,28,0),"")</f>
        <v>5528.260000000002</v>
      </c>
      <c r="H754" s="19">
        <f t="shared" si="44"/>
        <v>0</v>
      </c>
      <c r="I754" s="1">
        <f t="shared" si="45"/>
        <v>0</v>
      </c>
      <c r="J754" s="1">
        <f t="shared" si="46"/>
        <v>0</v>
      </c>
      <c r="K754" s="19">
        <f t="shared" si="47"/>
        <v>0</v>
      </c>
    </row>
    <row r="755" spans="1:11" ht="15">
      <c r="A755" s="3">
        <v>1185</v>
      </c>
      <c r="B755" s="151">
        <v>62</v>
      </c>
      <c r="C755" s="7" t="s">
        <v>36</v>
      </c>
      <c r="D755" s="4" t="s">
        <v>37</v>
      </c>
      <c r="E755" t="s">
        <v>481</v>
      </c>
      <c r="F755" s="12">
        <f>IFERROR(VLOOKUP(B755,'INSUMOS  JULIO'!$B$6:$CJ$109,27,0),"")</f>
        <v>6</v>
      </c>
      <c r="G755" s="8">
        <f>IFERROR(VLOOKUP($B755,'INSUMOS  JULIO'!$B$6:$CJ$109,28,0),"")</f>
        <v>10100.3202</v>
      </c>
      <c r="H755" s="19">
        <f t="shared" si="44"/>
        <v>60601.921199999997</v>
      </c>
      <c r="I755" s="1">
        <f t="shared" si="45"/>
        <v>6060.1921199999997</v>
      </c>
      <c r="J755" s="1">
        <f t="shared" si="46"/>
        <v>1151.4365028</v>
      </c>
      <c r="K755" s="19">
        <f t="shared" si="47"/>
        <v>67813.549822800007</v>
      </c>
    </row>
    <row r="756" spans="1:11" ht="15">
      <c r="A756" s="3">
        <v>1186</v>
      </c>
      <c r="B756" s="151">
        <v>63</v>
      </c>
      <c r="C756" s="7" t="s">
        <v>36</v>
      </c>
      <c r="D756" s="4" t="s">
        <v>38</v>
      </c>
      <c r="E756" t="s">
        <v>481</v>
      </c>
      <c r="F756" s="12">
        <f>IFERROR(VLOOKUP(B756,'INSUMOS  JULIO'!$B$6:$CJ$109,27,0),"")</f>
        <v>0</v>
      </c>
      <c r="G756" s="8">
        <f>IFERROR(VLOOKUP($B756,'INSUMOS  JULIO'!$B$6:$CJ$109,28,0),"")</f>
        <v>11443.4982</v>
      </c>
      <c r="H756" s="19">
        <f t="shared" si="44"/>
        <v>0</v>
      </c>
      <c r="I756" s="1">
        <f t="shared" si="45"/>
        <v>0</v>
      </c>
      <c r="J756" s="1">
        <f t="shared" si="46"/>
        <v>0</v>
      </c>
      <c r="K756" s="19">
        <f t="shared" si="47"/>
        <v>0</v>
      </c>
    </row>
    <row r="757" spans="1:11" ht="15">
      <c r="A757" s="3">
        <v>1187</v>
      </c>
      <c r="B757" s="151">
        <v>64</v>
      </c>
      <c r="C757" s="7" t="s">
        <v>39</v>
      </c>
      <c r="D757" s="4" t="s">
        <v>40</v>
      </c>
      <c r="E757" t="s">
        <v>481</v>
      </c>
      <c r="F757" s="12">
        <f>IFERROR(VLOOKUP(B757,'INSUMOS  JULIO'!$B$6:$CJ$109,27,0),"")</f>
        <v>0</v>
      </c>
      <c r="G757" s="8">
        <f>IFERROR(VLOOKUP($B757,'INSUMOS  JULIO'!$B$6:$CJ$109,28,0),"")</f>
        <v>13820.650000000001</v>
      </c>
      <c r="H757" s="19">
        <f t="shared" si="44"/>
        <v>0</v>
      </c>
      <c r="I757" s="1">
        <f t="shared" si="45"/>
        <v>0</v>
      </c>
      <c r="J757" s="1">
        <f t="shared" si="46"/>
        <v>0</v>
      </c>
      <c r="K757" s="19">
        <f t="shared" si="47"/>
        <v>0</v>
      </c>
    </row>
    <row r="758" spans="1:11" ht="15">
      <c r="A758" s="3">
        <v>1188</v>
      </c>
      <c r="B758" s="151">
        <v>65</v>
      </c>
      <c r="C758" s="7" t="s">
        <v>39</v>
      </c>
      <c r="D758" s="4" t="s">
        <v>41</v>
      </c>
      <c r="E758" t="s">
        <v>481</v>
      </c>
      <c r="F758" s="12">
        <f>IFERROR(VLOOKUP(B758,'INSUMOS  JULIO'!$B$6:$CJ$109,27,0),"")</f>
        <v>0</v>
      </c>
      <c r="G758" s="8">
        <f>IFERROR(VLOOKUP($B758,'INSUMOS  JULIO'!$B$6:$CJ$109,28,0),"")</f>
        <v>13820.650000000001</v>
      </c>
      <c r="H758" s="19">
        <f t="shared" si="44"/>
        <v>0</v>
      </c>
      <c r="I758" s="1">
        <f t="shared" si="45"/>
        <v>0</v>
      </c>
      <c r="J758" s="1">
        <f t="shared" si="46"/>
        <v>0</v>
      </c>
      <c r="K758" s="19">
        <f t="shared" si="47"/>
        <v>0</v>
      </c>
    </row>
    <row r="759" spans="1:11" ht="15">
      <c r="A759" s="3">
        <v>1189</v>
      </c>
      <c r="B759" s="151">
        <v>66</v>
      </c>
      <c r="C759" s="7" t="s">
        <v>151</v>
      </c>
      <c r="D759" s="4" t="s">
        <v>42</v>
      </c>
      <c r="E759" t="s">
        <v>481</v>
      </c>
      <c r="F759" s="12">
        <f>IFERROR(VLOOKUP(B759,'INSUMOS  JULIO'!$B$6:$CJ$109,27,0),"")</f>
        <v>0</v>
      </c>
      <c r="G759" s="8">
        <f>IFERROR(VLOOKUP($B759,'INSUMOS  JULIO'!$B$6:$CJ$109,28,0),"")</f>
        <v>4178.9862000000003</v>
      </c>
      <c r="H759" s="19">
        <f t="shared" si="44"/>
        <v>0</v>
      </c>
      <c r="I759" s="1">
        <f t="shared" si="45"/>
        <v>0</v>
      </c>
      <c r="J759" s="1">
        <f t="shared" si="46"/>
        <v>0</v>
      </c>
      <c r="K759" s="19">
        <f t="shared" si="47"/>
        <v>0</v>
      </c>
    </row>
    <row r="760" spans="1:11" ht="15">
      <c r="A760" s="3">
        <v>1190</v>
      </c>
      <c r="B760" s="151">
        <v>71</v>
      </c>
      <c r="C760" s="7" t="s">
        <v>151</v>
      </c>
      <c r="D760" s="4" t="s">
        <v>43</v>
      </c>
      <c r="E760" t="s">
        <v>481</v>
      </c>
      <c r="F760" s="12" t="str">
        <f>IFERROR(VLOOKUP(B760,'INSUMOS  JULIO'!$B$6:$CJ$109,27,0),"")</f>
        <v>0</v>
      </c>
      <c r="G760" s="8">
        <f>IFERROR(VLOOKUP($B760,'INSUMOS  JULIO'!$B$6:$CJ$109,28,0),"")</f>
        <v>5196.1440000000002</v>
      </c>
      <c r="H760" s="19">
        <f t="shared" si="44"/>
        <v>0</v>
      </c>
      <c r="I760" s="1">
        <f t="shared" si="45"/>
        <v>0</v>
      </c>
      <c r="J760" s="1">
        <f t="shared" si="46"/>
        <v>0</v>
      </c>
      <c r="K760" s="19">
        <f t="shared" si="47"/>
        <v>0</v>
      </c>
    </row>
    <row r="761" spans="1:11" ht="15">
      <c r="A761" s="3">
        <v>1191</v>
      </c>
      <c r="B761" s="151">
        <v>72</v>
      </c>
      <c r="C761" s="7" t="s">
        <v>151</v>
      </c>
      <c r="D761" s="4" t="s">
        <v>44</v>
      </c>
      <c r="E761" t="s">
        <v>481</v>
      </c>
      <c r="F761" s="12">
        <f>IFERROR(VLOOKUP(B761,'INSUMOS  JULIO'!$B$6:$CJ$109,27,0),"")</f>
        <v>0</v>
      </c>
      <c r="G761" s="8">
        <f>IFERROR(VLOOKUP($B761,'INSUMOS  JULIO'!$B$6:$CJ$109,28,0),"")</f>
        <v>5196.1440000000002</v>
      </c>
      <c r="H761" s="19">
        <f t="shared" si="44"/>
        <v>0</v>
      </c>
      <c r="I761" s="1">
        <f t="shared" si="45"/>
        <v>0</v>
      </c>
      <c r="J761" s="1">
        <f t="shared" si="46"/>
        <v>0</v>
      </c>
      <c r="K761" s="19">
        <f t="shared" si="47"/>
        <v>0</v>
      </c>
    </row>
    <row r="762" spans="1:11" ht="27">
      <c r="A762" s="3">
        <v>1192</v>
      </c>
      <c r="B762" s="151">
        <v>73</v>
      </c>
      <c r="C762" s="7" t="s">
        <v>151</v>
      </c>
      <c r="D762" s="4" t="s">
        <v>45</v>
      </c>
      <c r="E762" t="s">
        <v>481</v>
      </c>
      <c r="F762" s="12">
        <f>IFERROR(VLOOKUP(B762,'INSUMOS  JULIO'!$B$6:$CJ$109,27,0),"")</f>
        <v>0</v>
      </c>
      <c r="G762" s="8">
        <f>IFERROR(VLOOKUP($B762,'INSUMOS  JULIO'!$B$6:$CJ$109,28,0),"")</f>
        <v>4975.4340000000011</v>
      </c>
      <c r="H762" s="19">
        <f t="shared" si="44"/>
        <v>0</v>
      </c>
      <c r="I762" s="1">
        <f t="shared" si="45"/>
        <v>0</v>
      </c>
      <c r="J762" s="1">
        <f t="shared" si="46"/>
        <v>0</v>
      </c>
      <c r="K762" s="19">
        <f t="shared" si="47"/>
        <v>0</v>
      </c>
    </row>
    <row r="763" spans="1:11" ht="15">
      <c r="A763" s="3">
        <v>1193</v>
      </c>
      <c r="B763" s="151">
        <v>74</v>
      </c>
      <c r="C763" s="7" t="s">
        <v>46</v>
      </c>
      <c r="D763" s="4" t="s">
        <v>47</v>
      </c>
      <c r="E763" t="s">
        <v>481</v>
      </c>
      <c r="F763" s="12">
        <f>IFERROR(VLOOKUP(B763,'INSUMOS  JULIO'!$B$6:$CJ$109,27,0),"")</f>
        <v>0</v>
      </c>
      <c r="G763" s="8">
        <f>IFERROR(VLOOKUP($B763,'INSUMOS  JULIO'!$B$6:$CJ$109,28,0),"")</f>
        <v>6915.4749000000002</v>
      </c>
      <c r="H763" s="19">
        <f t="shared" si="44"/>
        <v>0</v>
      </c>
      <c r="I763" s="1">
        <f t="shared" si="45"/>
        <v>0</v>
      </c>
      <c r="J763" s="1">
        <f t="shared" si="46"/>
        <v>0</v>
      </c>
      <c r="K763" s="19">
        <f t="shared" si="47"/>
        <v>0</v>
      </c>
    </row>
    <row r="764" spans="1:11" ht="15">
      <c r="A764" s="3">
        <v>1194</v>
      </c>
      <c r="B764" s="151">
        <v>79</v>
      </c>
      <c r="C764" s="7" t="s">
        <v>159</v>
      </c>
      <c r="D764" s="4" t="s">
        <v>48</v>
      </c>
      <c r="E764" t="s">
        <v>481</v>
      </c>
      <c r="F764" s="12">
        <f>IFERROR(VLOOKUP(B764,'INSUMOS  JULIO'!$B$6:$CJ$109,27,0),"")</f>
        <v>0</v>
      </c>
      <c r="G764" s="8">
        <f>IFERROR(VLOOKUP($B764,'INSUMOS  JULIO'!$B$6:$CJ$109,28,0),"")</f>
        <v>541.2650000000001</v>
      </c>
      <c r="H764" s="19">
        <f t="shared" si="44"/>
        <v>0</v>
      </c>
      <c r="I764" s="1">
        <f t="shared" si="45"/>
        <v>0</v>
      </c>
      <c r="J764" s="1">
        <f t="shared" si="46"/>
        <v>0</v>
      </c>
      <c r="K764" s="19">
        <f t="shared" si="47"/>
        <v>0</v>
      </c>
    </row>
    <row r="765" spans="1:11" ht="15">
      <c r="A765" s="3">
        <v>1195</v>
      </c>
      <c r="B765" s="151">
        <v>80</v>
      </c>
      <c r="C765" s="7" t="s">
        <v>159</v>
      </c>
      <c r="D765" s="4" t="s">
        <v>49</v>
      </c>
      <c r="E765" t="s">
        <v>481</v>
      </c>
      <c r="F765" s="12">
        <f>IFERROR(VLOOKUP(B765,'INSUMOS  JULIO'!$B$6:$CJ$109,27,0),"")</f>
        <v>0</v>
      </c>
      <c r="G765" s="8">
        <f>IFERROR(VLOOKUP($B765,'INSUMOS  JULIO'!$B$6:$CJ$109,28,0),"")</f>
        <v>433.01199999999994</v>
      </c>
      <c r="H765" s="19">
        <f t="shared" si="44"/>
        <v>0</v>
      </c>
      <c r="I765" s="1">
        <f t="shared" si="45"/>
        <v>0</v>
      </c>
      <c r="J765" s="1">
        <f t="shared" si="46"/>
        <v>0</v>
      </c>
      <c r="K765" s="19">
        <f t="shared" si="47"/>
        <v>0</v>
      </c>
    </row>
    <row r="766" spans="1:11" ht="15">
      <c r="A766" s="3">
        <v>1196</v>
      </c>
      <c r="B766" s="151">
        <v>81</v>
      </c>
      <c r="C766" s="7" t="s">
        <v>159</v>
      </c>
      <c r="D766" s="4" t="s">
        <v>50</v>
      </c>
      <c r="E766" t="s">
        <v>481</v>
      </c>
      <c r="F766" s="12">
        <f>IFERROR(VLOOKUP(B766,'INSUMOS  JULIO'!$B$6:$CJ$109,27,0),"")</f>
        <v>0</v>
      </c>
      <c r="G766" s="8">
        <f>IFERROR(VLOOKUP($B766,'INSUMOS  JULIO'!$B$6:$CJ$109,28,0),"")</f>
        <v>211.251</v>
      </c>
      <c r="H766" s="19">
        <f t="shared" si="44"/>
        <v>0</v>
      </c>
      <c r="I766" s="1">
        <f t="shared" si="45"/>
        <v>0</v>
      </c>
      <c r="J766" s="1">
        <f t="shared" si="46"/>
        <v>0</v>
      </c>
      <c r="K766" s="19">
        <f t="shared" si="47"/>
        <v>0</v>
      </c>
    </row>
    <row r="767" spans="1:11" ht="15">
      <c r="A767" s="3">
        <v>1197</v>
      </c>
      <c r="B767" s="151">
        <v>82</v>
      </c>
      <c r="C767" s="7" t="s">
        <v>159</v>
      </c>
      <c r="D767" s="4" t="s">
        <v>51</v>
      </c>
      <c r="E767" t="s">
        <v>481</v>
      </c>
      <c r="F767" s="12" t="str">
        <f>IFERROR(VLOOKUP(B767,'INSUMOS  JULIO'!$B$6:$CJ$109,27,0),"")</f>
        <v>0</v>
      </c>
      <c r="G767" s="8">
        <f>IFERROR(VLOOKUP($B767,'INSUMOS  JULIO'!$B$6:$CJ$109,28,0),"")</f>
        <v>1003.7049999999999</v>
      </c>
      <c r="H767" s="19">
        <f t="shared" si="44"/>
        <v>0</v>
      </c>
      <c r="I767" s="1">
        <f t="shared" si="45"/>
        <v>0</v>
      </c>
      <c r="J767" s="1">
        <f t="shared" si="46"/>
        <v>0</v>
      </c>
      <c r="K767" s="19">
        <f t="shared" si="47"/>
        <v>0</v>
      </c>
    </row>
    <row r="768" spans="1:11" ht="15">
      <c r="A768" s="3">
        <v>1198</v>
      </c>
      <c r="B768" s="151">
        <v>83</v>
      </c>
      <c r="C768" s="7" t="s">
        <v>159</v>
      </c>
      <c r="D768" s="4" t="s">
        <v>52</v>
      </c>
      <c r="E768" t="s">
        <v>481</v>
      </c>
      <c r="F768" s="12" t="str">
        <f>IFERROR(VLOOKUP(B768,'INSUMOS  JULIO'!$B$6:$CJ$109,27,0),"")</f>
        <v>0</v>
      </c>
      <c r="G768" s="8">
        <f>IFERROR(VLOOKUP($B768,'INSUMOS  JULIO'!$B$6:$CJ$109,28,0),"")</f>
        <v>336.32</v>
      </c>
      <c r="H768" s="19">
        <f t="shared" si="44"/>
        <v>0</v>
      </c>
      <c r="I768" s="1">
        <f t="shared" si="45"/>
        <v>0</v>
      </c>
      <c r="J768" s="1">
        <f t="shared" si="46"/>
        <v>0</v>
      </c>
      <c r="K768" s="19">
        <f t="shared" si="47"/>
        <v>0</v>
      </c>
    </row>
    <row r="769" spans="1:11" ht="15">
      <c r="A769" s="3">
        <v>1199</v>
      </c>
      <c r="B769" s="151">
        <v>86</v>
      </c>
      <c r="C769" s="7" t="s">
        <v>53</v>
      </c>
      <c r="D769" s="4" t="s">
        <v>54</v>
      </c>
      <c r="E769" t="s">
        <v>481</v>
      </c>
      <c r="F769" s="12" t="str">
        <f>IFERROR(VLOOKUP(B769,'INSUMOS  JULIO'!$B$6:$CJ$109,27,0),"")</f>
        <v>0</v>
      </c>
      <c r="G769" s="8">
        <f>IFERROR(VLOOKUP($B769,'INSUMOS  JULIO'!$B$6:$CJ$109,28,0),"")</f>
        <v>2792.5070000000005</v>
      </c>
      <c r="H769" s="19">
        <f t="shared" si="44"/>
        <v>0</v>
      </c>
      <c r="I769" s="1">
        <f t="shared" si="45"/>
        <v>0</v>
      </c>
      <c r="J769" s="1">
        <f t="shared" si="46"/>
        <v>0</v>
      </c>
      <c r="K769" s="19">
        <f t="shared" si="47"/>
        <v>0</v>
      </c>
    </row>
    <row r="770" spans="1:11" ht="15">
      <c r="A770" s="3">
        <v>1200</v>
      </c>
      <c r="B770" s="151">
        <v>87</v>
      </c>
      <c r="C770" s="7" t="s">
        <v>53</v>
      </c>
      <c r="D770" s="4" t="s">
        <v>55</v>
      </c>
      <c r="E770" t="s">
        <v>481</v>
      </c>
      <c r="F770" s="12" t="str">
        <f>IFERROR(VLOOKUP(B770,'INSUMOS  JULIO'!$B$6:$CJ$109,27,0),"")</f>
        <v>0</v>
      </c>
      <c r="G770" s="8">
        <f>IFERROR(VLOOKUP($B770,'INSUMOS  JULIO'!$B$6:$CJ$109,28,0),"")</f>
        <v>0</v>
      </c>
      <c r="H770" s="19">
        <f t="shared" si="44"/>
        <v>0</v>
      </c>
      <c r="I770" s="1">
        <f t="shared" si="45"/>
        <v>0</v>
      </c>
      <c r="J770" s="1">
        <f t="shared" si="46"/>
        <v>0</v>
      </c>
      <c r="K770" s="19">
        <f t="shared" si="47"/>
        <v>0</v>
      </c>
    </row>
    <row r="771" spans="1:11" ht="15">
      <c r="A771" s="3">
        <v>1201</v>
      </c>
      <c r="B771" s="151">
        <v>88</v>
      </c>
      <c r="C771" s="7" t="s">
        <v>53</v>
      </c>
      <c r="D771" s="4" t="s">
        <v>56</v>
      </c>
      <c r="E771" t="s">
        <v>481</v>
      </c>
      <c r="F771" s="12">
        <f>IFERROR(VLOOKUP(B771,'INSUMOS  JULIO'!$B$6:$CJ$109,27,0),"")</f>
        <v>0</v>
      </c>
      <c r="G771" s="8">
        <f>IFERROR(VLOOKUP($B771,'INSUMOS  JULIO'!$B$6:$CJ$109,28,0),"")</f>
        <v>2717.886</v>
      </c>
      <c r="H771" s="19">
        <f t="shared" si="44"/>
        <v>0</v>
      </c>
      <c r="I771" s="1">
        <f t="shared" si="45"/>
        <v>0</v>
      </c>
      <c r="J771" s="1">
        <f t="shared" si="46"/>
        <v>0</v>
      </c>
      <c r="K771" s="19">
        <f t="shared" si="47"/>
        <v>0</v>
      </c>
    </row>
    <row r="772" spans="1:11" ht="15">
      <c r="A772" s="3">
        <v>1202</v>
      </c>
      <c r="B772" s="151">
        <v>89</v>
      </c>
      <c r="C772" s="7" t="s">
        <v>53</v>
      </c>
      <c r="D772" s="4" t="s">
        <v>57</v>
      </c>
      <c r="E772" t="s">
        <v>481</v>
      </c>
      <c r="F772" s="12" t="str">
        <f>IFERROR(VLOOKUP(B772,'INSUMOS  JULIO'!$B$6:$CJ$109,27,0),"")</f>
        <v>0</v>
      </c>
      <c r="G772" s="8">
        <f>IFERROR(VLOOKUP($B772,'INSUMOS  JULIO'!$B$6:$CJ$109,28,0),"")</f>
        <v>2650.6220000000003</v>
      </c>
      <c r="H772" s="19">
        <f t="shared" si="44"/>
        <v>0</v>
      </c>
      <c r="I772" s="1">
        <f t="shared" si="45"/>
        <v>0</v>
      </c>
      <c r="J772" s="1">
        <f t="shared" si="46"/>
        <v>0</v>
      </c>
      <c r="K772" s="19">
        <f t="shared" si="47"/>
        <v>0</v>
      </c>
    </row>
    <row r="773" spans="1:11" ht="15">
      <c r="A773" s="3">
        <v>1203</v>
      </c>
      <c r="B773" s="151">
        <v>91</v>
      </c>
      <c r="C773" s="7" t="s">
        <v>160</v>
      </c>
      <c r="D773" s="4" t="s">
        <v>58</v>
      </c>
      <c r="E773" t="s">
        <v>481</v>
      </c>
      <c r="F773" s="12" t="str">
        <f>IFERROR(VLOOKUP(B773,'INSUMOS  JULIO'!$B$6:$CJ$109,27,0),"")</f>
        <v>0</v>
      </c>
      <c r="G773" s="8">
        <f>IFERROR(VLOOKUP($B773,'INSUMOS  JULIO'!$B$6:$CJ$109,28,0),"")</f>
        <v>4364.8029999999999</v>
      </c>
      <c r="H773" s="19">
        <f t="shared" si="44"/>
        <v>0</v>
      </c>
      <c r="I773" s="1">
        <f t="shared" si="45"/>
        <v>0</v>
      </c>
      <c r="J773" s="1">
        <f t="shared" si="46"/>
        <v>0</v>
      </c>
      <c r="K773" s="19">
        <f t="shared" si="47"/>
        <v>0</v>
      </c>
    </row>
    <row r="774" spans="1:11" ht="15">
      <c r="A774" s="3">
        <v>1204</v>
      </c>
      <c r="B774" s="151">
        <v>92</v>
      </c>
      <c r="C774" s="7" t="s">
        <v>160</v>
      </c>
      <c r="D774" s="4" t="s">
        <v>59</v>
      </c>
      <c r="E774" t="s">
        <v>481</v>
      </c>
      <c r="F774" s="12" t="str">
        <f>IFERROR(VLOOKUP(B774,'INSUMOS  JULIO'!$B$6:$CJ$109,27,0),"")</f>
        <v>0</v>
      </c>
      <c r="G774" s="8">
        <f>IFERROR(VLOOKUP($B774,'INSUMOS  JULIO'!$B$6:$CJ$109,28,0),"")</f>
        <v>2380.5149999999999</v>
      </c>
      <c r="H774" s="19">
        <f t="shared" ref="H774:H837" si="48">+F774*G774</f>
        <v>0</v>
      </c>
      <c r="I774" s="1">
        <f t="shared" ref="I774:I837" si="49">+H774*10%</f>
        <v>0</v>
      </c>
      <c r="J774" s="1">
        <f t="shared" ref="J774:J837" si="50">+I774*19%</f>
        <v>0</v>
      </c>
      <c r="K774" s="19">
        <f t="shared" ref="K774:K837" si="51">SUM(H774:J774)</f>
        <v>0</v>
      </c>
    </row>
    <row r="775" spans="1:11" ht="15">
      <c r="A775" s="3">
        <v>1205</v>
      </c>
      <c r="B775" s="151">
        <v>94</v>
      </c>
      <c r="C775" s="7" t="s">
        <v>60</v>
      </c>
      <c r="D775" s="4" t="s">
        <v>61</v>
      </c>
      <c r="E775" t="s">
        <v>481</v>
      </c>
      <c r="F775" s="12" t="str">
        <f>IFERROR(VLOOKUP(B775,'INSUMOS  JULIO'!$B$6:$CJ$109,27,0),"")</f>
        <v>0</v>
      </c>
      <c r="G775" s="8">
        <f>IFERROR(VLOOKUP($B775,'INSUMOS  JULIO'!$B$6:$CJ$109,28,0),"")</f>
        <v>3316.9560000000001</v>
      </c>
      <c r="H775" s="19">
        <f t="shared" si="48"/>
        <v>0</v>
      </c>
      <c r="I775" s="1">
        <f t="shared" si="49"/>
        <v>0</v>
      </c>
      <c r="J775" s="1">
        <f t="shared" si="50"/>
        <v>0</v>
      </c>
      <c r="K775" s="19">
        <f t="shared" si="51"/>
        <v>0</v>
      </c>
    </row>
    <row r="776" spans="1:11" ht="15">
      <c r="A776" s="3">
        <v>1206</v>
      </c>
      <c r="B776" s="151">
        <v>95</v>
      </c>
      <c r="C776" s="7" t="s">
        <v>60</v>
      </c>
      <c r="D776" s="4" t="s">
        <v>62</v>
      </c>
      <c r="E776" t="s">
        <v>481</v>
      </c>
      <c r="F776" s="12" t="str">
        <f>IFERROR(VLOOKUP(B776,'INSUMOS  JULIO'!$B$6:$CJ$109,27,0),"")</f>
        <v>0</v>
      </c>
      <c r="G776" s="8">
        <f>IFERROR(VLOOKUP($B776,'INSUMOS  JULIO'!$B$6:$CJ$109,28,0),"")</f>
        <v>11056.52</v>
      </c>
      <c r="H776" s="19">
        <f t="shared" si="48"/>
        <v>0</v>
      </c>
      <c r="I776" s="1">
        <f t="shared" si="49"/>
        <v>0</v>
      </c>
      <c r="J776" s="1">
        <f t="shared" si="50"/>
        <v>0</v>
      </c>
      <c r="K776" s="19">
        <f t="shared" si="51"/>
        <v>0</v>
      </c>
    </row>
    <row r="777" spans="1:11" ht="15">
      <c r="A777" s="3">
        <v>1207</v>
      </c>
      <c r="B777" s="151">
        <v>98</v>
      </c>
      <c r="C777" s="7" t="s">
        <v>151</v>
      </c>
      <c r="D777" s="4" t="s">
        <v>63</v>
      </c>
      <c r="E777" t="s">
        <v>481</v>
      </c>
      <c r="F777" s="12">
        <f>IFERROR(VLOOKUP(B777,'INSUMOS  JULIO'!$B$6:$CJ$109,27,0),"")</f>
        <v>0</v>
      </c>
      <c r="G777" s="8">
        <f>IFERROR(VLOOKUP($B777,'INSUMOS  JULIO'!$B$6:$CJ$109,28,0),"")</f>
        <v>6633.9120000000003</v>
      </c>
      <c r="H777" s="19">
        <f t="shared" si="48"/>
        <v>0</v>
      </c>
      <c r="I777" s="1">
        <f t="shared" si="49"/>
        <v>0</v>
      </c>
      <c r="J777" s="1">
        <f t="shared" si="50"/>
        <v>0</v>
      </c>
      <c r="K777" s="19">
        <f t="shared" si="51"/>
        <v>0</v>
      </c>
    </row>
    <row r="778" spans="1:11" ht="15">
      <c r="A778" s="3">
        <v>1208</v>
      </c>
      <c r="B778" s="151">
        <v>100</v>
      </c>
      <c r="C778" s="7" t="s">
        <v>160</v>
      </c>
      <c r="D778" s="4" t="s">
        <v>64</v>
      </c>
      <c r="E778" t="s">
        <v>481</v>
      </c>
      <c r="F778" s="12" t="str">
        <f>IFERROR(VLOOKUP(B778,'INSUMOS  JULIO'!$B$6:$CJ$109,27,0),"")</f>
        <v>0</v>
      </c>
      <c r="G778" s="8">
        <f>IFERROR(VLOOKUP($B778,'INSUMOS  JULIO'!$B$6:$CJ$109,28,0),"")</f>
        <v>4364.8029999999999</v>
      </c>
      <c r="H778" s="19">
        <f t="shared" si="48"/>
        <v>0</v>
      </c>
      <c r="I778" s="1">
        <f t="shared" si="49"/>
        <v>0</v>
      </c>
      <c r="J778" s="1">
        <f t="shared" si="50"/>
        <v>0</v>
      </c>
      <c r="K778" s="19">
        <f t="shared" si="51"/>
        <v>0</v>
      </c>
    </row>
    <row r="779" spans="1:11" ht="15">
      <c r="A779" s="3">
        <v>1209</v>
      </c>
      <c r="B779" s="151">
        <v>102</v>
      </c>
      <c r="C779" s="7" t="s">
        <v>60</v>
      </c>
      <c r="D779" s="4" t="s">
        <v>65</v>
      </c>
      <c r="E779" t="s">
        <v>481</v>
      </c>
      <c r="F779" s="12" t="str">
        <f>IFERROR(VLOOKUP(B779,'INSUMOS  JULIO'!$B$6:$CJ$109,27,0),"")</f>
        <v>0</v>
      </c>
      <c r="G779" s="8">
        <f>IFERROR(VLOOKUP($B779,'INSUMOS  JULIO'!$B$6:$CJ$109,28,0),"")</f>
        <v>3811.9770000000003</v>
      </c>
      <c r="H779" s="19">
        <f t="shared" si="48"/>
        <v>0</v>
      </c>
      <c r="I779" s="1">
        <f t="shared" si="49"/>
        <v>0</v>
      </c>
      <c r="J779" s="1">
        <f t="shared" si="50"/>
        <v>0</v>
      </c>
      <c r="K779" s="19">
        <f t="shared" si="51"/>
        <v>0</v>
      </c>
    </row>
    <row r="780" spans="1:11" ht="15">
      <c r="A780" s="3">
        <v>1255</v>
      </c>
      <c r="B780" s="151">
        <v>103</v>
      </c>
      <c r="C780" s="7" t="s">
        <v>66</v>
      </c>
      <c r="D780" s="4" t="s">
        <v>67</v>
      </c>
      <c r="E780" t="s">
        <v>481</v>
      </c>
      <c r="F780" s="12" t="str">
        <f>IFERROR(VLOOKUP(B780,'INSUMOS  JULIO'!$B$6:$CJ$109,27,0),"")</f>
        <v>0</v>
      </c>
      <c r="G780" s="8">
        <f>IFERROR(VLOOKUP($B780,'INSUMOS  JULIO'!$B$6:$CJ$109,28,0),"")</f>
        <v>18022.547999999999</v>
      </c>
      <c r="H780" s="19">
        <f t="shared" si="48"/>
        <v>0</v>
      </c>
      <c r="I780" s="1">
        <f t="shared" si="49"/>
        <v>0</v>
      </c>
      <c r="J780" s="1">
        <f t="shared" si="50"/>
        <v>0</v>
      </c>
      <c r="K780" s="19">
        <f t="shared" si="51"/>
        <v>0</v>
      </c>
    </row>
    <row r="781" spans="1:11" ht="15">
      <c r="A781" s="3">
        <v>1256</v>
      </c>
      <c r="B781" s="151">
        <v>104</v>
      </c>
      <c r="C781" s="7" t="s">
        <v>66</v>
      </c>
      <c r="D781" s="4" t="s">
        <v>68</v>
      </c>
      <c r="E781" t="s">
        <v>481</v>
      </c>
      <c r="F781" s="12" t="str">
        <f>IFERROR(VLOOKUP(B781,'INSUMOS  JULIO'!$B$6:$CJ$109,27,0),"")</f>
        <v>0</v>
      </c>
      <c r="G781" s="8">
        <f>IFERROR(VLOOKUP($B781,'INSUMOS  JULIO'!$B$6:$CJ$109,28,0),"")</f>
        <v>18022.547999999999</v>
      </c>
      <c r="H781" s="19">
        <f t="shared" si="48"/>
        <v>0</v>
      </c>
      <c r="I781" s="1">
        <f t="shared" si="49"/>
        <v>0</v>
      </c>
      <c r="J781" s="1">
        <f t="shared" si="50"/>
        <v>0</v>
      </c>
      <c r="K781" s="19">
        <f t="shared" si="51"/>
        <v>0</v>
      </c>
    </row>
    <row r="782" spans="1:11" ht="15">
      <c r="A782" s="3">
        <v>1257</v>
      </c>
      <c r="B782" s="151">
        <v>105</v>
      </c>
      <c r="C782" s="7" t="s">
        <v>66</v>
      </c>
      <c r="D782" s="4" t="s">
        <v>69</v>
      </c>
      <c r="E782" t="s">
        <v>481</v>
      </c>
      <c r="F782" s="12" t="str">
        <f>IFERROR(VLOOKUP(B782,'INSUMOS  JULIO'!$B$6:$CJ$109,27,0),"")</f>
        <v>0</v>
      </c>
      <c r="G782" s="8">
        <f>IFERROR(VLOOKUP($B782,'INSUMOS  JULIO'!$B$6:$CJ$109,28,0),"")</f>
        <v>27641.3</v>
      </c>
      <c r="H782" s="19">
        <f t="shared" si="48"/>
        <v>0</v>
      </c>
      <c r="I782" s="1">
        <f t="shared" si="49"/>
        <v>0</v>
      </c>
      <c r="J782" s="1">
        <f t="shared" si="50"/>
        <v>0</v>
      </c>
      <c r="K782" s="19">
        <f t="shared" si="51"/>
        <v>0</v>
      </c>
    </row>
    <row r="783" spans="1:11" ht="15">
      <c r="A783" s="3">
        <v>1258</v>
      </c>
      <c r="B783" s="151">
        <v>106</v>
      </c>
      <c r="C783" s="7" t="s">
        <v>66</v>
      </c>
      <c r="D783" s="4" t="s">
        <v>70</v>
      </c>
      <c r="E783" t="s">
        <v>481</v>
      </c>
      <c r="F783" s="12" t="str">
        <f>IFERROR(VLOOKUP(B783,'INSUMOS  JULIO'!$B$6:$CJ$109,27,0),"")</f>
        <v>0</v>
      </c>
      <c r="G783" s="8">
        <f>IFERROR(VLOOKUP($B783,'INSUMOS  JULIO'!$B$6:$CJ$109,28,0),"")</f>
        <v>0</v>
      </c>
      <c r="H783" s="19">
        <f t="shared" si="48"/>
        <v>0</v>
      </c>
      <c r="I783" s="1">
        <f t="shared" si="49"/>
        <v>0</v>
      </c>
      <c r="J783" s="1">
        <f t="shared" si="50"/>
        <v>0</v>
      </c>
      <c r="K783" s="19">
        <f t="shared" si="51"/>
        <v>0</v>
      </c>
    </row>
    <row r="784" spans="1:11" ht="15">
      <c r="A784" s="3">
        <v>1259</v>
      </c>
      <c r="B784" s="151">
        <v>108</v>
      </c>
      <c r="C784" s="7" t="s">
        <v>66</v>
      </c>
      <c r="D784" s="4" t="s">
        <v>71</v>
      </c>
      <c r="E784" t="s">
        <v>481</v>
      </c>
      <c r="F784" s="12" t="str">
        <f>IFERROR(VLOOKUP(B784,'INSUMOS  JULIO'!$B$6:$CJ$109,27,0),"")</f>
        <v>0</v>
      </c>
      <c r="G784" s="8">
        <f>IFERROR(VLOOKUP($B784,'INSUMOS  JULIO'!$B$6:$CJ$109,28,0),"")</f>
        <v>38697.82</v>
      </c>
      <c r="H784" s="19">
        <f t="shared" si="48"/>
        <v>0</v>
      </c>
      <c r="I784" s="1">
        <f t="shared" si="49"/>
        <v>0</v>
      </c>
      <c r="J784" s="1">
        <f t="shared" si="50"/>
        <v>0</v>
      </c>
      <c r="K784" s="19">
        <f t="shared" si="51"/>
        <v>0</v>
      </c>
    </row>
    <row r="785" spans="1:11" ht="15">
      <c r="A785" s="3">
        <v>1260</v>
      </c>
      <c r="B785" s="151">
        <v>109</v>
      </c>
      <c r="C785" s="7" t="s">
        <v>66</v>
      </c>
      <c r="D785" s="4" t="s">
        <v>72</v>
      </c>
      <c r="E785" t="s">
        <v>481</v>
      </c>
      <c r="F785" s="12" t="str">
        <f>IFERROR(VLOOKUP(B785,'INSUMOS  JULIO'!$B$6:$CJ$109,27,0),"")</f>
        <v>0</v>
      </c>
      <c r="G785" s="8">
        <f>IFERROR(VLOOKUP($B785,'INSUMOS  JULIO'!$B$6:$CJ$109,28,0),"")</f>
        <v>49754.340000000004</v>
      </c>
      <c r="H785" s="19">
        <f t="shared" si="48"/>
        <v>0</v>
      </c>
      <c r="I785" s="1">
        <f t="shared" si="49"/>
        <v>0</v>
      </c>
      <c r="J785" s="1">
        <f t="shared" si="50"/>
        <v>0</v>
      </c>
      <c r="K785" s="19">
        <f t="shared" si="51"/>
        <v>0</v>
      </c>
    </row>
    <row r="786" spans="1:11" ht="15">
      <c r="A786" s="3">
        <v>1261</v>
      </c>
      <c r="B786" s="151">
        <v>110</v>
      </c>
      <c r="C786" s="7" t="s">
        <v>158</v>
      </c>
      <c r="D786" s="4" t="s">
        <v>73</v>
      </c>
      <c r="E786" t="s">
        <v>481</v>
      </c>
      <c r="F786" s="12">
        <f>IFERROR(VLOOKUP(B786,'INSUMOS  JULIO'!$B$6:$CJ$109,27,0),"")</f>
        <v>0</v>
      </c>
      <c r="G786" s="8">
        <f>IFERROR(VLOOKUP($B786,'INSUMOS  JULIO'!$B$6:$CJ$109,28,0),"")</f>
        <v>1442.4974999999999</v>
      </c>
      <c r="H786" s="19">
        <f t="shared" si="48"/>
        <v>0</v>
      </c>
      <c r="I786" s="1">
        <f t="shared" si="49"/>
        <v>0</v>
      </c>
      <c r="J786" s="1">
        <f t="shared" si="50"/>
        <v>0</v>
      </c>
      <c r="K786" s="19">
        <f t="shared" si="51"/>
        <v>0</v>
      </c>
    </row>
    <row r="787" spans="1:11" ht="15">
      <c r="A787" s="3">
        <v>1262</v>
      </c>
      <c r="B787" s="151">
        <v>118</v>
      </c>
      <c r="C787" s="7" t="s">
        <v>158</v>
      </c>
      <c r="D787" s="4" t="s">
        <v>74</v>
      </c>
      <c r="E787" t="s">
        <v>481</v>
      </c>
      <c r="F787" s="12">
        <f>IFERROR(VLOOKUP(B787,'INSUMOS  JULIO'!$B$6:$CJ$109,27,0),"")</f>
        <v>0</v>
      </c>
      <c r="G787" s="8">
        <f>IFERROR(VLOOKUP($B787,'INSUMOS  JULIO'!$B$6:$CJ$109,28,0),"")</f>
        <v>2455.136</v>
      </c>
      <c r="H787" s="19">
        <f t="shared" si="48"/>
        <v>0</v>
      </c>
      <c r="I787" s="1">
        <f t="shared" si="49"/>
        <v>0</v>
      </c>
      <c r="J787" s="1">
        <f t="shared" si="50"/>
        <v>0</v>
      </c>
      <c r="K787" s="19">
        <f t="shared" si="51"/>
        <v>0</v>
      </c>
    </row>
    <row r="788" spans="1:11" ht="15">
      <c r="A788" s="3">
        <v>1263</v>
      </c>
      <c r="B788" s="151">
        <v>119</v>
      </c>
      <c r="C788" s="7" t="s">
        <v>158</v>
      </c>
      <c r="D788" s="4" t="s">
        <v>75</v>
      </c>
      <c r="E788" t="s">
        <v>481</v>
      </c>
      <c r="F788" s="12" t="str">
        <f>IFERROR(VLOOKUP(B788,'INSUMOS  JULIO'!$B$6:$CJ$109,27,0),"")</f>
        <v>0</v>
      </c>
      <c r="G788" s="8">
        <f>IFERROR(VLOOKUP($B788,'INSUMOS  JULIO'!$B$6:$CJ$109,28,0),"")</f>
        <v>2821.9350000000004</v>
      </c>
      <c r="H788" s="19">
        <f t="shared" si="48"/>
        <v>0</v>
      </c>
      <c r="I788" s="1">
        <f t="shared" si="49"/>
        <v>0</v>
      </c>
      <c r="J788" s="1">
        <f t="shared" si="50"/>
        <v>0</v>
      </c>
      <c r="K788" s="19">
        <f t="shared" si="51"/>
        <v>0</v>
      </c>
    </row>
    <row r="789" spans="1:11" ht="15">
      <c r="A789" s="3">
        <v>1264</v>
      </c>
      <c r="B789" s="151">
        <v>120</v>
      </c>
      <c r="C789" s="7" t="s">
        <v>158</v>
      </c>
      <c r="D789" s="4" t="s">
        <v>76</v>
      </c>
      <c r="E789" t="s">
        <v>481</v>
      </c>
      <c r="F789" s="12" t="str">
        <f>IFERROR(VLOOKUP(B789,'INSUMOS  JULIO'!$B$6:$CJ$109,27,0),"")</f>
        <v>0</v>
      </c>
      <c r="G789" s="8">
        <f>IFERROR(VLOOKUP($B789,'INSUMOS  JULIO'!$B$6:$CJ$109,28,0),"")</f>
        <v>2821.9350000000004</v>
      </c>
      <c r="H789" s="19">
        <f t="shared" si="48"/>
        <v>0</v>
      </c>
      <c r="I789" s="1">
        <f t="shared" si="49"/>
        <v>0</v>
      </c>
      <c r="J789" s="1">
        <f t="shared" si="50"/>
        <v>0</v>
      </c>
      <c r="K789" s="19">
        <f t="shared" si="51"/>
        <v>0</v>
      </c>
    </row>
    <row r="790" spans="1:11" ht="15">
      <c r="A790" s="3">
        <v>1265</v>
      </c>
      <c r="B790" s="151">
        <v>122</v>
      </c>
      <c r="C790" s="7" t="s">
        <v>158</v>
      </c>
      <c r="D790" s="4" t="s">
        <v>77</v>
      </c>
      <c r="E790" t="s">
        <v>481</v>
      </c>
      <c r="F790" s="12" t="str">
        <f>IFERROR(VLOOKUP(B790,'INSUMOS  JULIO'!$B$6:$CJ$109,27,0),"")</f>
        <v>0</v>
      </c>
      <c r="G790" s="8">
        <f>IFERROR(VLOOKUP($B790,'INSUMOS  JULIO'!$B$6:$CJ$109,28,0),"")</f>
        <v>5223.4699999999993</v>
      </c>
      <c r="H790" s="19">
        <f t="shared" si="48"/>
        <v>0</v>
      </c>
      <c r="I790" s="1">
        <f t="shared" si="49"/>
        <v>0</v>
      </c>
      <c r="J790" s="1">
        <f t="shared" si="50"/>
        <v>0</v>
      </c>
      <c r="K790" s="19">
        <f t="shared" si="51"/>
        <v>0</v>
      </c>
    </row>
    <row r="791" spans="1:11" ht="15">
      <c r="A791" s="3">
        <v>1266</v>
      </c>
      <c r="B791" s="151">
        <v>123</v>
      </c>
      <c r="C791" s="7" t="s">
        <v>158</v>
      </c>
      <c r="D791" s="4" t="s">
        <v>78</v>
      </c>
      <c r="E791" t="s">
        <v>481</v>
      </c>
      <c r="F791" s="12" t="str">
        <f>IFERROR(VLOOKUP(B791,'INSUMOS  JULIO'!$B$6:$CJ$109,27,0),"")</f>
        <v>0</v>
      </c>
      <c r="G791" s="8">
        <f>IFERROR(VLOOKUP($B791,'INSUMOS  JULIO'!$B$6:$CJ$109,28,0),"")</f>
        <v>5765.7860000000001</v>
      </c>
      <c r="H791" s="19">
        <f t="shared" si="48"/>
        <v>0</v>
      </c>
      <c r="I791" s="1">
        <f t="shared" si="49"/>
        <v>0</v>
      </c>
      <c r="J791" s="1">
        <f t="shared" si="50"/>
        <v>0</v>
      </c>
      <c r="K791" s="19">
        <f t="shared" si="51"/>
        <v>0</v>
      </c>
    </row>
    <row r="792" spans="1:11" ht="15">
      <c r="A792" s="3">
        <v>1267</v>
      </c>
      <c r="B792" s="151">
        <v>124</v>
      </c>
      <c r="C792" s="7" t="s">
        <v>158</v>
      </c>
      <c r="D792" s="4" t="s">
        <v>79</v>
      </c>
      <c r="E792" t="s">
        <v>481</v>
      </c>
      <c r="F792" s="12" t="str">
        <f>IFERROR(VLOOKUP(B792,'INSUMOS  JULIO'!$B$6:$CJ$109,27,0),"")</f>
        <v>0</v>
      </c>
      <c r="G792" s="8">
        <f>IFERROR(VLOOKUP($B792,'INSUMOS  JULIO'!$B$6:$CJ$109,28,0),"")</f>
        <v>5765.7860000000001</v>
      </c>
      <c r="H792" s="19">
        <f t="shared" si="48"/>
        <v>0</v>
      </c>
      <c r="I792" s="1">
        <f t="shared" si="49"/>
        <v>0</v>
      </c>
      <c r="J792" s="1">
        <f t="shared" si="50"/>
        <v>0</v>
      </c>
      <c r="K792" s="19">
        <f t="shared" si="51"/>
        <v>0</v>
      </c>
    </row>
    <row r="793" spans="1:11" ht="15">
      <c r="A793" s="3">
        <v>1268</v>
      </c>
      <c r="B793" s="151">
        <v>126</v>
      </c>
      <c r="C793" s="7" t="s">
        <v>9</v>
      </c>
      <c r="D793" s="4" t="s">
        <v>80</v>
      </c>
      <c r="E793" t="s">
        <v>481</v>
      </c>
      <c r="F793" s="12" t="str">
        <f>IFERROR(VLOOKUP(B793,'INSUMOS  JULIO'!$B$6:$CJ$109,27,0),"")</f>
        <v>0</v>
      </c>
      <c r="G793" s="8">
        <f>IFERROR(VLOOKUP($B793,'INSUMOS  JULIO'!$B$6:$CJ$109,28,0),"")</f>
        <v>3316.9560000000001</v>
      </c>
      <c r="H793" s="19">
        <f t="shared" si="48"/>
        <v>0</v>
      </c>
      <c r="I793" s="1">
        <f t="shared" si="49"/>
        <v>0</v>
      </c>
      <c r="J793" s="1">
        <f t="shared" si="50"/>
        <v>0</v>
      </c>
      <c r="K793" s="19">
        <f t="shared" si="51"/>
        <v>0</v>
      </c>
    </row>
    <row r="794" spans="1:11" ht="15">
      <c r="A794" s="3">
        <v>1269</v>
      </c>
      <c r="B794" s="151">
        <v>127</v>
      </c>
      <c r="C794" s="7" t="s">
        <v>156</v>
      </c>
      <c r="D794" s="4" t="s">
        <v>81</v>
      </c>
      <c r="E794" t="s">
        <v>481</v>
      </c>
      <c r="F794" s="12" t="str">
        <f>IFERROR(VLOOKUP(B794,'INSUMOS  JULIO'!$B$6:$CJ$109,27,0),"")</f>
        <v>0</v>
      </c>
      <c r="G794" s="8">
        <f>IFERROR(VLOOKUP($B794,'INSUMOS  JULIO'!$B$6:$CJ$109,28,0),"")</f>
        <v>3316.9560000000001</v>
      </c>
      <c r="H794" s="19">
        <f t="shared" si="48"/>
        <v>0</v>
      </c>
      <c r="I794" s="1">
        <f t="shared" si="49"/>
        <v>0</v>
      </c>
      <c r="J794" s="1">
        <f t="shared" si="50"/>
        <v>0</v>
      </c>
      <c r="K794" s="19">
        <f t="shared" si="51"/>
        <v>0</v>
      </c>
    </row>
    <row r="795" spans="1:11" ht="15">
      <c r="A795" s="3">
        <v>1270</v>
      </c>
      <c r="B795" s="151">
        <v>129</v>
      </c>
      <c r="C795" s="7" t="s">
        <v>157</v>
      </c>
      <c r="D795" s="4" t="s">
        <v>82</v>
      </c>
      <c r="E795" t="s">
        <v>481</v>
      </c>
      <c r="F795" s="12" t="str">
        <f>IFERROR(VLOOKUP(B795,'INSUMOS  JULIO'!$B$6:$CJ$109,27,0),"")</f>
        <v>0</v>
      </c>
      <c r="G795" s="8">
        <f>IFERROR(VLOOKUP($B795,'INSUMOS  JULIO'!$B$6:$CJ$109,28,0),"")</f>
        <v>3787.8040000000001</v>
      </c>
      <c r="H795" s="19">
        <f t="shared" si="48"/>
        <v>0</v>
      </c>
      <c r="I795" s="1">
        <f t="shared" si="49"/>
        <v>0</v>
      </c>
      <c r="J795" s="1">
        <f t="shared" si="50"/>
        <v>0</v>
      </c>
      <c r="K795" s="19">
        <f t="shared" si="51"/>
        <v>0</v>
      </c>
    </row>
    <row r="796" spans="1:11" ht="15">
      <c r="A796" s="3">
        <v>1271</v>
      </c>
      <c r="B796" s="151">
        <v>131</v>
      </c>
      <c r="C796" s="7" t="s">
        <v>13</v>
      </c>
      <c r="D796" s="4" t="s">
        <v>83</v>
      </c>
      <c r="E796" t="s">
        <v>481</v>
      </c>
      <c r="F796" s="12" t="str">
        <f>IFERROR(VLOOKUP(B796,'INSUMOS  JULIO'!$B$6:$CJ$109,27,0),"")</f>
        <v>0</v>
      </c>
      <c r="G796" s="8">
        <f>IFERROR(VLOOKUP($B796,'INSUMOS  JULIO'!$B$6:$CJ$109,28,0),"")</f>
        <v>0</v>
      </c>
      <c r="H796" s="19">
        <f t="shared" si="48"/>
        <v>0</v>
      </c>
      <c r="I796" s="1">
        <f t="shared" si="49"/>
        <v>0</v>
      </c>
      <c r="J796" s="1">
        <f t="shared" si="50"/>
        <v>0</v>
      </c>
      <c r="K796" s="19">
        <f t="shared" si="51"/>
        <v>0</v>
      </c>
    </row>
    <row r="797" spans="1:11" ht="15">
      <c r="A797" s="3">
        <v>1272</v>
      </c>
      <c r="B797" s="151">
        <v>132</v>
      </c>
      <c r="C797" s="7" t="s">
        <v>13</v>
      </c>
      <c r="D797" s="4" t="s">
        <v>84</v>
      </c>
      <c r="E797" t="s">
        <v>481</v>
      </c>
      <c r="F797" s="12" t="str">
        <f>IFERROR(VLOOKUP(B797,'INSUMOS  JULIO'!$B$6:$CJ$109,27,0),"")</f>
        <v>0</v>
      </c>
      <c r="G797" s="8">
        <f>IFERROR(VLOOKUP($B797,'INSUMOS  JULIO'!$B$6:$CJ$109,28,0),"")</f>
        <v>0</v>
      </c>
      <c r="H797" s="19">
        <f t="shared" si="48"/>
        <v>0</v>
      </c>
      <c r="I797" s="1">
        <f t="shared" si="49"/>
        <v>0</v>
      </c>
      <c r="J797" s="1">
        <f t="shared" si="50"/>
        <v>0</v>
      </c>
      <c r="K797" s="19">
        <f t="shared" si="51"/>
        <v>0</v>
      </c>
    </row>
    <row r="798" spans="1:11" ht="15">
      <c r="A798" s="3">
        <v>1273</v>
      </c>
      <c r="B798" s="151">
        <v>134</v>
      </c>
      <c r="C798" s="7" t="s">
        <v>16</v>
      </c>
      <c r="D798" s="4" t="s">
        <v>85</v>
      </c>
      <c r="E798" t="s">
        <v>481</v>
      </c>
      <c r="F798" s="12" t="str">
        <f>IFERROR(VLOOKUP(B798,'INSUMOS  JULIO'!$B$6:$CJ$109,27,0),"")</f>
        <v>0</v>
      </c>
      <c r="G798" s="8">
        <f>IFERROR(VLOOKUP($B798,'INSUMOS  JULIO'!$B$6:$CJ$109,28,0),"")</f>
        <v>0</v>
      </c>
      <c r="H798" s="19">
        <f t="shared" si="48"/>
        <v>0</v>
      </c>
      <c r="I798" s="1">
        <f t="shared" si="49"/>
        <v>0</v>
      </c>
      <c r="J798" s="1">
        <f t="shared" si="50"/>
        <v>0</v>
      </c>
      <c r="K798" s="19">
        <f t="shared" si="51"/>
        <v>0</v>
      </c>
    </row>
    <row r="799" spans="1:11" ht="15">
      <c r="A799" s="3">
        <v>1274</v>
      </c>
      <c r="B799" s="151">
        <v>135</v>
      </c>
      <c r="C799" s="7" t="s">
        <v>18</v>
      </c>
      <c r="D799" s="4" t="s">
        <v>86</v>
      </c>
      <c r="E799" t="s">
        <v>481</v>
      </c>
      <c r="F799" s="12">
        <f>IFERROR(VLOOKUP(B799,'INSUMOS  JULIO'!$B$6:$CJ$109,27,0),"")</f>
        <v>0</v>
      </c>
      <c r="G799" s="8">
        <f>IFERROR(VLOOKUP($B799,'INSUMOS  JULIO'!$B$6:$CJ$109,28,0),"")</f>
        <v>6229.277</v>
      </c>
      <c r="H799" s="19">
        <f t="shared" si="48"/>
        <v>0</v>
      </c>
      <c r="I799" s="1">
        <f t="shared" si="49"/>
        <v>0</v>
      </c>
      <c r="J799" s="1">
        <f t="shared" si="50"/>
        <v>0</v>
      </c>
      <c r="K799" s="19">
        <f t="shared" si="51"/>
        <v>0</v>
      </c>
    </row>
    <row r="800" spans="1:11" ht="15">
      <c r="A800" s="3">
        <v>1275</v>
      </c>
      <c r="B800" s="151">
        <v>137</v>
      </c>
      <c r="C800" s="7" t="s">
        <v>20</v>
      </c>
      <c r="D800" s="4" t="s">
        <v>88</v>
      </c>
      <c r="E800" t="s">
        <v>481</v>
      </c>
      <c r="F800" s="12" t="str">
        <f>IFERROR(VLOOKUP(B800,'INSUMOS  JULIO'!$B$6:$CJ$109,27,0),"")</f>
        <v>0</v>
      </c>
      <c r="G800" s="8">
        <f>IFERROR(VLOOKUP($B800,'INSUMOS  JULIO'!$B$6:$CJ$109,28,0),"")</f>
        <v>1245.4349999999999</v>
      </c>
      <c r="H800" s="19">
        <f t="shared" si="48"/>
        <v>0</v>
      </c>
      <c r="I800" s="1">
        <f t="shared" si="49"/>
        <v>0</v>
      </c>
      <c r="J800" s="1">
        <f t="shared" si="50"/>
        <v>0</v>
      </c>
      <c r="K800" s="19">
        <f t="shared" si="51"/>
        <v>0</v>
      </c>
    </row>
    <row r="801" spans="1:11" ht="15">
      <c r="A801" s="3">
        <v>1276</v>
      </c>
      <c r="B801" s="151">
        <v>139</v>
      </c>
      <c r="C801" s="7" t="s">
        <v>22</v>
      </c>
      <c r="D801" s="4" t="s">
        <v>89</v>
      </c>
      <c r="E801" t="s">
        <v>481</v>
      </c>
      <c r="F801" s="12">
        <f>IFERROR(VLOOKUP(B801,'INSUMOS  JULIO'!$B$6:$CJ$109,27,0),"")</f>
        <v>0</v>
      </c>
      <c r="G801" s="8">
        <f>IFERROR(VLOOKUP($B801,'INSUMOS  JULIO'!$B$6:$CJ$109,28,0),"")</f>
        <v>25429.996000000003</v>
      </c>
      <c r="H801" s="19">
        <f t="shared" si="48"/>
        <v>0</v>
      </c>
      <c r="I801" s="1">
        <f t="shared" si="49"/>
        <v>0</v>
      </c>
      <c r="J801" s="1">
        <f t="shared" si="50"/>
        <v>0</v>
      </c>
      <c r="K801" s="19">
        <f t="shared" si="51"/>
        <v>0</v>
      </c>
    </row>
    <row r="802" spans="1:11" ht="15">
      <c r="A802" s="3">
        <v>1277</v>
      </c>
      <c r="B802" s="151">
        <v>151</v>
      </c>
      <c r="C802" s="7" t="s">
        <v>18</v>
      </c>
      <c r="D802" s="4" t="s">
        <v>91</v>
      </c>
      <c r="E802" t="s">
        <v>481</v>
      </c>
      <c r="F802" s="12">
        <f>IFERROR(VLOOKUP(B802,'INSUMOS  JULIO'!$B$6:$CJ$109,27,0),"")</f>
        <v>25</v>
      </c>
      <c r="G802" s="8">
        <f>IFERROR(VLOOKUP($B802,'INSUMOS  JULIO'!$B$6:$CJ$109,28,0),"")</f>
        <v>4422.6080000000002</v>
      </c>
      <c r="H802" s="19">
        <f t="shared" si="48"/>
        <v>110565.20000000001</v>
      </c>
      <c r="I802" s="1">
        <f t="shared" si="49"/>
        <v>11056.520000000002</v>
      </c>
      <c r="J802" s="1">
        <f t="shared" si="50"/>
        <v>2100.7388000000005</v>
      </c>
      <c r="K802" s="19">
        <f t="shared" si="51"/>
        <v>123722.45880000002</v>
      </c>
    </row>
    <row r="803" spans="1:11" ht="15">
      <c r="A803" s="3">
        <v>1278</v>
      </c>
      <c r="B803" s="151">
        <v>152</v>
      </c>
      <c r="C803" s="7" t="s">
        <v>155</v>
      </c>
      <c r="D803" s="4" t="s">
        <v>92</v>
      </c>
      <c r="E803" t="s">
        <v>481</v>
      </c>
      <c r="F803" s="12" t="str">
        <f>IFERROR(VLOOKUP(B803,'INSUMOS  JULIO'!$B$6:$CJ$109,27,0),"")</f>
        <v>0</v>
      </c>
      <c r="G803" s="8">
        <f>IFERROR(VLOOKUP($B803,'INSUMOS  JULIO'!$B$6:$CJ$109,28,0),"")</f>
        <v>0</v>
      </c>
      <c r="H803" s="19">
        <f t="shared" si="48"/>
        <v>0</v>
      </c>
      <c r="I803" s="1">
        <f t="shared" si="49"/>
        <v>0</v>
      </c>
      <c r="J803" s="1">
        <f t="shared" si="50"/>
        <v>0</v>
      </c>
      <c r="K803" s="19">
        <f t="shared" si="51"/>
        <v>0</v>
      </c>
    </row>
    <row r="804" spans="1:11" ht="15">
      <c r="A804" s="3">
        <v>1279</v>
      </c>
      <c r="B804" s="151">
        <v>154</v>
      </c>
      <c r="C804" s="7" t="s">
        <v>16</v>
      </c>
      <c r="D804" s="4" t="s">
        <v>94</v>
      </c>
      <c r="E804" t="s">
        <v>481</v>
      </c>
      <c r="F804" s="12" t="str">
        <f>IFERROR(VLOOKUP(B804,'INSUMOS  JULIO'!$B$6:$CJ$109,27,0),"")</f>
        <v>0</v>
      </c>
      <c r="G804" s="8">
        <f>IFERROR(VLOOKUP($B804,'INSUMOS  JULIO'!$B$6:$CJ$109,28,0),"")</f>
        <v>0</v>
      </c>
      <c r="H804" s="19">
        <f t="shared" si="48"/>
        <v>0</v>
      </c>
      <c r="I804" s="1">
        <f t="shared" si="49"/>
        <v>0</v>
      </c>
      <c r="J804" s="1">
        <f t="shared" si="50"/>
        <v>0</v>
      </c>
      <c r="K804" s="19">
        <f t="shared" si="51"/>
        <v>0</v>
      </c>
    </row>
    <row r="805" spans="1:11" ht="15">
      <c r="A805" s="3">
        <v>1280</v>
      </c>
      <c r="B805" s="151">
        <v>155</v>
      </c>
      <c r="C805" s="7" t="s">
        <v>27</v>
      </c>
      <c r="D805" s="4" t="s">
        <v>95</v>
      </c>
      <c r="E805" t="s">
        <v>481</v>
      </c>
      <c r="F805" s="12">
        <f>IFERROR(VLOOKUP(B805,'INSUMOS  JULIO'!$B$6:$CJ$109,27,0),"")</f>
        <v>0</v>
      </c>
      <c r="G805" s="8">
        <f>IFERROR(VLOOKUP($B805,'INSUMOS  JULIO'!$B$6:$CJ$109,28,0),"")</f>
        <v>3703.7239999999997</v>
      </c>
      <c r="H805" s="19">
        <f t="shared" si="48"/>
        <v>0</v>
      </c>
      <c r="I805" s="1">
        <f t="shared" si="49"/>
        <v>0</v>
      </c>
      <c r="J805" s="1">
        <f t="shared" si="50"/>
        <v>0</v>
      </c>
      <c r="K805" s="19">
        <f t="shared" si="51"/>
        <v>0</v>
      </c>
    </row>
    <row r="806" spans="1:11" ht="15">
      <c r="A806" s="3">
        <v>1281</v>
      </c>
      <c r="B806" s="151">
        <v>156</v>
      </c>
      <c r="C806" s="7" t="s">
        <v>13</v>
      </c>
      <c r="D806" s="4" t="s">
        <v>96</v>
      </c>
      <c r="E806" t="s">
        <v>481</v>
      </c>
      <c r="F806" s="12" t="str">
        <f>IFERROR(VLOOKUP(B806,'INSUMOS  JULIO'!$B$6:$CJ$109,27,0),"")</f>
        <v>0</v>
      </c>
      <c r="G806" s="8">
        <f>IFERROR(VLOOKUP($B806,'INSUMOS  JULIO'!$B$6:$CJ$109,28,0),"")</f>
        <v>4422.6080000000002</v>
      </c>
      <c r="H806" s="19">
        <f t="shared" si="48"/>
        <v>0</v>
      </c>
      <c r="I806" s="1">
        <f t="shared" si="49"/>
        <v>0</v>
      </c>
      <c r="J806" s="1">
        <f t="shared" si="50"/>
        <v>0</v>
      </c>
      <c r="K806" s="19">
        <f t="shared" si="51"/>
        <v>0</v>
      </c>
    </row>
    <row r="807" spans="1:11" ht="15">
      <c r="A807" s="3">
        <v>1282</v>
      </c>
      <c r="B807" s="151">
        <v>157</v>
      </c>
      <c r="C807" s="7" t="s">
        <v>13</v>
      </c>
      <c r="D807" s="4" t="s">
        <v>97</v>
      </c>
      <c r="E807" t="s">
        <v>481</v>
      </c>
      <c r="F807" s="12">
        <f>IFERROR(VLOOKUP(B807,'INSUMOS  JULIO'!$B$6:$CJ$109,27,0),"")</f>
        <v>0</v>
      </c>
      <c r="G807" s="8">
        <f>IFERROR(VLOOKUP($B807,'INSUMOS  JULIO'!$B$6:$CJ$109,28,0),"")</f>
        <v>5970.7309999999998</v>
      </c>
      <c r="H807" s="19">
        <f t="shared" si="48"/>
        <v>0</v>
      </c>
      <c r="I807" s="1">
        <f t="shared" si="49"/>
        <v>0</v>
      </c>
      <c r="J807" s="1">
        <f t="shared" si="50"/>
        <v>0</v>
      </c>
      <c r="K807" s="19">
        <f t="shared" si="51"/>
        <v>0</v>
      </c>
    </row>
    <row r="808" spans="1:11" ht="15">
      <c r="A808" s="3">
        <v>1283</v>
      </c>
      <c r="B808" s="151">
        <v>159</v>
      </c>
      <c r="C808" s="7" t="s">
        <v>13</v>
      </c>
      <c r="D808" s="4" t="s">
        <v>98</v>
      </c>
      <c r="E808" t="s">
        <v>481</v>
      </c>
      <c r="F808" s="12" t="str">
        <f>IFERROR(VLOOKUP(B808,'INSUMOS  JULIO'!$B$6:$CJ$109,27,0),"")</f>
        <v>0</v>
      </c>
      <c r="G808" s="8">
        <f>IFERROR(VLOOKUP($B808,'INSUMOS  JULIO'!$B$6:$CJ$109,28,0),"")</f>
        <v>0</v>
      </c>
      <c r="H808" s="19">
        <f t="shared" si="48"/>
        <v>0</v>
      </c>
      <c r="I808" s="1">
        <f t="shared" si="49"/>
        <v>0</v>
      </c>
      <c r="J808" s="1">
        <f t="shared" si="50"/>
        <v>0</v>
      </c>
      <c r="K808" s="19">
        <f t="shared" si="51"/>
        <v>0</v>
      </c>
    </row>
    <row r="809" spans="1:11" ht="15">
      <c r="A809" s="3">
        <v>1284</v>
      </c>
      <c r="B809" s="151">
        <v>160</v>
      </c>
      <c r="C809" s="7" t="s">
        <v>13</v>
      </c>
      <c r="D809" s="4" t="s">
        <v>99</v>
      </c>
      <c r="E809" t="s">
        <v>481</v>
      </c>
      <c r="F809" s="12" t="str">
        <f>IFERROR(VLOOKUP(B809,'INSUMOS  JULIO'!$B$6:$CJ$109,27,0),"")</f>
        <v>0</v>
      </c>
      <c r="G809" s="8">
        <f>IFERROR(VLOOKUP($B809,'INSUMOS  JULIO'!$B$6:$CJ$109,28,0),"")</f>
        <v>2276.4660000000003</v>
      </c>
      <c r="H809" s="19">
        <f t="shared" si="48"/>
        <v>0</v>
      </c>
      <c r="I809" s="1">
        <f t="shared" si="49"/>
        <v>0</v>
      </c>
      <c r="J809" s="1">
        <f t="shared" si="50"/>
        <v>0</v>
      </c>
      <c r="K809" s="19">
        <f t="shared" si="51"/>
        <v>0</v>
      </c>
    </row>
    <row r="810" spans="1:11" ht="15">
      <c r="A810" s="3">
        <v>1285</v>
      </c>
      <c r="B810" s="151">
        <v>161</v>
      </c>
      <c r="C810" s="7" t="s">
        <v>33</v>
      </c>
      <c r="D810" s="4" t="s">
        <v>100</v>
      </c>
      <c r="E810" t="s">
        <v>481</v>
      </c>
      <c r="F810" s="12" t="str">
        <f>IFERROR(VLOOKUP(B810,'INSUMOS  JULIO'!$B$6:$CJ$109,27,0),"")</f>
        <v>0</v>
      </c>
      <c r="G810" s="8">
        <f>IFERROR(VLOOKUP($B810,'INSUMOS  JULIO'!$B$6:$CJ$109,28,0),"")</f>
        <v>2236.5280000000002</v>
      </c>
      <c r="H810" s="19">
        <f t="shared" si="48"/>
        <v>0</v>
      </c>
      <c r="I810" s="1">
        <f t="shared" si="49"/>
        <v>0</v>
      </c>
      <c r="J810" s="1">
        <f t="shared" si="50"/>
        <v>0</v>
      </c>
      <c r="K810" s="19">
        <f t="shared" si="51"/>
        <v>0</v>
      </c>
    </row>
    <row r="811" spans="1:11" ht="15">
      <c r="A811" s="3">
        <v>1286</v>
      </c>
      <c r="B811" s="151">
        <v>162</v>
      </c>
      <c r="C811" s="7" t="s">
        <v>16</v>
      </c>
      <c r="D811" s="4" t="s">
        <v>101</v>
      </c>
      <c r="E811" t="s">
        <v>481</v>
      </c>
      <c r="F811" s="12">
        <f>IFERROR(VLOOKUP(B811,'INSUMOS  JULIO'!$B$6:$CJ$109,27,0),"")</f>
        <v>0</v>
      </c>
      <c r="G811" s="8">
        <f>IFERROR(VLOOKUP($B811,'INSUMOS  JULIO'!$B$6:$CJ$109,28,0),"")</f>
        <v>2684.2539999999999</v>
      </c>
      <c r="H811" s="19">
        <f t="shared" si="48"/>
        <v>0</v>
      </c>
      <c r="I811" s="1">
        <f t="shared" si="49"/>
        <v>0</v>
      </c>
      <c r="J811" s="1">
        <f t="shared" si="50"/>
        <v>0</v>
      </c>
      <c r="K811" s="19">
        <f t="shared" si="51"/>
        <v>0</v>
      </c>
    </row>
    <row r="812" spans="1:11" ht="15">
      <c r="A812" s="3">
        <v>1287</v>
      </c>
      <c r="B812" s="151">
        <v>164</v>
      </c>
      <c r="C812" s="7" t="s">
        <v>36</v>
      </c>
      <c r="D812" s="4" t="s">
        <v>102</v>
      </c>
      <c r="E812" t="s">
        <v>481</v>
      </c>
      <c r="F812" s="12" t="str">
        <f>IFERROR(VLOOKUP(B812,'INSUMOS  JULIO'!$B$6:$CJ$109,27,0),"")</f>
        <v>0</v>
      </c>
      <c r="G812" s="8">
        <f>IFERROR(VLOOKUP($B812,'INSUMOS  JULIO'!$B$6:$CJ$109,28,0),"")</f>
        <v>1658.4780000000001</v>
      </c>
      <c r="H812" s="19">
        <f t="shared" si="48"/>
        <v>0</v>
      </c>
      <c r="I812" s="1">
        <f t="shared" si="49"/>
        <v>0</v>
      </c>
      <c r="J812" s="1">
        <f t="shared" si="50"/>
        <v>0</v>
      </c>
      <c r="K812" s="19">
        <f t="shared" si="51"/>
        <v>0</v>
      </c>
    </row>
    <row r="813" spans="1:11" ht="15">
      <c r="A813" s="3">
        <v>1288</v>
      </c>
      <c r="B813" s="151">
        <v>169</v>
      </c>
      <c r="C813" s="7" t="s">
        <v>36</v>
      </c>
      <c r="D813" s="4" t="s">
        <v>104</v>
      </c>
      <c r="E813" t="s">
        <v>481</v>
      </c>
      <c r="F813" s="12" t="str">
        <f>IFERROR(VLOOKUP(B813,'INSUMOS  JULIO'!$B$6:$CJ$109,27,0),"")</f>
        <v>0</v>
      </c>
      <c r="G813" s="8">
        <f>IFERROR(VLOOKUP($B813,'INSUMOS  JULIO'!$B$6:$CJ$109,28,0),"")</f>
        <v>85897.178999999989</v>
      </c>
      <c r="H813" s="19">
        <f t="shared" si="48"/>
        <v>0</v>
      </c>
      <c r="I813" s="1">
        <f t="shared" si="49"/>
        <v>0</v>
      </c>
      <c r="J813" s="1">
        <f t="shared" si="50"/>
        <v>0</v>
      </c>
      <c r="K813" s="19">
        <f t="shared" si="51"/>
        <v>0</v>
      </c>
    </row>
    <row r="814" spans="1:11" ht="15">
      <c r="A814" s="3">
        <v>1289</v>
      </c>
      <c r="B814" s="151">
        <v>170</v>
      </c>
      <c r="C814" s="7" t="s">
        <v>39</v>
      </c>
      <c r="D814" s="4" t="s">
        <v>106</v>
      </c>
      <c r="E814" t="s">
        <v>481</v>
      </c>
      <c r="F814" s="12">
        <f>IFERROR(VLOOKUP(B814,'INSUMOS  JULIO'!$B$6:$CJ$109,27,0),"")</f>
        <v>0</v>
      </c>
      <c r="G814" s="8">
        <f>IFERROR(VLOOKUP($B814,'INSUMOS  JULIO'!$B$6:$CJ$109,28,0),"")</f>
        <v>19405.664000000001</v>
      </c>
      <c r="H814" s="19">
        <f t="shared" si="48"/>
        <v>0</v>
      </c>
      <c r="I814" s="1">
        <f t="shared" si="49"/>
        <v>0</v>
      </c>
      <c r="J814" s="1">
        <f t="shared" si="50"/>
        <v>0</v>
      </c>
      <c r="K814" s="19">
        <f t="shared" si="51"/>
        <v>0</v>
      </c>
    </row>
    <row r="815" spans="1:11" ht="15">
      <c r="A815" s="3">
        <v>1290</v>
      </c>
      <c r="B815" s="151">
        <v>173</v>
      </c>
      <c r="C815" s="7" t="s">
        <v>39</v>
      </c>
      <c r="D815" s="4" t="s">
        <v>107</v>
      </c>
      <c r="E815" t="s">
        <v>481</v>
      </c>
      <c r="F815" s="12" t="str">
        <f>IFERROR(VLOOKUP(B815,'INSUMOS  JULIO'!$B$6:$CJ$109,27,0),"")</f>
        <v>0</v>
      </c>
      <c r="G815" s="8">
        <f>IFERROR(VLOOKUP($B815,'INSUMOS  JULIO'!$B$6:$CJ$109,28,0),"")</f>
        <v>0</v>
      </c>
      <c r="H815" s="19">
        <f t="shared" si="48"/>
        <v>0</v>
      </c>
      <c r="I815" s="1">
        <f t="shared" si="49"/>
        <v>0</v>
      </c>
      <c r="J815" s="1">
        <f t="shared" si="50"/>
        <v>0</v>
      </c>
      <c r="K815" s="19">
        <f t="shared" si="51"/>
        <v>0</v>
      </c>
    </row>
    <row r="816" spans="1:11" ht="15">
      <c r="A816" s="3">
        <v>1291</v>
      </c>
      <c r="B816" s="151">
        <v>174</v>
      </c>
      <c r="C816" s="7" t="s">
        <v>108</v>
      </c>
      <c r="D816" s="4" t="s">
        <v>109</v>
      </c>
      <c r="E816" t="s">
        <v>481</v>
      </c>
      <c r="F816" s="12" t="str">
        <f>IFERROR(VLOOKUP(B816,'INSUMOS  JULIO'!$B$6:$CJ$109,27,0),"")</f>
        <v>0</v>
      </c>
      <c r="G816" s="8">
        <f>IFERROR(VLOOKUP($B816,'INSUMOS  JULIO'!$B$6:$CJ$109,28,0),"")</f>
        <v>6081.0860000000002</v>
      </c>
      <c r="H816" s="19">
        <f t="shared" si="48"/>
        <v>0</v>
      </c>
      <c r="I816" s="1">
        <f t="shared" si="49"/>
        <v>0</v>
      </c>
      <c r="J816" s="1">
        <f t="shared" si="50"/>
        <v>0</v>
      </c>
      <c r="K816" s="19">
        <f t="shared" si="51"/>
        <v>0</v>
      </c>
    </row>
    <row r="817" spans="1:11" ht="15">
      <c r="A817" s="3">
        <v>1292</v>
      </c>
      <c r="B817" s="151">
        <v>176</v>
      </c>
      <c r="C817" s="7" t="s">
        <v>108</v>
      </c>
      <c r="D817" s="4" t="s">
        <v>110</v>
      </c>
      <c r="E817" t="s">
        <v>481</v>
      </c>
      <c r="F817" s="12" t="str">
        <f>IFERROR(VLOOKUP(B817,'INSUMOS  JULIO'!$B$6:$CJ$109,27,0),"")</f>
        <v>0</v>
      </c>
      <c r="G817" s="8">
        <f>IFERROR(VLOOKUP($B817,'INSUMOS  JULIO'!$B$6:$CJ$109,28,0),"")</f>
        <v>2749.4160000000002</v>
      </c>
      <c r="H817" s="19">
        <f t="shared" si="48"/>
        <v>0</v>
      </c>
      <c r="I817" s="1">
        <f t="shared" si="49"/>
        <v>0</v>
      </c>
      <c r="J817" s="1">
        <f t="shared" si="50"/>
        <v>0</v>
      </c>
      <c r="K817" s="19">
        <f t="shared" si="51"/>
        <v>0</v>
      </c>
    </row>
    <row r="818" spans="1:11" ht="15">
      <c r="A818" s="3">
        <v>1293</v>
      </c>
      <c r="B818" s="151">
        <v>192</v>
      </c>
      <c r="C818" s="7" t="s">
        <v>149</v>
      </c>
      <c r="D818" s="4" t="s">
        <v>111</v>
      </c>
      <c r="E818" t="s">
        <v>481</v>
      </c>
      <c r="F818" s="12">
        <f>IFERROR(VLOOKUP(B818,'INSUMOS  JULIO'!$B$6:$CJ$109,27,0),"")</f>
        <v>0</v>
      </c>
      <c r="G818" s="8">
        <f>IFERROR(VLOOKUP($B818,'INSUMOS  JULIO'!$B$6:$CJ$109,28,0),"")</f>
        <v>3930.7400000000002</v>
      </c>
      <c r="H818" s="19">
        <f t="shared" si="48"/>
        <v>0</v>
      </c>
      <c r="I818" s="1">
        <f t="shared" si="49"/>
        <v>0</v>
      </c>
      <c r="J818" s="1">
        <f t="shared" si="50"/>
        <v>0</v>
      </c>
      <c r="K818" s="19">
        <f t="shared" si="51"/>
        <v>0</v>
      </c>
    </row>
    <row r="819" spans="1:11" ht="15">
      <c r="A819" s="3">
        <v>1294</v>
      </c>
      <c r="B819" s="151">
        <v>195</v>
      </c>
      <c r="C819" s="7" t="s">
        <v>151</v>
      </c>
      <c r="D819" s="4" t="s">
        <v>112</v>
      </c>
      <c r="E819" t="s">
        <v>481</v>
      </c>
      <c r="F819" s="12">
        <f>IFERROR(VLOOKUP(B819,'INSUMOS  JULIO'!$B$6:$CJ$109,27,0),"")</f>
        <v>10</v>
      </c>
      <c r="G819" s="8">
        <f>IFERROR(VLOOKUP($B819,'INSUMOS  JULIO'!$B$6:$CJ$109,28,0),"")</f>
        <v>10697.1831</v>
      </c>
      <c r="H819" s="19">
        <f t="shared" si="48"/>
        <v>106971.83100000001</v>
      </c>
      <c r="I819" s="1">
        <f t="shared" si="49"/>
        <v>10697.183100000002</v>
      </c>
      <c r="J819" s="1">
        <f t="shared" si="50"/>
        <v>2032.4647890000003</v>
      </c>
      <c r="K819" s="19">
        <f t="shared" si="51"/>
        <v>119701.47888900001</v>
      </c>
    </row>
    <row r="820" spans="1:11" ht="15">
      <c r="A820" s="3">
        <v>1295</v>
      </c>
      <c r="B820" s="151">
        <v>204</v>
      </c>
      <c r="C820" s="7" t="s">
        <v>46</v>
      </c>
      <c r="D820" s="4" t="s">
        <v>113</v>
      </c>
      <c r="E820" t="s">
        <v>481</v>
      </c>
      <c r="F820" s="12">
        <f>IFERROR(VLOOKUP(B820,'INSUMOS  JULIO'!$B$6:$CJ$109,27,0),"")</f>
        <v>3</v>
      </c>
      <c r="G820" s="8">
        <f>IFERROR(VLOOKUP($B820,'INSUMOS  JULIO'!$B$6:$CJ$109,28,0),"")</f>
        <v>25673.6178</v>
      </c>
      <c r="H820" s="19">
        <f t="shared" si="48"/>
        <v>77020.853399999993</v>
      </c>
      <c r="I820" s="1">
        <f t="shared" si="49"/>
        <v>7702.0853399999996</v>
      </c>
      <c r="J820" s="1">
        <f t="shared" si="50"/>
        <v>1463.3962145999999</v>
      </c>
      <c r="K820" s="19">
        <f t="shared" si="51"/>
        <v>86186.334954599995</v>
      </c>
    </row>
    <row r="821" spans="1:11" ht="27">
      <c r="A821" s="3">
        <v>1296</v>
      </c>
      <c r="B821" s="151">
        <v>205</v>
      </c>
      <c r="C821" s="7" t="s">
        <v>159</v>
      </c>
      <c r="D821" s="4" t="s">
        <v>114</v>
      </c>
      <c r="E821" t="s">
        <v>481</v>
      </c>
      <c r="F821" s="12" t="str">
        <f>IFERROR(VLOOKUP(B821,'INSUMOS  JULIO'!$B$6:$CJ$109,27,0),"")</f>
        <v>0</v>
      </c>
      <c r="G821" s="8">
        <f>IFERROR(VLOOKUP($B821,'INSUMOS  JULIO'!$B$6:$CJ$109,28,0),"")</f>
        <v>17690.432000000001</v>
      </c>
      <c r="H821" s="19">
        <f t="shared" si="48"/>
        <v>0</v>
      </c>
      <c r="I821" s="1">
        <f t="shared" si="49"/>
        <v>0</v>
      </c>
      <c r="J821" s="1">
        <f t="shared" si="50"/>
        <v>0</v>
      </c>
      <c r="K821" s="19">
        <f t="shared" si="51"/>
        <v>0</v>
      </c>
    </row>
    <row r="822" spans="1:11" ht="15">
      <c r="A822" s="3">
        <v>1297</v>
      </c>
      <c r="B822" s="151">
        <v>207</v>
      </c>
      <c r="C822" s="7" t="s">
        <v>159</v>
      </c>
      <c r="D822" s="4" t="s">
        <v>115</v>
      </c>
      <c r="E822" t="s">
        <v>481</v>
      </c>
      <c r="F822" s="12" t="str">
        <f>IFERROR(VLOOKUP(B822,'INSUMOS  JULIO'!$B$6:$CJ$109,27,0),"")</f>
        <v>0</v>
      </c>
      <c r="G822" s="8">
        <f>IFERROR(VLOOKUP($B822,'INSUMOS  JULIO'!$B$6:$CJ$109,28,0),"")</f>
        <v>7186.7380000000003</v>
      </c>
      <c r="H822" s="19">
        <f t="shared" si="48"/>
        <v>0</v>
      </c>
      <c r="I822" s="1">
        <f t="shared" si="49"/>
        <v>0</v>
      </c>
      <c r="J822" s="1">
        <f t="shared" si="50"/>
        <v>0</v>
      </c>
      <c r="K822" s="19">
        <f t="shared" si="51"/>
        <v>0</v>
      </c>
    </row>
    <row r="823" spans="1:11" ht="15">
      <c r="A823" s="3">
        <v>1298</v>
      </c>
      <c r="B823" s="151">
        <v>208</v>
      </c>
      <c r="C823" s="7" t="s">
        <v>159</v>
      </c>
      <c r="D823" s="4" t="s">
        <v>634</v>
      </c>
      <c r="E823" t="s">
        <v>481</v>
      </c>
      <c r="F823" s="12" t="str">
        <f>IFERROR(VLOOKUP(B823,'INSUMOS  JULIO'!$B$6:$CJ$109,27,0),"")</f>
        <v>0</v>
      </c>
      <c r="G823" s="8">
        <f>IFERROR(VLOOKUP($B823,'INSUMOS  JULIO'!$B$6:$CJ$109,28,0),"")</f>
        <v>50779.065000000002</v>
      </c>
      <c r="H823" s="19">
        <f t="shared" si="48"/>
        <v>0</v>
      </c>
      <c r="I823" s="1">
        <f t="shared" si="49"/>
        <v>0</v>
      </c>
      <c r="J823" s="1">
        <f t="shared" si="50"/>
        <v>0</v>
      </c>
      <c r="K823" s="19">
        <f t="shared" si="51"/>
        <v>0</v>
      </c>
    </row>
    <row r="824" spans="1:11" ht="15">
      <c r="A824" s="3">
        <v>1299</v>
      </c>
      <c r="B824" s="151">
        <v>209</v>
      </c>
      <c r="C824" s="7" t="s">
        <v>159</v>
      </c>
      <c r="D824" s="4" t="s">
        <v>635</v>
      </c>
      <c r="E824" t="s">
        <v>481</v>
      </c>
      <c r="F824" s="12" t="str">
        <f>IFERROR(VLOOKUP(B824,'INSUMOS  JULIO'!$B$6:$CJ$109,27,0),"")</f>
        <v>0</v>
      </c>
      <c r="G824" s="8">
        <f>IFERROR(VLOOKUP($B824,'INSUMOS  JULIO'!$B$6:$CJ$109,28,0),"")</f>
        <v>37357.794999999998</v>
      </c>
      <c r="H824" s="19">
        <f t="shared" si="48"/>
        <v>0</v>
      </c>
      <c r="I824" s="1">
        <f t="shared" si="49"/>
        <v>0</v>
      </c>
      <c r="J824" s="1">
        <f t="shared" si="50"/>
        <v>0</v>
      </c>
      <c r="K824" s="19">
        <f t="shared" si="51"/>
        <v>0</v>
      </c>
    </row>
    <row r="825" spans="1:11" ht="15">
      <c r="A825" s="3">
        <v>1300</v>
      </c>
      <c r="B825" s="151">
        <v>210</v>
      </c>
      <c r="C825" s="7" t="s">
        <v>159</v>
      </c>
      <c r="D825" s="4" t="s">
        <v>636</v>
      </c>
      <c r="E825" t="s">
        <v>481</v>
      </c>
      <c r="F825" s="12" t="str">
        <f>IFERROR(VLOOKUP(B825,'INSUMOS  JULIO'!$B$6:$CJ$109,27,0),"")</f>
        <v>0</v>
      </c>
      <c r="G825" s="8">
        <f>IFERROR(VLOOKUP($B825,'INSUMOS  JULIO'!$B$6:$CJ$109,28,0),"")</f>
        <v>22537.643999999997</v>
      </c>
      <c r="H825" s="19">
        <f t="shared" si="48"/>
        <v>0</v>
      </c>
      <c r="I825" s="1">
        <f t="shared" si="49"/>
        <v>0</v>
      </c>
      <c r="J825" s="1">
        <f t="shared" si="50"/>
        <v>0</v>
      </c>
      <c r="K825" s="19">
        <f t="shared" si="51"/>
        <v>0</v>
      </c>
    </row>
    <row r="826" spans="1:11" ht="15">
      <c r="A826" s="3">
        <v>1301</v>
      </c>
      <c r="B826" s="151">
        <v>211</v>
      </c>
      <c r="C826" s="7" t="s">
        <v>53</v>
      </c>
      <c r="D826" s="4" t="s">
        <v>637</v>
      </c>
      <c r="E826" t="s">
        <v>481</v>
      </c>
      <c r="F826" s="12" t="str">
        <f>IFERROR(VLOOKUP(B826,'INSUMOS  JULIO'!$B$6:$CJ$109,27,0),"")</f>
        <v>0</v>
      </c>
      <c r="G826" s="8">
        <f>IFERROR(VLOOKUP($B826,'INSUMOS  JULIO'!$B$6:$CJ$109,28,0),"")</f>
        <v>15992.016</v>
      </c>
      <c r="H826" s="19">
        <f t="shared" si="48"/>
        <v>0</v>
      </c>
      <c r="I826" s="1">
        <f t="shared" si="49"/>
        <v>0</v>
      </c>
      <c r="J826" s="1">
        <f t="shared" si="50"/>
        <v>0</v>
      </c>
      <c r="K826" s="19">
        <f t="shared" si="51"/>
        <v>0</v>
      </c>
    </row>
    <row r="827" spans="1:11" ht="15">
      <c r="A827" s="3">
        <v>1302</v>
      </c>
      <c r="B827" s="151">
        <v>212</v>
      </c>
      <c r="C827" s="7" t="s">
        <v>53</v>
      </c>
      <c r="D827" s="4" t="s">
        <v>116</v>
      </c>
      <c r="E827" t="s">
        <v>481</v>
      </c>
      <c r="F827" s="12" t="str">
        <f>IFERROR(VLOOKUP(B827,'INSUMOS  JULIO'!$B$6:$CJ$109,27,0),"")</f>
        <v>0</v>
      </c>
      <c r="G827" s="8">
        <f>IFERROR(VLOOKUP($B827,'INSUMOS  JULIO'!$B$6:$CJ$109,28,0),"")</f>
        <v>2505.5839999999998</v>
      </c>
      <c r="H827" s="19">
        <f t="shared" si="48"/>
        <v>0</v>
      </c>
      <c r="I827" s="1">
        <f t="shared" si="49"/>
        <v>0</v>
      </c>
      <c r="J827" s="1">
        <f t="shared" si="50"/>
        <v>0</v>
      </c>
      <c r="K827" s="19">
        <f t="shared" si="51"/>
        <v>0</v>
      </c>
    </row>
    <row r="828" spans="1:11" ht="15">
      <c r="A828" s="3">
        <v>1303</v>
      </c>
      <c r="B828" s="151">
        <v>213</v>
      </c>
      <c r="C828" s="7" t="s">
        <v>53</v>
      </c>
      <c r="D828" s="4" t="s">
        <v>638</v>
      </c>
      <c r="E828" t="s">
        <v>481</v>
      </c>
      <c r="F828" s="12" t="str">
        <f>IFERROR(VLOOKUP(B828,'INSUMOS  JULIO'!$B$6:$CJ$109,27,0),"")</f>
        <v>0</v>
      </c>
      <c r="G828" s="8">
        <f>IFERROR(VLOOKUP($B828,'INSUMOS  JULIO'!$B$6:$CJ$109,28,0),"")</f>
        <v>0</v>
      </c>
      <c r="H828" s="19">
        <f t="shared" si="48"/>
        <v>0</v>
      </c>
      <c r="I828" s="1">
        <f t="shared" si="49"/>
        <v>0</v>
      </c>
      <c r="J828" s="1">
        <f t="shared" si="50"/>
        <v>0</v>
      </c>
      <c r="K828" s="19">
        <f t="shared" si="51"/>
        <v>0</v>
      </c>
    </row>
    <row r="829" spans="1:11" ht="15">
      <c r="A829" s="3">
        <v>1304</v>
      </c>
      <c r="B829" s="151">
        <v>215</v>
      </c>
      <c r="C829" s="7" t="s">
        <v>53</v>
      </c>
      <c r="D829" s="4" t="s">
        <v>639</v>
      </c>
      <c r="E829" t="s">
        <v>481</v>
      </c>
      <c r="F829" s="12" t="str">
        <f>IFERROR(VLOOKUP(B829,'INSUMOS  JULIO'!$B$6:$CJ$109,27,0),"")</f>
        <v>0</v>
      </c>
      <c r="G829" s="8">
        <f>IFERROR(VLOOKUP($B829,'INSUMOS  JULIO'!$B$6:$CJ$109,28,0),"")</f>
        <v>10476.367999999999</v>
      </c>
      <c r="H829" s="19">
        <f t="shared" si="48"/>
        <v>0</v>
      </c>
      <c r="I829" s="1">
        <f t="shared" si="49"/>
        <v>0</v>
      </c>
      <c r="J829" s="1">
        <f t="shared" si="50"/>
        <v>0</v>
      </c>
      <c r="K829" s="19">
        <f t="shared" si="51"/>
        <v>0</v>
      </c>
    </row>
    <row r="830" spans="1:11" ht="15">
      <c r="A830" s="3">
        <v>1305</v>
      </c>
      <c r="B830" s="151">
        <v>216</v>
      </c>
      <c r="C830" s="7" t="s">
        <v>160</v>
      </c>
      <c r="D830" s="4" t="s">
        <v>640</v>
      </c>
      <c r="E830" t="s">
        <v>481</v>
      </c>
      <c r="F830" s="12" t="str">
        <f>IFERROR(VLOOKUP(B830,'INSUMOS  JULIO'!$B$6:$CJ$109,27,0),"")</f>
        <v>0</v>
      </c>
      <c r="G830" s="8">
        <f>IFERROR(VLOOKUP($B830,'INSUMOS  JULIO'!$B$6:$CJ$109,28,0),"")</f>
        <v>3954.9129999999996</v>
      </c>
      <c r="H830" s="19">
        <f t="shared" si="48"/>
        <v>0</v>
      </c>
      <c r="I830" s="1">
        <f t="shared" si="49"/>
        <v>0</v>
      </c>
      <c r="J830" s="1">
        <f t="shared" si="50"/>
        <v>0</v>
      </c>
      <c r="K830" s="19">
        <f t="shared" si="51"/>
        <v>0</v>
      </c>
    </row>
    <row r="831" spans="1:11" ht="15">
      <c r="A831" s="3">
        <v>1306</v>
      </c>
      <c r="B831" s="151">
        <v>218</v>
      </c>
      <c r="C831" s="7" t="s">
        <v>160</v>
      </c>
      <c r="D831" s="4" t="s">
        <v>117</v>
      </c>
      <c r="E831" t="s">
        <v>481</v>
      </c>
      <c r="F831" s="12" t="str">
        <f>IFERROR(VLOOKUP(B831,'INSUMOS  JULIO'!$B$6:$CJ$109,27,0),"")</f>
        <v>0</v>
      </c>
      <c r="G831" s="8">
        <f>IFERROR(VLOOKUP($B831,'INSUMOS  JULIO'!$B$6:$CJ$109,28,0),"")</f>
        <v>1437.768</v>
      </c>
      <c r="H831" s="19">
        <f t="shared" si="48"/>
        <v>0</v>
      </c>
      <c r="I831" s="1">
        <f t="shared" si="49"/>
        <v>0</v>
      </c>
      <c r="J831" s="1">
        <f t="shared" si="50"/>
        <v>0</v>
      </c>
      <c r="K831" s="19">
        <f t="shared" si="51"/>
        <v>0</v>
      </c>
    </row>
    <row r="832" spans="1:11" ht="15">
      <c r="A832" s="3">
        <v>1307</v>
      </c>
      <c r="B832" s="151">
        <v>251</v>
      </c>
      <c r="C832" s="7" t="s">
        <v>60</v>
      </c>
      <c r="D832" s="4" t="s">
        <v>118</v>
      </c>
      <c r="E832" t="s">
        <v>481</v>
      </c>
      <c r="F832" s="12" t="str">
        <f>IFERROR(VLOOKUP(B832,'INSUMOS  JULIO'!$B$6:$CJ$109,27,0),"")</f>
        <v>0</v>
      </c>
      <c r="G832" s="8">
        <f>IFERROR(VLOOKUP($B832,'INSUMOS  JULIO'!$B$6:$CJ$109,28,0),"")</f>
        <v>16031.954000000002</v>
      </c>
      <c r="H832" s="19">
        <f t="shared" si="48"/>
        <v>0</v>
      </c>
      <c r="I832" s="1">
        <f t="shared" si="49"/>
        <v>0</v>
      </c>
      <c r="J832" s="1">
        <f t="shared" si="50"/>
        <v>0</v>
      </c>
      <c r="K832" s="19">
        <f t="shared" si="51"/>
        <v>0</v>
      </c>
    </row>
    <row r="833" spans="1:11" ht="15">
      <c r="A833" s="3">
        <v>1308</v>
      </c>
      <c r="B833" s="151">
        <v>255</v>
      </c>
      <c r="C833" s="7" t="s">
        <v>60</v>
      </c>
      <c r="D833" s="4" t="s">
        <v>641</v>
      </c>
      <c r="E833" t="s">
        <v>481</v>
      </c>
      <c r="F833" s="12" t="str">
        <f>IFERROR(VLOOKUP(B833,'INSUMOS  JULIO'!$B$6:$CJ$109,27,0),"")</f>
        <v>0</v>
      </c>
      <c r="G833" s="8">
        <f>IFERROR(VLOOKUP($B833,'INSUMOS  JULIO'!$B$6:$CJ$109,28,0),"")</f>
        <v>29299.777999999998</v>
      </c>
      <c r="H833" s="19">
        <f t="shared" si="48"/>
        <v>0</v>
      </c>
      <c r="I833" s="1">
        <f t="shared" si="49"/>
        <v>0</v>
      </c>
      <c r="J833" s="1">
        <f t="shared" si="50"/>
        <v>0</v>
      </c>
      <c r="K833" s="19">
        <f t="shared" si="51"/>
        <v>0</v>
      </c>
    </row>
    <row r="834" spans="1:11" ht="15">
      <c r="A834" s="3">
        <v>1309</v>
      </c>
      <c r="B834" s="151">
        <v>257</v>
      </c>
      <c r="C834" s="7" t="s">
        <v>151</v>
      </c>
      <c r="D834" s="4" t="s">
        <v>642</v>
      </c>
      <c r="E834" t="s">
        <v>481</v>
      </c>
      <c r="F834" s="12" t="str">
        <f>IFERROR(VLOOKUP(B834,'INSUMOS  JULIO'!$B$6:$CJ$109,27,0),"")</f>
        <v>0</v>
      </c>
      <c r="G834" s="8">
        <f>IFERROR(VLOOKUP($B834,'INSUMOS  JULIO'!$B$6:$CJ$109,28,0),"")</f>
        <v>18796.084000000003</v>
      </c>
      <c r="H834" s="19">
        <f t="shared" si="48"/>
        <v>0</v>
      </c>
      <c r="I834" s="1">
        <f t="shared" si="49"/>
        <v>0</v>
      </c>
      <c r="J834" s="1">
        <f t="shared" si="50"/>
        <v>0</v>
      </c>
      <c r="K834" s="19">
        <f t="shared" si="51"/>
        <v>0</v>
      </c>
    </row>
    <row r="835" spans="1:11" ht="15">
      <c r="A835" s="3">
        <v>1310</v>
      </c>
      <c r="B835" s="151">
        <v>260</v>
      </c>
      <c r="C835" s="7" t="s">
        <v>160</v>
      </c>
      <c r="D835" s="4" t="s">
        <v>643</v>
      </c>
      <c r="E835" t="s">
        <v>481</v>
      </c>
      <c r="F835" s="12" t="str">
        <f>IFERROR(VLOOKUP(B835,'INSUMOS  JULIO'!$B$6:$CJ$109,27,0),"")</f>
        <v>0</v>
      </c>
      <c r="G835" s="8">
        <f>IFERROR(VLOOKUP($B835,'INSUMOS  JULIO'!$B$6:$CJ$109,28,0),"")</f>
        <v>3417.8520000000008</v>
      </c>
      <c r="H835" s="19">
        <f t="shared" si="48"/>
        <v>0</v>
      </c>
      <c r="I835" s="1">
        <f t="shared" si="49"/>
        <v>0</v>
      </c>
      <c r="J835" s="1">
        <f t="shared" si="50"/>
        <v>0</v>
      </c>
      <c r="K835" s="19">
        <f t="shared" si="51"/>
        <v>0</v>
      </c>
    </row>
    <row r="836" spans="1:11" ht="15">
      <c r="A836" s="3">
        <v>1311</v>
      </c>
      <c r="B836" s="151">
        <v>291</v>
      </c>
      <c r="C836" s="7" t="s">
        <v>60</v>
      </c>
      <c r="D836" s="4" t="s">
        <v>644</v>
      </c>
      <c r="E836" t="s">
        <v>481</v>
      </c>
      <c r="F836" s="12" t="str">
        <f>IFERROR(VLOOKUP(B836,'INSUMOS  JULIO'!$B$6:$CJ$109,27,0),"")</f>
        <v>0</v>
      </c>
      <c r="G836" s="8">
        <f>IFERROR(VLOOKUP($B836,'INSUMOS  JULIO'!$B$6:$CJ$109,28,0),"")</f>
        <v>20454.562000000005</v>
      </c>
      <c r="H836" s="19">
        <f t="shared" si="48"/>
        <v>0</v>
      </c>
      <c r="I836" s="1">
        <f t="shared" si="49"/>
        <v>0</v>
      </c>
      <c r="J836" s="1">
        <f t="shared" si="50"/>
        <v>0</v>
      </c>
      <c r="K836" s="19">
        <f t="shared" si="51"/>
        <v>0</v>
      </c>
    </row>
    <row r="837" spans="1:11" ht="15">
      <c r="A837" s="3">
        <v>1312</v>
      </c>
      <c r="B837" s="151">
        <v>3</v>
      </c>
      <c r="C837" s="7" t="s">
        <v>155</v>
      </c>
      <c r="D837" s="4" t="s">
        <v>5</v>
      </c>
      <c r="E837" t="s">
        <v>482</v>
      </c>
      <c r="F837" s="12" t="str">
        <f>IFERROR(VLOOKUP($B837,'INSUMOS  JULIO'!$B$6:$CJ$109,30,0),"")</f>
        <v>0</v>
      </c>
      <c r="G837" s="8">
        <f>IFERROR(VLOOKUP($B837,'INSUMOS  JULIO'!$B$6:$CJ$109,31,0),"")</f>
        <v>7268.7160000000003</v>
      </c>
      <c r="H837" s="19">
        <f t="shared" si="48"/>
        <v>0</v>
      </c>
      <c r="I837" s="1">
        <f t="shared" si="49"/>
        <v>0</v>
      </c>
      <c r="J837" s="1">
        <f t="shared" si="50"/>
        <v>0</v>
      </c>
      <c r="K837" s="19">
        <f t="shared" si="51"/>
        <v>0</v>
      </c>
    </row>
    <row r="838" spans="1:11" ht="15">
      <c r="A838" s="3">
        <v>1313</v>
      </c>
      <c r="B838" s="151">
        <v>5</v>
      </c>
      <c r="C838" s="7" t="s">
        <v>6</v>
      </c>
      <c r="D838" s="4" t="s">
        <v>7</v>
      </c>
      <c r="E838" t="s">
        <v>482</v>
      </c>
      <c r="F838" s="12" t="str">
        <f>IFERROR(VLOOKUP(B838,'INSUMOS  JULIO'!$B$6:$CJ$109,30,0),"")</f>
        <v>0</v>
      </c>
      <c r="G838" s="8">
        <f>IFERROR(VLOOKUP($B838,'INSUMOS  JULIO'!$B$6:$CJ$109,31,0),"")</f>
        <v>6494.1289999999999</v>
      </c>
      <c r="H838" s="19">
        <f t="shared" ref="H838:H901" si="52">+F838*G838</f>
        <v>0</v>
      </c>
      <c r="I838" s="1">
        <f t="shared" ref="I838:I901" si="53">+H838*10%</f>
        <v>0</v>
      </c>
      <c r="J838" s="1">
        <f t="shared" ref="J838:J901" si="54">+I838*19%</f>
        <v>0</v>
      </c>
      <c r="K838" s="19">
        <f t="shared" ref="K838:K901" si="55">SUM(H838:J838)</f>
        <v>0</v>
      </c>
    </row>
    <row r="839" spans="1:11" ht="15">
      <c r="A839" s="3">
        <v>1314</v>
      </c>
      <c r="B839" s="151">
        <v>8</v>
      </c>
      <c r="C839" s="7" t="s">
        <v>6</v>
      </c>
      <c r="D839" s="4" t="s">
        <v>8</v>
      </c>
      <c r="E839" t="s">
        <v>482</v>
      </c>
      <c r="F839" s="12">
        <f>IFERROR(VLOOKUP(B839,'INSUMOS  JULIO'!$B$6:$CJ$109,30,0),"")</f>
        <v>0</v>
      </c>
      <c r="G839" s="8">
        <f>IFERROR(VLOOKUP($B839,'INSUMOS  JULIO'!$B$6:$CJ$109,31,0),"")</f>
        <v>2211.3040000000001</v>
      </c>
      <c r="H839" s="19">
        <f t="shared" si="52"/>
        <v>0</v>
      </c>
      <c r="I839" s="1">
        <f t="shared" si="53"/>
        <v>0</v>
      </c>
      <c r="J839" s="1">
        <f t="shared" si="54"/>
        <v>0</v>
      </c>
      <c r="K839" s="19">
        <f t="shared" si="55"/>
        <v>0</v>
      </c>
    </row>
    <row r="840" spans="1:11" ht="15">
      <c r="A840" s="3">
        <v>1315</v>
      </c>
      <c r="B840" s="151">
        <v>9</v>
      </c>
      <c r="C840" s="7" t="s">
        <v>9</v>
      </c>
      <c r="D840" s="4" t="s">
        <v>10</v>
      </c>
      <c r="E840" t="s">
        <v>482</v>
      </c>
      <c r="F840" s="12">
        <f>IFERROR(VLOOKUP(B840,'INSUMOS  JULIO'!$B$6:$CJ$109,30,0),"")</f>
        <v>0</v>
      </c>
      <c r="G840" s="8">
        <f>IFERROR(VLOOKUP($B840,'INSUMOS  JULIO'!$B$6:$CJ$109,31,0),"")</f>
        <v>3298.0379999999996</v>
      </c>
      <c r="H840" s="19">
        <f t="shared" si="52"/>
        <v>0</v>
      </c>
      <c r="I840" s="1">
        <f t="shared" si="53"/>
        <v>0</v>
      </c>
      <c r="J840" s="1">
        <f t="shared" si="54"/>
        <v>0</v>
      </c>
      <c r="K840" s="19">
        <f t="shared" si="55"/>
        <v>0</v>
      </c>
    </row>
    <row r="841" spans="1:11" ht="15">
      <c r="A841" s="3">
        <v>1316</v>
      </c>
      <c r="B841" s="151">
        <v>11</v>
      </c>
      <c r="C841" s="7" t="s">
        <v>156</v>
      </c>
      <c r="D841" s="4" t="s">
        <v>11</v>
      </c>
      <c r="E841" t="s">
        <v>482</v>
      </c>
      <c r="F841" s="12" t="str">
        <f>IFERROR(VLOOKUP(B841,'INSUMOS  JULIO'!$B$6:$CJ$109,30,0),"")</f>
        <v>0</v>
      </c>
      <c r="G841" s="8">
        <f>IFERROR(VLOOKUP($B841,'INSUMOS  JULIO'!$B$6:$CJ$109,31,0),"")</f>
        <v>7739.5639999999985</v>
      </c>
      <c r="H841" s="19">
        <f t="shared" si="52"/>
        <v>0</v>
      </c>
      <c r="I841" s="1">
        <f t="shared" si="53"/>
        <v>0</v>
      </c>
      <c r="J841" s="1">
        <f t="shared" si="54"/>
        <v>0</v>
      </c>
      <c r="K841" s="19">
        <f t="shared" si="55"/>
        <v>0</v>
      </c>
    </row>
    <row r="842" spans="1:11" ht="15">
      <c r="A842" s="3">
        <v>1317</v>
      </c>
      <c r="B842" s="151">
        <v>13</v>
      </c>
      <c r="C842" s="7" t="s">
        <v>157</v>
      </c>
      <c r="D842" s="4" t="s">
        <v>12</v>
      </c>
      <c r="E842" t="s">
        <v>482</v>
      </c>
      <c r="F842" s="12">
        <f>IFERROR(VLOOKUP(B842,'INSUMOS  JULIO'!$B$6:$CJ$109,30,0),"")</f>
        <v>0</v>
      </c>
      <c r="G842" s="8">
        <f>IFERROR(VLOOKUP($B842,'INSUMOS  JULIO'!$B$6:$CJ$109,31,0),"")</f>
        <v>6507.7919999999995</v>
      </c>
      <c r="H842" s="19">
        <f t="shared" si="52"/>
        <v>0</v>
      </c>
      <c r="I842" s="1">
        <f t="shared" si="53"/>
        <v>0</v>
      </c>
      <c r="J842" s="1">
        <f t="shared" si="54"/>
        <v>0</v>
      </c>
      <c r="K842" s="19">
        <f t="shared" si="55"/>
        <v>0</v>
      </c>
    </row>
    <row r="843" spans="1:11" ht="15">
      <c r="A843" s="3">
        <v>1318</v>
      </c>
      <c r="B843" s="151">
        <v>17</v>
      </c>
      <c r="C843" s="7" t="s">
        <v>13</v>
      </c>
      <c r="D843" s="4" t="s">
        <v>14</v>
      </c>
      <c r="E843" t="s">
        <v>482</v>
      </c>
      <c r="F843" s="12">
        <f>IFERROR(VLOOKUP(B843,'INSUMOS  JULIO'!$B$6:$CJ$109,30,0),"")</f>
        <v>3</v>
      </c>
      <c r="G843" s="8">
        <f>IFERROR(VLOOKUP($B843,'INSUMOS  JULIO'!$B$6:$CJ$109,31,0),"")</f>
        <v>5647.0229999999992</v>
      </c>
      <c r="H843" s="19">
        <f t="shared" si="52"/>
        <v>16941.068999999996</v>
      </c>
      <c r="I843" s="1">
        <f t="shared" si="53"/>
        <v>1694.1068999999998</v>
      </c>
      <c r="J843" s="1">
        <f t="shared" si="54"/>
        <v>321.88031099999995</v>
      </c>
      <c r="K843" s="19">
        <f t="shared" si="55"/>
        <v>18957.056210999996</v>
      </c>
    </row>
    <row r="844" spans="1:11" ht="15">
      <c r="A844" s="3">
        <v>1319</v>
      </c>
      <c r="B844" s="151">
        <v>20</v>
      </c>
      <c r="C844" s="7" t="s">
        <v>13</v>
      </c>
      <c r="D844" s="4" t="s">
        <v>15</v>
      </c>
      <c r="E844" t="s">
        <v>482</v>
      </c>
      <c r="F844" s="12">
        <f>IFERROR(VLOOKUP(B844,'INSUMOS  JULIO'!$B$6:$CJ$109,30,0),"")</f>
        <v>0</v>
      </c>
      <c r="G844" s="8">
        <f>IFERROR(VLOOKUP($B844,'INSUMOS  JULIO'!$B$6:$CJ$109,31,0),"")</f>
        <v>0</v>
      </c>
      <c r="H844" s="19">
        <f t="shared" si="52"/>
        <v>0</v>
      </c>
      <c r="I844" s="1">
        <f t="shared" si="53"/>
        <v>0</v>
      </c>
      <c r="J844" s="1">
        <f t="shared" si="54"/>
        <v>0</v>
      </c>
      <c r="K844" s="19">
        <f t="shared" si="55"/>
        <v>0</v>
      </c>
    </row>
    <row r="845" spans="1:11" ht="15">
      <c r="A845" s="3">
        <v>1356</v>
      </c>
      <c r="B845" s="151">
        <v>21</v>
      </c>
      <c r="C845" s="7" t="s">
        <v>16</v>
      </c>
      <c r="D845" s="4" t="s">
        <v>17</v>
      </c>
      <c r="E845" t="s">
        <v>482</v>
      </c>
      <c r="F845" s="12">
        <f>IFERROR(VLOOKUP(B845,'INSUMOS  JULIO'!$B$6:$CJ$109,30,0),"")</f>
        <v>0</v>
      </c>
      <c r="G845" s="8">
        <f>IFERROR(VLOOKUP($B845,'INSUMOS  JULIO'!$B$6:$CJ$109,31,0),"")</f>
        <v>5932.8950000000013</v>
      </c>
      <c r="H845" s="19">
        <f t="shared" si="52"/>
        <v>0</v>
      </c>
      <c r="I845" s="1">
        <f t="shared" si="53"/>
        <v>0</v>
      </c>
      <c r="J845" s="1">
        <f t="shared" si="54"/>
        <v>0</v>
      </c>
      <c r="K845" s="19">
        <f t="shared" si="55"/>
        <v>0</v>
      </c>
    </row>
    <row r="846" spans="1:11" ht="15">
      <c r="A846" s="3">
        <v>1357</v>
      </c>
      <c r="B846" s="151">
        <v>28</v>
      </c>
      <c r="C846" s="7" t="s">
        <v>18</v>
      </c>
      <c r="D846" s="4" t="s">
        <v>19</v>
      </c>
      <c r="E846" t="s">
        <v>482</v>
      </c>
      <c r="F846" s="12">
        <f>IFERROR(VLOOKUP(B846,'INSUMOS  JULIO'!$B$6:$CJ$109,30,0),"")</f>
        <v>0</v>
      </c>
      <c r="G846" s="8">
        <f>IFERROR(VLOOKUP($B846,'INSUMOS  JULIO'!$B$6:$CJ$109,31,0),"")</f>
        <v>2764.13</v>
      </c>
      <c r="H846" s="19">
        <f t="shared" si="52"/>
        <v>0</v>
      </c>
      <c r="I846" s="1">
        <f t="shared" si="53"/>
        <v>0</v>
      </c>
      <c r="J846" s="1">
        <f t="shared" si="54"/>
        <v>0</v>
      </c>
      <c r="K846" s="19">
        <f t="shared" si="55"/>
        <v>0</v>
      </c>
    </row>
    <row r="847" spans="1:11" ht="15">
      <c r="A847" s="3">
        <v>1358</v>
      </c>
      <c r="B847" s="151">
        <v>29</v>
      </c>
      <c r="C847" s="7" t="s">
        <v>20</v>
      </c>
      <c r="D847" s="4" t="s">
        <v>21</v>
      </c>
      <c r="E847" t="s">
        <v>482</v>
      </c>
      <c r="F847" s="12" t="str">
        <f>IFERROR(VLOOKUP(B847,'INSUMOS  JULIO'!$B$6:$CJ$109,30,0),"")</f>
        <v>0</v>
      </c>
      <c r="G847" s="8">
        <f>IFERROR(VLOOKUP($B847,'INSUMOS  JULIO'!$B$6:$CJ$109,31,0),"")</f>
        <v>4829.3450000000012</v>
      </c>
      <c r="H847" s="19">
        <f t="shared" si="52"/>
        <v>0</v>
      </c>
      <c r="I847" s="1">
        <f t="shared" si="53"/>
        <v>0</v>
      </c>
      <c r="J847" s="1">
        <f t="shared" si="54"/>
        <v>0</v>
      </c>
      <c r="K847" s="19">
        <f t="shared" si="55"/>
        <v>0</v>
      </c>
    </row>
    <row r="848" spans="1:11" ht="15">
      <c r="A848" s="3">
        <v>1359</v>
      </c>
      <c r="B848" s="151">
        <v>32</v>
      </c>
      <c r="C848" s="7" t="s">
        <v>22</v>
      </c>
      <c r="D848" s="4" t="s">
        <v>23</v>
      </c>
      <c r="E848" t="s">
        <v>482</v>
      </c>
      <c r="F848" s="12">
        <f>IFERROR(VLOOKUP(B848,'INSUMOS  JULIO'!$B$6:$CJ$109,30,0),"")</f>
        <v>3</v>
      </c>
      <c r="G848" s="8">
        <f>IFERROR(VLOOKUP($B848,'INSUMOS  JULIO'!$B$6:$CJ$109,31,0),"")</f>
        <v>4115.7160000000003</v>
      </c>
      <c r="H848" s="19">
        <f t="shared" si="52"/>
        <v>12347.148000000001</v>
      </c>
      <c r="I848" s="1">
        <f t="shared" si="53"/>
        <v>1234.7148000000002</v>
      </c>
      <c r="J848" s="1">
        <f t="shared" si="54"/>
        <v>234.59581200000005</v>
      </c>
      <c r="K848" s="19">
        <f t="shared" si="55"/>
        <v>13816.458612</v>
      </c>
    </row>
    <row r="849" spans="1:11" ht="15">
      <c r="A849" s="3">
        <v>1360</v>
      </c>
      <c r="B849" s="151">
        <v>38</v>
      </c>
      <c r="C849" s="7" t="s">
        <v>18</v>
      </c>
      <c r="D849" s="4" t="s">
        <v>24</v>
      </c>
      <c r="E849" t="s">
        <v>482</v>
      </c>
      <c r="F849" s="12" t="str">
        <f>IFERROR(VLOOKUP(B849,'INSUMOS  JULIO'!$B$6:$CJ$109,30,0),"")</f>
        <v>0</v>
      </c>
      <c r="G849" s="8">
        <f>IFERROR(VLOOKUP($B849,'INSUMOS  JULIO'!$B$6:$CJ$109,31,0),"")</f>
        <v>11100.662</v>
      </c>
      <c r="H849" s="19">
        <f t="shared" si="52"/>
        <v>0</v>
      </c>
      <c r="I849" s="1">
        <f t="shared" si="53"/>
        <v>0</v>
      </c>
      <c r="J849" s="1">
        <f t="shared" si="54"/>
        <v>0</v>
      </c>
      <c r="K849" s="19">
        <f t="shared" si="55"/>
        <v>0</v>
      </c>
    </row>
    <row r="850" spans="1:11" ht="15">
      <c r="A850" s="3">
        <v>1361</v>
      </c>
      <c r="B850" s="151">
        <v>41</v>
      </c>
      <c r="C850" s="7" t="s">
        <v>155</v>
      </c>
      <c r="D850" s="4" t="s">
        <v>25</v>
      </c>
      <c r="E850" t="s">
        <v>482</v>
      </c>
      <c r="F850" s="12" t="str">
        <f>IFERROR(VLOOKUP(B850,'INSUMOS  JULIO'!$B$6:$CJ$109,30,0),"")</f>
        <v>0</v>
      </c>
      <c r="G850" s="8">
        <f>IFERROR(VLOOKUP($B850,'INSUMOS  JULIO'!$B$6:$CJ$109,31,0),"")</f>
        <v>7034.3429999999989</v>
      </c>
      <c r="H850" s="19">
        <f t="shared" si="52"/>
        <v>0</v>
      </c>
      <c r="I850" s="1">
        <f t="shared" si="53"/>
        <v>0</v>
      </c>
      <c r="J850" s="1">
        <f t="shared" si="54"/>
        <v>0</v>
      </c>
      <c r="K850" s="19">
        <f t="shared" si="55"/>
        <v>0</v>
      </c>
    </row>
    <row r="851" spans="1:11" ht="15">
      <c r="A851" s="3">
        <v>1362</v>
      </c>
      <c r="B851" s="151">
        <v>44</v>
      </c>
      <c r="C851" s="7" t="s">
        <v>16</v>
      </c>
      <c r="D851" s="4" t="s">
        <v>26</v>
      </c>
      <c r="E851" t="s">
        <v>482</v>
      </c>
      <c r="F851" s="12">
        <f>IFERROR(VLOOKUP(B851,'INSUMOS  JULIO'!$B$6:$CJ$109,30,0),"")</f>
        <v>0</v>
      </c>
      <c r="G851" s="8">
        <f>IFERROR(VLOOKUP($B851,'INSUMOS  JULIO'!$B$6:$CJ$109,31,0),"")</f>
        <v>2787.2520000000004</v>
      </c>
      <c r="H851" s="19">
        <f t="shared" si="52"/>
        <v>0</v>
      </c>
      <c r="I851" s="1">
        <f t="shared" si="53"/>
        <v>0</v>
      </c>
      <c r="J851" s="1">
        <f t="shared" si="54"/>
        <v>0</v>
      </c>
      <c r="K851" s="19">
        <f t="shared" si="55"/>
        <v>0</v>
      </c>
    </row>
    <row r="852" spans="1:11" ht="15">
      <c r="A852" s="3">
        <v>1363</v>
      </c>
      <c r="B852" s="151">
        <v>46</v>
      </c>
      <c r="C852" s="7" t="s">
        <v>27</v>
      </c>
      <c r="D852" s="4" t="s">
        <v>28</v>
      </c>
      <c r="E852" t="s">
        <v>482</v>
      </c>
      <c r="F852" s="12" t="str">
        <f>IFERROR(VLOOKUP(B852,'INSUMOS  JULIO'!$B$6:$CJ$109,30,0),"")</f>
        <v>0</v>
      </c>
      <c r="G852" s="8">
        <f>IFERROR(VLOOKUP($B852,'INSUMOS  JULIO'!$B$6:$CJ$109,31,0),"")</f>
        <v>7739.5640000000021</v>
      </c>
      <c r="H852" s="19">
        <f t="shared" si="52"/>
        <v>0</v>
      </c>
      <c r="I852" s="1">
        <f t="shared" si="53"/>
        <v>0</v>
      </c>
      <c r="J852" s="1">
        <f t="shared" si="54"/>
        <v>0</v>
      </c>
      <c r="K852" s="19">
        <f t="shared" si="55"/>
        <v>0</v>
      </c>
    </row>
    <row r="853" spans="1:11" ht="15">
      <c r="A853" s="3">
        <v>1364</v>
      </c>
      <c r="B853" s="151">
        <v>50</v>
      </c>
      <c r="C853" s="7" t="s">
        <v>13</v>
      </c>
      <c r="D853" s="4" t="s">
        <v>29</v>
      </c>
      <c r="E853" t="s">
        <v>482</v>
      </c>
      <c r="F853" s="12">
        <f>IFERROR(VLOOKUP(B853,'INSUMOS  JULIO'!$B$6:$CJ$109,30,0),"")</f>
        <v>5</v>
      </c>
      <c r="G853" s="8">
        <f>IFERROR(VLOOKUP($B853,'INSUMOS  JULIO'!$B$6:$CJ$109,31,0),"")</f>
        <v>38567.495999999999</v>
      </c>
      <c r="H853" s="19">
        <f t="shared" si="52"/>
        <v>192837.47999999998</v>
      </c>
      <c r="I853" s="1">
        <f t="shared" si="53"/>
        <v>19283.748</v>
      </c>
      <c r="J853" s="1">
        <f t="shared" si="54"/>
        <v>3663.91212</v>
      </c>
      <c r="K853" s="19">
        <f t="shared" si="55"/>
        <v>215785.14011999997</v>
      </c>
    </row>
    <row r="854" spans="1:11" ht="15">
      <c r="A854" s="3">
        <v>1365</v>
      </c>
      <c r="B854" s="151">
        <v>51</v>
      </c>
      <c r="C854" s="7" t="s">
        <v>13</v>
      </c>
      <c r="D854" s="4" t="s">
        <v>30</v>
      </c>
      <c r="E854" t="s">
        <v>482</v>
      </c>
      <c r="F854" s="12" t="str">
        <f>IFERROR(VLOOKUP(B854,'INSUMOS  JULIO'!$B$6:$CJ$109,30,0),"")</f>
        <v>0</v>
      </c>
      <c r="G854" s="8">
        <f>IFERROR(VLOOKUP($B854,'INSUMOS  JULIO'!$B$6:$CJ$109,31,0),"")</f>
        <v>7739.5640000000021</v>
      </c>
      <c r="H854" s="19">
        <f t="shared" si="52"/>
        <v>0</v>
      </c>
      <c r="I854" s="1">
        <f t="shared" si="53"/>
        <v>0</v>
      </c>
      <c r="J854" s="1">
        <f t="shared" si="54"/>
        <v>0</v>
      </c>
      <c r="K854" s="19">
        <f t="shared" si="55"/>
        <v>0</v>
      </c>
    </row>
    <row r="855" spans="1:11" ht="15">
      <c r="A855" s="3">
        <v>1366</v>
      </c>
      <c r="B855" s="151">
        <v>52</v>
      </c>
      <c r="C855" s="7" t="s">
        <v>13</v>
      </c>
      <c r="D855" s="4" t="s">
        <v>31</v>
      </c>
      <c r="E855" t="s">
        <v>482</v>
      </c>
      <c r="F855" s="12">
        <f>IFERROR(VLOOKUP(B855,'INSUMOS  JULIO'!$B$6:$CJ$109,30,0),"")</f>
        <v>0</v>
      </c>
      <c r="G855" s="8">
        <f>IFERROR(VLOOKUP($B855,'INSUMOS  JULIO'!$B$6:$CJ$109,31,0),"")</f>
        <v>6412.1509999999998</v>
      </c>
      <c r="H855" s="19">
        <f t="shared" si="52"/>
        <v>0</v>
      </c>
      <c r="I855" s="1">
        <f t="shared" si="53"/>
        <v>0</v>
      </c>
      <c r="J855" s="1">
        <f t="shared" si="54"/>
        <v>0</v>
      </c>
      <c r="K855" s="19">
        <f t="shared" si="55"/>
        <v>0</v>
      </c>
    </row>
    <row r="856" spans="1:11" ht="15">
      <c r="A856" s="3">
        <v>1367</v>
      </c>
      <c r="B856" s="151">
        <v>54</v>
      </c>
      <c r="C856" s="7" t="s">
        <v>13</v>
      </c>
      <c r="D856" s="4" t="s">
        <v>32</v>
      </c>
      <c r="E856" t="s">
        <v>482</v>
      </c>
      <c r="F856" s="12">
        <f>IFERROR(VLOOKUP(B856,'INSUMOS  JULIO'!$B$6:$CJ$109,30,0),"")</f>
        <v>0</v>
      </c>
      <c r="G856" s="8">
        <f>IFERROR(VLOOKUP($B856,'INSUMOS  JULIO'!$B$6:$CJ$109,31,0),"")</f>
        <v>5359.049</v>
      </c>
      <c r="H856" s="19">
        <f t="shared" si="52"/>
        <v>0</v>
      </c>
      <c r="I856" s="1">
        <f t="shared" si="53"/>
        <v>0</v>
      </c>
      <c r="J856" s="1">
        <f t="shared" si="54"/>
        <v>0</v>
      </c>
      <c r="K856" s="19">
        <f t="shared" si="55"/>
        <v>0</v>
      </c>
    </row>
    <row r="857" spans="1:11" ht="15">
      <c r="A857" s="3">
        <v>1368</v>
      </c>
      <c r="B857" s="151">
        <v>57</v>
      </c>
      <c r="C857" s="7" t="s">
        <v>33</v>
      </c>
      <c r="D857" s="4" t="s">
        <v>34</v>
      </c>
      <c r="E857" t="s">
        <v>482</v>
      </c>
      <c r="F857" s="12">
        <f>IFERROR(VLOOKUP(B857,'INSUMOS  JULIO'!$B$6:$CJ$109,30,0),"")</f>
        <v>0</v>
      </c>
      <c r="G857" s="8">
        <f>IFERROR(VLOOKUP($B857,'INSUMOS  JULIO'!$B$6:$CJ$109,31,0),"")</f>
        <v>12823.251000000004</v>
      </c>
      <c r="H857" s="19">
        <f t="shared" si="52"/>
        <v>0</v>
      </c>
      <c r="I857" s="1">
        <f t="shared" si="53"/>
        <v>0</v>
      </c>
      <c r="J857" s="1">
        <f t="shared" si="54"/>
        <v>0</v>
      </c>
      <c r="K857" s="19">
        <f t="shared" si="55"/>
        <v>0</v>
      </c>
    </row>
    <row r="858" spans="1:11" ht="15">
      <c r="A858" s="3">
        <v>1369</v>
      </c>
      <c r="B858" s="151">
        <v>59</v>
      </c>
      <c r="C858" s="7" t="s">
        <v>16</v>
      </c>
      <c r="D858" s="4" t="s">
        <v>35</v>
      </c>
      <c r="E858" t="s">
        <v>482</v>
      </c>
      <c r="F858" s="12" t="str">
        <f>IFERROR(VLOOKUP(B858,'INSUMOS  JULIO'!$B$6:$CJ$109,30,0),"")</f>
        <v>0</v>
      </c>
      <c r="G858" s="8">
        <f>IFERROR(VLOOKUP($B858,'INSUMOS  JULIO'!$B$6:$CJ$109,31,0),"")</f>
        <v>5528.260000000002</v>
      </c>
      <c r="H858" s="19">
        <f t="shared" si="52"/>
        <v>0</v>
      </c>
      <c r="I858" s="1">
        <f t="shared" si="53"/>
        <v>0</v>
      </c>
      <c r="J858" s="1">
        <f t="shared" si="54"/>
        <v>0</v>
      </c>
      <c r="K858" s="19">
        <f t="shared" si="55"/>
        <v>0</v>
      </c>
    </row>
    <row r="859" spans="1:11" ht="15">
      <c r="A859" s="3">
        <v>1370</v>
      </c>
      <c r="B859" s="151">
        <v>62</v>
      </c>
      <c r="C859" s="7" t="s">
        <v>36</v>
      </c>
      <c r="D859" s="4" t="s">
        <v>37</v>
      </c>
      <c r="E859" t="s">
        <v>482</v>
      </c>
      <c r="F859" s="12">
        <f>IFERROR(VLOOKUP(B859,'INSUMOS  JULIO'!$B$6:$CJ$109,30,0),"")</f>
        <v>4</v>
      </c>
      <c r="G859" s="8">
        <f>IFERROR(VLOOKUP($B859,'INSUMOS  JULIO'!$B$6:$CJ$109,31,0),"")</f>
        <v>10100.3202</v>
      </c>
      <c r="H859" s="19">
        <f t="shared" si="52"/>
        <v>40401.2808</v>
      </c>
      <c r="I859" s="1">
        <f t="shared" si="53"/>
        <v>4040.1280800000004</v>
      </c>
      <c r="J859" s="1">
        <f t="shared" si="54"/>
        <v>767.62433520000013</v>
      </c>
      <c r="K859" s="19">
        <f t="shared" si="55"/>
        <v>45209.033215200005</v>
      </c>
    </row>
    <row r="860" spans="1:11" ht="15">
      <c r="A860" s="3">
        <v>1371</v>
      </c>
      <c r="B860" s="151">
        <v>63</v>
      </c>
      <c r="C860" s="7" t="s">
        <v>36</v>
      </c>
      <c r="D860" s="4" t="s">
        <v>38</v>
      </c>
      <c r="E860" t="s">
        <v>482</v>
      </c>
      <c r="F860" s="12">
        <f>IFERROR(VLOOKUP(B860,'INSUMOS  JULIO'!$B$6:$CJ$109,30,0),"")</f>
        <v>3</v>
      </c>
      <c r="G860" s="8">
        <f>IFERROR(VLOOKUP($B860,'INSUMOS  JULIO'!$B$6:$CJ$109,31,0),"")</f>
        <v>11443.4982</v>
      </c>
      <c r="H860" s="19">
        <f t="shared" si="52"/>
        <v>34330.494599999998</v>
      </c>
      <c r="I860" s="1">
        <f t="shared" si="53"/>
        <v>3433.0494600000002</v>
      </c>
      <c r="J860" s="1">
        <f t="shared" si="54"/>
        <v>652.27939739999999</v>
      </c>
      <c r="K860" s="19">
        <f t="shared" si="55"/>
        <v>38415.823457400002</v>
      </c>
    </row>
    <row r="861" spans="1:11" ht="15">
      <c r="A861" s="3">
        <v>1372</v>
      </c>
      <c r="B861" s="151">
        <v>64</v>
      </c>
      <c r="C861" s="7" t="s">
        <v>39</v>
      </c>
      <c r="D861" s="4" t="s">
        <v>40</v>
      </c>
      <c r="E861" t="s">
        <v>482</v>
      </c>
      <c r="F861" s="12">
        <f>IFERROR(VLOOKUP(B861,'INSUMOS  JULIO'!$B$6:$CJ$109,30,0),"")</f>
        <v>0</v>
      </c>
      <c r="G861" s="8">
        <f>IFERROR(VLOOKUP($B861,'INSUMOS  JULIO'!$B$6:$CJ$109,31,0),"")</f>
        <v>13820.650000000001</v>
      </c>
      <c r="H861" s="19">
        <f t="shared" si="52"/>
        <v>0</v>
      </c>
      <c r="I861" s="1">
        <f t="shared" si="53"/>
        <v>0</v>
      </c>
      <c r="J861" s="1">
        <f t="shared" si="54"/>
        <v>0</v>
      </c>
      <c r="K861" s="19">
        <f t="shared" si="55"/>
        <v>0</v>
      </c>
    </row>
    <row r="862" spans="1:11" ht="15">
      <c r="A862" s="3">
        <v>1373</v>
      </c>
      <c r="B862" s="151">
        <v>65</v>
      </c>
      <c r="C862" s="7" t="s">
        <v>39</v>
      </c>
      <c r="D862" s="4" t="s">
        <v>41</v>
      </c>
      <c r="E862" t="s">
        <v>482</v>
      </c>
      <c r="F862" s="12">
        <f>IFERROR(VLOOKUP(B862,'INSUMOS  JULIO'!$B$6:$CJ$109,30,0),"")</f>
        <v>0</v>
      </c>
      <c r="G862" s="8">
        <f>IFERROR(VLOOKUP($B862,'INSUMOS  JULIO'!$B$6:$CJ$109,31,0),"")</f>
        <v>13820.650000000001</v>
      </c>
      <c r="H862" s="19">
        <f t="shared" si="52"/>
        <v>0</v>
      </c>
      <c r="I862" s="1">
        <f t="shared" si="53"/>
        <v>0</v>
      </c>
      <c r="J862" s="1">
        <f t="shared" si="54"/>
        <v>0</v>
      </c>
      <c r="K862" s="19">
        <f t="shared" si="55"/>
        <v>0</v>
      </c>
    </row>
    <row r="863" spans="1:11" ht="15">
      <c r="A863" s="3">
        <v>1374</v>
      </c>
      <c r="B863" s="151">
        <v>66</v>
      </c>
      <c r="C863" s="7" t="s">
        <v>151</v>
      </c>
      <c r="D863" s="4" t="s">
        <v>42</v>
      </c>
      <c r="E863" t="s">
        <v>482</v>
      </c>
      <c r="F863" s="12">
        <f>IFERROR(VLOOKUP(B863,'INSUMOS  JULIO'!$B$6:$CJ$109,30,0),"")</f>
        <v>3</v>
      </c>
      <c r="G863" s="8">
        <f>IFERROR(VLOOKUP($B863,'INSUMOS  JULIO'!$B$6:$CJ$109,31,0),"")</f>
        <v>2887.0970000000002</v>
      </c>
      <c r="H863" s="19">
        <f t="shared" si="52"/>
        <v>8661.2910000000011</v>
      </c>
      <c r="I863" s="1">
        <f t="shared" si="53"/>
        <v>866.12910000000011</v>
      </c>
      <c r="J863" s="1">
        <f t="shared" si="54"/>
        <v>164.56452900000002</v>
      </c>
      <c r="K863" s="19">
        <f t="shared" si="55"/>
        <v>9691.9846290000005</v>
      </c>
    </row>
    <row r="864" spans="1:11" ht="15">
      <c r="A864" s="3">
        <v>1375</v>
      </c>
      <c r="B864" s="151">
        <v>71</v>
      </c>
      <c r="C864" s="7" t="s">
        <v>151</v>
      </c>
      <c r="D864" s="4" t="s">
        <v>43</v>
      </c>
      <c r="E864" t="s">
        <v>482</v>
      </c>
      <c r="F864" s="12" t="str">
        <f>IFERROR(VLOOKUP(B864,'INSUMOS  JULIO'!$B$6:$CJ$109,30,0),"")</f>
        <v>0</v>
      </c>
      <c r="G864" s="8">
        <f>IFERROR(VLOOKUP($B864,'INSUMOS  JULIO'!$B$6:$CJ$109,31,0),"")</f>
        <v>5196.1440000000002</v>
      </c>
      <c r="H864" s="19">
        <f t="shared" si="52"/>
        <v>0</v>
      </c>
      <c r="I864" s="1">
        <f t="shared" si="53"/>
        <v>0</v>
      </c>
      <c r="J864" s="1">
        <f t="shared" si="54"/>
        <v>0</v>
      </c>
      <c r="K864" s="19">
        <f t="shared" si="55"/>
        <v>0</v>
      </c>
    </row>
    <row r="865" spans="1:11" ht="15">
      <c r="A865" s="3">
        <v>1376</v>
      </c>
      <c r="B865" s="151">
        <v>72</v>
      </c>
      <c r="C865" s="7" t="s">
        <v>151</v>
      </c>
      <c r="D865" s="4" t="s">
        <v>44</v>
      </c>
      <c r="E865" t="s">
        <v>482</v>
      </c>
      <c r="F865" s="12">
        <f>IFERROR(VLOOKUP(B865,'INSUMOS  JULIO'!$B$6:$CJ$109,30,0),"")</f>
        <v>0</v>
      </c>
      <c r="G865" s="8">
        <f>IFERROR(VLOOKUP($B865,'INSUMOS  JULIO'!$B$6:$CJ$109,31,0),"")</f>
        <v>5196.1440000000002</v>
      </c>
      <c r="H865" s="19">
        <f t="shared" si="52"/>
        <v>0</v>
      </c>
      <c r="I865" s="1">
        <f t="shared" si="53"/>
        <v>0</v>
      </c>
      <c r="J865" s="1">
        <f t="shared" si="54"/>
        <v>0</v>
      </c>
      <c r="K865" s="19">
        <f t="shared" si="55"/>
        <v>0</v>
      </c>
    </row>
    <row r="866" spans="1:11" ht="27">
      <c r="A866" s="3">
        <v>1377</v>
      </c>
      <c r="B866" s="151">
        <v>73</v>
      </c>
      <c r="C866" s="7" t="s">
        <v>151</v>
      </c>
      <c r="D866" s="4" t="s">
        <v>45</v>
      </c>
      <c r="E866" t="s">
        <v>482</v>
      </c>
      <c r="F866" s="12">
        <f>IFERROR(VLOOKUP(B866,'INSUMOS  JULIO'!$B$6:$CJ$109,30,0),"")</f>
        <v>0</v>
      </c>
      <c r="G866" s="8">
        <f>IFERROR(VLOOKUP($B866,'INSUMOS  JULIO'!$B$6:$CJ$109,31,0),"")</f>
        <v>4975.4340000000011</v>
      </c>
      <c r="H866" s="19">
        <f t="shared" si="52"/>
        <v>0</v>
      </c>
      <c r="I866" s="1">
        <f t="shared" si="53"/>
        <v>0</v>
      </c>
      <c r="J866" s="1">
        <f t="shared" si="54"/>
        <v>0</v>
      </c>
      <c r="K866" s="19">
        <f t="shared" si="55"/>
        <v>0</v>
      </c>
    </row>
    <row r="867" spans="1:11" ht="15">
      <c r="A867" s="3">
        <v>1378</v>
      </c>
      <c r="B867" s="151">
        <v>74</v>
      </c>
      <c r="C867" s="7" t="s">
        <v>46</v>
      </c>
      <c r="D867" s="4" t="s">
        <v>47</v>
      </c>
      <c r="E867" t="s">
        <v>482</v>
      </c>
      <c r="F867" s="12">
        <f>IFERROR(VLOOKUP(B867,'INSUMOS  JULIO'!$B$6:$CJ$109,30,0),"")</f>
        <v>3</v>
      </c>
      <c r="G867" s="8">
        <f>IFERROR(VLOOKUP($B867,'INSUMOS  JULIO'!$B$6:$CJ$109,31,0),"")</f>
        <v>3261.2529999999997</v>
      </c>
      <c r="H867" s="19">
        <f t="shared" si="52"/>
        <v>9783.7589999999982</v>
      </c>
      <c r="I867" s="1">
        <f t="shared" si="53"/>
        <v>978.37589999999989</v>
      </c>
      <c r="J867" s="1">
        <f t="shared" si="54"/>
        <v>185.89142099999998</v>
      </c>
      <c r="K867" s="19">
        <f t="shared" si="55"/>
        <v>10948.026320999998</v>
      </c>
    </row>
    <row r="868" spans="1:11" ht="15">
      <c r="A868" s="3">
        <v>1379</v>
      </c>
      <c r="B868" s="151">
        <v>79</v>
      </c>
      <c r="C868" s="7" t="s">
        <v>159</v>
      </c>
      <c r="D868" s="4" t="s">
        <v>48</v>
      </c>
      <c r="E868" t="s">
        <v>482</v>
      </c>
      <c r="F868" s="12">
        <f>IFERROR(VLOOKUP(B868,'INSUMOS  JULIO'!$B$6:$CJ$109,30,0),"")</f>
        <v>0</v>
      </c>
      <c r="G868" s="8">
        <f>IFERROR(VLOOKUP($B868,'INSUMOS  JULIO'!$B$6:$CJ$109,31,0),"")</f>
        <v>541.2650000000001</v>
      </c>
      <c r="H868" s="19">
        <f t="shared" si="52"/>
        <v>0</v>
      </c>
      <c r="I868" s="1">
        <f t="shared" si="53"/>
        <v>0</v>
      </c>
      <c r="J868" s="1">
        <f t="shared" si="54"/>
        <v>0</v>
      </c>
      <c r="K868" s="19">
        <f t="shared" si="55"/>
        <v>0</v>
      </c>
    </row>
    <row r="869" spans="1:11" ht="15">
      <c r="A869" s="3">
        <v>1380</v>
      </c>
      <c r="B869" s="151">
        <v>80</v>
      </c>
      <c r="C869" s="7" t="s">
        <v>159</v>
      </c>
      <c r="D869" s="4" t="s">
        <v>49</v>
      </c>
      <c r="E869" t="s">
        <v>482</v>
      </c>
      <c r="F869" s="12">
        <f>IFERROR(VLOOKUP(B869,'INSUMOS  JULIO'!$B$6:$CJ$109,30,0),"")</f>
        <v>0</v>
      </c>
      <c r="G869" s="8">
        <f>IFERROR(VLOOKUP($B869,'INSUMOS  JULIO'!$B$6:$CJ$109,31,0),"")</f>
        <v>433.01199999999994</v>
      </c>
      <c r="H869" s="19">
        <f t="shared" si="52"/>
        <v>0</v>
      </c>
      <c r="I869" s="1">
        <f t="shared" si="53"/>
        <v>0</v>
      </c>
      <c r="J869" s="1">
        <f t="shared" si="54"/>
        <v>0</v>
      </c>
      <c r="K869" s="19">
        <f t="shared" si="55"/>
        <v>0</v>
      </c>
    </row>
    <row r="870" spans="1:11" ht="15">
      <c r="A870" s="3">
        <v>1381</v>
      </c>
      <c r="B870" s="151">
        <v>81</v>
      </c>
      <c r="C870" s="7" t="s">
        <v>159</v>
      </c>
      <c r="D870" s="4" t="s">
        <v>50</v>
      </c>
      <c r="E870" t="s">
        <v>482</v>
      </c>
      <c r="F870" s="12">
        <f>IFERROR(VLOOKUP(B870,'INSUMOS  JULIO'!$B$6:$CJ$109,30,0),"")</f>
        <v>10</v>
      </c>
      <c r="G870" s="8">
        <f>IFERROR(VLOOKUP($B870,'INSUMOS  JULIO'!$B$6:$CJ$109,31,0),"")</f>
        <v>211.251</v>
      </c>
      <c r="H870" s="19">
        <f t="shared" si="52"/>
        <v>2112.5100000000002</v>
      </c>
      <c r="I870" s="1">
        <f t="shared" si="53"/>
        <v>211.25100000000003</v>
      </c>
      <c r="J870" s="1">
        <f t="shared" si="54"/>
        <v>40.137690000000006</v>
      </c>
      <c r="K870" s="19">
        <f t="shared" si="55"/>
        <v>2363.8986900000004</v>
      </c>
    </row>
    <row r="871" spans="1:11" ht="15">
      <c r="A871" s="3">
        <v>1382</v>
      </c>
      <c r="B871" s="151">
        <v>82</v>
      </c>
      <c r="C871" s="7" t="s">
        <v>159</v>
      </c>
      <c r="D871" s="4" t="s">
        <v>51</v>
      </c>
      <c r="E871" t="s">
        <v>482</v>
      </c>
      <c r="F871" s="12" t="str">
        <f>IFERROR(VLOOKUP(B871,'INSUMOS  JULIO'!$B$6:$CJ$109,30,0),"")</f>
        <v>0</v>
      </c>
      <c r="G871" s="8">
        <f>IFERROR(VLOOKUP($B871,'INSUMOS  JULIO'!$B$6:$CJ$109,31,0),"")</f>
        <v>1003.7049999999999</v>
      </c>
      <c r="H871" s="19">
        <f t="shared" si="52"/>
        <v>0</v>
      </c>
      <c r="I871" s="1">
        <f t="shared" si="53"/>
        <v>0</v>
      </c>
      <c r="J871" s="1">
        <f t="shared" si="54"/>
        <v>0</v>
      </c>
      <c r="K871" s="19">
        <f t="shared" si="55"/>
        <v>0</v>
      </c>
    </row>
    <row r="872" spans="1:11" ht="15">
      <c r="A872" s="3">
        <v>1383</v>
      </c>
      <c r="B872" s="151">
        <v>83</v>
      </c>
      <c r="C872" s="7" t="s">
        <v>159</v>
      </c>
      <c r="D872" s="4" t="s">
        <v>52</v>
      </c>
      <c r="E872" t="s">
        <v>482</v>
      </c>
      <c r="F872" s="12" t="str">
        <f>IFERROR(VLOOKUP(B872,'INSUMOS  JULIO'!$B$6:$CJ$109,30,0),"")</f>
        <v>0</v>
      </c>
      <c r="G872" s="8">
        <f>IFERROR(VLOOKUP($B872,'INSUMOS  JULIO'!$B$6:$CJ$109,31,0),"")</f>
        <v>336.32</v>
      </c>
      <c r="H872" s="19">
        <f t="shared" si="52"/>
        <v>0</v>
      </c>
      <c r="I872" s="1">
        <f t="shared" si="53"/>
        <v>0</v>
      </c>
      <c r="J872" s="1">
        <f t="shared" si="54"/>
        <v>0</v>
      </c>
      <c r="K872" s="19">
        <f t="shared" si="55"/>
        <v>0</v>
      </c>
    </row>
    <row r="873" spans="1:11" ht="15">
      <c r="A873" s="3">
        <v>1384</v>
      </c>
      <c r="B873" s="151">
        <v>86</v>
      </c>
      <c r="C873" s="7" t="s">
        <v>53</v>
      </c>
      <c r="D873" s="4" t="s">
        <v>54</v>
      </c>
      <c r="E873" t="s">
        <v>482</v>
      </c>
      <c r="F873" s="12" t="str">
        <f>IFERROR(VLOOKUP(B873,'INSUMOS  JULIO'!$B$6:$CJ$109,30,0),"")</f>
        <v>0</v>
      </c>
      <c r="G873" s="8">
        <f>IFERROR(VLOOKUP($B873,'INSUMOS  JULIO'!$B$6:$CJ$109,31,0),"")</f>
        <v>2792.5070000000005</v>
      </c>
      <c r="H873" s="19">
        <f t="shared" si="52"/>
        <v>0</v>
      </c>
      <c r="I873" s="1">
        <f t="shared" si="53"/>
        <v>0</v>
      </c>
      <c r="J873" s="1">
        <f t="shared" si="54"/>
        <v>0</v>
      </c>
      <c r="K873" s="19">
        <f t="shared" si="55"/>
        <v>0</v>
      </c>
    </row>
    <row r="874" spans="1:11" ht="15">
      <c r="A874" s="3">
        <v>1385</v>
      </c>
      <c r="B874" s="151">
        <v>87</v>
      </c>
      <c r="C874" s="7" t="s">
        <v>53</v>
      </c>
      <c r="D874" s="4" t="s">
        <v>55</v>
      </c>
      <c r="E874" t="s">
        <v>482</v>
      </c>
      <c r="F874" s="12" t="str">
        <f>IFERROR(VLOOKUP(B874,'INSUMOS  JULIO'!$B$6:$CJ$109,30,0),"")</f>
        <v>0</v>
      </c>
      <c r="G874" s="8">
        <f>IFERROR(VLOOKUP($B874,'INSUMOS  JULIO'!$B$6:$CJ$109,31,0),"")</f>
        <v>0</v>
      </c>
      <c r="H874" s="19">
        <f t="shared" si="52"/>
        <v>0</v>
      </c>
      <c r="I874" s="1">
        <f t="shared" si="53"/>
        <v>0</v>
      </c>
      <c r="J874" s="1">
        <f t="shared" si="54"/>
        <v>0</v>
      </c>
      <c r="K874" s="19">
        <f t="shared" si="55"/>
        <v>0</v>
      </c>
    </row>
    <row r="875" spans="1:11" ht="15">
      <c r="A875" s="3">
        <v>1386</v>
      </c>
      <c r="B875" s="151">
        <v>88</v>
      </c>
      <c r="C875" s="7" t="s">
        <v>53</v>
      </c>
      <c r="D875" s="4" t="s">
        <v>56</v>
      </c>
      <c r="E875" t="s">
        <v>482</v>
      </c>
      <c r="F875" s="12">
        <f>IFERROR(VLOOKUP(B875,'INSUMOS  JULIO'!$B$6:$CJ$109,30,0),"")</f>
        <v>0</v>
      </c>
      <c r="G875" s="8">
        <f>IFERROR(VLOOKUP($B875,'INSUMOS  JULIO'!$B$6:$CJ$109,31,0),"")</f>
        <v>2717.886</v>
      </c>
      <c r="H875" s="19">
        <f t="shared" si="52"/>
        <v>0</v>
      </c>
      <c r="I875" s="1">
        <f t="shared" si="53"/>
        <v>0</v>
      </c>
      <c r="J875" s="1">
        <f t="shared" si="54"/>
        <v>0</v>
      </c>
      <c r="K875" s="19">
        <f t="shared" si="55"/>
        <v>0</v>
      </c>
    </row>
    <row r="876" spans="1:11" ht="15">
      <c r="A876" s="3">
        <v>1387</v>
      </c>
      <c r="B876" s="151">
        <v>89</v>
      </c>
      <c r="C876" s="7" t="s">
        <v>53</v>
      </c>
      <c r="D876" s="4" t="s">
        <v>57</v>
      </c>
      <c r="E876" t="s">
        <v>482</v>
      </c>
      <c r="F876" s="12" t="str">
        <f>IFERROR(VLOOKUP(B876,'INSUMOS  JULIO'!$B$6:$CJ$109,30,0),"")</f>
        <v>0</v>
      </c>
      <c r="G876" s="8">
        <f>IFERROR(VLOOKUP($B876,'INSUMOS  JULIO'!$B$6:$CJ$109,31,0),"")</f>
        <v>2650.6220000000003</v>
      </c>
      <c r="H876" s="19">
        <f t="shared" si="52"/>
        <v>0</v>
      </c>
      <c r="I876" s="1">
        <f t="shared" si="53"/>
        <v>0</v>
      </c>
      <c r="J876" s="1">
        <f t="shared" si="54"/>
        <v>0</v>
      </c>
      <c r="K876" s="19">
        <f t="shared" si="55"/>
        <v>0</v>
      </c>
    </row>
    <row r="877" spans="1:11" ht="15">
      <c r="A877" s="3">
        <v>1388</v>
      </c>
      <c r="B877" s="151">
        <v>91</v>
      </c>
      <c r="C877" s="7" t="s">
        <v>160</v>
      </c>
      <c r="D877" s="4" t="s">
        <v>58</v>
      </c>
      <c r="E877" t="s">
        <v>482</v>
      </c>
      <c r="F877" s="12" t="str">
        <f>IFERROR(VLOOKUP(B877,'INSUMOS  JULIO'!$B$6:$CJ$109,30,0),"")</f>
        <v>0</v>
      </c>
      <c r="G877" s="8">
        <f>IFERROR(VLOOKUP($B877,'INSUMOS  JULIO'!$B$6:$CJ$109,31,0),"")</f>
        <v>4364.8029999999999</v>
      </c>
      <c r="H877" s="19">
        <f t="shared" si="52"/>
        <v>0</v>
      </c>
      <c r="I877" s="1">
        <f t="shared" si="53"/>
        <v>0</v>
      </c>
      <c r="J877" s="1">
        <f t="shared" si="54"/>
        <v>0</v>
      </c>
      <c r="K877" s="19">
        <f t="shared" si="55"/>
        <v>0</v>
      </c>
    </row>
    <row r="878" spans="1:11" ht="15">
      <c r="A878" s="3">
        <v>1389</v>
      </c>
      <c r="B878" s="151">
        <v>92</v>
      </c>
      <c r="C878" s="7" t="s">
        <v>160</v>
      </c>
      <c r="D878" s="4" t="s">
        <v>59</v>
      </c>
      <c r="E878" t="s">
        <v>482</v>
      </c>
      <c r="F878" s="12" t="str">
        <f>IFERROR(VLOOKUP(B878,'INSUMOS  JULIO'!$B$6:$CJ$109,30,0),"")</f>
        <v>0</v>
      </c>
      <c r="G878" s="8">
        <f>IFERROR(VLOOKUP($B878,'INSUMOS  JULIO'!$B$6:$CJ$109,31,0),"")</f>
        <v>2380.5149999999999</v>
      </c>
      <c r="H878" s="19">
        <f t="shared" si="52"/>
        <v>0</v>
      </c>
      <c r="I878" s="1">
        <f t="shared" si="53"/>
        <v>0</v>
      </c>
      <c r="J878" s="1">
        <f t="shared" si="54"/>
        <v>0</v>
      </c>
      <c r="K878" s="19">
        <f t="shared" si="55"/>
        <v>0</v>
      </c>
    </row>
    <row r="879" spans="1:11" ht="15">
      <c r="A879" s="3">
        <v>1390</v>
      </c>
      <c r="B879" s="151">
        <v>94</v>
      </c>
      <c r="C879" s="7" t="s">
        <v>60</v>
      </c>
      <c r="D879" s="4" t="s">
        <v>61</v>
      </c>
      <c r="E879" t="s">
        <v>482</v>
      </c>
      <c r="F879" s="12" t="str">
        <f>IFERROR(VLOOKUP(B879,'INSUMOS  JULIO'!$B$6:$CJ$109,30,0),"")</f>
        <v>0</v>
      </c>
      <c r="G879" s="8">
        <f>IFERROR(VLOOKUP($B879,'INSUMOS  JULIO'!$B$6:$CJ$109,31,0),"")</f>
        <v>3316.9560000000001</v>
      </c>
      <c r="H879" s="19">
        <f t="shared" si="52"/>
        <v>0</v>
      </c>
      <c r="I879" s="1">
        <f t="shared" si="53"/>
        <v>0</v>
      </c>
      <c r="J879" s="1">
        <f t="shared" si="54"/>
        <v>0</v>
      </c>
      <c r="K879" s="19">
        <f t="shared" si="55"/>
        <v>0</v>
      </c>
    </row>
    <row r="880" spans="1:11" ht="15">
      <c r="A880" s="3">
        <v>1391</v>
      </c>
      <c r="B880" s="151">
        <v>95</v>
      </c>
      <c r="C880" s="7" t="s">
        <v>60</v>
      </c>
      <c r="D880" s="4" t="s">
        <v>62</v>
      </c>
      <c r="E880" t="s">
        <v>482</v>
      </c>
      <c r="F880" s="12" t="str">
        <f>IFERROR(VLOOKUP(B880,'INSUMOS  JULIO'!$B$6:$CJ$109,30,0),"")</f>
        <v>0</v>
      </c>
      <c r="G880" s="8">
        <f>IFERROR(VLOOKUP($B880,'INSUMOS  JULIO'!$B$6:$CJ$109,31,0),"")</f>
        <v>11056.52</v>
      </c>
      <c r="H880" s="19">
        <f t="shared" si="52"/>
        <v>0</v>
      </c>
      <c r="I880" s="1">
        <f t="shared" si="53"/>
        <v>0</v>
      </c>
      <c r="J880" s="1">
        <f t="shared" si="54"/>
        <v>0</v>
      </c>
      <c r="K880" s="19">
        <f t="shared" si="55"/>
        <v>0</v>
      </c>
    </row>
    <row r="881" spans="1:11" ht="15">
      <c r="A881" s="3">
        <v>1392</v>
      </c>
      <c r="B881" s="151">
        <v>98</v>
      </c>
      <c r="C881" s="7" t="s">
        <v>151</v>
      </c>
      <c r="D881" s="4" t="s">
        <v>63</v>
      </c>
      <c r="E881" t="s">
        <v>482</v>
      </c>
      <c r="F881" s="12">
        <f>IFERROR(VLOOKUP(B881,'INSUMOS  JULIO'!$B$6:$CJ$109,30,0),"")</f>
        <v>0</v>
      </c>
      <c r="G881" s="8">
        <f>IFERROR(VLOOKUP($B881,'INSUMOS  JULIO'!$B$6:$CJ$109,31,0),"")</f>
        <v>6633.9120000000003</v>
      </c>
      <c r="H881" s="19">
        <f t="shared" si="52"/>
        <v>0</v>
      </c>
      <c r="I881" s="1">
        <f t="shared" si="53"/>
        <v>0</v>
      </c>
      <c r="J881" s="1">
        <f t="shared" si="54"/>
        <v>0</v>
      </c>
      <c r="K881" s="19">
        <f t="shared" si="55"/>
        <v>0</v>
      </c>
    </row>
    <row r="882" spans="1:11" ht="15">
      <c r="A882" s="3">
        <v>1393</v>
      </c>
      <c r="B882" s="151">
        <v>100</v>
      </c>
      <c r="C882" s="7" t="s">
        <v>160</v>
      </c>
      <c r="D882" s="4" t="s">
        <v>64</v>
      </c>
      <c r="E882" t="s">
        <v>482</v>
      </c>
      <c r="F882" s="12" t="str">
        <f>IFERROR(VLOOKUP(B882,'INSUMOS  JULIO'!$B$6:$CJ$109,30,0),"")</f>
        <v>0</v>
      </c>
      <c r="G882" s="8">
        <f>IFERROR(VLOOKUP($B882,'INSUMOS  JULIO'!$B$6:$CJ$109,31,0),"")</f>
        <v>4364.8029999999999</v>
      </c>
      <c r="H882" s="19">
        <f t="shared" si="52"/>
        <v>0</v>
      </c>
      <c r="I882" s="1">
        <f t="shared" si="53"/>
        <v>0</v>
      </c>
      <c r="J882" s="1">
        <f t="shared" si="54"/>
        <v>0</v>
      </c>
      <c r="K882" s="19">
        <f t="shared" si="55"/>
        <v>0</v>
      </c>
    </row>
    <row r="883" spans="1:11" ht="15">
      <c r="A883" s="3">
        <v>1394</v>
      </c>
      <c r="B883" s="151">
        <v>102</v>
      </c>
      <c r="C883" s="7" t="s">
        <v>60</v>
      </c>
      <c r="D883" s="4" t="s">
        <v>65</v>
      </c>
      <c r="E883" t="s">
        <v>482</v>
      </c>
      <c r="F883" s="12" t="str">
        <f>IFERROR(VLOOKUP(B883,'INSUMOS  JULIO'!$B$6:$CJ$109,30,0),"")</f>
        <v>0</v>
      </c>
      <c r="G883" s="8">
        <f>IFERROR(VLOOKUP($B883,'INSUMOS  JULIO'!$B$6:$CJ$109,31,0),"")</f>
        <v>3811.9770000000003</v>
      </c>
      <c r="H883" s="19">
        <f t="shared" si="52"/>
        <v>0</v>
      </c>
      <c r="I883" s="1">
        <f t="shared" si="53"/>
        <v>0</v>
      </c>
      <c r="J883" s="1">
        <f t="shared" si="54"/>
        <v>0</v>
      </c>
      <c r="K883" s="19">
        <f t="shared" si="55"/>
        <v>0</v>
      </c>
    </row>
    <row r="884" spans="1:11" ht="15">
      <c r="A884" s="3">
        <v>1395</v>
      </c>
      <c r="B884" s="151">
        <v>103</v>
      </c>
      <c r="C884" s="7" t="s">
        <v>66</v>
      </c>
      <c r="D884" s="4" t="s">
        <v>67</v>
      </c>
      <c r="E884" t="s">
        <v>482</v>
      </c>
      <c r="F884" s="12" t="str">
        <f>IFERROR(VLOOKUP(B884,'INSUMOS  JULIO'!$B$6:$CJ$109,30,0),"")</f>
        <v>0</v>
      </c>
      <c r="G884" s="8">
        <f>IFERROR(VLOOKUP($B884,'INSUMOS  JULIO'!$B$6:$CJ$109,31,0),"")</f>
        <v>18022.547999999999</v>
      </c>
      <c r="H884" s="19">
        <f t="shared" si="52"/>
        <v>0</v>
      </c>
      <c r="I884" s="1">
        <f t="shared" si="53"/>
        <v>0</v>
      </c>
      <c r="J884" s="1">
        <f t="shared" si="54"/>
        <v>0</v>
      </c>
      <c r="K884" s="19">
        <f t="shared" si="55"/>
        <v>0</v>
      </c>
    </row>
    <row r="885" spans="1:11" ht="15">
      <c r="A885" s="3">
        <v>1396</v>
      </c>
      <c r="B885" s="151">
        <v>104</v>
      </c>
      <c r="C885" s="7" t="s">
        <v>66</v>
      </c>
      <c r="D885" s="4" t="s">
        <v>68</v>
      </c>
      <c r="E885" t="s">
        <v>482</v>
      </c>
      <c r="F885" s="12" t="str">
        <f>IFERROR(VLOOKUP(B885,'INSUMOS  JULIO'!$B$6:$CJ$109,30,0),"")</f>
        <v>0</v>
      </c>
      <c r="G885" s="8">
        <f>IFERROR(VLOOKUP($B885,'INSUMOS  JULIO'!$B$6:$CJ$109,31,0),"")</f>
        <v>18022.547999999999</v>
      </c>
      <c r="H885" s="19">
        <f t="shared" si="52"/>
        <v>0</v>
      </c>
      <c r="I885" s="1">
        <f t="shared" si="53"/>
        <v>0</v>
      </c>
      <c r="J885" s="1">
        <f t="shared" si="54"/>
        <v>0</v>
      </c>
      <c r="K885" s="19">
        <f t="shared" si="55"/>
        <v>0</v>
      </c>
    </row>
    <row r="886" spans="1:11" ht="15">
      <c r="A886" s="3">
        <v>1397</v>
      </c>
      <c r="B886" s="151">
        <v>105</v>
      </c>
      <c r="C886" s="7" t="s">
        <v>66</v>
      </c>
      <c r="D886" s="4" t="s">
        <v>69</v>
      </c>
      <c r="E886" t="s">
        <v>482</v>
      </c>
      <c r="F886" s="12" t="str">
        <f>IFERROR(VLOOKUP(B886,'INSUMOS  JULIO'!$B$6:$CJ$109,30,0),"")</f>
        <v>0</v>
      </c>
      <c r="G886" s="8">
        <f>IFERROR(VLOOKUP($B886,'INSUMOS  JULIO'!$B$6:$CJ$109,31,0),"")</f>
        <v>27641.3</v>
      </c>
      <c r="H886" s="19">
        <f t="shared" si="52"/>
        <v>0</v>
      </c>
      <c r="I886" s="1">
        <f t="shared" si="53"/>
        <v>0</v>
      </c>
      <c r="J886" s="1">
        <f t="shared" si="54"/>
        <v>0</v>
      </c>
      <c r="K886" s="19">
        <f t="shared" si="55"/>
        <v>0</v>
      </c>
    </row>
    <row r="887" spans="1:11" ht="15">
      <c r="A887" s="3">
        <v>1398</v>
      </c>
      <c r="B887" s="151">
        <v>106</v>
      </c>
      <c r="C887" s="7" t="s">
        <v>66</v>
      </c>
      <c r="D887" s="4" t="s">
        <v>70</v>
      </c>
      <c r="E887" t="s">
        <v>482</v>
      </c>
      <c r="F887" s="12" t="str">
        <f>IFERROR(VLOOKUP(B887,'INSUMOS  JULIO'!$B$6:$CJ$109,30,0),"")</f>
        <v>0</v>
      </c>
      <c r="G887" s="8">
        <f>IFERROR(VLOOKUP($B887,'INSUMOS  JULIO'!$B$6:$CJ$109,31,0),"")</f>
        <v>0</v>
      </c>
      <c r="H887" s="19">
        <f t="shared" si="52"/>
        <v>0</v>
      </c>
      <c r="I887" s="1">
        <f t="shared" si="53"/>
        <v>0</v>
      </c>
      <c r="J887" s="1">
        <f t="shared" si="54"/>
        <v>0</v>
      </c>
      <c r="K887" s="19">
        <f t="shared" si="55"/>
        <v>0</v>
      </c>
    </row>
    <row r="888" spans="1:11" ht="15">
      <c r="A888" s="3">
        <v>1399</v>
      </c>
      <c r="B888" s="151">
        <v>108</v>
      </c>
      <c r="C888" s="7" t="s">
        <v>66</v>
      </c>
      <c r="D888" s="4" t="s">
        <v>71</v>
      </c>
      <c r="E888" t="s">
        <v>482</v>
      </c>
      <c r="F888" s="12" t="str">
        <f>IFERROR(VLOOKUP(B888,'INSUMOS  JULIO'!$B$6:$CJ$109,30,0),"")</f>
        <v>0</v>
      </c>
      <c r="G888" s="8">
        <f>IFERROR(VLOOKUP($B888,'INSUMOS  JULIO'!$B$6:$CJ$109,31,0),"")</f>
        <v>38697.82</v>
      </c>
      <c r="H888" s="19">
        <f t="shared" si="52"/>
        <v>0</v>
      </c>
      <c r="I888" s="1">
        <f t="shared" si="53"/>
        <v>0</v>
      </c>
      <c r="J888" s="1">
        <f t="shared" si="54"/>
        <v>0</v>
      </c>
      <c r="K888" s="19">
        <f t="shared" si="55"/>
        <v>0</v>
      </c>
    </row>
    <row r="889" spans="1:11" ht="15">
      <c r="A889" s="3">
        <v>1400</v>
      </c>
      <c r="B889" s="151">
        <v>109</v>
      </c>
      <c r="C889" s="7" t="s">
        <v>66</v>
      </c>
      <c r="D889" s="4" t="s">
        <v>72</v>
      </c>
      <c r="E889" t="s">
        <v>482</v>
      </c>
      <c r="F889" s="12" t="str">
        <f>IFERROR(VLOOKUP(B889,'INSUMOS  JULIO'!$B$6:$CJ$109,30,0),"")</f>
        <v>0</v>
      </c>
      <c r="G889" s="8">
        <f>IFERROR(VLOOKUP($B889,'INSUMOS  JULIO'!$B$6:$CJ$109,31,0),"")</f>
        <v>49754.340000000004</v>
      </c>
      <c r="H889" s="19">
        <f t="shared" si="52"/>
        <v>0</v>
      </c>
      <c r="I889" s="1">
        <f t="shared" si="53"/>
        <v>0</v>
      </c>
      <c r="J889" s="1">
        <f t="shared" si="54"/>
        <v>0</v>
      </c>
      <c r="K889" s="19">
        <f t="shared" si="55"/>
        <v>0</v>
      </c>
    </row>
    <row r="890" spans="1:11" ht="15">
      <c r="A890" s="3">
        <v>1401</v>
      </c>
      <c r="B890" s="151">
        <v>110</v>
      </c>
      <c r="C890" s="7" t="s">
        <v>158</v>
      </c>
      <c r="D890" s="4" t="s">
        <v>73</v>
      </c>
      <c r="E890" t="s">
        <v>482</v>
      </c>
      <c r="F890" s="12">
        <f>IFERROR(VLOOKUP(B890,'INSUMOS  JULIO'!$B$6:$CJ$109,30,0),"")</f>
        <v>5</v>
      </c>
      <c r="G890" s="8">
        <f>IFERROR(VLOOKUP($B890,'INSUMOS  JULIO'!$B$6:$CJ$109,31,0),"")</f>
        <v>470.84799999999996</v>
      </c>
      <c r="H890" s="19">
        <f t="shared" si="52"/>
        <v>2354.2399999999998</v>
      </c>
      <c r="I890" s="1">
        <f t="shared" si="53"/>
        <v>235.42399999999998</v>
      </c>
      <c r="J890" s="1">
        <f t="shared" si="54"/>
        <v>44.730559999999997</v>
      </c>
      <c r="K890" s="19">
        <f t="shared" si="55"/>
        <v>2634.3945599999997</v>
      </c>
    </row>
    <row r="891" spans="1:11" ht="15">
      <c r="A891" s="3">
        <v>1402</v>
      </c>
      <c r="B891" s="151">
        <v>118</v>
      </c>
      <c r="C891" s="7" t="s">
        <v>158</v>
      </c>
      <c r="D891" s="4" t="s">
        <v>74</v>
      </c>
      <c r="E891" t="s">
        <v>482</v>
      </c>
      <c r="F891" s="12">
        <f>IFERROR(VLOOKUP(B891,'INSUMOS  JULIO'!$B$6:$CJ$109,30,0),"")</f>
        <v>0</v>
      </c>
      <c r="G891" s="8">
        <f>IFERROR(VLOOKUP($B891,'INSUMOS  JULIO'!$B$6:$CJ$109,31,0),"")</f>
        <v>2455.136</v>
      </c>
      <c r="H891" s="19">
        <f t="shared" si="52"/>
        <v>0</v>
      </c>
      <c r="I891" s="1">
        <f t="shared" si="53"/>
        <v>0</v>
      </c>
      <c r="J891" s="1">
        <f t="shared" si="54"/>
        <v>0</v>
      </c>
      <c r="K891" s="19">
        <f t="shared" si="55"/>
        <v>0</v>
      </c>
    </row>
    <row r="892" spans="1:11" ht="15">
      <c r="A892" s="3">
        <v>1403</v>
      </c>
      <c r="B892" s="151">
        <v>119</v>
      </c>
      <c r="C892" s="7" t="s">
        <v>158</v>
      </c>
      <c r="D892" s="4" t="s">
        <v>75</v>
      </c>
      <c r="E892" t="s">
        <v>482</v>
      </c>
      <c r="F892" s="12" t="str">
        <f>IFERROR(VLOOKUP(B892,'INSUMOS  JULIO'!$B$6:$CJ$109,30,0),"")</f>
        <v>0</v>
      </c>
      <c r="G892" s="8">
        <f>IFERROR(VLOOKUP($B892,'INSUMOS  JULIO'!$B$6:$CJ$109,31,0),"")</f>
        <v>2821.9350000000004</v>
      </c>
      <c r="H892" s="19">
        <f t="shared" si="52"/>
        <v>0</v>
      </c>
      <c r="I892" s="1">
        <f t="shared" si="53"/>
        <v>0</v>
      </c>
      <c r="J892" s="1">
        <f t="shared" si="54"/>
        <v>0</v>
      </c>
      <c r="K892" s="19">
        <f t="shared" si="55"/>
        <v>0</v>
      </c>
    </row>
    <row r="893" spans="1:11" ht="15">
      <c r="A893" s="3">
        <v>1404</v>
      </c>
      <c r="B893" s="151">
        <v>120</v>
      </c>
      <c r="C893" s="7" t="s">
        <v>158</v>
      </c>
      <c r="D893" s="4" t="s">
        <v>76</v>
      </c>
      <c r="E893" t="s">
        <v>482</v>
      </c>
      <c r="F893" s="12" t="str">
        <f>IFERROR(VLOOKUP(B893,'INSUMOS  JULIO'!$B$6:$CJ$109,30,0),"")</f>
        <v>0</v>
      </c>
      <c r="G893" s="8">
        <f>IFERROR(VLOOKUP($B893,'INSUMOS  JULIO'!$B$6:$CJ$109,31,0),"")</f>
        <v>2821.9350000000004</v>
      </c>
      <c r="H893" s="19">
        <f t="shared" si="52"/>
        <v>0</v>
      </c>
      <c r="I893" s="1">
        <f t="shared" si="53"/>
        <v>0</v>
      </c>
      <c r="J893" s="1">
        <f t="shared" si="54"/>
        <v>0</v>
      </c>
      <c r="K893" s="19">
        <f t="shared" si="55"/>
        <v>0</v>
      </c>
    </row>
    <row r="894" spans="1:11" ht="15">
      <c r="A894" s="3">
        <v>1405</v>
      </c>
      <c r="B894" s="151">
        <v>122</v>
      </c>
      <c r="C894" s="7" t="s">
        <v>158</v>
      </c>
      <c r="D894" s="4" t="s">
        <v>77</v>
      </c>
      <c r="E894" t="s">
        <v>482</v>
      </c>
      <c r="F894" s="12" t="str">
        <f>IFERROR(VLOOKUP(B894,'INSUMOS  JULIO'!$B$6:$CJ$109,30,0),"")</f>
        <v>0</v>
      </c>
      <c r="G894" s="8">
        <f>IFERROR(VLOOKUP($B894,'INSUMOS  JULIO'!$B$6:$CJ$109,31,0),"")</f>
        <v>5223.4699999999993</v>
      </c>
      <c r="H894" s="19">
        <f t="shared" si="52"/>
        <v>0</v>
      </c>
      <c r="I894" s="1">
        <f t="shared" si="53"/>
        <v>0</v>
      </c>
      <c r="J894" s="1">
        <f t="shared" si="54"/>
        <v>0</v>
      </c>
      <c r="K894" s="19">
        <f t="shared" si="55"/>
        <v>0</v>
      </c>
    </row>
    <row r="895" spans="1:11" ht="15">
      <c r="A895" s="3">
        <v>1406</v>
      </c>
      <c r="B895" s="151">
        <v>123</v>
      </c>
      <c r="C895" s="7" t="s">
        <v>158</v>
      </c>
      <c r="D895" s="4" t="s">
        <v>78</v>
      </c>
      <c r="E895" t="s">
        <v>482</v>
      </c>
      <c r="F895" s="12" t="str">
        <f>IFERROR(VLOOKUP(B895,'INSUMOS  JULIO'!$B$6:$CJ$109,30,0),"")</f>
        <v>0</v>
      </c>
      <c r="G895" s="8">
        <f>IFERROR(VLOOKUP($B895,'INSUMOS  JULIO'!$B$6:$CJ$109,31,0),"")</f>
        <v>5765.7860000000001</v>
      </c>
      <c r="H895" s="19">
        <f t="shared" si="52"/>
        <v>0</v>
      </c>
      <c r="I895" s="1">
        <f t="shared" si="53"/>
        <v>0</v>
      </c>
      <c r="J895" s="1">
        <f t="shared" si="54"/>
        <v>0</v>
      </c>
      <c r="K895" s="19">
        <f t="shared" si="55"/>
        <v>0</v>
      </c>
    </row>
    <row r="896" spans="1:11" ht="15">
      <c r="A896" s="3">
        <v>1407</v>
      </c>
      <c r="B896" s="151">
        <v>124</v>
      </c>
      <c r="C896" s="7" t="s">
        <v>158</v>
      </c>
      <c r="D896" s="4" t="s">
        <v>79</v>
      </c>
      <c r="E896" t="s">
        <v>482</v>
      </c>
      <c r="F896" s="12" t="str">
        <f>IFERROR(VLOOKUP(B896,'INSUMOS  JULIO'!$B$6:$CJ$109,30,0),"")</f>
        <v>0</v>
      </c>
      <c r="G896" s="8">
        <f>IFERROR(VLOOKUP($B896,'INSUMOS  JULIO'!$B$6:$CJ$109,31,0),"")</f>
        <v>5765.7860000000001</v>
      </c>
      <c r="H896" s="19">
        <f t="shared" si="52"/>
        <v>0</v>
      </c>
      <c r="I896" s="1">
        <f t="shared" si="53"/>
        <v>0</v>
      </c>
      <c r="J896" s="1">
        <f t="shared" si="54"/>
        <v>0</v>
      </c>
      <c r="K896" s="19">
        <f t="shared" si="55"/>
        <v>0</v>
      </c>
    </row>
    <row r="897" spans="1:11" ht="15">
      <c r="A897" s="3">
        <v>1408</v>
      </c>
      <c r="B897" s="151">
        <v>126</v>
      </c>
      <c r="C897" s="7" t="s">
        <v>9</v>
      </c>
      <c r="D897" s="4" t="s">
        <v>80</v>
      </c>
      <c r="E897" t="s">
        <v>482</v>
      </c>
      <c r="F897" s="12" t="str">
        <f>IFERROR(VLOOKUP(B897,'INSUMOS  JULIO'!$B$6:$CJ$109,30,0),"")</f>
        <v>0</v>
      </c>
      <c r="G897" s="8">
        <f>IFERROR(VLOOKUP($B897,'INSUMOS  JULIO'!$B$6:$CJ$109,31,0),"")</f>
        <v>3316.9560000000001</v>
      </c>
      <c r="H897" s="19">
        <f t="shared" si="52"/>
        <v>0</v>
      </c>
      <c r="I897" s="1">
        <f t="shared" si="53"/>
        <v>0</v>
      </c>
      <c r="J897" s="1">
        <f t="shared" si="54"/>
        <v>0</v>
      </c>
      <c r="K897" s="19">
        <f t="shared" si="55"/>
        <v>0</v>
      </c>
    </row>
    <row r="898" spans="1:11" ht="15">
      <c r="A898" s="3">
        <v>1409</v>
      </c>
      <c r="B898" s="151">
        <v>127</v>
      </c>
      <c r="C898" s="7" t="s">
        <v>156</v>
      </c>
      <c r="D898" s="4" t="s">
        <v>81</v>
      </c>
      <c r="E898" t="s">
        <v>482</v>
      </c>
      <c r="F898" s="12" t="str">
        <f>IFERROR(VLOOKUP(B898,'INSUMOS  JULIO'!$B$6:$CJ$109,30,0),"")</f>
        <v>0</v>
      </c>
      <c r="G898" s="8">
        <f>IFERROR(VLOOKUP($B898,'INSUMOS  JULIO'!$B$6:$CJ$109,31,0),"")</f>
        <v>3316.9560000000001</v>
      </c>
      <c r="H898" s="19">
        <f t="shared" si="52"/>
        <v>0</v>
      </c>
      <c r="I898" s="1">
        <f t="shared" si="53"/>
        <v>0</v>
      </c>
      <c r="J898" s="1">
        <f t="shared" si="54"/>
        <v>0</v>
      </c>
      <c r="K898" s="19">
        <f t="shared" si="55"/>
        <v>0</v>
      </c>
    </row>
    <row r="899" spans="1:11" ht="15">
      <c r="A899" s="3">
        <v>1410</v>
      </c>
      <c r="B899" s="151">
        <v>129</v>
      </c>
      <c r="C899" s="7" t="s">
        <v>157</v>
      </c>
      <c r="D899" s="4" t="s">
        <v>82</v>
      </c>
      <c r="E899" t="s">
        <v>482</v>
      </c>
      <c r="F899" s="12" t="str">
        <f>IFERROR(VLOOKUP(B899,'INSUMOS  JULIO'!$B$6:$CJ$109,30,0),"")</f>
        <v>0</v>
      </c>
      <c r="G899" s="8">
        <f>IFERROR(VLOOKUP($B899,'INSUMOS  JULIO'!$B$6:$CJ$109,31,0),"")</f>
        <v>3787.8040000000001</v>
      </c>
      <c r="H899" s="19">
        <f t="shared" si="52"/>
        <v>0</v>
      </c>
      <c r="I899" s="1">
        <f t="shared" si="53"/>
        <v>0</v>
      </c>
      <c r="J899" s="1">
        <f t="shared" si="54"/>
        <v>0</v>
      </c>
      <c r="K899" s="19">
        <f t="shared" si="55"/>
        <v>0</v>
      </c>
    </row>
    <row r="900" spans="1:11" ht="15">
      <c r="A900" s="3">
        <v>1411</v>
      </c>
      <c r="B900" s="151">
        <v>131</v>
      </c>
      <c r="C900" s="7" t="s">
        <v>13</v>
      </c>
      <c r="D900" s="4" t="s">
        <v>83</v>
      </c>
      <c r="E900" t="s">
        <v>482</v>
      </c>
      <c r="F900" s="12" t="str">
        <f>IFERROR(VLOOKUP(B900,'INSUMOS  JULIO'!$B$6:$CJ$109,30,0),"")</f>
        <v>0</v>
      </c>
      <c r="G900" s="8">
        <f>IFERROR(VLOOKUP($B900,'INSUMOS  JULIO'!$B$6:$CJ$109,31,0),"")</f>
        <v>0</v>
      </c>
      <c r="H900" s="19">
        <f t="shared" si="52"/>
        <v>0</v>
      </c>
      <c r="I900" s="1">
        <f t="shared" si="53"/>
        <v>0</v>
      </c>
      <c r="J900" s="1">
        <f t="shared" si="54"/>
        <v>0</v>
      </c>
      <c r="K900" s="19">
        <f t="shared" si="55"/>
        <v>0</v>
      </c>
    </row>
    <row r="901" spans="1:11" ht="15">
      <c r="A901" s="3">
        <v>1412</v>
      </c>
      <c r="B901" s="151">
        <v>132</v>
      </c>
      <c r="C901" s="7" t="s">
        <v>13</v>
      </c>
      <c r="D901" s="4" t="s">
        <v>84</v>
      </c>
      <c r="E901" t="s">
        <v>482</v>
      </c>
      <c r="F901" s="12" t="str">
        <f>IFERROR(VLOOKUP(B901,'INSUMOS  JULIO'!$B$6:$CJ$109,30,0),"")</f>
        <v>0</v>
      </c>
      <c r="G901" s="8">
        <f>IFERROR(VLOOKUP($B901,'INSUMOS  JULIO'!$B$6:$CJ$109,31,0),"")</f>
        <v>0</v>
      </c>
      <c r="H901" s="19">
        <f t="shared" si="52"/>
        <v>0</v>
      </c>
      <c r="I901" s="1">
        <f t="shared" si="53"/>
        <v>0</v>
      </c>
      <c r="J901" s="1">
        <f t="shared" si="54"/>
        <v>0</v>
      </c>
      <c r="K901" s="19">
        <f t="shared" si="55"/>
        <v>0</v>
      </c>
    </row>
    <row r="902" spans="1:11" ht="15">
      <c r="A902" s="3">
        <v>1413</v>
      </c>
      <c r="B902" s="151">
        <v>134</v>
      </c>
      <c r="C902" s="7" t="s">
        <v>16</v>
      </c>
      <c r="D902" s="4" t="s">
        <v>85</v>
      </c>
      <c r="E902" t="s">
        <v>482</v>
      </c>
      <c r="F902" s="12" t="str">
        <f>IFERROR(VLOOKUP(B902,'INSUMOS  JULIO'!$B$6:$CJ$109,30,0),"")</f>
        <v>0</v>
      </c>
      <c r="G902" s="8">
        <f>IFERROR(VLOOKUP($B902,'INSUMOS  JULIO'!$B$6:$CJ$109,31,0),"")</f>
        <v>0</v>
      </c>
      <c r="H902" s="19">
        <f t="shared" ref="H902:H965" si="56">+F902*G902</f>
        <v>0</v>
      </c>
      <c r="I902" s="1">
        <f t="shared" ref="I902:I965" si="57">+H902*10%</f>
        <v>0</v>
      </c>
      <c r="J902" s="1">
        <f t="shared" ref="J902:J965" si="58">+I902*19%</f>
        <v>0</v>
      </c>
      <c r="K902" s="19">
        <f t="shared" ref="K902:K965" si="59">SUM(H902:J902)</f>
        <v>0</v>
      </c>
    </row>
    <row r="903" spans="1:11" ht="15">
      <c r="A903" s="3">
        <v>1414</v>
      </c>
      <c r="B903" s="151">
        <v>135</v>
      </c>
      <c r="C903" s="7" t="s">
        <v>18</v>
      </c>
      <c r="D903" s="4" t="s">
        <v>86</v>
      </c>
      <c r="E903" t="s">
        <v>482</v>
      </c>
      <c r="F903" s="12">
        <f>IFERROR(VLOOKUP(B903,'INSUMOS  JULIO'!$B$6:$CJ$109,30,0),"")</f>
        <v>0</v>
      </c>
      <c r="G903" s="8">
        <f>IFERROR(VLOOKUP($B903,'INSUMOS  JULIO'!$B$6:$CJ$109,31,0),"")</f>
        <v>6229.277</v>
      </c>
      <c r="H903" s="19">
        <f t="shared" si="56"/>
        <v>0</v>
      </c>
      <c r="I903" s="1">
        <f t="shared" si="57"/>
        <v>0</v>
      </c>
      <c r="J903" s="1">
        <f t="shared" si="58"/>
        <v>0</v>
      </c>
      <c r="K903" s="19">
        <f t="shared" si="59"/>
        <v>0</v>
      </c>
    </row>
    <row r="904" spans="1:11" ht="15">
      <c r="A904" s="3">
        <v>1415</v>
      </c>
      <c r="B904" s="151">
        <v>137</v>
      </c>
      <c r="C904" s="7" t="s">
        <v>20</v>
      </c>
      <c r="D904" s="4" t="s">
        <v>88</v>
      </c>
      <c r="E904" t="s">
        <v>482</v>
      </c>
      <c r="F904" s="12" t="str">
        <f>IFERROR(VLOOKUP(B904,'INSUMOS  JULIO'!$B$6:$CJ$109,30,0),"")</f>
        <v>0</v>
      </c>
      <c r="G904" s="8">
        <f>IFERROR(VLOOKUP($B904,'INSUMOS  JULIO'!$B$6:$CJ$109,31,0),"")</f>
        <v>1245.4349999999999</v>
      </c>
      <c r="H904" s="19">
        <f t="shared" si="56"/>
        <v>0</v>
      </c>
      <c r="I904" s="1">
        <f t="shared" si="57"/>
        <v>0</v>
      </c>
      <c r="J904" s="1">
        <f t="shared" si="58"/>
        <v>0</v>
      </c>
      <c r="K904" s="19">
        <f t="shared" si="59"/>
        <v>0</v>
      </c>
    </row>
    <row r="905" spans="1:11" ht="15">
      <c r="A905" s="3">
        <v>1416</v>
      </c>
      <c r="B905" s="151">
        <v>139</v>
      </c>
      <c r="C905" s="7" t="s">
        <v>22</v>
      </c>
      <c r="D905" s="4" t="s">
        <v>89</v>
      </c>
      <c r="E905" t="s">
        <v>482</v>
      </c>
      <c r="F905" s="12">
        <f>IFERROR(VLOOKUP(B905,'INSUMOS  JULIO'!$B$6:$CJ$109,30,0),"")</f>
        <v>0</v>
      </c>
      <c r="G905" s="8">
        <f>IFERROR(VLOOKUP($B905,'INSUMOS  JULIO'!$B$6:$CJ$109,31,0),"")</f>
        <v>25429.996000000003</v>
      </c>
      <c r="H905" s="19">
        <f t="shared" si="56"/>
        <v>0</v>
      </c>
      <c r="I905" s="1">
        <f t="shared" si="57"/>
        <v>0</v>
      </c>
      <c r="J905" s="1">
        <f t="shared" si="58"/>
        <v>0</v>
      </c>
      <c r="K905" s="19">
        <f t="shared" si="59"/>
        <v>0</v>
      </c>
    </row>
    <row r="906" spans="1:11" ht="15">
      <c r="A906" s="3">
        <v>1417</v>
      </c>
      <c r="B906" s="151">
        <v>151</v>
      </c>
      <c r="C906" s="7" t="s">
        <v>18</v>
      </c>
      <c r="D906" s="4" t="s">
        <v>91</v>
      </c>
      <c r="E906" t="s">
        <v>482</v>
      </c>
      <c r="F906" s="12">
        <f>IFERROR(VLOOKUP(B906,'INSUMOS  JULIO'!$B$6:$CJ$109,30,0),"")</f>
        <v>72</v>
      </c>
      <c r="G906" s="8">
        <f>IFERROR(VLOOKUP($B906,'INSUMOS  JULIO'!$B$6:$CJ$109,31,0),"")</f>
        <v>4422.6080000000002</v>
      </c>
      <c r="H906" s="19">
        <f t="shared" si="56"/>
        <v>318427.77600000001</v>
      </c>
      <c r="I906" s="1">
        <f t="shared" si="57"/>
        <v>31842.777600000001</v>
      </c>
      <c r="J906" s="1">
        <f t="shared" si="58"/>
        <v>6050.1277440000003</v>
      </c>
      <c r="K906" s="19">
        <f t="shared" si="59"/>
        <v>356320.68134399998</v>
      </c>
    </row>
    <row r="907" spans="1:11" ht="15">
      <c r="A907" s="3">
        <v>1418</v>
      </c>
      <c r="B907" s="151">
        <v>152</v>
      </c>
      <c r="C907" s="7" t="s">
        <v>155</v>
      </c>
      <c r="D907" s="4" t="s">
        <v>92</v>
      </c>
      <c r="E907" t="s">
        <v>482</v>
      </c>
      <c r="F907" s="12" t="str">
        <f>IFERROR(VLOOKUP(B907,'INSUMOS  JULIO'!$B$6:$CJ$109,30,0),"")</f>
        <v>0</v>
      </c>
      <c r="G907" s="8">
        <f>IFERROR(VLOOKUP($B907,'INSUMOS  JULIO'!$B$6:$CJ$109,31,0),"")</f>
        <v>0</v>
      </c>
      <c r="H907" s="19">
        <f t="shared" si="56"/>
        <v>0</v>
      </c>
      <c r="I907" s="1">
        <f t="shared" si="57"/>
        <v>0</v>
      </c>
      <c r="J907" s="1">
        <f t="shared" si="58"/>
        <v>0</v>
      </c>
      <c r="K907" s="19">
        <f t="shared" si="59"/>
        <v>0</v>
      </c>
    </row>
    <row r="908" spans="1:11" ht="15">
      <c r="A908" s="3">
        <v>1419</v>
      </c>
      <c r="B908" s="151">
        <v>154</v>
      </c>
      <c r="C908" s="7" t="s">
        <v>16</v>
      </c>
      <c r="D908" s="4" t="s">
        <v>94</v>
      </c>
      <c r="E908" t="s">
        <v>482</v>
      </c>
      <c r="F908" s="12" t="str">
        <f>IFERROR(VLOOKUP(B908,'INSUMOS  JULIO'!$B$6:$CJ$109,30,0),"")</f>
        <v>0</v>
      </c>
      <c r="G908" s="8">
        <f>IFERROR(VLOOKUP($B908,'INSUMOS  JULIO'!$B$6:$CJ$109,31,0),"")</f>
        <v>0</v>
      </c>
      <c r="H908" s="19">
        <f t="shared" si="56"/>
        <v>0</v>
      </c>
      <c r="I908" s="1">
        <f t="shared" si="57"/>
        <v>0</v>
      </c>
      <c r="J908" s="1">
        <f t="shared" si="58"/>
        <v>0</v>
      </c>
      <c r="K908" s="19">
        <f t="shared" si="59"/>
        <v>0</v>
      </c>
    </row>
    <row r="909" spans="1:11" ht="15">
      <c r="A909" s="3">
        <v>1420</v>
      </c>
      <c r="B909" s="151">
        <v>155</v>
      </c>
      <c r="C909" s="7" t="s">
        <v>27</v>
      </c>
      <c r="D909" s="4" t="s">
        <v>95</v>
      </c>
      <c r="E909" t="s">
        <v>482</v>
      </c>
      <c r="F909" s="12">
        <f>IFERROR(VLOOKUP(B909,'INSUMOS  JULIO'!$B$6:$CJ$109,30,0),"")</f>
        <v>0</v>
      </c>
      <c r="G909" s="8">
        <f>IFERROR(VLOOKUP($B909,'INSUMOS  JULIO'!$B$6:$CJ$109,31,0),"")</f>
        <v>3703.7239999999997</v>
      </c>
      <c r="H909" s="19">
        <f t="shared" si="56"/>
        <v>0</v>
      </c>
      <c r="I909" s="1">
        <f t="shared" si="57"/>
        <v>0</v>
      </c>
      <c r="J909" s="1">
        <f t="shared" si="58"/>
        <v>0</v>
      </c>
      <c r="K909" s="19">
        <f t="shared" si="59"/>
        <v>0</v>
      </c>
    </row>
    <row r="910" spans="1:11" ht="15">
      <c r="A910" s="3">
        <v>1460</v>
      </c>
      <c r="B910" s="151">
        <v>156</v>
      </c>
      <c r="C910" s="7" t="s">
        <v>13</v>
      </c>
      <c r="D910" s="4" t="s">
        <v>96</v>
      </c>
      <c r="E910" t="s">
        <v>482</v>
      </c>
      <c r="F910" s="12" t="str">
        <f>IFERROR(VLOOKUP(B910,'INSUMOS  JULIO'!$B$6:$CJ$109,30,0),"")</f>
        <v>0</v>
      </c>
      <c r="G910" s="8">
        <f>IFERROR(VLOOKUP($B910,'INSUMOS  JULIO'!$B$6:$CJ$109,31,0),"")</f>
        <v>4422.6080000000002</v>
      </c>
      <c r="H910" s="19">
        <f t="shared" si="56"/>
        <v>0</v>
      </c>
      <c r="I910" s="1">
        <f t="shared" si="57"/>
        <v>0</v>
      </c>
      <c r="J910" s="1">
        <f t="shared" si="58"/>
        <v>0</v>
      </c>
      <c r="K910" s="19">
        <f t="shared" si="59"/>
        <v>0</v>
      </c>
    </row>
    <row r="911" spans="1:11" ht="15">
      <c r="A911" s="3">
        <v>1461</v>
      </c>
      <c r="B911" s="151">
        <v>157</v>
      </c>
      <c r="C911" s="7" t="s">
        <v>13</v>
      </c>
      <c r="D911" s="4" t="s">
        <v>97</v>
      </c>
      <c r="E911" t="s">
        <v>482</v>
      </c>
      <c r="F911" s="12">
        <f>IFERROR(VLOOKUP(B911,'INSUMOS  JULIO'!$B$6:$CJ$109,30,0),"")</f>
        <v>0</v>
      </c>
      <c r="G911" s="8">
        <f>IFERROR(VLOOKUP($B911,'INSUMOS  JULIO'!$B$6:$CJ$109,31,0),"")</f>
        <v>5970.7309999999998</v>
      </c>
      <c r="H911" s="19">
        <f t="shared" si="56"/>
        <v>0</v>
      </c>
      <c r="I911" s="1">
        <f t="shared" si="57"/>
        <v>0</v>
      </c>
      <c r="J911" s="1">
        <f t="shared" si="58"/>
        <v>0</v>
      </c>
      <c r="K911" s="19">
        <f t="shared" si="59"/>
        <v>0</v>
      </c>
    </row>
    <row r="912" spans="1:11" ht="15">
      <c r="A912" s="3">
        <v>1462</v>
      </c>
      <c r="B912" s="151">
        <v>159</v>
      </c>
      <c r="C912" s="7" t="s">
        <v>13</v>
      </c>
      <c r="D912" s="4" t="s">
        <v>98</v>
      </c>
      <c r="E912" t="s">
        <v>482</v>
      </c>
      <c r="F912" s="12" t="str">
        <f>IFERROR(VLOOKUP(B912,'INSUMOS  JULIO'!$B$6:$CJ$109,30,0),"")</f>
        <v>0</v>
      </c>
      <c r="G912" s="8">
        <f>IFERROR(VLOOKUP($B912,'INSUMOS  JULIO'!$B$6:$CJ$109,31,0),"")</f>
        <v>0</v>
      </c>
      <c r="H912" s="19">
        <f t="shared" si="56"/>
        <v>0</v>
      </c>
      <c r="I912" s="1">
        <f t="shared" si="57"/>
        <v>0</v>
      </c>
      <c r="J912" s="1">
        <f t="shared" si="58"/>
        <v>0</v>
      </c>
      <c r="K912" s="19">
        <f t="shared" si="59"/>
        <v>0</v>
      </c>
    </row>
    <row r="913" spans="1:11" ht="15">
      <c r="A913" s="3">
        <v>1463</v>
      </c>
      <c r="B913" s="151">
        <v>160</v>
      </c>
      <c r="C913" s="7" t="s">
        <v>13</v>
      </c>
      <c r="D913" s="4" t="s">
        <v>99</v>
      </c>
      <c r="E913" t="s">
        <v>482</v>
      </c>
      <c r="F913" s="12" t="str">
        <f>IFERROR(VLOOKUP(B913,'INSUMOS  JULIO'!$B$6:$CJ$109,30,0),"")</f>
        <v>0</v>
      </c>
      <c r="G913" s="8">
        <f>IFERROR(VLOOKUP($B913,'INSUMOS  JULIO'!$B$6:$CJ$109,31,0),"")</f>
        <v>2276.4660000000003</v>
      </c>
      <c r="H913" s="19">
        <f t="shared" si="56"/>
        <v>0</v>
      </c>
      <c r="I913" s="1">
        <f t="shared" si="57"/>
        <v>0</v>
      </c>
      <c r="J913" s="1">
        <f t="shared" si="58"/>
        <v>0</v>
      </c>
      <c r="K913" s="19">
        <f t="shared" si="59"/>
        <v>0</v>
      </c>
    </row>
    <row r="914" spans="1:11" ht="15">
      <c r="A914" s="3">
        <v>1464</v>
      </c>
      <c r="B914" s="151">
        <v>161</v>
      </c>
      <c r="C914" s="7" t="s">
        <v>33</v>
      </c>
      <c r="D914" s="4" t="s">
        <v>100</v>
      </c>
      <c r="E914" t="s">
        <v>482</v>
      </c>
      <c r="F914" s="12" t="str">
        <f>IFERROR(VLOOKUP(B914,'INSUMOS  JULIO'!$B$6:$CJ$109,30,0),"")</f>
        <v>0</v>
      </c>
      <c r="G914" s="8">
        <f>IFERROR(VLOOKUP($B914,'INSUMOS  JULIO'!$B$6:$CJ$109,31,0),"")</f>
        <v>2236.5280000000002</v>
      </c>
      <c r="H914" s="19">
        <f t="shared" si="56"/>
        <v>0</v>
      </c>
      <c r="I914" s="1">
        <f t="shared" si="57"/>
        <v>0</v>
      </c>
      <c r="J914" s="1">
        <f t="shared" si="58"/>
        <v>0</v>
      </c>
      <c r="K914" s="19">
        <f t="shared" si="59"/>
        <v>0</v>
      </c>
    </row>
    <row r="915" spans="1:11" ht="15">
      <c r="A915" s="3">
        <v>1465</v>
      </c>
      <c r="B915" s="151">
        <v>162</v>
      </c>
      <c r="C915" s="7" t="s">
        <v>16</v>
      </c>
      <c r="D915" s="4" t="s">
        <v>101</v>
      </c>
      <c r="E915" t="s">
        <v>482</v>
      </c>
      <c r="F915" s="12">
        <f>IFERROR(VLOOKUP(B915,'INSUMOS  JULIO'!$B$6:$CJ$109,30,0),"")</f>
        <v>0</v>
      </c>
      <c r="G915" s="8">
        <f>IFERROR(VLOOKUP($B915,'INSUMOS  JULIO'!$B$6:$CJ$109,31,0),"")</f>
        <v>2684.2539999999999</v>
      </c>
      <c r="H915" s="19">
        <f t="shared" si="56"/>
        <v>0</v>
      </c>
      <c r="I915" s="1">
        <f t="shared" si="57"/>
        <v>0</v>
      </c>
      <c r="J915" s="1">
        <f t="shared" si="58"/>
        <v>0</v>
      </c>
      <c r="K915" s="19">
        <f t="shared" si="59"/>
        <v>0</v>
      </c>
    </row>
    <row r="916" spans="1:11" ht="15">
      <c r="A916" s="3">
        <v>1466</v>
      </c>
      <c r="B916" s="151">
        <v>164</v>
      </c>
      <c r="C916" s="7" t="s">
        <v>36</v>
      </c>
      <c r="D916" s="4" t="s">
        <v>102</v>
      </c>
      <c r="E916" t="s">
        <v>482</v>
      </c>
      <c r="F916" s="12" t="str">
        <f>IFERROR(VLOOKUP(B916,'INSUMOS  JULIO'!$B$6:$CJ$109,30,0),"")</f>
        <v>0</v>
      </c>
      <c r="G916" s="8">
        <f>IFERROR(VLOOKUP($B916,'INSUMOS  JULIO'!$B$6:$CJ$109,31,0),"")</f>
        <v>1658.4780000000001</v>
      </c>
      <c r="H916" s="19">
        <f t="shared" si="56"/>
        <v>0</v>
      </c>
      <c r="I916" s="1">
        <f t="shared" si="57"/>
        <v>0</v>
      </c>
      <c r="J916" s="1">
        <f t="shared" si="58"/>
        <v>0</v>
      </c>
      <c r="K916" s="19">
        <f t="shared" si="59"/>
        <v>0</v>
      </c>
    </row>
    <row r="917" spans="1:11" ht="15">
      <c r="A917" s="3">
        <v>1467</v>
      </c>
      <c r="B917" s="151">
        <v>169</v>
      </c>
      <c r="C917" s="7" t="s">
        <v>36</v>
      </c>
      <c r="D917" s="4" t="s">
        <v>104</v>
      </c>
      <c r="E917" t="s">
        <v>482</v>
      </c>
      <c r="F917" s="12" t="str">
        <f>IFERROR(VLOOKUP(B917,'INSUMOS  JULIO'!$B$6:$CJ$109,30,0),"")</f>
        <v>0</v>
      </c>
      <c r="G917" s="8">
        <f>IFERROR(VLOOKUP($B917,'INSUMOS  JULIO'!$B$6:$CJ$109,31,0),"")</f>
        <v>85897.178999999989</v>
      </c>
      <c r="H917" s="19">
        <f t="shared" si="56"/>
        <v>0</v>
      </c>
      <c r="I917" s="1">
        <f t="shared" si="57"/>
        <v>0</v>
      </c>
      <c r="J917" s="1">
        <f t="shared" si="58"/>
        <v>0</v>
      </c>
      <c r="K917" s="19">
        <f t="shared" si="59"/>
        <v>0</v>
      </c>
    </row>
    <row r="918" spans="1:11" ht="15">
      <c r="A918" s="3">
        <v>1468</v>
      </c>
      <c r="B918" s="151">
        <v>170</v>
      </c>
      <c r="C918" s="7" t="s">
        <v>39</v>
      </c>
      <c r="D918" s="4" t="s">
        <v>106</v>
      </c>
      <c r="E918" t="s">
        <v>482</v>
      </c>
      <c r="F918" s="12">
        <f>IFERROR(VLOOKUP(B918,'INSUMOS  JULIO'!$B$6:$CJ$109,30,0),"")</f>
        <v>0</v>
      </c>
      <c r="G918" s="8">
        <f>IFERROR(VLOOKUP($B918,'INSUMOS  JULIO'!$B$6:$CJ$109,31,0),"")</f>
        <v>19405.664000000001</v>
      </c>
      <c r="H918" s="19">
        <f t="shared" si="56"/>
        <v>0</v>
      </c>
      <c r="I918" s="1">
        <f t="shared" si="57"/>
        <v>0</v>
      </c>
      <c r="J918" s="1">
        <f t="shared" si="58"/>
        <v>0</v>
      </c>
      <c r="K918" s="19">
        <f t="shared" si="59"/>
        <v>0</v>
      </c>
    </row>
    <row r="919" spans="1:11" ht="15">
      <c r="A919" s="3">
        <v>1469</v>
      </c>
      <c r="B919" s="151">
        <v>173</v>
      </c>
      <c r="C919" s="7" t="s">
        <v>39</v>
      </c>
      <c r="D919" s="4" t="s">
        <v>107</v>
      </c>
      <c r="E919" t="s">
        <v>482</v>
      </c>
      <c r="F919" s="12" t="str">
        <f>IFERROR(VLOOKUP(B919,'INSUMOS  JULIO'!$B$6:$CJ$109,30,0),"")</f>
        <v>0</v>
      </c>
      <c r="G919" s="8">
        <f>IFERROR(VLOOKUP($B919,'INSUMOS  JULIO'!$B$6:$CJ$109,31,0),"")</f>
        <v>0</v>
      </c>
      <c r="H919" s="19">
        <f t="shared" si="56"/>
        <v>0</v>
      </c>
      <c r="I919" s="1">
        <f t="shared" si="57"/>
        <v>0</v>
      </c>
      <c r="J919" s="1">
        <f t="shared" si="58"/>
        <v>0</v>
      </c>
      <c r="K919" s="19">
        <f t="shared" si="59"/>
        <v>0</v>
      </c>
    </row>
    <row r="920" spans="1:11" ht="15">
      <c r="A920" s="3">
        <v>1470</v>
      </c>
      <c r="B920" s="151">
        <v>174</v>
      </c>
      <c r="C920" s="7" t="s">
        <v>108</v>
      </c>
      <c r="D920" s="4" t="s">
        <v>109</v>
      </c>
      <c r="E920" t="s">
        <v>482</v>
      </c>
      <c r="F920" s="12" t="str">
        <f>IFERROR(VLOOKUP(B920,'INSUMOS  JULIO'!$B$6:$CJ$109,30,0),"")</f>
        <v>0</v>
      </c>
      <c r="G920" s="8">
        <f>IFERROR(VLOOKUP($B920,'INSUMOS  JULIO'!$B$6:$CJ$109,31,0),"")</f>
        <v>6081.0860000000002</v>
      </c>
      <c r="H920" s="19">
        <f t="shared" si="56"/>
        <v>0</v>
      </c>
      <c r="I920" s="1">
        <f t="shared" si="57"/>
        <v>0</v>
      </c>
      <c r="J920" s="1">
        <f t="shared" si="58"/>
        <v>0</v>
      </c>
      <c r="K920" s="19">
        <f t="shared" si="59"/>
        <v>0</v>
      </c>
    </row>
    <row r="921" spans="1:11" ht="15">
      <c r="A921" s="3">
        <v>1471</v>
      </c>
      <c r="B921" s="151">
        <v>176</v>
      </c>
      <c r="C921" s="7" t="s">
        <v>108</v>
      </c>
      <c r="D921" s="4" t="s">
        <v>110</v>
      </c>
      <c r="E921" t="s">
        <v>482</v>
      </c>
      <c r="F921" s="12" t="str">
        <f>IFERROR(VLOOKUP(B921,'INSUMOS  JULIO'!$B$6:$CJ$109,30,0),"")</f>
        <v>0</v>
      </c>
      <c r="G921" s="8">
        <f>IFERROR(VLOOKUP($B921,'INSUMOS  JULIO'!$B$6:$CJ$109,31,0),"")</f>
        <v>2749.4160000000002</v>
      </c>
      <c r="H921" s="19">
        <f t="shared" si="56"/>
        <v>0</v>
      </c>
      <c r="I921" s="1">
        <f t="shared" si="57"/>
        <v>0</v>
      </c>
      <c r="J921" s="1">
        <f t="shared" si="58"/>
        <v>0</v>
      </c>
      <c r="K921" s="19">
        <f t="shared" si="59"/>
        <v>0</v>
      </c>
    </row>
    <row r="922" spans="1:11" ht="15">
      <c r="A922" s="3">
        <v>1472</v>
      </c>
      <c r="B922" s="151">
        <v>192</v>
      </c>
      <c r="C922" s="7" t="s">
        <v>149</v>
      </c>
      <c r="D922" s="4" t="s">
        <v>111</v>
      </c>
      <c r="E922" t="s">
        <v>482</v>
      </c>
      <c r="F922" s="12">
        <f>IFERROR(VLOOKUP(B922,'INSUMOS  JULIO'!$B$6:$CJ$109,30,0),"")</f>
        <v>50</v>
      </c>
      <c r="G922" s="8">
        <f>IFERROR(VLOOKUP($B922,'INSUMOS  JULIO'!$B$6:$CJ$109,31,0),"")</f>
        <v>6866.2880999999998</v>
      </c>
      <c r="H922" s="19">
        <f t="shared" si="56"/>
        <v>343314.40499999997</v>
      </c>
      <c r="I922" s="1">
        <f t="shared" si="57"/>
        <v>34331.440499999997</v>
      </c>
      <c r="J922" s="1">
        <f t="shared" si="58"/>
        <v>6522.9736949999997</v>
      </c>
      <c r="K922" s="19">
        <f t="shared" si="59"/>
        <v>384168.81919499993</v>
      </c>
    </row>
    <row r="923" spans="1:11" ht="15">
      <c r="A923" s="3">
        <v>1473</v>
      </c>
      <c r="B923" s="151">
        <v>195</v>
      </c>
      <c r="C923" s="7" t="s">
        <v>151</v>
      </c>
      <c r="D923" s="4" t="s">
        <v>112</v>
      </c>
      <c r="E923" t="s">
        <v>482</v>
      </c>
      <c r="F923" s="12">
        <f>IFERROR(VLOOKUP(B923,'INSUMOS  JULIO'!$B$6:$CJ$109,30,0),"")</f>
        <v>50</v>
      </c>
      <c r="G923" s="8">
        <f>IFERROR(VLOOKUP($B923,'INSUMOS  JULIO'!$B$6:$CJ$109,31,0),"")</f>
        <v>10697.1831</v>
      </c>
      <c r="H923" s="19">
        <f t="shared" si="56"/>
        <v>534859.15500000003</v>
      </c>
      <c r="I923" s="1">
        <f t="shared" si="57"/>
        <v>53485.915500000003</v>
      </c>
      <c r="J923" s="1">
        <f t="shared" si="58"/>
        <v>10162.323945</v>
      </c>
      <c r="K923" s="19">
        <f t="shared" si="59"/>
        <v>598507.39444499998</v>
      </c>
    </row>
    <row r="924" spans="1:11" ht="15">
      <c r="A924" s="3">
        <v>1474</v>
      </c>
      <c r="B924" s="151">
        <v>204</v>
      </c>
      <c r="C924" s="7" t="s">
        <v>46</v>
      </c>
      <c r="D924" s="4" t="s">
        <v>113</v>
      </c>
      <c r="E924" t="s">
        <v>482</v>
      </c>
      <c r="F924" s="12">
        <f>IFERROR(VLOOKUP(B924,'INSUMOS  JULIO'!$B$6:$CJ$109,30,0),"")</f>
        <v>12</v>
      </c>
      <c r="G924" s="8">
        <f>IFERROR(VLOOKUP($B924,'INSUMOS  JULIO'!$B$6:$CJ$109,31,0),"")</f>
        <v>25673.6178</v>
      </c>
      <c r="H924" s="19">
        <f t="shared" si="56"/>
        <v>308083.41359999997</v>
      </c>
      <c r="I924" s="1">
        <f t="shared" si="57"/>
        <v>30808.341359999999</v>
      </c>
      <c r="J924" s="1">
        <f t="shared" si="58"/>
        <v>5853.5848583999996</v>
      </c>
      <c r="K924" s="19">
        <f t="shared" si="59"/>
        <v>344745.33981839998</v>
      </c>
    </row>
    <row r="925" spans="1:11" ht="27">
      <c r="A925" s="3">
        <v>1475</v>
      </c>
      <c r="B925" s="151">
        <v>205</v>
      </c>
      <c r="C925" s="7" t="s">
        <v>159</v>
      </c>
      <c r="D925" s="4" t="s">
        <v>114</v>
      </c>
      <c r="E925" t="s">
        <v>482</v>
      </c>
      <c r="F925" s="12" t="str">
        <f>IFERROR(VLOOKUP(B925,'INSUMOS  JULIO'!$B$6:$CJ$109,30,0),"")</f>
        <v>0</v>
      </c>
      <c r="G925" s="8">
        <f>IFERROR(VLOOKUP($B925,'INSUMOS  JULIO'!$B$6:$CJ$109,31,0),"")</f>
        <v>17690.432000000001</v>
      </c>
      <c r="H925" s="19">
        <f t="shared" si="56"/>
        <v>0</v>
      </c>
      <c r="I925" s="1">
        <f t="shared" si="57"/>
        <v>0</v>
      </c>
      <c r="J925" s="1">
        <f t="shared" si="58"/>
        <v>0</v>
      </c>
      <c r="K925" s="19">
        <f t="shared" si="59"/>
        <v>0</v>
      </c>
    </row>
    <row r="926" spans="1:11" ht="15">
      <c r="A926" s="3">
        <v>1476</v>
      </c>
      <c r="B926" s="151">
        <v>207</v>
      </c>
      <c r="C926" s="7" t="s">
        <v>159</v>
      </c>
      <c r="D926" s="4" t="s">
        <v>115</v>
      </c>
      <c r="E926" t="s">
        <v>482</v>
      </c>
      <c r="F926" s="12" t="str">
        <f>IFERROR(VLOOKUP(B926,'INSUMOS  JULIO'!$B$6:$CJ$109,30,0),"")</f>
        <v>0</v>
      </c>
      <c r="G926" s="8">
        <f>IFERROR(VLOOKUP($B926,'INSUMOS  JULIO'!$B$6:$CJ$109,31,0),"")</f>
        <v>7186.7380000000003</v>
      </c>
      <c r="H926" s="19">
        <f t="shared" si="56"/>
        <v>0</v>
      </c>
      <c r="I926" s="1">
        <f t="shared" si="57"/>
        <v>0</v>
      </c>
      <c r="J926" s="1">
        <f t="shared" si="58"/>
        <v>0</v>
      </c>
      <c r="K926" s="19">
        <f t="shared" si="59"/>
        <v>0</v>
      </c>
    </row>
    <row r="927" spans="1:11" ht="15">
      <c r="A927" s="3">
        <v>1477</v>
      </c>
      <c r="B927" s="151">
        <v>208</v>
      </c>
      <c r="C927" s="7" t="s">
        <v>159</v>
      </c>
      <c r="D927" s="4" t="s">
        <v>634</v>
      </c>
      <c r="E927" t="s">
        <v>482</v>
      </c>
      <c r="F927" s="12" t="str">
        <f>IFERROR(VLOOKUP(B927,'INSUMOS  JULIO'!$B$6:$CJ$109,30,0),"")</f>
        <v>0</v>
      </c>
      <c r="G927" s="8">
        <f>IFERROR(VLOOKUP($B927,'INSUMOS  JULIO'!$B$6:$CJ$109,31,0),"")</f>
        <v>50779.065000000002</v>
      </c>
      <c r="H927" s="19">
        <f t="shared" si="56"/>
        <v>0</v>
      </c>
      <c r="I927" s="1">
        <f t="shared" si="57"/>
        <v>0</v>
      </c>
      <c r="J927" s="1">
        <f t="shared" si="58"/>
        <v>0</v>
      </c>
      <c r="K927" s="19">
        <f t="shared" si="59"/>
        <v>0</v>
      </c>
    </row>
    <row r="928" spans="1:11" ht="15">
      <c r="A928" s="3">
        <v>1478</v>
      </c>
      <c r="B928" s="151">
        <v>209</v>
      </c>
      <c r="C928" s="7" t="s">
        <v>159</v>
      </c>
      <c r="D928" s="4" t="s">
        <v>635</v>
      </c>
      <c r="E928" t="s">
        <v>482</v>
      </c>
      <c r="F928" s="12" t="str">
        <f>IFERROR(VLOOKUP(B928,'INSUMOS  JULIO'!$B$6:$CJ$109,30,0),"")</f>
        <v>0</v>
      </c>
      <c r="G928" s="8">
        <f>IFERROR(VLOOKUP($B928,'INSUMOS  JULIO'!$B$6:$CJ$109,31,0),"")</f>
        <v>37357.794999999998</v>
      </c>
      <c r="H928" s="19">
        <f t="shared" si="56"/>
        <v>0</v>
      </c>
      <c r="I928" s="1">
        <f t="shared" si="57"/>
        <v>0</v>
      </c>
      <c r="J928" s="1">
        <f t="shared" si="58"/>
        <v>0</v>
      </c>
      <c r="K928" s="19">
        <f t="shared" si="59"/>
        <v>0</v>
      </c>
    </row>
    <row r="929" spans="1:11" ht="15">
      <c r="A929" s="3">
        <v>1479</v>
      </c>
      <c r="B929" s="151">
        <v>210</v>
      </c>
      <c r="C929" s="7" t="s">
        <v>159</v>
      </c>
      <c r="D929" s="4" t="s">
        <v>636</v>
      </c>
      <c r="E929" t="s">
        <v>482</v>
      </c>
      <c r="F929" s="12" t="str">
        <f>IFERROR(VLOOKUP(B929,'INSUMOS  JULIO'!$B$6:$CJ$109,30,0),"")</f>
        <v>0</v>
      </c>
      <c r="G929" s="8">
        <f>IFERROR(VLOOKUP($B929,'INSUMOS  JULIO'!$B$6:$CJ$109,31,0),"")</f>
        <v>22537.643999999997</v>
      </c>
      <c r="H929" s="19">
        <f t="shared" si="56"/>
        <v>0</v>
      </c>
      <c r="I929" s="1">
        <f t="shared" si="57"/>
        <v>0</v>
      </c>
      <c r="J929" s="1">
        <f t="shared" si="58"/>
        <v>0</v>
      </c>
      <c r="K929" s="19">
        <f t="shared" si="59"/>
        <v>0</v>
      </c>
    </row>
    <row r="930" spans="1:11" ht="15">
      <c r="A930" s="3">
        <v>1480</v>
      </c>
      <c r="B930" s="151">
        <v>211</v>
      </c>
      <c r="C930" s="7" t="s">
        <v>53</v>
      </c>
      <c r="D930" s="4" t="s">
        <v>637</v>
      </c>
      <c r="E930" t="s">
        <v>482</v>
      </c>
      <c r="F930" s="12" t="str">
        <f>IFERROR(VLOOKUP(B930,'INSUMOS  JULIO'!$B$6:$CJ$109,30,0),"")</f>
        <v>0</v>
      </c>
      <c r="G930" s="8">
        <f>IFERROR(VLOOKUP($B930,'INSUMOS  JULIO'!$B$6:$CJ$109,31,0),"")</f>
        <v>15992.016</v>
      </c>
      <c r="H930" s="19">
        <f t="shared" si="56"/>
        <v>0</v>
      </c>
      <c r="I930" s="1">
        <f t="shared" si="57"/>
        <v>0</v>
      </c>
      <c r="J930" s="1">
        <f t="shared" si="58"/>
        <v>0</v>
      </c>
      <c r="K930" s="19">
        <f t="shared" si="59"/>
        <v>0</v>
      </c>
    </row>
    <row r="931" spans="1:11" ht="15">
      <c r="A931" s="3">
        <v>1481</v>
      </c>
      <c r="B931" s="151">
        <v>212</v>
      </c>
      <c r="C931" s="7" t="s">
        <v>53</v>
      </c>
      <c r="D931" s="4" t="s">
        <v>116</v>
      </c>
      <c r="E931" t="s">
        <v>482</v>
      </c>
      <c r="F931" s="12" t="str">
        <f>IFERROR(VLOOKUP(B931,'INSUMOS  JULIO'!$B$6:$CJ$109,30,0),"")</f>
        <v>0</v>
      </c>
      <c r="G931" s="8">
        <f>IFERROR(VLOOKUP($B931,'INSUMOS  JULIO'!$B$6:$CJ$109,31,0),"")</f>
        <v>2505.5839999999998</v>
      </c>
      <c r="H931" s="19">
        <f t="shared" si="56"/>
        <v>0</v>
      </c>
      <c r="I931" s="1">
        <f t="shared" si="57"/>
        <v>0</v>
      </c>
      <c r="J931" s="1">
        <f t="shared" si="58"/>
        <v>0</v>
      </c>
      <c r="K931" s="19">
        <f t="shared" si="59"/>
        <v>0</v>
      </c>
    </row>
    <row r="932" spans="1:11" ht="15">
      <c r="A932" s="3">
        <v>1482</v>
      </c>
      <c r="B932" s="151">
        <v>213</v>
      </c>
      <c r="C932" s="7" t="s">
        <v>53</v>
      </c>
      <c r="D932" s="4" t="s">
        <v>638</v>
      </c>
      <c r="E932" t="s">
        <v>482</v>
      </c>
      <c r="F932" s="12" t="str">
        <f>IFERROR(VLOOKUP(B932,'INSUMOS  JULIO'!$B$6:$CJ$109,30,0),"")</f>
        <v>0</v>
      </c>
      <c r="G932" s="8">
        <f>IFERROR(VLOOKUP($B932,'INSUMOS  JULIO'!$B$6:$CJ$109,31,0),"")</f>
        <v>0</v>
      </c>
      <c r="H932" s="19">
        <f t="shared" si="56"/>
        <v>0</v>
      </c>
      <c r="I932" s="1">
        <f t="shared" si="57"/>
        <v>0</v>
      </c>
      <c r="J932" s="1">
        <f t="shared" si="58"/>
        <v>0</v>
      </c>
      <c r="K932" s="19">
        <f t="shared" si="59"/>
        <v>0</v>
      </c>
    </row>
    <row r="933" spans="1:11" ht="15">
      <c r="A933" s="3">
        <v>1483</v>
      </c>
      <c r="B933" s="151">
        <v>215</v>
      </c>
      <c r="C933" s="7" t="s">
        <v>53</v>
      </c>
      <c r="D933" s="4" t="s">
        <v>639</v>
      </c>
      <c r="E933" t="s">
        <v>482</v>
      </c>
      <c r="F933" s="12" t="str">
        <f>IFERROR(VLOOKUP(B933,'INSUMOS  JULIO'!$B$6:$CJ$109,30,0),"")</f>
        <v>0</v>
      </c>
      <c r="G933" s="8">
        <f>IFERROR(VLOOKUP($B933,'INSUMOS  JULIO'!$B$6:$CJ$109,31,0),"")</f>
        <v>10476.367999999999</v>
      </c>
      <c r="H933" s="19">
        <f t="shared" si="56"/>
        <v>0</v>
      </c>
      <c r="I933" s="1">
        <f t="shared" si="57"/>
        <v>0</v>
      </c>
      <c r="J933" s="1">
        <f t="shared" si="58"/>
        <v>0</v>
      </c>
      <c r="K933" s="19">
        <f t="shared" si="59"/>
        <v>0</v>
      </c>
    </row>
    <row r="934" spans="1:11" ht="15">
      <c r="A934" s="3">
        <v>1484</v>
      </c>
      <c r="B934" s="151">
        <v>216</v>
      </c>
      <c r="C934" s="7" t="s">
        <v>160</v>
      </c>
      <c r="D934" s="4" t="s">
        <v>640</v>
      </c>
      <c r="E934" t="s">
        <v>482</v>
      </c>
      <c r="F934" s="12" t="str">
        <f>IFERROR(VLOOKUP(B934,'INSUMOS  JULIO'!$B$6:$CJ$109,30,0),"")</f>
        <v>0</v>
      </c>
      <c r="G934" s="8">
        <f>IFERROR(VLOOKUP($B934,'INSUMOS  JULIO'!$B$6:$CJ$109,31,0),"")</f>
        <v>3954.9129999999996</v>
      </c>
      <c r="H934" s="19">
        <f t="shared" si="56"/>
        <v>0</v>
      </c>
      <c r="I934" s="1">
        <f t="shared" si="57"/>
        <v>0</v>
      </c>
      <c r="J934" s="1">
        <f t="shared" si="58"/>
        <v>0</v>
      </c>
      <c r="K934" s="19">
        <f t="shared" si="59"/>
        <v>0</v>
      </c>
    </row>
    <row r="935" spans="1:11" ht="15">
      <c r="A935" s="3">
        <v>1485</v>
      </c>
      <c r="B935" s="151">
        <v>218</v>
      </c>
      <c r="C935" s="7" t="s">
        <v>160</v>
      </c>
      <c r="D935" s="4" t="s">
        <v>117</v>
      </c>
      <c r="E935" t="s">
        <v>482</v>
      </c>
      <c r="F935" s="12" t="str">
        <f>IFERROR(VLOOKUP(B935,'INSUMOS  JULIO'!$B$6:$CJ$109,30,0),"")</f>
        <v>0</v>
      </c>
      <c r="G935" s="8">
        <f>IFERROR(VLOOKUP($B935,'INSUMOS  JULIO'!$B$6:$CJ$109,31,0),"")</f>
        <v>1437.768</v>
      </c>
      <c r="H935" s="19">
        <f t="shared" si="56"/>
        <v>0</v>
      </c>
      <c r="I935" s="1">
        <f t="shared" si="57"/>
        <v>0</v>
      </c>
      <c r="J935" s="1">
        <f t="shared" si="58"/>
        <v>0</v>
      </c>
      <c r="K935" s="19">
        <f t="shared" si="59"/>
        <v>0</v>
      </c>
    </row>
    <row r="936" spans="1:11" ht="15">
      <c r="A936" s="3">
        <v>1486</v>
      </c>
      <c r="B936" s="151">
        <v>251</v>
      </c>
      <c r="C936" s="7" t="s">
        <v>60</v>
      </c>
      <c r="D936" s="4" t="s">
        <v>118</v>
      </c>
      <c r="E936" t="s">
        <v>482</v>
      </c>
      <c r="F936" s="12" t="str">
        <f>IFERROR(VLOOKUP(B936,'INSUMOS  JULIO'!$B$6:$CJ$109,30,0),"")</f>
        <v>0</v>
      </c>
      <c r="G936" s="8">
        <f>IFERROR(VLOOKUP($B936,'INSUMOS  JULIO'!$B$6:$CJ$109,31,0),"")</f>
        <v>16031.954000000002</v>
      </c>
      <c r="H936" s="19">
        <f t="shared" si="56"/>
        <v>0</v>
      </c>
      <c r="I936" s="1">
        <f t="shared" si="57"/>
        <v>0</v>
      </c>
      <c r="J936" s="1">
        <f t="shared" si="58"/>
        <v>0</v>
      </c>
      <c r="K936" s="19">
        <f t="shared" si="59"/>
        <v>0</v>
      </c>
    </row>
    <row r="937" spans="1:11" ht="15">
      <c r="A937" s="3">
        <v>1487</v>
      </c>
      <c r="B937" s="151">
        <v>255</v>
      </c>
      <c r="C937" s="7" t="s">
        <v>60</v>
      </c>
      <c r="D937" s="4" t="s">
        <v>641</v>
      </c>
      <c r="E937" t="s">
        <v>482</v>
      </c>
      <c r="F937" s="12" t="str">
        <f>IFERROR(VLOOKUP(B937,'INSUMOS  JULIO'!$B$6:$CJ$109,30,0),"")</f>
        <v>0</v>
      </c>
      <c r="G937" s="8">
        <f>IFERROR(VLOOKUP($B937,'INSUMOS  JULIO'!$B$6:$CJ$109,31,0),"")</f>
        <v>29299.777999999998</v>
      </c>
      <c r="H937" s="19">
        <f t="shared" si="56"/>
        <v>0</v>
      </c>
      <c r="I937" s="1">
        <f t="shared" si="57"/>
        <v>0</v>
      </c>
      <c r="J937" s="1">
        <f t="shared" si="58"/>
        <v>0</v>
      </c>
      <c r="K937" s="19">
        <f t="shared" si="59"/>
        <v>0</v>
      </c>
    </row>
    <row r="938" spans="1:11" ht="15">
      <c r="A938" s="3">
        <v>1488</v>
      </c>
      <c r="B938" s="151">
        <v>257</v>
      </c>
      <c r="C938" s="7" t="s">
        <v>151</v>
      </c>
      <c r="D938" s="4" t="s">
        <v>642</v>
      </c>
      <c r="E938" t="s">
        <v>482</v>
      </c>
      <c r="F938" s="12" t="str">
        <f>IFERROR(VLOOKUP(B938,'INSUMOS  JULIO'!$B$6:$CJ$109,30,0),"")</f>
        <v>0</v>
      </c>
      <c r="G938" s="8">
        <f>IFERROR(VLOOKUP($B938,'INSUMOS  JULIO'!$B$6:$CJ$109,31,0),"")</f>
        <v>18796.084000000003</v>
      </c>
      <c r="H938" s="19">
        <f t="shared" si="56"/>
        <v>0</v>
      </c>
      <c r="I938" s="1">
        <f t="shared" si="57"/>
        <v>0</v>
      </c>
      <c r="J938" s="1">
        <f t="shared" si="58"/>
        <v>0</v>
      </c>
      <c r="K938" s="19">
        <f t="shared" si="59"/>
        <v>0</v>
      </c>
    </row>
    <row r="939" spans="1:11" ht="15">
      <c r="A939" s="3">
        <v>1489</v>
      </c>
      <c r="B939" s="151">
        <v>260</v>
      </c>
      <c r="C939" s="7" t="s">
        <v>160</v>
      </c>
      <c r="D939" s="4" t="s">
        <v>643</v>
      </c>
      <c r="E939" t="s">
        <v>482</v>
      </c>
      <c r="F939" s="12" t="str">
        <f>IFERROR(VLOOKUP(B939,'INSUMOS  JULIO'!$B$6:$CJ$109,30,0),"")</f>
        <v>0</v>
      </c>
      <c r="G939" s="8">
        <f>IFERROR(VLOOKUP($B939,'INSUMOS  JULIO'!$B$6:$CJ$109,31,0),"")</f>
        <v>3417.8520000000008</v>
      </c>
      <c r="H939" s="19">
        <f t="shared" si="56"/>
        <v>0</v>
      </c>
      <c r="I939" s="1">
        <f t="shared" si="57"/>
        <v>0</v>
      </c>
      <c r="J939" s="1">
        <f t="shared" si="58"/>
        <v>0</v>
      </c>
      <c r="K939" s="19">
        <f t="shared" si="59"/>
        <v>0</v>
      </c>
    </row>
    <row r="940" spans="1:11" ht="15">
      <c r="A940" s="3">
        <v>1490</v>
      </c>
      <c r="B940" s="151">
        <v>291</v>
      </c>
      <c r="C940" s="7" t="s">
        <v>60</v>
      </c>
      <c r="D940" s="4" t="s">
        <v>644</v>
      </c>
      <c r="E940" t="s">
        <v>482</v>
      </c>
      <c r="F940" s="12" t="str">
        <f>IFERROR(VLOOKUP(B940,'INSUMOS  JULIO'!$B$6:$CJ$109,30,0),"")</f>
        <v>0</v>
      </c>
      <c r="G940" s="8">
        <f>IFERROR(VLOOKUP($B940,'INSUMOS  JULIO'!$B$6:$CJ$109,31,0),"")</f>
        <v>20454.562000000005</v>
      </c>
      <c r="H940" s="19">
        <f t="shared" si="56"/>
        <v>0</v>
      </c>
      <c r="I940" s="1">
        <f t="shared" si="57"/>
        <v>0</v>
      </c>
      <c r="J940" s="1">
        <f t="shared" si="58"/>
        <v>0</v>
      </c>
      <c r="K940" s="19">
        <f t="shared" si="59"/>
        <v>0</v>
      </c>
    </row>
    <row r="941" spans="1:11" ht="15">
      <c r="A941" s="3">
        <v>1491</v>
      </c>
      <c r="B941" s="151">
        <v>3</v>
      </c>
      <c r="C941" s="7" t="s">
        <v>155</v>
      </c>
      <c r="D941" s="4" t="s">
        <v>5</v>
      </c>
      <c r="E941" t="s">
        <v>483</v>
      </c>
      <c r="F941" s="12" t="str">
        <f>IFERROR(VLOOKUP($B941,'INSUMOS  JULIO'!$B$6:$CJ$109,33,0),"")</f>
        <v>0</v>
      </c>
      <c r="G941" s="8">
        <f>IFERROR(VLOOKUP($B941,'INSUMOS  JULIO'!$B$6:$CJ$109,34,0),"")</f>
        <v>7268.7160000000003</v>
      </c>
      <c r="H941" s="19">
        <f t="shared" si="56"/>
        <v>0</v>
      </c>
      <c r="I941" s="1">
        <f t="shared" si="57"/>
        <v>0</v>
      </c>
      <c r="J941" s="1">
        <f t="shared" si="58"/>
        <v>0</v>
      </c>
      <c r="K941" s="19">
        <f t="shared" si="59"/>
        <v>0</v>
      </c>
    </row>
    <row r="942" spans="1:11" ht="15">
      <c r="A942" s="3">
        <v>1492</v>
      </c>
      <c r="B942" s="151">
        <v>5</v>
      </c>
      <c r="C942" s="7" t="s">
        <v>6</v>
      </c>
      <c r="D942" s="4" t="s">
        <v>7</v>
      </c>
      <c r="E942" t="s">
        <v>483</v>
      </c>
      <c r="F942" s="12" t="str">
        <f>IFERROR(VLOOKUP(B942,'INSUMOS  JULIO'!$B$6:$CJ$109,33,0),"")</f>
        <v>0</v>
      </c>
      <c r="G942" s="8">
        <f>IFERROR(VLOOKUP($B942,'INSUMOS  JULIO'!$B$6:$CJ$109,34,0),"")</f>
        <v>6494.1289999999999</v>
      </c>
      <c r="H942" s="19">
        <f t="shared" si="56"/>
        <v>0</v>
      </c>
      <c r="I942" s="1">
        <f t="shared" si="57"/>
        <v>0</v>
      </c>
      <c r="J942" s="1">
        <f t="shared" si="58"/>
        <v>0</v>
      </c>
      <c r="K942" s="19">
        <f t="shared" si="59"/>
        <v>0</v>
      </c>
    </row>
    <row r="943" spans="1:11" ht="15">
      <c r="A943" s="3">
        <v>1493</v>
      </c>
      <c r="B943" s="151">
        <v>8</v>
      </c>
      <c r="C943" s="7" t="s">
        <v>6</v>
      </c>
      <c r="D943" s="4" t="s">
        <v>8</v>
      </c>
      <c r="E943" t="s">
        <v>483</v>
      </c>
      <c r="F943" s="12">
        <f>IFERROR(VLOOKUP(B943,'INSUMOS  JULIO'!$B$6:$CJ$109,33,0),"")</f>
        <v>0</v>
      </c>
      <c r="G943" s="8">
        <f>IFERROR(VLOOKUP($B943,'INSUMOS  JULIO'!$B$6:$CJ$109,34,0),"")</f>
        <v>2211.3040000000001</v>
      </c>
      <c r="H943" s="19">
        <f t="shared" si="56"/>
        <v>0</v>
      </c>
      <c r="I943" s="1">
        <f t="shared" si="57"/>
        <v>0</v>
      </c>
      <c r="J943" s="1">
        <f t="shared" si="58"/>
        <v>0</v>
      </c>
      <c r="K943" s="19">
        <f t="shared" si="59"/>
        <v>0</v>
      </c>
    </row>
    <row r="944" spans="1:11" ht="15">
      <c r="A944" s="3">
        <v>1494</v>
      </c>
      <c r="B944" s="151">
        <v>9</v>
      </c>
      <c r="C944" s="7" t="s">
        <v>9</v>
      </c>
      <c r="D944" s="4" t="s">
        <v>10</v>
      </c>
      <c r="E944" t="s">
        <v>483</v>
      </c>
      <c r="F944" s="12">
        <f>IFERROR(VLOOKUP(B944,'INSUMOS  JULIO'!$B$6:$CJ$109,33,0),"")</f>
        <v>0</v>
      </c>
      <c r="G944" s="8">
        <f>IFERROR(VLOOKUP($B944,'INSUMOS  JULIO'!$B$6:$CJ$109,34,0),"")</f>
        <v>3298.0379999999996</v>
      </c>
      <c r="H944" s="19">
        <f t="shared" si="56"/>
        <v>0</v>
      </c>
      <c r="I944" s="1">
        <f t="shared" si="57"/>
        <v>0</v>
      </c>
      <c r="J944" s="1">
        <f t="shared" si="58"/>
        <v>0</v>
      </c>
      <c r="K944" s="19">
        <f t="shared" si="59"/>
        <v>0</v>
      </c>
    </row>
    <row r="945" spans="1:11" ht="15">
      <c r="A945" s="3">
        <v>1495</v>
      </c>
      <c r="B945" s="151">
        <v>11</v>
      </c>
      <c r="C945" s="7" t="s">
        <v>156</v>
      </c>
      <c r="D945" s="4" t="s">
        <v>11</v>
      </c>
      <c r="E945" t="s">
        <v>483</v>
      </c>
      <c r="F945" s="12" t="str">
        <f>IFERROR(VLOOKUP(B945,'INSUMOS  JULIO'!$B$6:$CJ$109,33,0),"")</f>
        <v>0</v>
      </c>
      <c r="G945" s="8">
        <f>IFERROR(VLOOKUP($B945,'INSUMOS  JULIO'!$B$6:$CJ$109,34,0),"")</f>
        <v>7739.5639999999985</v>
      </c>
      <c r="H945" s="19">
        <f t="shared" si="56"/>
        <v>0</v>
      </c>
      <c r="I945" s="1">
        <f t="shared" si="57"/>
        <v>0</v>
      </c>
      <c r="J945" s="1">
        <f t="shared" si="58"/>
        <v>0</v>
      </c>
      <c r="K945" s="19">
        <f t="shared" si="59"/>
        <v>0</v>
      </c>
    </row>
    <row r="946" spans="1:11" ht="15">
      <c r="A946" s="3">
        <v>1496</v>
      </c>
      <c r="B946" s="151">
        <v>13</v>
      </c>
      <c r="C946" s="7" t="s">
        <v>157</v>
      </c>
      <c r="D946" s="4" t="s">
        <v>12</v>
      </c>
      <c r="E946" t="s">
        <v>483</v>
      </c>
      <c r="F946" s="12">
        <f>IFERROR(VLOOKUP(B946,'INSUMOS  JULIO'!$B$6:$CJ$109,33,0),"")</f>
        <v>0</v>
      </c>
      <c r="G946" s="8">
        <f>IFERROR(VLOOKUP($B946,'INSUMOS  JULIO'!$B$6:$CJ$109,34,0),"")</f>
        <v>6507.7919999999995</v>
      </c>
      <c r="H946" s="19">
        <f t="shared" si="56"/>
        <v>0</v>
      </c>
      <c r="I946" s="1">
        <f t="shared" si="57"/>
        <v>0</v>
      </c>
      <c r="J946" s="1">
        <f t="shared" si="58"/>
        <v>0</v>
      </c>
      <c r="K946" s="19">
        <f t="shared" si="59"/>
        <v>0</v>
      </c>
    </row>
    <row r="947" spans="1:11" ht="15">
      <c r="A947" s="3">
        <v>1497</v>
      </c>
      <c r="B947" s="151">
        <v>17</v>
      </c>
      <c r="C947" s="7" t="s">
        <v>13</v>
      </c>
      <c r="D947" s="4" t="s">
        <v>14</v>
      </c>
      <c r="E947" t="s">
        <v>483</v>
      </c>
      <c r="F947" s="12">
        <f>IFERROR(VLOOKUP(B947,'INSUMOS  JULIO'!$B$6:$CJ$109,33,0),"")</f>
        <v>0</v>
      </c>
      <c r="G947" s="8">
        <f>IFERROR(VLOOKUP($B947,'INSUMOS  JULIO'!$B$6:$CJ$109,34,0),"")</f>
        <v>5647.0229999999992</v>
      </c>
      <c r="H947" s="19">
        <f t="shared" si="56"/>
        <v>0</v>
      </c>
      <c r="I947" s="1">
        <f t="shared" si="57"/>
        <v>0</v>
      </c>
      <c r="J947" s="1">
        <f t="shared" si="58"/>
        <v>0</v>
      </c>
      <c r="K947" s="19">
        <f t="shared" si="59"/>
        <v>0</v>
      </c>
    </row>
    <row r="948" spans="1:11" ht="15">
      <c r="A948" s="3">
        <v>1498</v>
      </c>
      <c r="B948" s="151">
        <v>20</v>
      </c>
      <c r="C948" s="7" t="s">
        <v>13</v>
      </c>
      <c r="D948" s="4" t="s">
        <v>15</v>
      </c>
      <c r="E948" t="s">
        <v>483</v>
      </c>
      <c r="F948" s="12">
        <f>IFERROR(VLOOKUP(B948,'INSUMOS  JULIO'!$B$6:$CJ$109,33,0),"")</f>
        <v>8</v>
      </c>
      <c r="G948" s="8">
        <f>IFERROR(VLOOKUP($B948,'INSUMOS  JULIO'!$B$6:$CJ$109,34,0),"")</f>
        <v>9851.5485000000008</v>
      </c>
      <c r="H948" s="19">
        <f t="shared" si="56"/>
        <v>78812.388000000006</v>
      </c>
      <c r="I948" s="1">
        <f t="shared" si="57"/>
        <v>7881.238800000001</v>
      </c>
      <c r="J948" s="1">
        <f t="shared" si="58"/>
        <v>1497.4353720000001</v>
      </c>
      <c r="K948" s="19">
        <f t="shared" si="59"/>
        <v>88191.06217200002</v>
      </c>
    </row>
    <row r="949" spans="1:11" ht="15">
      <c r="A949" s="3">
        <v>1499</v>
      </c>
      <c r="B949" s="151">
        <v>21</v>
      </c>
      <c r="C949" s="7" t="s">
        <v>16</v>
      </c>
      <c r="D949" s="4" t="s">
        <v>17</v>
      </c>
      <c r="E949" t="s">
        <v>483</v>
      </c>
      <c r="F949" s="12">
        <f>IFERROR(VLOOKUP(B949,'INSUMOS  JULIO'!$B$6:$CJ$109,33,0),"")</f>
        <v>10</v>
      </c>
      <c r="G949" s="8">
        <f>IFERROR(VLOOKUP($B949,'INSUMOS  JULIO'!$B$6:$CJ$109,34,0),"")</f>
        <v>5932.8950000000013</v>
      </c>
      <c r="H949" s="19">
        <f t="shared" si="56"/>
        <v>59328.950000000012</v>
      </c>
      <c r="I949" s="1">
        <f t="shared" si="57"/>
        <v>5932.8950000000013</v>
      </c>
      <c r="J949" s="1">
        <f t="shared" si="58"/>
        <v>1127.2500500000003</v>
      </c>
      <c r="K949" s="19">
        <f t="shared" si="59"/>
        <v>66389.095050000018</v>
      </c>
    </row>
    <row r="950" spans="1:11" ht="15">
      <c r="A950" s="3">
        <v>1500</v>
      </c>
      <c r="B950" s="151">
        <v>28</v>
      </c>
      <c r="C950" s="7" t="s">
        <v>18</v>
      </c>
      <c r="D950" s="4" t="s">
        <v>19</v>
      </c>
      <c r="E950" t="s">
        <v>483</v>
      </c>
      <c r="F950" s="12">
        <f>IFERROR(VLOOKUP(B950,'INSUMOS  JULIO'!$B$6:$CJ$109,33,0),"")</f>
        <v>0</v>
      </c>
      <c r="G950" s="8">
        <f>IFERROR(VLOOKUP($B950,'INSUMOS  JULIO'!$B$6:$CJ$109,34,0),"")</f>
        <v>2764.13</v>
      </c>
      <c r="H950" s="19">
        <f t="shared" si="56"/>
        <v>0</v>
      </c>
      <c r="I950" s="1">
        <f t="shared" si="57"/>
        <v>0</v>
      </c>
      <c r="J950" s="1">
        <f t="shared" si="58"/>
        <v>0</v>
      </c>
      <c r="K950" s="19">
        <f t="shared" si="59"/>
        <v>0</v>
      </c>
    </row>
    <row r="951" spans="1:11" ht="15">
      <c r="A951" s="3">
        <v>1501</v>
      </c>
      <c r="B951" s="151">
        <v>29</v>
      </c>
      <c r="C951" s="7" t="s">
        <v>20</v>
      </c>
      <c r="D951" s="4" t="s">
        <v>21</v>
      </c>
      <c r="E951" t="s">
        <v>483</v>
      </c>
      <c r="F951" s="12" t="str">
        <f>IFERROR(VLOOKUP(B951,'INSUMOS  JULIO'!$B$6:$CJ$109,33,0),"")</f>
        <v>0</v>
      </c>
      <c r="G951" s="8">
        <f>IFERROR(VLOOKUP($B951,'INSUMOS  JULIO'!$B$6:$CJ$109,34,0),"")</f>
        <v>4829.3450000000012</v>
      </c>
      <c r="H951" s="19">
        <f t="shared" si="56"/>
        <v>0</v>
      </c>
      <c r="I951" s="1">
        <f t="shared" si="57"/>
        <v>0</v>
      </c>
      <c r="J951" s="1">
        <f t="shared" si="58"/>
        <v>0</v>
      </c>
      <c r="K951" s="19">
        <f t="shared" si="59"/>
        <v>0</v>
      </c>
    </row>
    <row r="952" spans="1:11" ht="15">
      <c r="A952" s="3">
        <v>1502</v>
      </c>
      <c r="B952" s="151">
        <v>32</v>
      </c>
      <c r="C952" s="7" t="s">
        <v>22</v>
      </c>
      <c r="D952" s="4" t="s">
        <v>23</v>
      </c>
      <c r="E952" t="s">
        <v>483</v>
      </c>
      <c r="F952" s="12">
        <f>IFERROR(VLOOKUP(B952,'INSUMOS  JULIO'!$B$6:$CJ$109,33,0),"")</f>
        <v>0</v>
      </c>
      <c r="G952" s="8">
        <f>IFERROR(VLOOKUP($B952,'INSUMOS  JULIO'!$B$6:$CJ$109,34,0),"")</f>
        <v>4115.7160000000003</v>
      </c>
      <c r="H952" s="19">
        <f t="shared" si="56"/>
        <v>0</v>
      </c>
      <c r="I952" s="1">
        <f t="shared" si="57"/>
        <v>0</v>
      </c>
      <c r="J952" s="1">
        <f t="shared" si="58"/>
        <v>0</v>
      </c>
      <c r="K952" s="19">
        <f t="shared" si="59"/>
        <v>0</v>
      </c>
    </row>
    <row r="953" spans="1:11" ht="15">
      <c r="A953" s="3">
        <v>1503</v>
      </c>
      <c r="B953" s="151">
        <v>38</v>
      </c>
      <c r="C953" s="7" t="s">
        <v>18</v>
      </c>
      <c r="D953" s="4" t="s">
        <v>24</v>
      </c>
      <c r="E953" t="s">
        <v>483</v>
      </c>
      <c r="F953" s="12" t="str">
        <f>IFERROR(VLOOKUP(B953,'INSUMOS  JULIO'!$B$6:$CJ$109,33,0),"")</f>
        <v>0</v>
      </c>
      <c r="G953" s="8">
        <f>IFERROR(VLOOKUP($B953,'INSUMOS  JULIO'!$B$6:$CJ$109,34,0),"")</f>
        <v>11100.662</v>
      </c>
      <c r="H953" s="19">
        <f t="shared" si="56"/>
        <v>0</v>
      </c>
      <c r="I953" s="1">
        <f t="shared" si="57"/>
        <v>0</v>
      </c>
      <c r="J953" s="1">
        <f t="shared" si="58"/>
        <v>0</v>
      </c>
      <c r="K953" s="19">
        <f t="shared" si="59"/>
        <v>0</v>
      </c>
    </row>
    <row r="954" spans="1:11" ht="15">
      <c r="A954" s="3">
        <v>1504</v>
      </c>
      <c r="B954" s="151">
        <v>41</v>
      </c>
      <c r="C954" s="7" t="s">
        <v>155</v>
      </c>
      <c r="D954" s="4" t="s">
        <v>25</v>
      </c>
      <c r="E954" t="s">
        <v>483</v>
      </c>
      <c r="F954" s="12" t="str">
        <f>IFERROR(VLOOKUP(B954,'INSUMOS  JULIO'!$B$6:$CJ$109,33,0),"")</f>
        <v>0</v>
      </c>
      <c r="G954" s="8">
        <f>IFERROR(VLOOKUP($B954,'INSUMOS  JULIO'!$B$6:$CJ$109,34,0),"")</f>
        <v>7034.3429999999989</v>
      </c>
      <c r="H954" s="19">
        <f t="shared" si="56"/>
        <v>0</v>
      </c>
      <c r="I954" s="1">
        <f t="shared" si="57"/>
        <v>0</v>
      </c>
      <c r="J954" s="1">
        <f t="shared" si="58"/>
        <v>0</v>
      </c>
      <c r="K954" s="19">
        <f t="shared" si="59"/>
        <v>0</v>
      </c>
    </row>
    <row r="955" spans="1:11" ht="15">
      <c r="A955" s="3">
        <v>1505</v>
      </c>
      <c r="B955" s="151">
        <v>44</v>
      </c>
      <c r="C955" s="7" t="s">
        <v>16</v>
      </c>
      <c r="D955" s="4" t="s">
        <v>26</v>
      </c>
      <c r="E955" t="s">
        <v>483</v>
      </c>
      <c r="F955" s="12">
        <f>IFERROR(VLOOKUP(B955,'INSUMOS  JULIO'!$B$6:$CJ$109,33,0),"")</f>
        <v>8</v>
      </c>
      <c r="G955" s="8">
        <f>IFERROR(VLOOKUP($B955,'INSUMOS  JULIO'!$B$6:$CJ$109,34,0),"")</f>
        <v>5373.6579000000002</v>
      </c>
      <c r="H955" s="19">
        <f t="shared" si="56"/>
        <v>42989.263200000001</v>
      </c>
      <c r="I955" s="1">
        <f t="shared" si="57"/>
        <v>4298.9263200000005</v>
      </c>
      <c r="J955" s="1">
        <f t="shared" si="58"/>
        <v>816.79600080000012</v>
      </c>
      <c r="K955" s="19">
        <f t="shared" si="59"/>
        <v>48104.985520800001</v>
      </c>
    </row>
    <row r="956" spans="1:11" ht="15">
      <c r="A956" s="3">
        <v>1506</v>
      </c>
      <c r="B956" s="151">
        <v>46</v>
      </c>
      <c r="C956" s="7" t="s">
        <v>27</v>
      </c>
      <c r="D956" s="4" t="s">
        <v>28</v>
      </c>
      <c r="E956" t="s">
        <v>483</v>
      </c>
      <c r="F956" s="12" t="str">
        <f>IFERROR(VLOOKUP(B956,'INSUMOS  JULIO'!$B$6:$CJ$109,33,0),"")</f>
        <v>0</v>
      </c>
      <c r="G956" s="8">
        <f>IFERROR(VLOOKUP($B956,'INSUMOS  JULIO'!$B$6:$CJ$109,34,0),"")</f>
        <v>7739.5640000000021</v>
      </c>
      <c r="H956" s="19">
        <f t="shared" si="56"/>
        <v>0</v>
      </c>
      <c r="I956" s="1">
        <f t="shared" si="57"/>
        <v>0</v>
      </c>
      <c r="J956" s="1">
        <f t="shared" si="58"/>
        <v>0</v>
      </c>
      <c r="K956" s="19">
        <f t="shared" si="59"/>
        <v>0</v>
      </c>
    </row>
    <row r="957" spans="1:11" ht="15">
      <c r="A957" s="3">
        <v>1507</v>
      </c>
      <c r="B957" s="151">
        <v>50</v>
      </c>
      <c r="C957" s="7" t="s">
        <v>13</v>
      </c>
      <c r="D957" s="4" t="s">
        <v>29</v>
      </c>
      <c r="E957" t="s">
        <v>483</v>
      </c>
      <c r="F957" s="12">
        <f>IFERROR(VLOOKUP(B957,'INSUMOS  JULIO'!$B$6:$CJ$109,33,0),"")</f>
        <v>0</v>
      </c>
      <c r="G957" s="8">
        <f>IFERROR(VLOOKUP($B957,'INSUMOS  JULIO'!$B$6:$CJ$109,34,0),"")</f>
        <v>38567.495999999999</v>
      </c>
      <c r="H957" s="19">
        <f t="shared" si="56"/>
        <v>0</v>
      </c>
      <c r="I957" s="1">
        <f t="shared" si="57"/>
        <v>0</v>
      </c>
      <c r="J957" s="1">
        <f t="shared" si="58"/>
        <v>0</v>
      </c>
      <c r="K957" s="19">
        <f t="shared" si="59"/>
        <v>0</v>
      </c>
    </row>
    <row r="958" spans="1:11" ht="15">
      <c r="A958" s="3">
        <v>1508</v>
      </c>
      <c r="B958" s="151">
        <v>51</v>
      </c>
      <c r="C958" s="7" t="s">
        <v>13</v>
      </c>
      <c r="D958" s="4" t="s">
        <v>30</v>
      </c>
      <c r="E958" t="s">
        <v>483</v>
      </c>
      <c r="F958" s="12" t="str">
        <f>IFERROR(VLOOKUP(B958,'INSUMOS  JULIO'!$B$6:$CJ$109,33,0),"")</f>
        <v>0</v>
      </c>
      <c r="G958" s="8">
        <f>IFERROR(VLOOKUP($B958,'INSUMOS  JULIO'!$B$6:$CJ$109,34,0),"")</f>
        <v>7739.5640000000021</v>
      </c>
      <c r="H958" s="19">
        <f t="shared" si="56"/>
        <v>0</v>
      </c>
      <c r="I958" s="1">
        <f t="shared" si="57"/>
        <v>0</v>
      </c>
      <c r="J958" s="1">
        <f t="shared" si="58"/>
        <v>0</v>
      </c>
      <c r="K958" s="19">
        <f t="shared" si="59"/>
        <v>0</v>
      </c>
    </row>
    <row r="959" spans="1:11" ht="15">
      <c r="A959" s="3">
        <v>1509</v>
      </c>
      <c r="B959" s="151">
        <v>52</v>
      </c>
      <c r="C959" s="7" t="s">
        <v>13</v>
      </c>
      <c r="D959" s="4" t="s">
        <v>31</v>
      </c>
      <c r="E959" t="s">
        <v>483</v>
      </c>
      <c r="F959" s="12">
        <f>IFERROR(VLOOKUP(B959,'INSUMOS  JULIO'!$B$6:$CJ$109,33,0),"")</f>
        <v>3</v>
      </c>
      <c r="G959" s="8">
        <f>IFERROR(VLOOKUP($B959,'INSUMOS  JULIO'!$B$6:$CJ$109,34,0),"")</f>
        <v>6412.1509999999998</v>
      </c>
      <c r="H959" s="19">
        <f t="shared" si="56"/>
        <v>19236.453000000001</v>
      </c>
      <c r="I959" s="1">
        <f t="shared" si="57"/>
        <v>1923.6453000000001</v>
      </c>
      <c r="J959" s="1">
        <f t="shared" si="58"/>
        <v>365.49260700000002</v>
      </c>
      <c r="K959" s="19">
        <f t="shared" si="59"/>
        <v>21525.590907000002</v>
      </c>
    </row>
    <row r="960" spans="1:11" ht="15">
      <c r="A960" s="3">
        <v>1510</v>
      </c>
      <c r="B960" s="151">
        <v>54</v>
      </c>
      <c r="C960" s="7" t="s">
        <v>13</v>
      </c>
      <c r="D960" s="4" t="s">
        <v>32</v>
      </c>
      <c r="E960" t="s">
        <v>483</v>
      </c>
      <c r="F960" s="12">
        <f>IFERROR(VLOOKUP(B960,'INSUMOS  JULIO'!$B$6:$CJ$109,33,0),"")</f>
        <v>5</v>
      </c>
      <c r="G960" s="8">
        <f>IFERROR(VLOOKUP($B960,'INSUMOS  JULIO'!$B$6:$CJ$109,34,0),"")</f>
        <v>5359.049</v>
      </c>
      <c r="H960" s="19">
        <f t="shared" si="56"/>
        <v>26795.244999999999</v>
      </c>
      <c r="I960" s="1">
        <f t="shared" si="57"/>
        <v>2679.5245</v>
      </c>
      <c r="J960" s="1">
        <f t="shared" si="58"/>
        <v>509.10965500000003</v>
      </c>
      <c r="K960" s="19">
        <f t="shared" si="59"/>
        <v>29983.879154999999</v>
      </c>
    </row>
    <row r="961" spans="1:11" ht="15">
      <c r="A961" s="3">
        <v>1511</v>
      </c>
      <c r="B961" s="151">
        <v>57</v>
      </c>
      <c r="C961" s="7" t="s">
        <v>33</v>
      </c>
      <c r="D961" s="4" t="s">
        <v>34</v>
      </c>
      <c r="E961" t="s">
        <v>483</v>
      </c>
      <c r="F961" s="12">
        <f>IFERROR(VLOOKUP(B961,'INSUMOS  JULIO'!$B$6:$CJ$109,33,0),"")</f>
        <v>0</v>
      </c>
      <c r="G961" s="8">
        <f>IFERROR(VLOOKUP($B961,'INSUMOS  JULIO'!$B$6:$CJ$109,34,0),"")</f>
        <v>12823.251000000004</v>
      </c>
      <c r="H961" s="19">
        <f t="shared" si="56"/>
        <v>0</v>
      </c>
      <c r="I961" s="1">
        <f t="shared" si="57"/>
        <v>0</v>
      </c>
      <c r="J961" s="1">
        <f t="shared" si="58"/>
        <v>0</v>
      </c>
      <c r="K961" s="19">
        <f t="shared" si="59"/>
        <v>0</v>
      </c>
    </row>
    <row r="962" spans="1:11" ht="15">
      <c r="A962" s="3">
        <v>1512</v>
      </c>
      <c r="B962" s="151">
        <v>59</v>
      </c>
      <c r="C962" s="7" t="s">
        <v>16</v>
      </c>
      <c r="D962" s="4" t="s">
        <v>35</v>
      </c>
      <c r="E962" t="s">
        <v>483</v>
      </c>
      <c r="F962" s="12" t="str">
        <f>IFERROR(VLOOKUP(B962,'INSUMOS  JULIO'!$B$6:$CJ$109,33,0),"")</f>
        <v>0</v>
      </c>
      <c r="G962" s="8">
        <f>IFERROR(VLOOKUP($B962,'INSUMOS  JULIO'!$B$6:$CJ$109,34,0),"")</f>
        <v>5528.260000000002</v>
      </c>
      <c r="H962" s="19">
        <f t="shared" si="56"/>
        <v>0</v>
      </c>
      <c r="I962" s="1">
        <f t="shared" si="57"/>
        <v>0</v>
      </c>
      <c r="J962" s="1">
        <f t="shared" si="58"/>
        <v>0</v>
      </c>
      <c r="K962" s="19">
        <f t="shared" si="59"/>
        <v>0</v>
      </c>
    </row>
    <row r="963" spans="1:11" ht="15">
      <c r="A963" s="3">
        <v>1513</v>
      </c>
      <c r="B963" s="151">
        <v>62</v>
      </c>
      <c r="C963" s="7" t="s">
        <v>36</v>
      </c>
      <c r="D963" s="4" t="s">
        <v>37</v>
      </c>
      <c r="E963" t="s">
        <v>483</v>
      </c>
      <c r="F963" s="12">
        <f>IFERROR(VLOOKUP(B963,'INSUMOS  JULIO'!$B$6:$CJ$109,33,0),"")</f>
        <v>5</v>
      </c>
      <c r="G963" s="8">
        <f>IFERROR(VLOOKUP($B963,'INSUMOS  JULIO'!$B$6:$CJ$109,34,0),"")</f>
        <v>10100.3202</v>
      </c>
      <c r="H963" s="19">
        <f t="shared" si="56"/>
        <v>50501.601000000002</v>
      </c>
      <c r="I963" s="1">
        <f t="shared" si="57"/>
        <v>5050.160100000001</v>
      </c>
      <c r="J963" s="1">
        <f t="shared" si="58"/>
        <v>959.53041900000017</v>
      </c>
      <c r="K963" s="19">
        <f t="shared" si="59"/>
        <v>56511.291519000006</v>
      </c>
    </row>
    <row r="964" spans="1:11" ht="15">
      <c r="A964" s="3">
        <v>1514</v>
      </c>
      <c r="B964" s="151">
        <v>63</v>
      </c>
      <c r="C964" s="7" t="s">
        <v>36</v>
      </c>
      <c r="D964" s="4" t="s">
        <v>38</v>
      </c>
      <c r="E964" t="s">
        <v>483</v>
      </c>
      <c r="F964" s="12">
        <f>IFERROR(VLOOKUP(B964,'INSUMOS  JULIO'!$B$6:$CJ$109,33,0),"")</f>
        <v>5</v>
      </c>
      <c r="G964" s="8">
        <f>IFERROR(VLOOKUP($B964,'INSUMOS  JULIO'!$B$6:$CJ$109,34,0),"")</f>
        <v>11443.4982</v>
      </c>
      <c r="H964" s="19">
        <f t="shared" si="56"/>
        <v>57217.491000000002</v>
      </c>
      <c r="I964" s="1">
        <f t="shared" si="57"/>
        <v>5721.7491000000009</v>
      </c>
      <c r="J964" s="1">
        <f t="shared" si="58"/>
        <v>1087.1323290000003</v>
      </c>
      <c r="K964" s="19">
        <f t="shared" si="59"/>
        <v>64026.372429000003</v>
      </c>
    </row>
    <row r="965" spans="1:11" ht="15">
      <c r="A965" s="3">
        <v>1515</v>
      </c>
      <c r="B965" s="151">
        <v>64</v>
      </c>
      <c r="C965" s="7" t="s">
        <v>39</v>
      </c>
      <c r="D965" s="4" t="s">
        <v>40</v>
      </c>
      <c r="E965" t="s">
        <v>483</v>
      </c>
      <c r="F965" s="12">
        <f>IFERROR(VLOOKUP(B965,'INSUMOS  JULIO'!$B$6:$CJ$109,33,0),"")</f>
        <v>5</v>
      </c>
      <c r="G965" s="8">
        <f>IFERROR(VLOOKUP($B965,'INSUMOS  JULIO'!$B$6:$CJ$109,34,0),"")</f>
        <v>13820.650000000001</v>
      </c>
      <c r="H965" s="19">
        <f t="shared" si="56"/>
        <v>69103.25</v>
      </c>
      <c r="I965" s="1">
        <f t="shared" si="57"/>
        <v>6910.3250000000007</v>
      </c>
      <c r="J965" s="1">
        <f t="shared" si="58"/>
        <v>1312.9617500000002</v>
      </c>
      <c r="K965" s="19">
        <f t="shared" si="59"/>
        <v>77326.536749999999</v>
      </c>
    </row>
    <row r="966" spans="1:11" ht="15">
      <c r="A966" s="3">
        <v>1516</v>
      </c>
      <c r="B966" s="151">
        <v>65</v>
      </c>
      <c r="C966" s="7" t="s">
        <v>39</v>
      </c>
      <c r="D966" s="4" t="s">
        <v>41</v>
      </c>
      <c r="E966" t="s">
        <v>483</v>
      </c>
      <c r="F966" s="12">
        <f>IFERROR(VLOOKUP(B966,'INSUMOS  JULIO'!$B$6:$CJ$109,33,0),"")</f>
        <v>5</v>
      </c>
      <c r="G966" s="8">
        <f>IFERROR(VLOOKUP($B966,'INSUMOS  JULIO'!$B$6:$CJ$109,34,0),"")</f>
        <v>13820.650000000001</v>
      </c>
      <c r="H966" s="19">
        <f t="shared" ref="H966:H1029" si="60">+F966*G966</f>
        <v>69103.25</v>
      </c>
      <c r="I966" s="1">
        <f t="shared" ref="I966:I1029" si="61">+H966*10%</f>
        <v>6910.3250000000007</v>
      </c>
      <c r="J966" s="1">
        <f t="shared" ref="J966:J1029" si="62">+I966*19%</f>
        <v>1312.9617500000002</v>
      </c>
      <c r="K966" s="19">
        <f t="shared" ref="K966:K1029" si="63">SUM(H966:J966)</f>
        <v>77326.536749999999</v>
      </c>
    </row>
    <row r="967" spans="1:11" ht="15">
      <c r="A967" s="3">
        <v>1517</v>
      </c>
      <c r="B967" s="151">
        <v>66</v>
      </c>
      <c r="C967" s="7" t="s">
        <v>151</v>
      </c>
      <c r="D967" s="4" t="s">
        <v>42</v>
      </c>
      <c r="E967" t="s">
        <v>483</v>
      </c>
      <c r="F967" s="12">
        <f>IFERROR(VLOOKUP(B967,'INSUMOS  JULIO'!$B$6:$CJ$109,33,0),"")</f>
        <v>0</v>
      </c>
      <c r="G967" s="8">
        <f>IFERROR(VLOOKUP($B967,'INSUMOS  JULIO'!$B$6:$CJ$109,34,0),"")</f>
        <v>4178.9862000000003</v>
      </c>
      <c r="H967" s="19">
        <f t="shared" si="60"/>
        <v>0</v>
      </c>
      <c r="I967" s="1">
        <f t="shared" si="61"/>
        <v>0</v>
      </c>
      <c r="J967" s="1">
        <f t="shared" si="62"/>
        <v>0</v>
      </c>
      <c r="K967" s="19">
        <f t="shared" si="63"/>
        <v>0</v>
      </c>
    </row>
    <row r="968" spans="1:11" ht="15">
      <c r="A968" s="3">
        <v>1518</v>
      </c>
      <c r="B968" s="151">
        <v>71</v>
      </c>
      <c r="C968" s="7" t="s">
        <v>151</v>
      </c>
      <c r="D968" s="4" t="s">
        <v>43</v>
      </c>
      <c r="E968" t="s">
        <v>483</v>
      </c>
      <c r="F968" s="12" t="str">
        <f>IFERROR(VLOOKUP(B968,'INSUMOS  JULIO'!$B$6:$CJ$109,33,0),"")</f>
        <v>0</v>
      </c>
      <c r="G968" s="8">
        <f>IFERROR(VLOOKUP($B968,'INSUMOS  JULIO'!$B$6:$CJ$109,34,0),"")</f>
        <v>5196.1440000000002</v>
      </c>
      <c r="H968" s="19">
        <f t="shared" si="60"/>
        <v>0</v>
      </c>
      <c r="I968" s="1">
        <f t="shared" si="61"/>
        <v>0</v>
      </c>
      <c r="J968" s="1">
        <f t="shared" si="62"/>
        <v>0</v>
      </c>
      <c r="K968" s="19">
        <f t="shared" si="63"/>
        <v>0</v>
      </c>
    </row>
    <row r="969" spans="1:11" ht="15">
      <c r="A969" s="3">
        <v>1519</v>
      </c>
      <c r="B969" s="151">
        <v>72</v>
      </c>
      <c r="C969" s="7" t="s">
        <v>151</v>
      </c>
      <c r="D969" s="4" t="s">
        <v>44</v>
      </c>
      <c r="E969" t="s">
        <v>483</v>
      </c>
      <c r="F969" s="12">
        <f>IFERROR(VLOOKUP(B969,'INSUMOS  JULIO'!$B$6:$CJ$109,33,0),"")</f>
        <v>0</v>
      </c>
      <c r="G969" s="8">
        <f>IFERROR(VLOOKUP($B969,'INSUMOS  JULIO'!$B$6:$CJ$109,34,0),"")</f>
        <v>5196.1440000000002</v>
      </c>
      <c r="H969" s="19">
        <f t="shared" si="60"/>
        <v>0</v>
      </c>
      <c r="I969" s="1">
        <f t="shared" si="61"/>
        <v>0</v>
      </c>
      <c r="J969" s="1">
        <f t="shared" si="62"/>
        <v>0</v>
      </c>
      <c r="K969" s="19">
        <f t="shared" si="63"/>
        <v>0</v>
      </c>
    </row>
    <row r="970" spans="1:11" ht="27">
      <c r="A970" s="3">
        <v>1520</v>
      </c>
      <c r="B970" s="151">
        <v>73</v>
      </c>
      <c r="C970" s="7" t="s">
        <v>151</v>
      </c>
      <c r="D970" s="4" t="s">
        <v>45</v>
      </c>
      <c r="E970" t="s">
        <v>483</v>
      </c>
      <c r="F970" s="12">
        <f>IFERROR(VLOOKUP(B970,'INSUMOS  JULIO'!$B$6:$CJ$109,33,0),"")</f>
        <v>0</v>
      </c>
      <c r="G970" s="8">
        <f>IFERROR(VLOOKUP($B970,'INSUMOS  JULIO'!$B$6:$CJ$109,34,0),"")</f>
        <v>4975.4340000000011</v>
      </c>
      <c r="H970" s="19">
        <f t="shared" si="60"/>
        <v>0</v>
      </c>
      <c r="I970" s="1">
        <f t="shared" si="61"/>
        <v>0</v>
      </c>
      <c r="J970" s="1">
        <f t="shared" si="62"/>
        <v>0</v>
      </c>
      <c r="K970" s="19">
        <f t="shared" si="63"/>
        <v>0</v>
      </c>
    </row>
    <row r="971" spans="1:11" ht="15">
      <c r="A971" s="3">
        <v>1521</v>
      </c>
      <c r="B971" s="151">
        <v>74</v>
      </c>
      <c r="C971" s="7" t="s">
        <v>46</v>
      </c>
      <c r="D971" s="4" t="s">
        <v>47</v>
      </c>
      <c r="E971" t="s">
        <v>483</v>
      </c>
      <c r="F971" s="12">
        <f>IFERROR(VLOOKUP(B971,'INSUMOS  JULIO'!$B$6:$CJ$109,33,0),"")</f>
        <v>0</v>
      </c>
      <c r="G971" s="8">
        <f>IFERROR(VLOOKUP($B971,'INSUMOS  JULIO'!$B$6:$CJ$109,34,0),"")</f>
        <v>3261.2529999999997</v>
      </c>
      <c r="H971" s="19">
        <f t="shared" si="60"/>
        <v>0</v>
      </c>
      <c r="I971" s="1">
        <f t="shared" si="61"/>
        <v>0</v>
      </c>
      <c r="J971" s="1">
        <f t="shared" si="62"/>
        <v>0</v>
      </c>
      <c r="K971" s="19">
        <f t="shared" si="63"/>
        <v>0</v>
      </c>
    </row>
    <row r="972" spans="1:11" ht="15">
      <c r="A972" s="3">
        <v>1522</v>
      </c>
      <c r="B972" s="151">
        <v>79</v>
      </c>
      <c r="C972" s="7" t="s">
        <v>159</v>
      </c>
      <c r="D972" s="4" t="s">
        <v>48</v>
      </c>
      <c r="E972" t="s">
        <v>483</v>
      </c>
      <c r="F972" s="12">
        <f>IFERROR(VLOOKUP(B972,'INSUMOS  JULIO'!$B$6:$CJ$109,33,0),"")</f>
        <v>0</v>
      </c>
      <c r="G972" s="8">
        <f>IFERROR(VLOOKUP($B972,'INSUMOS  JULIO'!$B$6:$CJ$109,34,0),"")</f>
        <v>541.2650000000001</v>
      </c>
      <c r="H972" s="19">
        <f t="shared" si="60"/>
        <v>0</v>
      </c>
      <c r="I972" s="1">
        <f t="shared" si="61"/>
        <v>0</v>
      </c>
      <c r="J972" s="1">
        <f t="shared" si="62"/>
        <v>0</v>
      </c>
      <c r="K972" s="19">
        <f t="shared" si="63"/>
        <v>0</v>
      </c>
    </row>
    <row r="973" spans="1:11" ht="15">
      <c r="A973" s="3">
        <v>1523</v>
      </c>
      <c r="B973" s="151">
        <v>80</v>
      </c>
      <c r="C973" s="7" t="s">
        <v>159</v>
      </c>
      <c r="D973" s="4" t="s">
        <v>49</v>
      </c>
      <c r="E973" t="s">
        <v>483</v>
      </c>
      <c r="F973" s="12">
        <f>IFERROR(VLOOKUP(B973,'INSUMOS  JULIO'!$B$6:$CJ$109,33,0),"")</f>
        <v>0</v>
      </c>
      <c r="G973" s="8">
        <f>IFERROR(VLOOKUP($B973,'INSUMOS  JULIO'!$B$6:$CJ$109,34,0),"")</f>
        <v>433.01199999999994</v>
      </c>
      <c r="H973" s="19">
        <f t="shared" si="60"/>
        <v>0</v>
      </c>
      <c r="I973" s="1">
        <f t="shared" si="61"/>
        <v>0</v>
      </c>
      <c r="J973" s="1">
        <f t="shared" si="62"/>
        <v>0</v>
      </c>
      <c r="K973" s="19">
        <f t="shared" si="63"/>
        <v>0</v>
      </c>
    </row>
    <row r="974" spans="1:11" ht="15">
      <c r="A974" s="3">
        <v>1524</v>
      </c>
      <c r="B974" s="151">
        <v>81</v>
      </c>
      <c r="C974" s="7" t="s">
        <v>159</v>
      </c>
      <c r="D974" s="4" t="s">
        <v>50</v>
      </c>
      <c r="E974" t="s">
        <v>483</v>
      </c>
      <c r="F974" s="12">
        <f>IFERROR(VLOOKUP(B974,'INSUMOS  JULIO'!$B$6:$CJ$109,33,0),"")</f>
        <v>0</v>
      </c>
      <c r="G974" s="8">
        <f>IFERROR(VLOOKUP($B974,'INSUMOS  JULIO'!$B$6:$CJ$109,34,0),"")</f>
        <v>211.251</v>
      </c>
      <c r="H974" s="19">
        <f t="shared" si="60"/>
        <v>0</v>
      </c>
      <c r="I974" s="1">
        <f t="shared" si="61"/>
        <v>0</v>
      </c>
      <c r="J974" s="1">
        <f t="shared" si="62"/>
        <v>0</v>
      </c>
      <c r="K974" s="19">
        <f t="shared" si="63"/>
        <v>0</v>
      </c>
    </row>
    <row r="975" spans="1:11" ht="15">
      <c r="A975" s="3">
        <v>1569</v>
      </c>
      <c r="B975" s="151">
        <v>82</v>
      </c>
      <c r="C975" s="7" t="s">
        <v>159</v>
      </c>
      <c r="D975" s="4" t="s">
        <v>51</v>
      </c>
      <c r="E975" t="s">
        <v>483</v>
      </c>
      <c r="F975" s="12" t="str">
        <f>IFERROR(VLOOKUP(B975,'INSUMOS  JULIO'!$B$6:$CJ$109,33,0),"")</f>
        <v>0</v>
      </c>
      <c r="G975" s="8">
        <f>IFERROR(VLOOKUP($B975,'INSUMOS  JULIO'!$B$6:$CJ$109,34,0),"")</f>
        <v>1003.7049999999999</v>
      </c>
      <c r="H975" s="19">
        <f t="shared" si="60"/>
        <v>0</v>
      </c>
      <c r="I975" s="1">
        <f t="shared" si="61"/>
        <v>0</v>
      </c>
      <c r="J975" s="1">
        <f t="shared" si="62"/>
        <v>0</v>
      </c>
      <c r="K975" s="19">
        <f t="shared" si="63"/>
        <v>0</v>
      </c>
    </row>
    <row r="976" spans="1:11" ht="15">
      <c r="A976" s="3">
        <v>1570</v>
      </c>
      <c r="B976" s="151">
        <v>83</v>
      </c>
      <c r="C976" s="7" t="s">
        <v>159</v>
      </c>
      <c r="D976" s="4" t="s">
        <v>52</v>
      </c>
      <c r="E976" t="s">
        <v>483</v>
      </c>
      <c r="F976" s="12" t="str">
        <f>IFERROR(VLOOKUP(B976,'INSUMOS  JULIO'!$B$6:$CJ$109,33,0),"")</f>
        <v>0</v>
      </c>
      <c r="G976" s="8">
        <f>IFERROR(VLOOKUP($B976,'INSUMOS  JULIO'!$B$6:$CJ$109,34,0),"")</f>
        <v>336.32</v>
      </c>
      <c r="H976" s="19">
        <f t="shared" si="60"/>
        <v>0</v>
      </c>
      <c r="I976" s="1">
        <f t="shared" si="61"/>
        <v>0</v>
      </c>
      <c r="J976" s="1">
        <f t="shared" si="62"/>
        <v>0</v>
      </c>
      <c r="K976" s="19">
        <f t="shared" si="63"/>
        <v>0</v>
      </c>
    </row>
    <row r="977" spans="1:11" ht="15">
      <c r="A977" s="3">
        <v>1571</v>
      </c>
      <c r="B977" s="151">
        <v>86</v>
      </c>
      <c r="C977" s="7" t="s">
        <v>53</v>
      </c>
      <c r="D977" s="4" t="s">
        <v>54</v>
      </c>
      <c r="E977" t="s">
        <v>483</v>
      </c>
      <c r="F977" s="12" t="str">
        <f>IFERROR(VLOOKUP(B977,'INSUMOS  JULIO'!$B$6:$CJ$109,33,0),"")</f>
        <v>0</v>
      </c>
      <c r="G977" s="8">
        <f>IFERROR(VLOOKUP($B977,'INSUMOS  JULIO'!$B$6:$CJ$109,34,0),"")</f>
        <v>2792.5070000000005</v>
      </c>
      <c r="H977" s="19">
        <f t="shared" si="60"/>
        <v>0</v>
      </c>
      <c r="I977" s="1">
        <f t="shared" si="61"/>
        <v>0</v>
      </c>
      <c r="J977" s="1">
        <f t="shared" si="62"/>
        <v>0</v>
      </c>
      <c r="K977" s="19">
        <f t="shared" si="63"/>
        <v>0</v>
      </c>
    </row>
    <row r="978" spans="1:11" ht="15">
      <c r="A978" s="3">
        <v>1572</v>
      </c>
      <c r="B978" s="151">
        <v>87</v>
      </c>
      <c r="C978" s="7" t="s">
        <v>53</v>
      </c>
      <c r="D978" s="4" t="s">
        <v>55</v>
      </c>
      <c r="E978" t="s">
        <v>483</v>
      </c>
      <c r="F978" s="12" t="str">
        <f>IFERROR(VLOOKUP(B978,'INSUMOS  JULIO'!$B$6:$CJ$109,33,0),"")</f>
        <v>0</v>
      </c>
      <c r="G978" s="8">
        <f>IFERROR(VLOOKUP($B978,'INSUMOS  JULIO'!$B$6:$CJ$109,34,0),"")</f>
        <v>0</v>
      </c>
      <c r="H978" s="19">
        <f t="shared" si="60"/>
        <v>0</v>
      </c>
      <c r="I978" s="1">
        <f t="shared" si="61"/>
        <v>0</v>
      </c>
      <c r="J978" s="1">
        <f t="shared" si="62"/>
        <v>0</v>
      </c>
      <c r="K978" s="19">
        <f t="shared" si="63"/>
        <v>0</v>
      </c>
    </row>
    <row r="979" spans="1:11" ht="15">
      <c r="A979" s="3">
        <v>1573</v>
      </c>
      <c r="B979" s="151">
        <v>88</v>
      </c>
      <c r="C979" s="7" t="s">
        <v>53</v>
      </c>
      <c r="D979" s="4" t="s">
        <v>56</v>
      </c>
      <c r="E979" t="s">
        <v>483</v>
      </c>
      <c r="F979" s="12">
        <f>IFERROR(VLOOKUP(B979,'INSUMOS  JULIO'!$B$6:$CJ$109,33,0),"")</f>
        <v>0</v>
      </c>
      <c r="G979" s="8">
        <f>IFERROR(VLOOKUP($B979,'INSUMOS  JULIO'!$B$6:$CJ$109,34,0),"")</f>
        <v>2717.886</v>
      </c>
      <c r="H979" s="19">
        <f t="shared" si="60"/>
        <v>0</v>
      </c>
      <c r="I979" s="1">
        <f t="shared" si="61"/>
        <v>0</v>
      </c>
      <c r="J979" s="1">
        <f t="shared" si="62"/>
        <v>0</v>
      </c>
      <c r="K979" s="19">
        <f t="shared" si="63"/>
        <v>0</v>
      </c>
    </row>
    <row r="980" spans="1:11" ht="15">
      <c r="A980" s="3">
        <v>1574</v>
      </c>
      <c r="B980" s="151">
        <v>89</v>
      </c>
      <c r="C980" s="7" t="s">
        <v>53</v>
      </c>
      <c r="D980" s="4" t="s">
        <v>57</v>
      </c>
      <c r="E980" t="s">
        <v>483</v>
      </c>
      <c r="F980" s="12" t="str">
        <f>IFERROR(VLOOKUP(B980,'INSUMOS  JULIO'!$B$6:$CJ$109,33,0),"")</f>
        <v>0</v>
      </c>
      <c r="G980" s="8">
        <f>IFERROR(VLOOKUP($B980,'INSUMOS  JULIO'!$B$6:$CJ$109,34,0),"")</f>
        <v>2650.6220000000003</v>
      </c>
      <c r="H980" s="19">
        <f t="shared" si="60"/>
        <v>0</v>
      </c>
      <c r="I980" s="1">
        <f t="shared" si="61"/>
        <v>0</v>
      </c>
      <c r="J980" s="1">
        <f t="shared" si="62"/>
        <v>0</v>
      </c>
      <c r="K980" s="19">
        <f t="shared" si="63"/>
        <v>0</v>
      </c>
    </row>
    <row r="981" spans="1:11" ht="15">
      <c r="A981" s="3">
        <v>1575</v>
      </c>
      <c r="B981" s="151">
        <v>91</v>
      </c>
      <c r="C981" s="7" t="s">
        <v>160</v>
      </c>
      <c r="D981" s="4" t="s">
        <v>58</v>
      </c>
      <c r="E981" t="s">
        <v>483</v>
      </c>
      <c r="F981" s="12" t="str">
        <f>IFERROR(VLOOKUP(B981,'INSUMOS  JULIO'!$B$6:$CJ$109,33,0),"")</f>
        <v>0</v>
      </c>
      <c r="G981" s="8">
        <f>IFERROR(VLOOKUP($B981,'INSUMOS  JULIO'!$B$6:$CJ$109,34,0),"")</f>
        <v>4364.8029999999999</v>
      </c>
      <c r="H981" s="19">
        <f t="shared" si="60"/>
        <v>0</v>
      </c>
      <c r="I981" s="1">
        <f t="shared" si="61"/>
        <v>0</v>
      </c>
      <c r="J981" s="1">
        <f t="shared" si="62"/>
        <v>0</v>
      </c>
      <c r="K981" s="19">
        <f t="shared" si="63"/>
        <v>0</v>
      </c>
    </row>
    <row r="982" spans="1:11" ht="15">
      <c r="A982" s="3">
        <v>1576</v>
      </c>
      <c r="B982" s="151">
        <v>92</v>
      </c>
      <c r="C982" s="7" t="s">
        <v>160</v>
      </c>
      <c r="D982" s="4" t="s">
        <v>59</v>
      </c>
      <c r="E982" t="s">
        <v>483</v>
      </c>
      <c r="F982" s="12" t="str">
        <f>IFERROR(VLOOKUP(B982,'INSUMOS  JULIO'!$B$6:$CJ$109,33,0),"")</f>
        <v>0</v>
      </c>
      <c r="G982" s="8">
        <f>IFERROR(VLOOKUP($B982,'INSUMOS  JULIO'!$B$6:$CJ$109,34,0),"")</f>
        <v>2380.5149999999999</v>
      </c>
      <c r="H982" s="19">
        <f t="shared" si="60"/>
        <v>0</v>
      </c>
      <c r="I982" s="1">
        <f t="shared" si="61"/>
        <v>0</v>
      </c>
      <c r="J982" s="1">
        <f t="shared" si="62"/>
        <v>0</v>
      </c>
      <c r="K982" s="19">
        <f t="shared" si="63"/>
        <v>0</v>
      </c>
    </row>
    <row r="983" spans="1:11" ht="15">
      <c r="A983" s="3">
        <v>1577</v>
      </c>
      <c r="B983" s="151">
        <v>94</v>
      </c>
      <c r="C983" s="7" t="s">
        <v>60</v>
      </c>
      <c r="D983" s="4" t="s">
        <v>61</v>
      </c>
      <c r="E983" t="s">
        <v>483</v>
      </c>
      <c r="F983" s="12" t="str">
        <f>IFERROR(VLOOKUP(B983,'INSUMOS  JULIO'!$B$6:$CJ$109,33,0),"")</f>
        <v>0</v>
      </c>
      <c r="G983" s="8">
        <f>IFERROR(VLOOKUP($B983,'INSUMOS  JULIO'!$B$6:$CJ$109,34,0),"")</f>
        <v>3316.9560000000001</v>
      </c>
      <c r="H983" s="19">
        <f t="shared" si="60"/>
        <v>0</v>
      </c>
      <c r="I983" s="1">
        <f t="shared" si="61"/>
        <v>0</v>
      </c>
      <c r="J983" s="1">
        <f t="shared" si="62"/>
        <v>0</v>
      </c>
      <c r="K983" s="19">
        <f t="shared" si="63"/>
        <v>0</v>
      </c>
    </row>
    <row r="984" spans="1:11" ht="15">
      <c r="A984" s="3">
        <v>1578</v>
      </c>
      <c r="B984" s="151">
        <v>95</v>
      </c>
      <c r="C984" s="7" t="s">
        <v>60</v>
      </c>
      <c r="D984" s="4" t="s">
        <v>62</v>
      </c>
      <c r="E984" t="s">
        <v>483</v>
      </c>
      <c r="F984" s="12" t="str">
        <f>IFERROR(VLOOKUP(B984,'INSUMOS  JULIO'!$B$6:$CJ$109,33,0),"")</f>
        <v>0</v>
      </c>
      <c r="G984" s="8">
        <f>IFERROR(VLOOKUP($B984,'INSUMOS  JULIO'!$B$6:$CJ$109,34,0),"")</f>
        <v>11056.52</v>
      </c>
      <c r="H984" s="19">
        <f t="shared" si="60"/>
        <v>0</v>
      </c>
      <c r="I984" s="1">
        <f t="shared" si="61"/>
        <v>0</v>
      </c>
      <c r="J984" s="1">
        <f t="shared" si="62"/>
        <v>0</v>
      </c>
      <c r="K984" s="19">
        <f t="shared" si="63"/>
        <v>0</v>
      </c>
    </row>
    <row r="985" spans="1:11" ht="15">
      <c r="A985" s="3">
        <v>1579</v>
      </c>
      <c r="B985" s="151">
        <v>98</v>
      </c>
      <c r="C985" s="7" t="s">
        <v>151</v>
      </c>
      <c r="D985" s="4" t="s">
        <v>63</v>
      </c>
      <c r="E985" t="s">
        <v>483</v>
      </c>
      <c r="F985" s="12">
        <f>IFERROR(VLOOKUP(B985,'INSUMOS  JULIO'!$B$6:$CJ$109,33,0),"")</f>
        <v>0</v>
      </c>
      <c r="G985" s="8">
        <f>IFERROR(VLOOKUP($B985,'INSUMOS  JULIO'!$B$6:$CJ$109,34,0),"")</f>
        <v>6633.9120000000003</v>
      </c>
      <c r="H985" s="19">
        <f t="shared" si="60"/>
        <v>0</v>
      </c>
      <c r="I985" s="1">
        <f t="shared" si="61"/>
        <v>0</v>
      </c>
      <c r="J985" s="1">
        <f t="shared" si="62"/>
        <v>0</v>
      </c>
      <c r="K985" s="19">
        <f t="shared" si="63"/>
        <v>0</v>
      </c>
    </row>
    <row r="986" spans="1:11" ht="15">
      <c r="A986" s="3">
        <v>1580</v>
      </c>
      <c r="B986" s="151">
        <v>100</v>
      </c>
      <c r="C986" s="7" t="s">
        <v>160</v>
      </c>
      <c r="D986" s="4" t="s">
        <v>64</v>
      </c>
      <c r="E986" t="s">
        <v>483</v>
      </c>
      <c r="F986" s="12" t="str">
        <f>IFERROR(VLOOKUP(B986,'INSUMOS  JULIO'!$B$6:$CJ$109,33,0),"")</f>
        <v>0</v>
      </c>
      <c r="G986" s="8">
        <f>IFERROR(VLOOKUP($B986,'INSUMOS  JULIO'!$B$6:$CJ$109,34,0),"")</f>
        <v>4364.8029999999999</v>
      </c>
      <c r="H986" s="19">
        <f t="shared" si="60"/>
        <v>0</v>
      </c>
      <c r="I986" s="1">
        <f t="shared" si="61"/>
        <v>0</v>
      </c>
      <c r="J986" s="1">
        <f t="shared" si="62"/>
        <v>0</v>
      </c>
      <c r="K986" s="19">
        <f t="shared" si="63"/>
        <v>0</v>
      </c>
    </row>
    <row r="987" spans="1:11" ht="15">
      <c r="A987" s="3">
        <v>1581</v>
      </c>
      <c r="B987" s="151">
        <v>102</v>
      </c>
      <c r="C987" s="7" t="s">
        <v>60</v>
      </c>
      <c r="D987" s="4" t="s">
        <v>65</v>
      </c>
      <c r="E987" t="s">
        <v>483</v>
      </c>
      <c r="F987" s="12" t="str">
        <f>IFERROR(VLOOKUP(B987,'INSUMOS  JULIO'!$B$6:$CJ$109,33,0),"")</f>
        <v>0</v>
      </c>
      <c r="G987" s="8">
        <f>IFERROR(VLOOKUP($B987,'INSUMOS  JULIO'!$B$6:$CJ$109,34,0),"")</f>
        <v>3811.9770000000003</v>
      </c>
      <c r="H987" s="19">
        <f t="shared" si="60"/>
        <v>0</v>
      </c>
      <c r="I987" s="1">
        <f t="shared" si="61"/>
        <v>0</v>
      </c>
      <c r="J987" s="1">
        <f t="shared" si="62"/>
        <v>0</v>
      </c>
      <c r="K987" s="19">
        <f t="shared" si="63"/>
        <v>0</v>
      </c>
    </row>
    <row r="988" spans="1:11" ht="15">
      <c r="A988" s="3">
        <v>1582</v>
      </c>
      <c r="B988" s="151">
        <v>103</v>
      </c>
      <c r="C988" s="7" t="s">
        <v>66</v>
      </c>
      <c r="D988" s="4" t="s">
        <v>67</v>
      </c>
      <c r="E988" t="s">
        <v>483</v>
      </c>
      <c r="F988" s="12" t="str">
        <f>IFERROR(VLOOKUP(B988,'INSUMOS  JULIO'!$B$6:$CJ$109,33,0),"")</f>
        <v>0</v>
      </c>
      <c r="G988" s="8">
        <f>IFERROR(VLOOKUP($B988,'INSUMOS  JULIO'!$B$6:$CJ$109,34,0),"")</f>
        <v>18022.547999999999</v>
      </c>
      <c r="H988" s="19">
        <f t="shared" si="60"/>
        <v>0</v>
      </c>
      <c r="I988" s="1">
        <f t="shared" si="61"/>
        <v>0</v>
      </c>
      <c r="J988" s="1">
        <f t="shared" si="62"/>
        <v>0</v>
      </c>
      <c r="K988" s="19">
        <f t="shared" si="63"/>
        <v>0</v>
      </c>
    </row>
    <row r="989" spans="1:11" ht="15">
      <c r="A989" s="3">
        <v>1583</v>
      </c>
      <c r="B989" s="151">
        <v>104</v>
      </c>
      <c r="C989" s="7" t="s">
        <v>66</v>
      </c>
      <c r="D989" s="4" t="s">
        <v>68</v>
      </c>
      <c r="E989" t="s">
        <v>483</v>
      </c>
      <c r="F989" s="12" t="str">
        <f>IFERROR(VLOOKUP(B989,'INSUMOS  JULIO'!$B$6:$CJ$109,33,0),"")</f>
        <v>0</v>
      </c>
      <c r="G989" s="8">
        <f>IFERROR(VLOOKUP($B989,'INSUMOS  JULIO'!$B$6:$CJ$109,34,0),"")</f>
        <v>18022.547999999999</v>
      </c>
      <c r="H989" s="19">
        <f t="shared" si="60"/>
        <v>0</v>
      </c>
      <c r="I989" s="1">
        <f t="shared" si="61"/>
        <v>0</v>
      </c>
      <c r="J989" s="1">
        <f t="shared" si="62"/>
        <v>0</v>
      </c>
      <c r="K989" s="19">
        <f t="shared" si="63"/>
        <v>0</v>
      </c>
    </row>
    <row r="990" spans="1:11" ht="15">
      <c r="A990" s="3">
        <v>1584</v>
      </c>
      <c r="B990" s="151">
        <v>105</v>
      </c>
      <c r="C990" s="7" t="s">
        <v>66</v>
      </c>
      <c r="D990" s="4" t="s">
        <v>69</v>
      </c>
      <c r="E990" t="s">
        <v>483</v>
      </c>
      <c r="F990" s="12" t="str">
        <f>IFERROR(VLOOKUP(B990,'INSUMOS  JULIO'!$B$6:$CJ$109,33,0),"")</f>
        <v>0</v>
      </c>
      <c r="G990" s="8">
        <f>IFERROR(VLOOKUP($B990,'INSUMOS  JULIO'!$B$6:$CJ$109,34,0),"")</f>
        <v>27641.3</v>
      </c>
      <c r="H990" s="19">
        <f t="shared" si="60"/>
        <v>0</v>
      </c>
      <c r="I990" s="1">
        <f t="shared" si="61"/>
        <v>0</v>
      </c>
      <c r="J990" s="1">
        <f t="shared" si="62"/>
        <v>0</v>
      </c>
      <c r="K990" s="19">
        <f t="shared" si="63"/>
        <v>0</v>
      </c>
    </row>
    <row r="991" spans="1:11" ht="15">
      <c r="A991" s="3">
        <v>1585</v>
      </c>
      <c r="B991" s="151">
        <v>106</v>
      </c>
      <c r="C991" s="7" t="s">
        <v>66</v>
      </c>
      <c r="D991" s="4" t="s">
        <v>70</v>
      </c>
      <c r="E991" t="s">
        <v>483</v>
      </c>
      <c r="F991" s="12" t="str">
        <f>IFERROR(VLOOKUP(B991,'INSUMOS  JULIO'!$B$6:$CJ$109,33,0),"")</f>
        <v>0</v>
      </c>
      <c r="G991" s="8">
        <f>IFERROR(VLOOKUP($B991,'INSUMOS  JULIO'!$B$6:$CJ$109,34,0),"")</f>
        <v>0</v>
      </c>
      <c r="H991" s="19">
        <f t="shared" si="60"/>
        <v>0</v>
      </c>
      <c r="I991" s="1">
        <f t="shared" si="61"/>
        <v>0</v>
      </c>
      <c r="J991" s="1">
        <f t="shared" si="62"/>
        <v>0</v>
      </c>
      <c r="K991" s="19">
        <f t="shared" si="63"/>
        <v>0</v>
      </c>
    </row>
    <row r="992" spans="1:11" ht="15">
      <c r="A992" s="3">
        <v>1586</v>
      </c>
      <c r="B992" s="151">
        <v>108</v>
      </c>
      <c r="C992" s="7" t="s">
        <v>66</v>
      </c>
      <c r="D992" s="4" t="s">
        <v>71</v>
      </c>
      <c r="E992" t="s">
        <v>483</v>
      </c>
      <c r="F992" s="12" t="str">
        <f>IFERROR(VLOOKUP(B992,'INSUMOS  JULIO'!$B$6:$CJ$109,33,0),"")</f>
        <v>0</v>
      </c>
      <c r="G992" s="8">
        <f>IFERROR(VLOOKUP($B992,'INSUMOS  JULIO'!$B$6:$CJ$109,34,0),"")</f>
        <v>38697.82</v>
      </c>
      <c r="H992" s="19">
        <f t="shared" si="60"/>
        <v>0</v>
      </c>
      <c r="I992" s="1">
        <f t="shared" si="61"/>
        <v>0</v>
      </c>
      <c r="J992" s="1">
        <f t="shared" si="62"/>
        <v>0</v>
      </c>
      <c r="K992" s="19">
        <f t="shared" si="63"/>
        <v>0</v>
      </c>
    </row>
    <row r="993" spans="1:11" ht="15">
      <c r="A993" s="3">
        <v>1587</v>
      </c>
      <c r="B993" s="151">
        <v>109</v>
      </c>
      <c r="C993" s="7" t="s">
        <v>66</v>
      </c>
      <c r="D993" s="4" t="s">
        <v>72</v>
      </c>
      <c r="E993" t="s">
        <v>483</v>
      </c>
      <c r="F993" s="12" t="str">
        <f>IFERROR(VLOOKUP(B993,'INSUMOS  JULIO'!$B$6:$CJ$109,33,0),"")</f>
        <v>0</v>
      </c>
      <c r="G993" s="8">
        <f>IFERROR(VLOOKUP($B993,'INSUMOS  JULIO'!$B$6:$CJ$109,34,0),"")</f>
        <v>49754.340000000004</v>
      </c>
      <c r="H993" s="19">
        <f t="shared" si="60"/>
        <v>0</v>
      </c>
      <c r="I993" s="1">
        <f t="shared" si="61"/>
        <v>0</v>
      </c>
      <c r="J993" s="1">
        <f t="shared" si="62"/>
        <v>0</v>
      </c>
      <c r="K993" s="19">
        <f t="shared" si="63"/>
        <v>0</v>
      </c>
    </row>
    <row r="994" spans="1:11" ht="15">
      <c r="A994" s="3">
        <v>1588</v>
      </c>
      <c r="B994" s="151">
        <v>110</v>
      </c>
      <c r="C994" s="7" t="s">
        <v>158</v>
      </c>
      <c r="D994" s="4" t="s">
        <v>73</v>
      </c>
      <c r="E994" t="s">
        <v>483</v>
      </c>
      <c r="F994" s="12">
        <f>IFERROR(VLOOKUP(B994,'INSUMOS  JULIO'!$B$6:$CJ$109,33,0),"")</f>
        <v>0</v>
      </c>
      <c r="G994" s="8">
        <f>IFERROR(VLOOKUP($B994,'INSUMOS  JULIO'!$B$6:$CJ$109,34,0),"")</f>
        <v>470.84799999999996</v>
      </c>
      <c r="H994" s="19">
        <f t="shared" si="60"/>
        <v>0</v>
      </c>
      <c r="I994" s="1">
        <f t="shared" si="61"/>
        <v>0</v>
      </c>
      <c r="J994" s="1">
        <f t="shared" si="62"/>
        <v>0</v>
      </c>
      <c r="K994" s="19">
        <f t="shared" si="63"/>
        <v>0</v>
      </c>
    </row>
    <row r="995" spans="1:11" ht="15">
      <c r="A995" s="3">
        <v>1589</v>
      </c>
      <c r="B995" s="151">
        <v>118</v>
      </c>
      <c r="C995" s="7" t="s">
        <v>158</v>
      </c>
      <c r="D995" s="4" t="s">
        <v>74</v>
      </c>
      <c r="E995" t="s">
        <v>483</v>
      </c>
      <c r="F995" s="12">
        <f>IFERROR(VLOOKUP(B995,'INSUMOS  JULIO'!$B$6:$CJ$109,33,0),"")</f>
        <v>0</v>
      </c>
      <c r="G995" s="8">
        <f>IFERROR(VLOOKUP($B995,'INSUMOS  JULIO'!$B$6:$CJ$109,34,0),"")</f>
        <v>2455.136</v>
      </c>
      <c r="H995" s="19">
        <f t="shared" si="60"/>
        <v>0</v>
      </c>
      <c r="I995" s="1">
        <f t="shared" si="61"/>
        <v>0</v>
      </c>
      <c r="J995" s="1">
        <f t="shared" si="62"/>
        <v>0</v>
      </c>
      <c r="K995" s="19">
        <f t="shared" si="63"/>
        <v>0</v>
      </c>
    </row>
    <row r="996" spans="1:11" ht="15">
      <c r="A996" s="3">
        <v>1590</v>
      </c>
      <c r="B996" s="151">
        <v>119</v>
      </c>
      <c r="C996" s="7" t="s">
        <v>158</v>
      </c>
      <c r="D996" s="4" t="s">
        <v>75</v>
      </c>
      <c r="E996" t="s">
        <v>483</v>
      </c>
      <c r="F996" s="12" t="str">
        <f>IFERROR(VLOOKUP(B996,'INSUMOS  JULIO'!$B$6:$CJ$109,33,0),"")</f>
        <v>0</v>
      </c>
      <c r="G996" s="8">
        <f>IFERROR(VLOOKUP($B996,'INSUMOS  JULIO'!$B$6:$CJ$109,34,0),"")</f>
        <v>2821.9350000000004</v>
      </c>
      <c r="H996" s="19">
        <f t="shared" si="60"/>
        <v>0</v>
      </c>
      <c r="I996" s="1">
        <f t="shared" si="61"/>
        <v>0</v>
      </c>
      <c r="J996" s="1">
        <f t="shared" si="62"/>
        <v>0</v>
      </c>
      <c r="K996" s="19">
        <f t="shared" si="63"/>
        <v>0</v>
      </c>
    </row>
    <row r="997" spans="1:11" ht="15">
      <c r="A997" s="3">
        <v>1591</v>
      </c>
      <c r="B997" s="151">
        <v>120</v>
      </c>
      <c r="C997" s="7" t="s">
        <v>158</v>
      </c>
      <c r="D997" s="4" t="s">
        <v>76</v>
      </c>
      <c r="E997" t="s">
        <v>483</v>
      </c>
      <c r="F997" s="12" t="str">
        <f>IFERROR(VLOOKUP(B997,'INSUMOS  JULIO'!$B$6:$CJ$109,33,0),"")</f>
        <v>0</v>
      </c>
      <c r="G997" s="8">
        <f>IFERROR(VLOOKUP($B997,'INSUMOS  JULIO'!$B$6:$CJ$109,34,0),"")</f>
        <v>2821.9350000000004</v>
      </c>
      <c r="H997" s="19">
        <f t="shared" si="60"/>
        <v>0</v>
      </c>
      <c r="I997" s="1">
        <f t="shared" si="61"/>
        <v>0</v>
      </c>
      <c r="J997" s="1">
        <f t="shared" si="62"/>
        <v>0</v>
      </c>
      <c r="K997" s="19">
        <f t="shared" si="63"/>
        <v>0</v>
      </c>
    </row>
    <row r="998" spans="1:11" ht="15">
      <c r="A998" s="3">
        <v>1592</v>
      </c>
      <c r="B998" s="151">
        <v>122</v>
      </c>
      <c r="C998" s="7" t="s">
        <v>158</v>
      </c>
      <c r="D998" s="4" t="s">
        <v>77</v>
      </c>
      <c r="E998" t="s">
        <v>483</v>
      </c>
      <c r="F998" s="12" t="str">
        <f>IFERROR(VLOOKUP(B998,'INSUMOS  JULIO'!$B$6:$CJ$109,33,0),"")</f>
        <v>0</v>
      </c>
      <c r="G998" s="8">
        <f>IFERROR(VLOOKUP($B998,'INSUMOS  JULIO'!$B$6:$CJ$109,34,0),"")</f>
        <v>5223.4699999999993</v>
      </c>
      <c r="H998" s="19">
        <f t="shared" si="60"/>
        <v>0</v>
      </c>
      <c r="I998" s="1">
        <f t="shared" si="61"/>
        <v>0</v>
      </c>
      <c r="J998" s="1">
        <f t="shared" si="62"/>
        <v>0</v>
      </c>
      <c r="K998" s="19">
        <f t="shared" si="63"/>
        <v>0</v>
      </c>
    </row>
    <row r="999" spans="1:11" ht="15">
      <c r="A999" s="3">
        <v>1593</v>
      </c>
      <c r="B999" s="151">
        <v>123</v>
      </c>
      <c r="C999" s="7" t="s">
        <v>158</v>
      </c>
      <c r="D999" s="4" t="s">
        <v>78</v>
      </c>
      <c r="E999" t="s">
        <v>483</v>
      </c>
      <c r="F999" s="12" t="str">
        <f>IFERROR(VLOOKUP(B999,'INSUMOS  JULIO'!$B$6:$CJ$109,33,0),"")</f>
        <v>0</v>
      </c>
      <c r="G999" s="8">
        <f>IFERROR(VLOOKUP($B999,'INSUMOS  JULIO'!$B$6:$CJ$109,34,0),"")</f>
        <v>5765.7860000000001</v>
      </c>
      <c r="H999" s="19">
        <f t="shared" si="60"/>
        <v>0</v>
      </c>
      <c r="I999" s="1">
        <f t="shared" si="61"/>
        <v>0</v>
      </c>
      <c r="J999" s="1">
        <f t="shared" si="62"/>
        <v>0</v>
      </c>
      <c r="K999" s="19">
        <f t="shared" si="63"/>
        <v>0</v>
      </c>
    </row>
    <row r="1000" spans="1:11" ht="15">
      <c r="A1000" s="3">
        <v>1594</v>
      </c>
      <c r="B1000" s="151">
        <v>124</v>
      </c>
      <c r="C1000" s="7" t="s">
        <v>158</v>
      </c>
      <c r="D1000" s="4" t="s">
        <v>79</v>
      </c>
      <c r="E1000" t="s">
        <v>483</v>
      </c>
      <c r="F1000" s="12" t="str">
        <f>IFERROR(VLOOKUP(B1000,'INSUMOS  JULIO'!$B$6:$CJ$109,33,0),"")</f>
        <v>0</v>
      </c>
      <c r="G1000" s="8">
        <f>IFERROR(VLOOKUP($B1000,'INSUMOS  JULIO'!$B$6:$CJ$109,34,0),"")</f>
        <v>5765.7860000000001</v>
      </c>
      <c r="H1000" s="19">
        <f t="shared" si="60"/>
        <v>0</v>
      </c>
      <c r="I1000" s="1">
        <f t="shared" si="61"/>
        <v>0</v>
      </c>
      <c r="J1000" s="1">
        <f t="shared" si="62"/>
        <v>0</v>
      </c>
      <c r="K1000" s="19">
        <f t="shared" si="63"/>
        <v>0</v>
      </c>
    </row>
    <row r="1001" spans="1:11" ht="15">
      <c r="A1001" s="3">
        <v>1595</v>
      </c>
      <c r="B1001" s="151">
        <v>126</v>
      </c>
      <c r="C1001" s="7" t="s">
        <v>9</v>
      </c>
      <c r="D1001" s="4" t="s">
        <v>80</v>
      </c>
      <c r="E1001" t="s">
        <v>483</v>
      </c>
      <c r="F1001" s="12" t="str">
        <f>IFERROR(VLOOKUP(B1001,'INSUMOS  JULIO'!$B$6:$CJ$109,33,0),"")</f>
        <v>0</v>
      </c>
      <c r="G1001" s="8">
        <f>IFERROR(VLOOKUP($B1001,'INSUMOS  JULIO'!$B$6:$CJ$109,34,0),"")</f>
        <v>3316.9560000000001</v>
      </c>
      <c r="H1001" s="19">
        <f t="shared" si="60"/>
        <v>0</v>
      </c>
      <c r="I1001" s="1">
        <f t="shared" si="61"/>
        <v>0</v>
      </c>
      <c r="J1001" s="1">
        <f t="shared" si="62"/>
        <v>0</v>
      </c>
      <c r="K1001" s="19">
        <f t="shared" si="63"/>
        <v>0</v>
      </c>
    </row>
    <row r="1002" spans="1:11" ht="15">
      <c r="A1002" s="3">
        <v>1596</v>
      </c>
      <c r="B1002" s="151">
        <v>127</v>
      </c>
      <c r="C1002" s="7" t="s">
        <v>156</v>
      </c>
      <c r="D1002" s="4" t="s">
        <v>81</v>
      </c>
      <c r="E1002" t="s">
        <v>483</v>
      </c>
      <c r="F1002" s="12" t="str">
        <f>IFERROR(VLOOKUP(B1002,'INSUMOS  JULIO'!$B$6:$CJ$109,33,0),"")</f>
        <v>0</v>
      </c>
      <c r="G1002" s="8">
        <f>IFERROR(VLOOKUP($B1002,'INSUMOS  JULIO'!$B$6:$CJ$109,34,0),"")</f>
        <v>3316.9560000000001</v>
      </c>
      <c r="H1002" s="19">
        <f t="shared" si="60"/>
        <v>0</v>
      </c>
      <c r="I1002" s="1">
        <f t="shared" si="61"/>
        <v>0</v>
      </c>
      <c r="J1002" s="1">
        <f t="shared" si="62"/>
        <v>0</v>
      </c>
      <c r="K1002" s="19">
        <f t="shared" si="63"/>
        <v>0</v>
      </c>
    </row>
    <row r="1003" spans="1:11" ht="15">
      <c r="A1003" s="3">
        <v>1597</v>
      </c>
      <c r="B1003" s="151">
        <v>129</v>
      </c>
      <c r="C1003" s="7" t="s">
        <v>157</v>
      </c>
      <c r="D1003" s="4" t="s">
        <v>82</v>
      </c>
      <c r="E1003" t="s">
        <v>483</v>
      </c>
      <c r="F1003" s="12" t="str">
        <f>IFERROR(VLOOKUP(B1003,'INSUMOS  JULIO'!$B$6:$CJ$109,33,0),"")</f>
        <v>0</v>
      </c>
      <c r="G1003" s="8">
        <f>IFERROR(VLOOKUP($B1003,'INSUMOS  JULIO'!$B$6:$CJ$109,34,0),"")</f>
        <v>3787.8040000000001</v>
      </c>
      <c r="H1003" s="19">
        <f t="shared" si="60"/>
        <v>0</v>
      </c>
      <c r="I1003" s="1">
        <f t="shared" si="61"/>
        <v>0</v>
      </c>
      <c r="J1003" s="1">
        <f t="shared" si="62"/>
        <v>0</v>
      </c>
      <c r="K1003" s="19">
        <f t="shared" si="63"/>
        <v>0</v>
      </c>
    </row>
    <row r="1004" spans="1:11" ht="15">
      <c r="A1004" s="3">
        <v>1598</v>
      </c>
      <c r="B1004" s="151">
        <v>131</v>
      </c>
      <c r="C1004" s="7" t="s">
        <v>13</v>
      </c>
      <c r="D1004" s="4" t="s">
        <v>83</v>
      </c>
      <c r="E1004" t="s">
        <v>483</v>
      </c>
      <c r="F1004" s="12" t="str">
        <f>IFERROR(VLOOKUP(B1004,'INSUMOS  JULIO'!$B$6:$CJ$109,33,0),"")</f>
        <v>0</v>
      </c>
      <c r="G1004" s="8">
        <f>IFERROR(VLOOKUP($B1004,'INSUMOS  JULIO'!$B$6:$CJ$109,34,0),"")</f>
        <v>0</v>
      </c>
      <c r="H1004" s="19">
        <f t="shared" si="60"/>
        <v>0</v>
      </c>
      <c r="I1004" s="1">
        <f t="shared" si="61"/>
        <v>0</v>
      </c>
      <c r="J1004" s="1">
        <f t="shared" si="62"/>
        <v>0</v>
      </c>
      <c r="K1004" s="19">
        <f t="shared" si="63"/>
        <v>0</v>
      </c>
    </row>
    <row r="1005" spans="1:11" ht="15">
      <c r="A1005" s="3">
        <v>1599</v>
      </c>
      <c r="B1005" s="151">
        <v>132</v>
      </c>
      <c r="C1005" s="7" t="s">
        <v>13</v>
      </c>
      <c r="D1005" s="4" t="s">
        <v>84</v>
      </c>
      <c r="E1005" t="s">
        <v>483</v>
      </c>
      <c r="F1005" s="12" t="str">
        <f>IFERROR(VLOOKUP(B1005,'INSUMOS  JULIO'!$B$6:$CJ$109,33,0),"")</f>
        <v>0</v>
      </c>
      <c r="G1005" s="8">
        <f>IFERROR(VLOOKUP($B1005,'INSUMOS  JULIO'!$B$6:$CJ$109,34,0),"")</f>
        <v>0</v>
      </c>
      <c r="H1005" s="19">
        <f t="shared" si="60"/>
        <v>0</v>
      </c>
      <c r="I1005" s="1">
        <f t="shared" si="61"/>
        <v>0</v>
      </c>
      <c r="J1005" s="1">
        <f t="shared" si="62"/>
        <v>0</v>
      </c>
      <c r="K1005" s="19">
        <f t="shared" si="63"/>
        <v>0</v>
      </c>
    </row>
    <row r="1006" spans="1:11" ht="15">
      <c r="A1006" s="3">
        <v>1600</v>
      </c>
      <c r="B1006" s="151">
        <v>134</v>
      </c>
      <c r="C1006" s="7" t="s">
        <v>16</v>
      </c>
      <c r="D1006" s="4" t="s">
        <v>85</v>
      </c>
      <c r="E1006" t="s">
        <v>483</v>
      </c>
      <c r="F1006" s="12" t="str">
        <f>IFERROR(VLOOKUP(B1006,'INSUMOS  JULIO'!$B$6:$CJ$109,33,0),"")</f>
        <v>0</v>
      </c>
      <c r="G1006" s="8">
        <f>IFERROR(VLOOKUP($B1006,'INSUMOS  JULIO'!$B$6:$CJ$109,34,0),"")</f>
        <v>0</v>
      </c>
      <c r="H1006" s="19">
        <f t="shared" si="60"/>
        <v>0</v>
      </c>
      <c r="I1006" s="1">
        <f t="shared" si="61"/>
        <v>0</v>
      </c>
      <c r="J1006" s="1">
        <f t="shared" si="62"/>
        <v>0</v>
      </c>
      <c r="K1006" s="19">
        <f t="shared" si="63"/>
        <v>0</v>
      </c>
    </row>
    <row r="1007" spans="1:11" ht="15">
      <c r="A1007" s="3">
        <v>1601</v>
      </c>
      <c r="B1007" s="151">
        <v>135</v>
      </c>
      <c r="C1007" s="7" t="s">
        <v>18</v>
      </c>
      <c r="D1007" s="4" t="s">
        <v>86</v>
      </c>
      <c r="E1007" t="s">
        <v>483</v>
      </c>
      <c r="F1007" s="12">
        <f>IFERROR(VLOOKUP(B1007,'INSUMOS  JULIO'!$B$6:$CJ$109,33,0),"")</f>
        <v>0</v>
      </c>
      <c r="G1007" s="8">
        <f>IFERROR(VLOOKUP($B1007,'INSUMOS  JULIO'!$B$6:$CJ$109,34,0),"")</f>
        <v>6229.277</v>
      </c>
      <c r="H1007" s="19">
        <f t="shared" si="60"/>
        <v>0</v>
      </c>
      <c r="I1007" s="1">
        <f t="shared" si="61"/>
        <v>0</v>
      </c>
      <c r="J1007" s="1">
        <f t="shared" si="62"/>
        <v>0</v>
      </c>
      <c r="K1007" s="19">
        <f t="shared" si="63"/>
        <v>0</v>
      </c>
    </row>
    <row r="1008" spans="1:11" ht="15">
      <c r="A1008" s="3">
        <v>1602</v>
      </c>
      <c r="B1008" s="151">
        <v>137</v>
      </c>
      <c r="C1008" s="7" t="s">
        <v>20</v>
      </c>
      <c r="D1008" s="4" t="s">
        <v>88</v>
      </c>
      <c r="E1008" t="s">
        <v>483</v>
      </c>
      <c r="F1008" s="12" t="str">
        <f>IFERROR(VLOOKUP(B1008,'INSUMOS  JULIO'!$B$6:$CJ$109,33,0),"")</f>
        <v>0</v>
      </c>
      <c r="G1008" s="8">
        <f>IFERROR(VLOOKUP($B1008,'INSUMOS  JULIO'!$B$6:$CJ$109,34,0),"")</f>
        <v>1245.4349999999999</v>
      </c>
      <c r="H1008" s="19">
        <f t="shared" si="60"/>
        <v>0</v>
      </c>
      <c r="I1008" s="1">
        <f t="shared" si="61"/>
        <v>0</v>
      </c>
      <c r="J1008" s="1">
        <f t="shared" si="62"/>
        <v>0</v>
      </c>
      <c r="K1008" s="19">
        <f t="shared" si="63"/>
        <v>0</v>
      </c>
    </row>
    <row r="1009" spans="1:11" ht="15">
      <c r="A1009" s="3">
        <v>1603</v>
      </c>
      <c r="B1009" s="151">
        <v>139</v>
      </c>
      <c r="C1009" s="7" t="s">
        <v>22</v>
      </c>
      <c r="D1009" s="4" t="s">
        <v>89</v>
      </c>
      <c r="E1009" t="s">
        <v>483</v>
      </c>
      <c r="F1009" s="12">
        <f>IFERROR(VLOOKUP(B1009,'INSUMOS  JULIO'!$B$6:$CJ$109,33,0),"")</f>
        <v>0</v>
      </c>
      <c r="G1009" s="8">
        <f>IFERROR(VLOOKUP($B1009,'INSUMOS  JULIO'!$B$6:$CJ$109,34,0),"")</f>
        <v>25429.996000000003</v>
      </c>
      <c r="H1009" s="19">
        <f t="shared" si="60"/>
        <v>0</v>
      </c>
      <c r="I1009" s="1">
        <f t="shared" si="61"/>
        <v>0</v>
      </c>
      <c r="J1009" s="1">
        <f t="shared" si="62"/>
        <v>0</v>
      </c>
      <c r="K1009" s="19">
        <f t="shared" si="63"/>
        <v>0</v>
      </c>
    </row>
    <row r="1010" spans="1:11" ht="15">
      <c r="A1010" s="3">
        <v>1604</v>
      </c>
      <c r="B1010" s="151">
        <v>151</v>
      </c>
      <c r="C1010" s="7" t="s">
        <v>18</v>
      </c>
      <c r="D1010" s="4" t="s">
        <v>91</v>
      </c>
      <c r="E1010" t="s">
        <v>483</v>
      </c>
      <c r="F1010" s="12">
        <f>IFERROR(VLOOKUP(B1010,'INSUMOS  JULIO'!$B$6:$CJ$109,33,0),"")</f>
        <v>0</v>
      </c>
      <c r="G1010" s="8">
        <f>IFERROR(VLOOKUP($B1010,'INSUMOS  JULIO'!$B$6:$CJ$109,34,0),"")</f>
        <v>7960.6944000000003</v>
      </c>
      <c r="H1010" s="19">
        <f t="shared" si="60"/>
        <v>0</v>
      </c>
      <c r="I1010" s="1">
        <f t="shared" si="61"/>
        <v>0</v>
      </c>
      <c r="J1010" s="1">
        <f t="shared" si="62"/>
        <v>0</v>
      </c>
      <c r="K1010" s="19">
        <f t="shared" si="63"/>
        <v>0</v>
      </c>
    </row>
    <row r="1011" spans="1:11" ht="15">
      <c r="A1011" s="3">
        <v>1605</v>
      </c>
      <c r="B1011" s="151">
        <v>152</v>
      </c>
      <c r="C1011" s="7" t="s">
        <v>155</v>
      </c>
      <c r="D1011" s="4" t="s">
        <v>92</v>
      </c>
      <c r="E1011" t="s">
        <v>483</v>
      </c>
      <c r="F1011" s="12" t="str">
        <f>IFERROR(VLOOKUP(B1011,'INSUMOS  JULIO'!$B$6:$CJ$109,33,0),"")</f>
        <v>0</v>
      </c>
      <c r="G1011" s="8">
        <f>IFERROR(VLOOKUP($B1011,'INSUMOS  JULIO'!$B$6:$CJ$109,34,0),"")</f>
        <v>0</v>
      </c>
      <c r="H1011" s="19">
        <f t="shared" si="60"/>
        <v>0</v>
      </c>
      <c r="I1011" s="1">
        <f t="shared" si="61"/>
        <v>0</v>
      </c>
      <c r="J1011" s="1">
        <f t="shared" si="62"/>
        <v>0</v>
      </c>
      <c r="K1011" s="19">
        <f t="shared" si="63"/>
        <v>0</v>
      </c>
    </row>
    <row r="1012" spans="1:11" ht="15">
      <c r="A1012" s="3">
        <v>1606</v>
      </c>
      <c r="B1012" s="151">
        <v>154</v>
      </c>
      <c r="C1012" s="7" t="s">
        <v>16</v>
      </c>
      <c r="D1012" s="4" t="s">
        <v>94</v>
      </c>
      <c r="E1012" t="s">
        <v>483</v>
      </c>
      <c r="F1012" s="12" t="str">
        <f>IFERROR(VLOOKUP(B1012,'INSUMOS  JULIO'!$B$6:$CJ$109,33,0),"")</f>
        <v>0</v>
      </c>
      <c r="G1012" s="8">
        <f>IFERROR(VLOOKUP($B1012,'INSUMOS  JULIO'!$B$6:$CJ$109,34,0),"")</f>
        <v>0</v>
      </c>
      <c r="H1012" s="19">
        <f t="shared" si="60"/>
        <v>0</v>
      </c>
      <c r="I1012" s="1">
        <f t="shared" si="61"/>
        <v>0</v>
      </c>
      <c r="J1012" s="1">
        <f t="shared" si="62"/>
        <v>0</v>
      </c>
      <c r="K1012" s="19">
        <f t="shared" si="63"/>
        <v>0</v>
      </c>
    </row>
    <row r="1013" spans="1:11" ht="15">
      <c r="A1013" s="3">
        <v>1607</v>
      </c>
      <c r="B1013" s="151">
        <v>155</v>
      </c>
      <c r="C1013" s="7" t="s">
        <v>27</v>
      </c>
      <c r="D1013" s="4" t="s">
        <v>95</v>
      </c>
      <c r="E1013" t="s">
        <v>483</v>
      </c>
      <c r="F1013" s="12">
        <f>IFERROR(VLOOKUP(B1013,'INSUMOS  JULIO'!$B$6:$CJ$109,33,0),"")</f>
        <v>0</v>
      </c>
      <c r="G1013" s="8">
        <f>IFERROR(VLOOKUP($B1013,'INSUMOS  JULIO'!$B$6:$CJ$109,34,0),"")</f>
        <v>3703.7239999999997</v>
      </c>
      <c r="H1013" s="19">
        <f t="shared" si="60"/>
        <v>0</v>
      </c>
      <c r="I1013" s="1">
        <f t="shared" si="61"/>
        <v>0</v>
      </c>
      <c r="J1013" s="1">
        <f t="shared" si="62"/>
        <v>0</v>
      </c>
      <c r="K1013" s="19">
        <f t="shared" si="63"/>
        <v>0</v>
      </c>
    </row>
    <row r="1014" spans="1:11" ht="15">
      <c r="A1014" s="3">
        <v>1608</v>
      </c>
      <c r="B1014" s="151">
        <v>156</v>
      </c>
      <c r="C1014" s="7" t="s">
        <v>13</v>
      </c>
      <c r="D1014" s="4" t="s">
        <v>96</v>
      </c>
      <c r="E1014" t="s">
        <v>483</v>
      </c>
      <c r="F1014" s="12" t="str">
        <f>IFERROR(VLOOKUP(B1014,'INSUMOS  JULIO'!$B$6:$CJ$109,33,0),"")</f>
        <v>0</v>
      </c>
      <c r="G1014" s="8">
        <f>IFERROR(VLOOKUP($B1014,'INSUMOS  JULIO'!$B$6:$CJ$109,34,0),"")</f>
        <v>4422.6080000000002</v>
      </c>
      <c r="H1014" s="19">
        <f t="shared" si="60"/>
        <v>0</v>
      </c>
      <c r="I1014" s="1">
        <f t="shared" si="61"/>
        <v>0</v>
      </c>
      <c r="J1014" s="1">
        <f t="shared" si="62"/>
        <v>0</v>
      </c>
      <c r="K1014" s="19">
        <f t="shared" si="63"/>
        <v>0</v>
      </c>
    </row>
    <row r="1015" spans="1:11" ht="15">
      <c r="A1015" s="3">
        <v>1609</v>
      </c>
      <c r="B1015" s="151">
        <v>157</v>
      </c>
      <c r="C1015" s="7" t="s">
        <v>13</v>
      </c>
      <c r="D1015" s="4" t="s">
        <v>97</v>
      </c>
      <c r="E1015" t="s">
        <v>483</v>
      </c>
      <c r="F1015" s="12">
        <f>IFERROR(VLOOKUP(B1015,'INSUMOS  JULIO'!$B$6:$CJ$109,33,0),"")</f>
        <v>0</v>
      </c>
      <c r="G1015" s="8">
        <f>IFERROR(VLOOKUP($B1015,'INSUMOS  JULIO'!$B$6:$CJ$109,34,0),"")</f>
        <v>5970.7309999999998</v>
      </c>
      <c r="H1015" s="19">
        <f t="shared" si="60"/>
        <v>0</v>
      </c>
      <c r="I1015" s="1">
        <f t="shared" si="61"/>
        <v>0</v>
      </c>
      <c r="J1015" s="1">
        <f t="shared" si="62"/>
        <v>0</v>
      </c>
      <c r="K1015" s="19">
        <f t="shared" si="63"/>
        <v>0</v>
      </c>
    </row>
    <row r="1016" spans="1:11" ht="15">
      <c r="A1016" s="3">
        <v>1610</v>
      </c>
      <c r="B1016" s="151">
        <v>159</v>
      </c>
      <c r="C1016" s="7" t="s">
        <v>13</v>
      </c>
      <c r="D1016" s="4" t="s">
        <v>98</v>
      </c>
      <c r="E1016" t="s">
        <v>483</v>
      </c>
      <c r="F1016" s="12" t="str">
        <f>IFERROR(VLOOKUP(B1016,'INSUMOS  JULIO'!$B$6:$CJ$109,33,0),"")</f>
        <v>0</v>
      </c>
      <c r="G1016" s="8">
        <f>IFERROR(VLOOKUP($B1016,'INSUMOS  JULIO'!$B$6:$CJ$109,34,0),"")</f>
        <v>0</v>
      </c>
      <c r="H1016" s="19">
        <f t="shared" si="60"/>
        <v>0</v>
      </c>
      <c r="I1016" s="1">
        <f t="shared" si="61"/>
        <v>0</v>
      </c>
      <c r="J1016" s="1">
        <f t="shared" si="62"/>
        <v>0</v>
      </c>
      <c r="K1016" s="19">
        <f t="shared" si="63"/>
        <v>0</v>
      </c>
    </row>
    <row r="1017" spans="1:11" ht="15">
      <c r="A1017" s="3">
        <v>1611</v>
      </c>
      <c r="B1017" s="151">
        <v>160</v>
      </c>
      <c r="C1017" s="7" t="s">
        <v>13</v>
      </c>
      <c r="D1017" s="4" t="s">
        <v>99</v>
      </c>
      <c r="E1017" t="s">
        <v>483</v>
      </c>
      <c r="F1017" s="12" t="str">
        <f>IFERROR(VLOOKUP(B1017,'INSUMOS  JULIO'!$B$6:$CJ$109,33,0),"")</f>
        <v>0</v>
      </c>
      <c r="G1017" s="8">
        <f>IFERROR(VLOOKUP($B1017,'INSUMOS  JULIO'!$B$6:$CJ$109,34,0),"")</f>
        <v>2276.4660000000003</v>
      </c>
      <c r="H1017" s="19">
        <f t="shared" si="60"/>
        <v>0</v>
      </c>
      <c r="I1017" s="1">
        <f t="shared" si="61"/>
        <v>0</v>
      </c>
      <c r="J1017" s="1">
        <f t="shared" si="62"/>
        <v>0</v>
      </c>
      <c r="K1017" s="19">
        <f t="shared" si="63"/>
        <v>0</v>
      </c>
    </row>
    <row r="1018" spans="1:11" ht="15">
      <c r="A1018" s="3">
        <v>1612</v>
      </c>
      <c r="B1018" s="151">
        <v>161</v>
      </c>
      <c r="C1018" s="7" t="s">
        <v>33</v>
      </c>
      <c r="D1018" s="4" t="s">
        <v>100</v>
      </c>
      <c r="E1018" t="s">
        <v>483</v>
      </c>
      <c r="F1018" s="12" t="str">
        <f>IFERROR(VLOOKUP(B1018,'INSUMOS  JULIO'!$B$6:$CJ$109,33,0),"")</f>
        <v>0</v>
      </c>
      <c r="G1018" s="8">
        <f>IFERROR(VLOOKUP($B1018,'INSUMOS  JULIO'!$B$6:$CJ$109,34,0),"")</f>
        <v>2236.5280000000002</v>
      </c>
      <c r="H1018" s="19">
        <f t="shared" si="60"/>
        <v>0</v>
      </c>
      <c r="I1018" s="1">
        <f t="shared" si="61"/>
        <v>0</v>
      </c>
      <c r="J1018" s="1">
        <f t="shared" si="62"/>
        <v>0</v>
      </c>
      <c r="K1018" s="19">
        <f t="shared" si="63"/>
        <v>0</v>
      </c>
    </row>
    <row r="1019" spans="1:11" ht="15">
      <c r="A1019" s="3">
        <v>1613</v>
      </c>
      <c r="B1019" s="151">
        <v>162</v>
      </c>
      <c r="C1019" s="7" t="s">
        <v>16</v>
      </c>
      <c r="D1019" s="4" t="s">
        <v>101</v>
      </c>
      <c r="E1019" t="s">
        <v>483</v>
      </c>
      <c r="F1019" s="12">
        <f>IFERROR(VLOOKUP(B1019,'INSUMOS  JULIO'!$B$6:$CJ$109,33,0),"")</f>
        <v>0</v>
      </c>
      <c r="G1019" s="8">
        <f>IFERROR(VLOOKUP($B1019,'INSUMOS  JULIO'!$B$6:$CJ$109,34,0),"")</f>
        <v>2684.2539999999999</v>
      </c>
      <c r="H1019" s="19">
        <f t="shared" si="60"/>
        <v>0</v>
      </c>
      <c r="I1019" s="1">
        <f t="shared" si="61"/>
        <v>0</v>
      </c>
      <c r="J1019" s="1">
        <f t="shared" si="62"/>
        <v>0</v>
      </c>
      <c r="K1019" s="19">
        <f t="shared" si="63"/>
        <v>0</v>
      </c>
    </row>
    <row r="1020" spans="1:11" ht="15">
      <c r="A1020" s="3">
        <v>1614</v>
      </c>
      <c r="B1020" s="151">
        <v>164</v>
      </c>
      <c r="C1020" s="7" t="s">
        <v>36</v>
      </c>
      <c r="D1020" s="4" t="s">
        <v>102</v>
      </c>
      <c r="E1020" t="s">
        <v>483</v>
      </c>
      <c r="F1020" s="12" t="str">
        <f>IFERROR(VLOOKUP(B1020,'INSUMOS  JULIO'!$B$6:$CJ$109,33,0),"")</f>
        <v>0</v>
      </c>
      <c r="G1020" s="8">
        <f>IFERROR(VLOOKUP($B1020,'INSUMOS  JULIO'!$B$6:$CJ$109,34,0),"")</f>
        <v>1658.4780000000001</v>
      </c>
      <c r="H1020" s="19">
        <f t="shared" si="60"/>
        <v>0</v>
      </c>
      <c r="I1020" s="1">
        <f t="shared" si="61"/>
        <v>0</v>
      </c>
      <c r="J1020" s="1">
        <f t="shared" si="62"/>
        <v>0</v>
      </c>
      <c r="K1020" s="19">
        <f t="shared" si="63"/>
        <v>0</v>
      </c>
    </row>
    <row r="1021" spans="1:11" ht="15">
      <c r="A1021" s="3">
        <v>1615</v>
      </c>
      <c r="B1021" s="151">
        <v>169</v>
      </c>
      <c r="C1021" s="7" t="s">
        <v>36</v>
      </c>
      <c r="D1021" s="4" t="s">
        <v>104</v>
      </c>
      <c r="E1021" t="s">
        <v>483</v>
      </c>
      <c r="F1021" s="12" t="str">
        <f>IFERROR(VLOOKUP(B1021,'INSUMOS  JULIO'!$B$6:$CJ$109,33,0),"")</f>
        <v>0</v>
      </c>
      <c r="G1021" s="8">
        <f>IFERROR(VLOOKUP($B1021,'INSUMOS  JULIO'!$B$6:$CJ$109,34,0),"")</f>
        <v>85897.178999999989</v>
      </c>
      <c r="H1021" s="19">
        <f t="shared" si="60"/>
        <v>0</v>
      </c>
      <c r="I1021" s="1">
        <f t="shared" si="61"/>
        <v>0</v>
      </c>
      <c r="J1021" s="1">
        <f t="shared" si="62"/>
        <v>0</v>
      </c>
      <c r="K1021" s="19">
        <f t="shared" si="63"/>
        <v>0</v>
      </c>
    </row>
    <row r="1022" spans="1:11" ht="15">
      <c r="A1022" s="3">
        <v>1616</v>
      </c>
      <c r="B1022" s="151">
        <v>170</v>
      </c>
      <c r="C1022" s="7" t="s">
        <v>39</v>
      </c>
      <c r="D1022" s="4" t="s">
        <v>106</v>
      </c>
      <c r="E1022" t="s">
        <v>483</v>
      </c>
      <c r="F1022" s="12">
        <f>IFERROR(VLOOKUP(B1022,'INSUMOS  JULIO'!$B$6:$CJ$109,33,0),"")</f>
        <v>0</v>
      </c>
      <c r="G1022" s="8">
        <f>IFERROR(VLOOKUP($B1022,'INSUMOS  JULIO'!$B$6:$CJ$109,34,0),"")</f>
        <v>19405.664000000001</v>
      </c>
      <c r="H1022" s="19">
        <f t="shared" si="60"/>
        <v>0</v>
      </c>
      <c r="I1022" s="1">
        <f t="shared" si="61"/>
        <v>0</v>
      </c>
      <c r="J1022" s="1">
        <f t="shared" si="62"/>
        <v>0</v>
      </c>
      <c r="K1022" s="19">
        <f t="shared" si="63"/>
        <v>0</v>
      </c>
    </row>
    <row r="1023" spans="1:11" ht="15">
      <c r="A1023" s="3">
        <v>1617</v>
      </c>
      <c r="B1023" s="151">
        <v>173</v>
      </c>
      <c r="C1023" s="7" t="s">
        <v>39</v>
      </c>
      <c r="D1023" s="4" t="s">
        <v>107</v>
      </c>
      <c r="E1023" t="s">
        <v>483</v>
      </c>
      <c r="F1023" s="12" t="str">
        <f>IFERROR(VLOOKUP(B1023,'INSUMOS  JULIO'!$B$6:$CJ$109,33,0),"")</f>
        <v>0</v>
      </c>
      <c r="G1023" s="8">
        <f>IFERROR(VLOOKUP($B1023,'INSUMOS  JULIO'!$B$6:$CJ$109,34,0),"")</f>
        <v>0</v>
      </c>
      <c r="H1023" s="19">
        <f t="shared" si="60"/>
        <v>0</v>
      </c>
      <c r="I1023" s="1">
        <f t="shared" si="61"/>
        <v>0</v>
      </c>
      <c r="J1023" s="1">
        <f t="shared" si="62"/>
        <v>0</v>
      </c>
      <c r="K1023" s="19">
        <f t="shared" si="63"/>
        <v>0</v>
      </c>
    </row>
    <row r="1024" spans="1:11" ht="15">
      <c r="A1024" s="3">
        <v>1618</v>
      </c>
      <c r="B1024" s="151">
        <v>174</v>
      </c>
      <c r="C1024" s="7" t="s">
        <v>108</v>
      </c>
      <c r="D1024" s="4" t="s">
        <v>109</v>
      </c>
      <c r="E1024" t="s">
        <v>483</v>
      </c>
      <c r="F1024" s="12" t="str">
        <f>IFERROR(VLOOKUP(B1024,'INSUMOS  JULIO'!$B$6:$CJ$109,33,0),"")</f>
        <v>0</v>
      </c>
      <c r="G1024" s="8">
        <f>IFERROR(VLOOKUP($B1024,'INSUMOS  JULIO'!$B$6:$CJ$109,34,0),"")</f>
        <v>6081.0860000000002</v>
      </c>
      <c r="H1024" s="19">
        <f t="shared" si="60"/>
        <v>0</v>
      </c>
      <c r="I1024" s="1">
        <f t="shared" si="61"/>
        <v>0</v>
      </c>
      <c r="J1024" s="1">
        <f t="shared" si="62"/>
        <v>0</v>
      </c>
      <c r="K1024" s="19">
        <f t="shared" si="63"/>
        <v>0</v>
      </c>
    </row>
    <row r="1025" spans="1:11" ht="15">
      <c r="A1025" s="3">
        <v>1619</v>
      </c>
      <c r="B1025" s="151">
        <v>176</v>
      </c>
      <c r="C1025" s="7" t="s">
        <v>108</v>
      </c>
      <c r="D1025" s="4" t="s">
        <v>110</v>
      </c>
      <c r="E1025" t="s">
        <v>483</v>
      </c>
      <c r="F1025" s="12" t="str">
        <f>IFERROR(VLOOKUP(B1025,'INSUMOS  JULIO'!$B$6:$CJ$109,33,0),"")</f>
        <v>0</v>
      </c>
      <c r="G1025" s="8">
        <f>IFERROR(VLOOKUP($B1025,'INSUMOS  JULIO'!$B$6:$CJ$109,34,0),"")</f>
        <v>2749.4160000000002</v>
      </c>
      <c r="H1025" s="19">
        <f t="shared" si="60"/>
        <v>0</v>
      </c>
      <c r="I1025" s="1">
        <f t="shared" si="61"/>
        <v>0</v>
      </c>
      <c r="J1025" s="1">
        <f t="shared" si="62"/>
        <v>0</v>
      </c>
      <c r="K1025" s="19">
        <f t="shared" si="63"/>
        <v>0</v>
      </c>
    </row>
    <row r="1026" spans="1:11" ht="15">
      <c r="A1026" s="3">
        <v>1620</v>
      </c>
      <c r="B1026" s="151">
        <v>192</v>
      </c>
      <c r="C1026" s="7" t="s">
        <v>149</v>
      </c>
      <c r="D1026" s="4" t="s">
        <v>111</v>
      </c>
      <c r="E1026" t="s">
        <v>483</v>
      </c>
      <c r="F1026" s="12">
        <f>IFERROR(VLOOKUP(B1026,'INSUMOS  JULIO'!$B$6:$CJ$109,33,0),"")</f>
        <v>0</v>
      </c>
      <c r="G1026" s="8">
        <f>IFERROR(VLOOKUP($B1026,'INSUMOS  JULIO'!$B$6:$CJ$109,34,0),"")</f>
        <v>6866.2880999999998</v>
      </c>
      <c r="H1026" s="19">
        <f t="shared" si="60"/>
        <v>0</v>
      </c>
      <c r="I1026" s="1">
        <f t="shared" si="61"/>
        <v>0</v>
      </c>
      <c r="J1026" s="1">
        <f t="shared" si="62"/>
        <v>0</v>
      </c>
      <c r="K1026" s="19">
        <f t="shared" si="63"/>
        <v>0</v>
      </c>
    </row>
    <row r="1027" spans="1:11" ht="15">
      <c r="A1027" s="3">
        <v>1621</v>
      </c>
      <c r="B1027" s="151">
        <v>195</v>
      </c>
      <c r="C1027" s="7" t="s">
        <v>151</v>
      </c>
      <c r="D1027" s="4" t="s">
        <v>112</v>
      </c>
      <c r="E1027" t="s">
        <v>483</v>
      </c>
      <c r="F1027" s="12">
        <f>IFERROR(VLOOKUP(B1027,'INSUMOS  JULIO'!$B$6:$CJ$109,33,0),"")</f>
        <v>0</v>
      </c>
      <c r="G1027" s="8">
        <f>IFERROR(VLOOKUP($B1027,'INSUMOS  JULIO'!$B$6:$CJ$109,34,0),"")</f>
        <v>10697.1831</v>
      </c>
      <c r="H1027" s="19">
        <f t="shared" si="60"/>
        <v>0</v>
      </c>
      <c r="I1027" s="1">
        <f t="shared" si="61"/>
        <v>0</v>
      </c>
      <c r="J1027" s="1">
        <f t="shared" si="62"/>
        <v>0</v>
      </c>
      <c r="K1027" s="19">
        <f t="shared" si="63"/>
        <v>0</v>
      </c>
    </row>
    <row r="1028" spans="1:11" ht="15">
      <c r="A1028" s="3">
        <v>1622</v>
      </c>
      <c r="B1028" s="151">
        <v>204</v>
      </c>
      <c r="C1028" s="7" t="s">
        <v>46</v>
      </c>
      <c r="D1028" s="4" t="s">
        <v>113</v>
      </c>
      <c r="E1028" t="s">
        <v>483</v>
      </c>
      <c r="F1028" s="12">
        <f>IFERROR(VLOOKUP(B1028,'INSUMOS  JULIO'!$B$6:$CJ$109,33,0),"")</f>
        <v>0</v>
      </c>
      <c r="G1028" s="8">
        <f>IFERROR(VLOOKUP($B1028,'INSUMOS  JULIO'!$B$6:$CJ$109,34,0),"")</f>
        <v>25673.6178</v>
      </c>
      <c r="H1028" s="19">
        <f t="shared" si="60"/>
        <v>0</v>
      </c>
      <c r="I1028" s="1">
        <f t="shared" si="61"/>
        <v>0</v>
      </c>
      <c r="J1028" s="1">
        <f t="shared" si="62"/>
        <v>0</v>
      </c>
      <c r="K1028" s="19">
        <f t="shared" si="63"/>
        <v>0</v>
      </c>
    </row>
    <row r="1029" spans="1:11" ht="27">
      <c r="A1029" s="3">
        <v>1623</v>
      </c>
      <c r="B1029" s="151">
        <v>205</v>
      </c>
      <c r="C1029" s="7" t="s">
        <v>159</v>
      </c>
      <c r="D1029" s="4" t="s">
        <v>114</v>
      </c>
      <c r="E1029" t="s">
        <v>483</v>
      </c>
      <c r="F1029" s="12" t="str">
        <f>IFERROR(VLOOKUP(B1029,'INSUMOS  JULIO'!$B$6:$CJ$109,33,0),"")</f>
        <v>0</v>
      </c>
      <c r="G1029" s="8">
        <f>IFERROR(VLOOKUP($B1029,'INSUMOS  JULIO'!$B$6:$CJ$109,34,0),"")</f>
        <v>17690.432000000001</v>
      </c>
      <c r="H1029" s="19">
        <f t="shared" si="60"/>
        <v>0</v>
      </c>
      <c r="I1029" s="1">
        <f t="shared" si="61"/>
        <v>0</v>
      </c>
      <c r="J1029" s="1">
        <f t="shared" si="62"/>
        <v>0</v>
      </c>
      <c r="K1029" s="19">
        <f t="shared" si="63"/>
        <v>0</v>
      </c>
    </row>
    <row r="1030" spans="1:11" ht="15">
      <c r="A1030" s="3">
        <v>1624</v>
      </c>
      <c r="B1030" s="151">
        <v>207</v>
      </c>
      <c r="C1030" s="7" t="s">
        <v>159</v>
      </c>
      <c r="D1030" s="4" t="s">
        <v>115</v>
      </c>
      <c r="E1030" t="s">
        <v>483</v>
      </c>
      <c r="F1030" s="12" t="str">
        <f>IFERROR(VLOOKUP(B1030,'INSUMOS  JULIO'!$B$6:$CJ$109,33,0),"")</f>
        <v>0</v>
      </c>
      <c r="G1030" s="8">
        <f>IFERROR(VLOOKUP($B1030,'INSUMOS  JULIO'!$B$6:$CJ$109,34,0),"")</f>
        <v>7186.7380000000003</v>
      </c>
      <c r="H1030" s="19">
        <f t="shared" ref="H1030:H1093" si="64">+F1030*G1030</f>
        <v>0</v>
      </c>
      <c r="I1030" s="1">
        <f t="shared" ref="I1030:I1093" si="65">+H1030*10%</f>
        <v>0</v>
      </c>
      <c r="J1030" s="1">
        <f t="shared" ref="J1030:J1093" si="66">+I1030*19%</f>
        <v>0</v>
      </c>
      <c r="K1030" s="19">
        <f t="shared" ref="K1030:K1093" si="67">SUM(H1030:J1030)</f>
        <v>0</v>
      </c>
    </row>
    <row r="1031" spans="1:11" ht="15">
      <c r="A1031" s="3">
        <v>1625</v>
      </c>
      <c r="B1031" s="151">
        <v>208</v>
      </c>
      <c r="C1031" s="7" t="s">
        <v>159</v>
      </c>
      <c r="D1031" s="4" t="s">
        <v>634</v>
      </c>
      <c r="E1031" t="s">
        <v>483</v>
      </c>
      <c r="F1031" s="12" t="str">
        <f>IFERROR(VLOOKUP(B1031,'INSUMOS  JULIO'!$B$6:$CJ$109,33,0),"")</f>
        <v>0</v>
      </c>
      <c r="G1031" s="8">
        <f>IFERROR(VLOOKUP($B1031,'INSUMOS  JULIO'!$B$6:$CJ$109,34,0),"")</f>
        <v>50779.065000000002</v>
      </c>
      <c r="H1031" s="19">
        <f t="shared" si="64"/>
        <v>0</v>
      </c>
      <c r="I1031" s="1">
        <f t="shared" si="65"/>
        <v>0</v>
      </c>
      <c r="J1031" s="1">
        <f t="shared" si="66"/>
        <v>0</v>
      </c>
      <c r="K1031" s="19">
        <f t="shared" si="67"/>
        <v>0</v>
      </c>
    </row>
    <row r="1032" spans="1:11" ht="15">
      <c r="A1032" s="3">
        <v>1626</v>
      </c>
      <c r="B1032" s="151">
        <v>209</v>
      </c>
      <c r="C1032" s="7" t="s">
        <v>159</v>
      </c>
      <c r="D1032" s="4" t="s">
        <v>635</v>
      </c>
      <c r="E1032" t="s">
        <v>483</v>
      </c>
      <c r="F1032" s="12" t="str">
        <f>IFERROR(VLOOKUP(B1032,'INSUMOS  JULIO'!$B$6:$CJ$109,33,0),"")</f>
        <v>0</v>
      </c>
      <c r="G1032" s="8">
        <f>IFERROR(VLOOKUP($B1032,'INSUMOS  JULIO'!$B$6:$CJ$109,34,0),"")</f>
        <v>37357.794999999998</v>
      </c>
      <c r="H1032" s="19">
        <f t="shared" si="64"/>
        <v>0</v>
      </c>
      <c r="I1032" s="1">
        <f t="shared" si="65"/>
        <v>0</v>
      </c>
      <c r="J1032" s="1">
        <f t="shared" si="66"/>
        <v>0</v>
      </c>
      <c r="K1032" s="19">
        <f t="shared" si="67"/>
        <v>0</v>
      </c>
    </row>
    <row r="1033" spans="1:11" ht="15">
      <c r="A1033" s="3">
        <v>1627</v>
      </c>
      <c r="B1033" s="151">
        <v>210</v>
      </c>
      <c r="C1033" s="7" t="s">
        <v>159</v>
      </c>
      <c r="D1033" s="4" t="s">
        <v>636</v>
      </c>
      <c r="E1033" t="s">
        <v>483</v>
      </c>
      <c r="F1033" s="12" t="str">
        <f>IFERROR(VLOOKUP(B1033,'INSUMOS  JULIO'!$B$6:$CJ$109,33,0),"")</f>
        <v>0</v>
      </c>
      <c r="G1033" s="8">
        <f>IFERROR(VLOOKUP($B1033,'INSUMOS  JULIO'!$B$6:$CJ$109,34,0),"")</f>
        <v>22537.643999999997</v>
      </c>
      <c r="H1033" s="19">
        <f t="shared" si="64"/>
        <v>0</v>
      </c>
      <c r="I1033" s="1">
        <f t="shared" si="65"/>
        <v>0</v>
      </c>
      <c r="J1033" s="1">
        <f t="shared" si="66"/>
        <v>0</v>
      </c>
      <c r="K1033" s="19">
        <f t="shared" si="67"/>
        <v>0</v>
      </c>
    </row>
    <row r="1034" spans="1:11" ht="15">
      <c r="A1034" s="3">
        <v>1628</v>
      </c>
      <c r="B1034" s="151">
        <v>211</v>
      </c>
      <c r="C1034" s="7" t="s">
        <v>53</v>
      </c>
      <c r="D1034" s="4" t="s">
        <v>637</v>
      </c>
      <c r="E1034" t="s">
        <v>483</v>
      </c>
      <c r="F1034" s="12" t="str">
        <f>IFERROR(VLOOKUP(B1034,'INSUMOS  JULIO'!$B$6:$CJ$109,33,0),"")</f>
        <v>0</v>
      </c>
      <c r="G1034" s="8">
        <f>IFERROR(VLOOKUP($B1034,'INSUMOS  JULIO'!$B$6:$CJ$109,34,0),"")</f>
        <v>15992.016</v>
      </c>
      <c r="H1034" s="19">
        <f t="shared" si="64"/>
        <v>0</v>
      </c>
      <c r="I1034" s="1">
        <f t="shared" si="65"/>
        <v>0</v>
      </c>
      <c r="J1034" s="1">
        <f t="shared" si="66"/>
        <v>0</v>
      </c>
      <c r="K1034" s="19">
        <f t="shared" si="67"/>
        <v>0</v>
      </c>
    </row>
    <row r="1035" spans="1:11" ht="15">
      <c r="A1035" s="3">
        <v>1629</v>
      </c>
      <c r="B1035" s="151">
        <v>212</v>
      </c>
      <c r="C1035" s="7" t="s">
        <v>53</v>
      </c>
      <c r="D1035" s="4" t="s">
        <v>116</v>
      </c>
      <c r="E1035" t="s">
        <v>483</v>
      </c>
      <c r="F1035" s="12" t="str">
        <f>IFERROR(VLOOKUP(B1035,'INSUMOS  JULIO'!$B$6:$CJ$109,33,0),"")</f>
        <v>0</v>
      </c>
      <c r="G1035" s="8">
        <f>IFERROR(VLOOKUP($B1035,'INSUMOS  JULIO'!$B$6:$CJ$109,34,0),"")</f>
        <v>2505.5839999999998</v>
      </c>
      <c r="H1035" s="19">
        <f t="shared" si="64"/>
        <v>0</v>
      </c>
      <c r="I1035" s="1">
        <f t="shared" si="65"/>
        <v>0</v>
      </c>
      <c r="J1035" s="1">
        <f t="shared" si="66"/>
        <v>0</v>
      </c>
      <c r="K1035" s="19">
        <f t="shared" si="67"/>
        <v>0</v>
      </c>
    </row>
    <row r="1036" spans="1:11" ht="15">
      <c r="A1036" s="3">
        <v>1630</v>
      </c>
      <c r="B1036" s="151">
        <v>213</v>
      </c>
      <c r="C1036" s="7" t="s">
        <v>53</v>
      </c>
      <c r="D1036" s="4" t="s">
        <v>638</v>
      </c>
      <c r="E1036" t="s">
        <v>483</v>
      </c>
      <c r="F1036" s="12" t="str">
        <f>IFERROR(VLOOKUP(B1036,'INSUMOS  JULIO'!$B$6:$CJ$109,33,0),"")</f>
        <v>0</v>
      </c>
      <c r="G1036" s="8">
        <f>IFERROR(VLOOKUP($B1036,'INSUMOS  JULIO'!$B$6:$CJ$109,34,0),"")</f>
        <v>0</v>
      </c>
      <c r="H1036" s="19">
        <f t="shared" si="64"/>
        <v>0</v>
      </c>
      <c r="I1036" s="1">
        <f t="shared" si="65"/>
        <v>0</v>
      </c>
      <c r="J1036" s="1">
        <f t="shared" si="66"/>
        <v>0</v>
      </c>
      <c r="K1036" s="19">
        <f t="shared" si="67"/>
        <v>0</v>
      </c>
    </row>
    <row r="1037" spans="1:11" ht="15">
      <c r="A1037" s="3">
        <v>1631</v>
      </c>
      <c r="B1037" s="151">
        <v>215</v>
      </c>
      <c r="C1037" s="7" t="s">
        <v>53</v>
      </c>
      <c r="D1037" s="4" t="s">
        <v>639</v>
      </c>
      <c r="E1037" t="s">
        <v>483</v>
      </c>
      <c r="F1037" s="12" t="str">
        <f>IFERROR(VLOOKUP(B1037,'INSUMOS  JULIO'!$B$6:$CJ$109,33,0),"")</f>
        <v>0</v>
      </c>
      <c r="G1037" s="8">
        <f>IFERROR(VLOOKUP($B1037,'INSUMOS  JULIO'!$B$6:$CJ$109,34,0),"")</f>
        <v>10476.367999999999</v>
      </c>
      <c r="H1037" s="19">
        <f t="shared" si="64"/>
        <v>0</v>
      </c>
      <c r="I1037" s="1">
        <f t="shared" si="65"/>
        <v>0</v>
      </c>
      <c r="J1037" s="1">
        <f t="shared" si="66"/>
        <v>0</v>
      </c>
      <c r="K1037" s="19">
        <f t="shared" si="67"/>
        <v>0</v>
      </c>
    </row>
    <row r="1038" spans="1:11" ht="15">
      <c r="A1038" s="3">
        <v>1632</v>
      </c>
      <c r="B1038" s="151">
        <v>216</v>
      </c>
      <c r="C1038" s="7" t="s">
        <v>160</v>
      </c>
      <c r="D1038" s="4" t="s">
        <v>640</v>
      </c>
      <c r="E1038" t="s">
        <v>483</v>
      </c>
      <c r="F1038" s="12" t="str">
        <f>IFERROR(VLOOKUP(B1038,'INSUMOS  JULIO'!$B$6:$CJ$109,33,0),"")</f>
        <v>0</v>
      </c>
      <c r="G1038" s="8">
        <f>IFERROR(VLOOKUP($B1038,'INSUMOS  JULIO'!$B$6:$CJ$109,34,0),"")</f>
        <v>3954.9129999999996</v>
      </c>
      <c r="H1038" s="19">
        <f t="shared" si="64"/>
        <v>0</v>
      </c>
      <c r="I1038" s="1">
        <f t="shared" si="65"/>
        <v>0</v>
      </c>
      <c r="J1038" s="1">
        <f t="shared" si="66"/>
        <v>0</v>
      </c>
      <c r="K1038" s="19">
        <f t="shared" si="67"/>
        <v>0</v>
      </c>
    </row>
    <row r="1039" spans="1:11" ht="15">
      <c r="A1039" s="3">
        <v>1633</v>
      </c>
      <c r="B1039" s="151">
        <v>218</v>
      </c>
      <c r="C1039" s="7" t="s">
        <v>160</v>
      </c>
      <c r="D1039" s="4" t="s">
        <v>117</v>
      </c>
      <c r="E1039" t="s">
        <v>483</v>
      </c>
      <c r="F1039" s="12" t="str">
        <f>IFERROR(VLOOKUP(B1039,'INSUMOS  JULIO'!$B$6:$CJ$109,33,0),"")</f>
        <v>0</v>
      </c>
      <c r="G1039" s="8">
        <f>IFERROR(VLOOKUP($B1039,'INSUMOS  JULIO'!$B$6:$CJ$109,34,0),"")</f>
        <v>1437.768</v>
      </c>
      <c r="H1039" s="19">
        <f t="shared" si="64"/>
        <v>0</v>
      </c>
      <c r="I1039" s="1">
        <f t="shared" si="65"/>
        <v>0</v>
      </c>
      <c r="J1039" s="1">
        <f t="shared" si="66"/>
        <v>0</v>
      </c>
      <c r="K1039" s="19">
        <f t="shared" si="67"/>
        <v>0</v>
      </c>
    </row>
    <row r="1040" spans="1:11" ht="15">
      <c r="A1040" s="3">
        <v>1674</v>
      </c>
      <c r="B1040" s="151">
        <v>251</v>
      </c>
      <c r="C1040" s="7" t="s">
        <v>60</v>
      </c>
      <c r="D1040" s="4" t="s">
        <v>118</v>
      </c>
      <c r="E1040" t="s">
        <v>483</v>
      </c>
      <c r="F1040" s="12" t="str">
        <f>IFERROR(VLOOKUP(B1040,'INSUMOS  JULIO'!$B$6:$CJ$109,33,0),"")</f>
        <v>0</v>
      </c>
      <c r="G1040" s="8">
        <f>IFERROR(VLOOKUP($B1040,'INSUMOS  JULIO'!$B$6:$CJ$109,34,0),"")</f>
        <v>16031.954000000002</v>
      </c>
      <c r="H1040" s="19">
        <f t="shared" si="64"/>
        <v>0</v>
      </c>
      <c r="I1040" s="1">
        <f t="shared" si="65"/>
        <v>0</v>
      </c>
      <c r="J1040" s="1">
        <f t="shared" si="66"/>
        <v>0</v>
      </c>
      <c r="K1040" s="19">
        <f t="shared" si="67"/>
        <v>0</v>
      </c>
    </row>
    <row r="1041" spans="1:11" ht="15">
      <c r="A1041" s="3">
        <v>1675</v>
      </c>
      <c r="B1041" s="151">
        <v>255</v>
      </c>
      <c r="C1041" s="7" t="s">
        <v>60</v>
      </c>
      <c r="D1041" s="4" t="s">
        <v>641</v>
      </c>
      <c r="E1041" t="s">
        <v>483</v>
      </c>
      <c r="F1041" s="12" t="str">
        <f>IFERROR(VLOOKUP(B1041,'INSUMOS  JULIO'!$B$6:$CJ$109,33,0),"")</f>
        <v>0</v>
      </c>
      <c r="G1041" s="8">
        <f>IFERROR(VLOOKUP($B1041,'INSUMOS  JULIO'!$B$6:$CJ$109,34,0),"")</f>
        <v>29299.777999999998</v>
      </c>
      <c r="H1041" s="19">
        <f t="shared" si="64"/>
        <v>0</v>
      </c>
      <c r="I1041" s="1">
        <f t="shared" si="65"/>
        <v>0</v>
      </c>
      <c r="J1041" s="1">
        <f t="shared" si="66"/>
        <v>0</v>
      </c>
      <c r="K1041" s="19">
        <f t="shared" si="67"/>
        <v>0</v>
      </c>
    </row>
    <row r="1042" spans="1:11" ht="15">
      <c r="A1042" s="3">
        <v>1676</v>
      </c>
      <c r="B1042" s="151">
        <v>257</v>
      </c>
      <c r="C1042" s="7" t="s">
        <v>151</v>
      </c>
      <c r="D1042" s="4" t="s">
        <v>642</v>
      </c>
      <c r="E1042" t="s">
        <v>483</v>
      </c>
      <c r="F1042" s="12" t="str">
        <f>IFERROR(VLOOKUP(B1042,'INSUMOS  JULIO'!$B$6:$CJ$109,33,0),"")</f>
        <v>0</v>
      </c>
      <c r="G1042" s="8">
        <f>IFERROR(VLOOKUP($B1042,'INSUMOS  JULIO'!$B$6:$CJ$109,34,0),"")</f>
        <v>18796.084000000003</v>
      </c>
      <c r="H1042" s="19">
        <f t="shared" si="64"/>
        <v>0</v>
      </c>
      <c r="I1042" s="1">
        <f t="shared" si="65"/>
        <v>0</v>
      </c>
      <c r="J1042" s="1">
        <f t="shared" si="66"/>
        <v>0</v>
      </c>
      <c r="K1042" s="19">
        <f t="shared" si="67"/>
        <v>0</v>
      </c>
    </row>
    <row r="1043" spans="1:11" ht="15">
      <c r="A1043" s="3">
        <v>1677</v>
      </c>
      <c r="B1043" s="151">
        <v>260</v>
      </c>
      <c r="C1043" s="7" t="s">
        <v>160</v>
      </c>
      <c r="D1043" s="4" t="s">
        <v>643</v>
      </c>
      <c r="E1043" t="s">
        <v>483</v>
      </c>
      <c r="F1043" s="12" t="str">
        <f>IFERROR(VLOOKUP(B1043,'INSUMOS  JULIO'!$B$6:$CJ$109,33,0),"")</f>
        <v>0</v>
      </c>
      <c r="G1043" s="8">
        <f>IFERROR(VLOOKUP($B1043,'INSUMOS  JULIO'!$B$6:$CJ$109,34,0),"")</f>
        <v>3417.8520000000008</v>
      </c>
      <c r="H1043" s="19">
        <f t="shared" si="64"/>
        <v>0</v>
      </c>
      <c r="I1043" s="1">
        <f t="shared" si="65"/>
        <v>0</v>
      </c>
      <c r="J1043" s="1">
        <f t="shared" si="66"/>
        <v>0</v>
      </c>
      <c r="K1043" s="19">
        <f t="shared" si="67"/>
        <v>0</v>
      </c>
    </row>
    <row r="1044" spans="1:11" ht="15">
      <c r="A1044" s="3">
        <v>1678</v>
      </c>
      <c r="B1044" s="151">
        <v>291</v>
      </c>
      <c r="C1044" s="7" t="s">
        <v>60</v>
      </c>
      <c r="D1044" s="4" t="s">
        <v>644</v>
      </c>
      <c r="E1044" t="s">
        <v>483</v>
      </c>
      <c r="F1044" s="12" t="str">
        <f>IFERROR(VLOOKUP(B1044,'INSUMOS  JULIO'!$B$6:$CJ$109,33,0),"")</f>
        <v>0</v>
      </c>
      <c r="G1044" s="8">
        <f>IFERROR(VLOOKUP($B1044,'INSUMOS  JULIO'!$B$6:$CJ$109,34,0),"")</f>
        <v>20454.562000000005</v>
      </c>
      <c r="H1044" s="19">
        <f t="shared" si="64"/>
        <v>0</v>
      </c>
      <c r="I1044" s="1">
        <f t="shared" si="65"/>
        <v>0</v>
      </c>
      <c r="J1044" s="1">
        <f t="shared" si="66"/>
        <v>0</v>
      </c>
      <c r="K1044" s="19">
        <f t="shared" si="67"/>
        <v>0</v>
      </c>
    </row>
    <row r="1045" spans="1:11" ht="15">
      <c r="A1045" s="3">
        <v>1679</v>
      </c>
      <c r="B1045" s="151">
        <v>3</v>
      </c>
      <c r="C1045" s="7" t="s">
        <v>155</v>
      </c>
      <c r="D1045" s="4" t="s">
        <v>5</v>
      </c>
      <c r="E1045" t="s">
        <v>484</v>
      </c>
      <c r="F1045" s="12" t="str">
        <f>IFERROR(VLOOKUP($B1045,'INSUMOS  JULIO'!$B$6:$CJ$109,36,0),"")</f>
        <v>0</v>
      </c>
      <c r="G1045" s="8">
        <f>IFERROR(VLOOKUP($B1045,'INSUMOS  JULIO'!$B$6:$CJ$109,37,0),"")</f>
        <v>7268.7160000000003</v>
      </c>
      <c r="H1045" s="19">
        <f t="shared" si="64"/>
        <v>0</v>
      </c>
      <c r="I1045" s="1">
        <f t="shared" si="65"/>
        <v>0</v>
      </c>
      <c r="J1045" s="1">
        <f t="shared" si="66"/>
        <v>0</v>
      </c>
      <c r="K1045" s="19">
        <f t="shared" si="67"/>
        <v>0</v>
      </c>
    </row>
    <row r="1046" spans="1:11" ht="15">
      <c r="A1046" s="3">
        <v>1680</v>
      </c>
      <c r="B1046" s="151">
        <v>5</v>
      </c>
      <c r="C1046" s="7" t="s">
        <v>6</v>
      </c>
      <c r="D1046" s="4" t="s">
        <v>7</v>
      </c>
      <c r="E1046" t="s">
        <v>484</v>
      </c>
      <c r="F1046" s="12" t="str">
        <f>IFERROR(VLOOKUP(B1046,'INSUMOS  JULIO'!$B$6:$CJ$109,36,0),"")</f>
        <v>0</v>
      </c>
      <c r="G1046" s="8">
        <f>IFERROR(VLOOKUP($B1046,'INSUMOS  JULIO'!$B$6:$CJ$109,37,0),"")</f>
        <v>6494.1289999999999</v>
      </c>
      <c r="H1046" s="19">
        <f t="shared" si="64"/>
        <v>0</v>
      </c>
      <c r="I1046" s="1">
        <f t="shared" si="65"/>
        <v>0</v>
      </c>
      <c r="J1046" s="1">
        <f t="shared" si="66"/>
        <v>0</v>
      </c>
      <c r="K1046" s="19">
        <f t="shared" si="67"/>
        <v>0</v>
      </c>
    </row>
    <row r="1047" spans="1:11" ht="15">
      <c r="A1047" s="3">
        <v>1681</v>
      </c>
      <c r="B1047" s="151">
        <v>8</v>
      </c>
      <c r="C1047" s="7" t="s">
        <v>6</v>
      </c>
      <c r="D1047" s="4" t="s">
        <v>8</v>
      </c>
      <c r="E1047" t="s">
        <v>484</v>
      </c>
      <c r="F1047" s="12">
        <f>IFERROR(VLOOKUP(B1047,'INSUMOS  JULIO'!$B$6:$CJ$109,36,0),"")</f>
        <v>0</v>
      </c>
      <c r="G1047" s="8">
        <f>IFERROR(VLOOKUP($B1047,'INSUMOS  JULIO'!$B$6:$CJ$109,37,0),"")</f>
        <v>2211.3040000000001</v>
      </c>
      <c r="H1047" s="19">
        <f t="shared" si="64"/>
        <v>0</v>
      </c>
      <c r="I1047" s="1">
        <f t="shared" si="65"/>
        <v>0</v>
      </c>
      <c r="J1047" s="1">
        <f t="shared" si="66"/>
        <v>0</v>
      </c>
      <c r="K1047" s="19">
        <f t="shared" si="67"/>
        <v>0</v>
      </c>
    </row>
    <row r="1048" spans="1:11" ht="15">
      <c r="A1048" s="3">
        <v>1682</v>
      </c>
      <c r="B1048" s="151">
        <v>9</v>
      </c>
      <c r="C1048" s="7" t="s">
        <v>9</v>
      </c>
      <c r="D1048" s="4" t="s">
        <v>10</v>
      </c>
      <c r="E1048" t="s">
        <v>484</v>
      </c>
      <c r="F1048" s="12">
        <f>IFERROR(VLOOKUP(B1048,'INSUMOS  JULIO'!$B$6:$CJ$109,36,0),"")</f>
        <v>0</v>
      </c>
      <c r="G1048" s="8">
        <f>IFERROR(VLOOKUP($B1048,'INSUMOS  JULIO'!$B$6:$CJ$109,37,0),"")</f>
        <v>3298.0379999999996</v>
      </c>
      <c r="H1048" s="19">
        <f t="shared" si="64"/>
        <v>0</v>
      </c>
      <c r="I1048" s="1">
        <f t="shared" si="65"/>
        <v>0</v>
      </c>
      <c r="J1048" s="1">
        <f t="shared" si="66"/>
        <v>0</v>
      </c>
      <c r="K1048" s="19">
        <f t="shared" si="67"/>
        <v>0</v>
      </c>
    </row>
    <row r="1049" spans="1:11" ht="15">
      <c r="A1049" s="3">
        <v>1683</v>
      </c>
      <c r="B1049" s="151">
        <v>11</v>
      </c>
      <c r="C1049" s="7" t="s">
        <v>156</v>
      </c>
      <c r="D1049" s="4" t="s">
        <v>11</v>
      </c>
      <c r="E1049" t="s">
        <v>484</v>
      </c>
      <c r="F1049" s="12" t="str">
        <f>IFERROR(VLOOKUP(B1049,'INSUMOS  JULIO'!$B$6:$CJ$109,36,0),"")</f>
        <v>0</v>
      </c>
      <c r="G1049" s="8">
        <f>IFERROR(VLOOKUP($B1049,'INSUMOS  JULIO'!$B$6:$CJ$109,37,0),"")</f>
        <v>7739.5639999999985</v>
      </c>
      <c r="H1049" s="19">
        <f t="shared" si="64"/>
        <v>0</v>
      </c>
      <c r="I1049" s="1">
        <f t="shared" si="65"/>
        <v>0</v>
      </c>
      <c r="J1049" s="1">
        <f t="shared" si="66"/>
        <v>0</v>
      </c>
      <c r="K1049" s="19">
        <f t="shared" si="67"/>
        <v>0</v>
      </c>
    </row>
    <row r="1050" spans="1:11" ht="15">
      <c r="A1050" s="3">
        <v>1684</v>
      </c>
      <c r="B1050" s="151">
        <v>13</v>
      </c>
      <c r="C1050" s="7" t="s">
        <v>157</v>
      </c>
      <c r="D1050" s="4" t="s">
        <v>12</v>
      </c>
      <c r="E1050" t="s">
        <v>484</v>
      </c>
      <c r="F1050" s="12">
        <f>IFERROR(VLOOKUP(B1050,'INSUMOS  JULIO'!$B$6:$CJ$109,36,0),"")</f>
        <v>0</v>
      </c>
      <c r="G1050" s="8">
        <f>IFERROR(VLOOKUP($B1050,'INSUMOS  JULIO'!$B$6:$CJ$109,37,0),"")</f>
        <v>6507.7919999999995</v>
      </c>
      <c r="H1050" s="19">
        <f t="shared" si="64"/>
        <v>0</v>
      </c>
      <c r="I1050" s="1">
        <f t="shared" si="65"/>
        <v>0</v>
      </c>
      <c r="J1050" s="1">
        <f t="shared" si="66"/>
        <v>0</v>
      </c>
      <c r="K1050" s="19">
        <f t="shared" si="67"/>
        <v>0</v>
      </c>
    </row>
    <row r="1051" spans="1:11" ht="15">
      <c r="A1051" s="3">
        <v>1685</v>
      </c>
      <c r="B1051" s="151">
        <v>17</v>
      </c>
      <c r="C1051" s="7" t="s">
        <v>13</v>
      </c>
      <c r="D1051" s="4" t="s">
        <v>14</v>
      </c>
      <c r="E1051" t="s">
        <v>484</v>
      </c>
      <c r="F1051" s="12">
        <f>IFERROR(VLOOKUP(B1051,'INSUMOS  JULIO'!$B$6:$CJ$109,36,0),"")</f>
        <v>0</v>
      </c>
      <c r="G1051" s="8">
        <f>IFERROR(VLOOKUP($B1051,'INSUMOS  JULIO'!$B$6:$CJ$109,37,0),"")</f>
        <v>5647.0229999999992</v>
      </c>
      <c r="H1051" s="19">
        <f t="shared" si="64"/>
        <v>0</v>
      </c>
      <c r="I1051" s="1">
        <f t="shared" si="65"/>
        <v>0</v>
      </c>
      <c r="J1051" s="1">
        <f t="shared" si="66"/>
        <v>0</v>
      </c>
      <c r="K1051" s="19">
        <f t="shared" si="67"/>
        <v>0</v>
      </c>
    </row>
    <row r="1052" spans="1:11" ht="15">
      <c r="A1052" s="3">
        <v>1686</v>
      </c>
      <c r="B1052" s="151">
        <v>20</v>
      </c>
      <c r="C1052" s="7" t="s">
        <v>13</v>
      </c>
      <c r="D1052" s="4" t="s">
        <v>15</v>
      </c>
      <c r="E1052" t="s">
        <v>484</v>
      </c>
      <c r="F1052" s="12">
        <f>IFERROR(VLOOKUP(B1052,'INSUMOS  JULIO'!$B$6:$CJ$109,36,0),"")</f>
        <v>0</v>
      </c>
      <c r="G1052" s="8">
        <f>IFERROR(VLOOKUP($B1052,'INSUMOS  JULIO'!$B$6:$CJ$109,37,0),"")</f>
        <v>9851.5485000000008</v>
      </c>
      <c r="H1052" s="19">
        <f t="shared" si="64"/>
        <v>0</v>
      </c>
      <c r="I1052" s="1">
        <f t="shared" si="65"/>
        <v>0</v>
      </c>
      <c r="J1052" s="1">
        <f t="shared" si="66"/>
        <v>0</v>
      </c>
      <c r="K1052" s="19">
        <f t="shared" si="67"/>
        <v>0</v>
      </c>
    </row>
    <row r="1053" spans="1:11" ht="15">
      <c r="A1053" s="3">
        <v>1687</v>
      </c>
      <c r="B1053" s="151">
        <v>21</v>
      </c>
      <c r="C1053" s="7" t="s">
        <v>16</v>
      </c>
      <c r="D1053" s="4" t="s">
        <v>17</v>
      </c>
      <c r="E1053" t="s">
        <v>484</v>
      </c>
      <c r="F1053" s="12">
        <f>IFERROR(VLOOKUP(B1053,'INSUMOS  JULIO'!$B$6:$CJ$109,36,0),"")</f>
        <v>0</v>
      </c>
      <c r="G1053" s="8">
        <f>IFERROR(VLOOKUP($B1053,'INSUMOS  JULIO'!$B$6:$CJ$109,37,0),"")</f>
        <v>5932.8950000000013</v>
      </c>
      <c r="H1053" s="19">
        <f t="shared" si="64"/>
        <v>0</v>
      </c>
      <c r="I1053" s="1">
        <f t="shared" si="65"/>
        <v>0</v>
      </c>
      <c r="J1053" s="1">
        <f t="shared" si="66"/>
        <v>0</v>
      </c>
      <c r="K1053" s="19">
        <f t="shared" si="67"/>
        <v>0</v>
      </c>
    </row>
    <row r="1054" spans="1:11" ht="15">
      <c r="A1054" s="3">
        <v>1688</v>
      </c>
      <c r="B1054" s="151">
        <v>28</v>
      </c>
      <c r="C1054" s="7" t="s">
        <v>18</v>
      </c>
      <c r="D1054" s="4" t="s">
        <v>19</v>
      </c>
      <c r="E1054" t="s">
        <v>484</v>
      </c>
      <c r="F1054" s="12">
        <f>IFERROR(VLOOKUP(B1054,'INSUMOS  JULIO'!$B$6:$CJ$109,36,0),"")</f>
        <v>0</v>
      </c>
      <c r="G1054" s="8">
        <f>IFERROR(VLOOKUP($B1054,'INSUMOS  JULIO'!$B$6:$CJ$109,37,0),"")</f>
        <v>2764.13</v>
      </c>
      <c r="H1054" s="19">
        <f t="shared" si="64"/>
        <v>0</v>
      </c>
      <c r="I1054" s="1">
        <f t="shared" si="65"/>
        <v>0</v>
      </c>
      <c r="J1054" s="1">
        <f t="shared" si="66"/>
        <v>0</v>
      </c>
      <c r="K1054" s="19">
        <f t="shared" si="67"/>
        <v>0</v>
      </c>
    </row>
    <row r="1055" spans="1:11" ht="15">
      <c r="A1055" s="3">
        <v>1689</v>
      </c>
      <c r="B1055" s="151">
        <v>29</v>
      </c>
      <c r="C1055" s="7" t="s">
        <v>20</v>
      </c>
      <c r="D1055" s="4" t="s">
        <v>21</v>
      </c>
      <c r="E1055" t="s">
        <v>484</v>
      </c>
      <c r="F1055" s="12" t="str">
        <f>IFERROR(VLOOKUP(B1055,'INSUMOS  JULIO'!$B$6:$CJ$109,36,0),"")</f>
        <v>0</v>
      </c>
      <c r="G1055" s="8">
        <f>IFERROR(VLOOKUP($B1055,'INSUMOS  JULIO'!$B$6:$CJ$109,37,0),"")</f>
        <v>4829.3450000000012</v>
      </c>
      <c r="H1055" s="19">
        <f t="shared" si="64"/>
        <v>0</v>
      </c>
      <c r="I1055" s="1">
        <f t="shared" si="65"/>
        <v>0</v>
      </c>
      <c r="J1055" s="1">
        <f t="shared" si="66"/>
        <v>0</v>
      </c>
      <c r="K1055" s="19">
        <f t="shared" si="67"/>
        <v>0</v>
      </c>
    </row>
    <row r="1056" spans="1:11" ht="15">
      <c r="A1056" s="3">
        <v>1690</v>
      </c>
      <c r="B1056" s="151">
        <v>32</v>
      </c>
      <c r="C1056" s="7" t="s">
        <v>22</v>
      </c>
      <c r="D1056" s="4" t="s">
        <v>23</v>
      </c>
      <c r="E1056" t="s">
        <v>484</v>
      </c>
      <c r="F1056" s="12">
        <f>IFERROR(VLOOKUP(B1056,'INSUMOS  JULIO'!$B$6:$CJ$109,36,0),"")</f>
        <v>0</v>
      </c>
      <c r="G1056" s="8">
        <f>IFERROR(VLOOKUP($B1056,'INSUMOS  JULIO'!$B$6:$CJ$109,37,0),"")</f>
        <v>4115.7160000000003</v>
      </c>
      <c r="H1056" s="19">
        <f t="shared" si="64"/>
        <v>0</v>
      </c>
      <c r="I1056" s="1">
        <f t="shared" si="65"/>
        <v>0</v>
      </c>
      <c r="J1056" s="1">
        <f t="shared" si="66"/>
        <v>0</v>
      </c>
      <c r="K1056" s="19">
        <f t="shared" si="67"/>
        <v>0</v>
      </c>
    </row>
    <row r="1057" spans="1:11" ht="15">
      <c r="A1057" s="3">
        <v>1691</v>
      </c>
      <c r="B1057" s="151">
        <v>38</v>
      </c>
      <c r="C1057" s="7" t="s">
        <v>18</v>
      </c>
      <c r="D1057" s="4" t="s">
        <v>24</v>
      </c>
      <c r="E1057" t="s">
        <v>484</v>
      </c>
      <c r="F1057" s="12" t="str">
        <f>IFERROR(VLOOKUP(B1057,'INSUMOS  JULIO'!$B$6:$CJ$109,36,0),"")</f>
        <v>0</v>
      </c>
      <c r="G1057" s="8">
        <f>IFERROR(VLOOKUP($B1057,'INSUMOS  JULIO'!$B$6:$CJ$109,37,0),"")</f>
        <v>11100.662</v>
      </c>
      <c r="H1057" s="19">
        <f t="shared" si="64"/>
        <v>0</v>
      </c>
      <c r="I1057" s="1">
        <f t="shared" si="65"/>
        <v>0</v>
      </c>
      <c r="J1057" s="1">
        <f t="shared" si="66"/>
        <v>0</v>
      </c>
      <c r="K1057" s="19">
        <f t="shared" si="67"/>
        <v>0</v>
      </c>
    </row>
    <row r="1058" spans="1:11" ht="15">
      <c r="A1058" s="3">
        <v>1692</v>
      </c>
      <c r="B1058" s="151">
        <v>41</v>
      </c>
      <c r="C1058" s="7" t="s">
        <v>155</v>
      </c>
      <c r="D1058" s="4" t="s">
        <v>25</v>
      </c>
      <c r="E1058" t="s">
        <v>484</v>
      </c>
      <c r="F1058" s="12" t="str">
        <f>IFERROR(VLOOKUP(B1058,'INSUMOS  JULIO'!$B$6:$CJ$109,36,0),"")</f>
        <v>0</v>
      </c>
      <c r="G1058" s="8">
        <f>IFERROR(VLOOKUP($B1058,'INSUMOS  JULIO'!$B$6:$CJ$109,37,0),"")</f>
        <v>7034.3429999999989</v>
      </c>
      <c r="H1058" s="19">
        <f t="shared" si="64"/>
        <v>0</v>
      </c>
      <c r="I1058" s="1">
        <f t="shared" si="65"/>
        <v>0</v>
      </c>
      <c r="J1058" s="1">
        <f t="shared" si="66"/>
        <v>0</v>
      </c>
      <c r="K1058" s="19">
        <f t="shared" si="67"/>
        <v>0</v>
      </c>
    </row>
    <row r="1059" spans="1:11" ht="15">
      <c r="A1059" s="3">
        <v>1693</v>
      </c>
      <c r="B1059" s="151">
        <v>44</v>
      </c>
      <c r="C1059" s="7" t="s">
        <v>16</v>
      </c>
      <c r="D1059" s="4" t="s">
        <v>26</v>
      </c>
      <c r="E1059" t="s">
        <v>484</v>
      </c>
      <c r="F1059" s="12">
        <f>IFERROR(VLOOKUP(B1059,'INSUMOS  JULIO'!$B$6:$CJ$109,36,0),"")</f>
        <v>0</v>
      </c>
      <c r="G1059" s="8">
        <f>IFERROR(VLOOKUP($B1059,'INSUMOS  JULIO'!$B$6:$CJ$109,37,0),"")</f>
        <v>2787.2520000000004</v>
      </c>
      <c r="H1059" s="19">
        <f t="shared" si="64"/>
        <v>0</v>
      </c>
      <c r="I1059" s="1">
        <f t="shared" si="65"/>
        <v>0</v>
      </c>
      <c r="J1059" s="1">
        <f t="shared" si="66"/>
        <v>0</v>
      </c>
      <c r="K1059" s="19">
        <f t="shared" si="67"/>
        <v>0</v>
      </c>
    </row>
    <row r="1060" spans="1:11" ht="15">
      <c r="A1060" s="3">
        <v>1694</v>
      </c>
      <c r="B1060" s="151">
        <v>46</v>
      </c>
      <c r="C1060" s="7" t="s">
        <v>27</v>
      </c>
      <c r="D1060" s="4" t="s">
        <v>28</v>
      </c>
      <c r="E1060" t="s">
        <v>484</v>
      </c>
      <c r="F1060" s="12" t="str">
        <f>IFERROR(VLOOKUP(B1060,'INSUMOS  JULIO'!$B$6:$CJ$109,36,0),"")</f>
        <v>0</v>
      </c>
      <c r="G1060" s="8">
        <f>IFERROR(VLOOKUP($B1060,'INSUMOS  JULIO'!$B$6:$CJ$109,37,0),"")</f>
        <v>7739.5640000000021</v>
      </c>
      <c r="H1060" s="19">
        <f t="shared" si="64"/>
        <v>0</v>
      </c>
      <c r="I1060" s="1">
        <f t="shared" si="65"/>
        <v>0</v>
      </c>
      <c r="J1060" s="1">
        <f t="shared" si="66"/>
        <v>0</v>
      </c>
      <c r="K1060" s="19">
        <f t="shared" si="67"/>
        <v>0</v>
      </c>
    </row>
    <row r="1061" spans="1:11" ht="15">
      <c r="A1061" s="3">
        <v>1695</v>
      </c>
      <c r="B1061" s="151">
        <v>50</v>
      </c>
      <c r="C1061" s="7" t="s">
        <v>13</v>
      </c>
      <c r="D1061" s="4" t="s">
        <v>29</v>
      </c>
      <c r="E1061" t="s">
        <v>484</v>
      </c>
      <c r="F1061" s="12">
        <f>IFERROR(VLOOKUP(B1061,'INSUMOS  JULIO'!$B$6:$CJ$109,36,0),"")</f>
        <v>0</v>
      </c>
      <c r="G1061" s="8">
        <f>IFERROR(VLOOKUP($B1061,'INSUMOS  JULIO'!$B$6:$CJ$109,37,0),"")</f>
        <v>48162.390299999999</v>
      </c>
      <c r="H1061" s="19">
        <f t="shared" si="64"/>
        <v>0</v>
      </c>
      <c r="I1061" s="1">
        <f t="shared" si="65"/>
        <v>0</v>
      </c>
      <c r="J1061" s="1">
        <f t="shared" si="66"/>
        <v>0</v>
      </c>
      <c r="K1061" s="19">
        <f t="shared" si="67"/>
        <v>0</v>
      </c>
    </row>
    <row r="1062" spans="1:11" ht="15">
      <c r="A1062" s="3">
        <v>1696</v>
      </c>
      <c r="B1062" s="151">
        <v>51</v>
      </c>
      <c r="C1062" s="7" t="s">
        <v>13</v>
      </c>
      <c r="D1062" s="4" t="s">
        <v>30</v>
      </c>
      <c r="E1062" t="s">
        <v>484</v>
      </c>
      <c r="F1062" s="12" t="str">
        <f>IFERROR(VLOOKUP(B1062,'INSUMOS  JULIO'!$B$6:$CJ$109,36,0),"")</f>
        <v>0</v>
      </c>
      <c r="G1062" s="8">
        <f>IFERROR(VLOOKUP($B1062,'INSUMOS  JULIO'!$B$6:$CJ$109,37,0),"")</f>
        <v>7739.5640000000021</v>
      </c>
      <c r="H1062" s="19">
        <f t="shared" si="64"/>
        <v>0</v>
      </c>
      <c r="I1062" s="1">
        <f t="shared" si="65"/>
        <v>0</v>
      </c>
      <c r="J1062" s="1">
        <f t="shared" si="66"/>
        <v>0</v>
      </c>
      <c r="K1062" s="19">
        <f t="shared" si="67"/>
        <v>0</v>
      </c>
    </row>
    <row r="1063" spans="1:11" ht="15">
      <c r="A1063" s="3">
        <v>1697</v>
      </c>
      <c r="B1063" s="151">
        <v>52</v>
      </c>
      <c r="C1063" s="7" t="s">
        <v>13</v>
      </c>
      <c r="D1063" s="4" t="s">
        <v>31</v>
      </c>
      <c r="E1063" t="s">
        <v>484</v>
      </c>
      <c r="F1063" s="12">
        <f>IFERROR(VLOOKUP(B1063,'INSUMOS  JULIO'!$B$6:$CJ$109,36,0),"")</f>
        <v>0</v>
      </c>
      <c r="G1063" s="8">
        <f>IFERROR(VLOOKUP($B1063,'INSUMOS  JULIO'!$B$6:$CJ$109,37,0),"")</f>
        <v>6412.1509999999998</v>
      </c>
      <c r="H1063" s="19">
        <f t="shared" si="64"/>
        <v>0</v>
      </c>
      <c r="I1063" s="1">
        <f t="shared" si="65"/>
        <v>0</v>
      </c>
      <c r="J1063" s="1">
        <f t="shared" si="66"/>
        <v>0</v>
      </c>
      <c r="K1063" s="19">
        <f t="shared" si="67"/>
        <v>0</v>
      </c>
    </row>
    <row r="1064" spans="1:11" ht="15">
      <c r="A1064" s="3">
        <v>1698</v>
      </c>
      <c r="B1064" s="151">
        <v>54</v>
      </c>
      <c r="C1064" s="7" t="s">
        <v>13</v>
      </c>
      <c r="D1064" s="4" t="s">
        <v>32</v>
      </c>
      <c r="E1064" t="s">
        <v>484</v>
      </c>
      <c r="F1064" s="12">
        <f>IFERROR(VLOOKUP(B1064,'INSUMOS  JULIO'!$B$6:$CJ$109,36,0),"")</f>
        <v>0</v>
      </c>
      <c r="G1064" s="8">
        <f>IFERROR(VLOOKUP($B1064,'INSUMOS  JULIO'!$B$6:$CJ$109,37,0),"")</f>
        <v>5359.049</v>
      </c>
      <c r="H1064" s="19">
        <f t="shared" si="64"/>
        <v>0</v>
      </c>
      <c r="I1064" s="1">
        <f t="shared" si="65"/>
        <v>0</v>
      </c>
      <c r="J1064" s="1">
        <f t="shared" si="66"/>
        <v>0</v>
      </c>
      <c r="K1064" s="19">
        <f t="shared" si="67"/>
        <v>0</v>
      </c>
    </row>
    <row r="1065" spans="1:11" ht="15">
      <c r="A1065" s="3">
        <v>1699</v>
      </c>
      <c r="B1065" s="151">
        <v>57</v>
      </c>
      <c r="C1065" s="7" t="s">
        <v>33</v>
      </c>
      <c r="D1065" s="4" t="s">
        <v>34</v>
      </c>
      <c r="E1065" t="s">
        <v>484</v>
      </c>
      <c r="F1065" s="12">
        <f>IFERROR(VLOOKUP(B1065,'INSUMOS  JULIO'!$B$6:$CJ$109,36,0),"")</f>
        <v>0</v>
      </c>
      <c r="G1065" s="8">
        <f>IFERROR(VLOOKUP($B1065,'INSUMOS  JULIO'!$B$6:$CJ$109,37,0),"")</f>
        <v>12823.251000000004</v>
      </c>
      <c r="H1065" s="19">
        <f t="shared" si="64"/>
        <v>0</v>
      </c>
      <c r="I1065" s="1">
        <f t="shared" si="65"/>
        <v>0</v>
      </c>
      <c r="J1065" s="1">
        <f t="shared" si="66"/>
        <v>0</v>
      </c>
      <c r="K1065" s="19">
        <f t="shared" si="67"/>
        <v>0</v>
      </c>
    </row>
    <row r="1066" spans="1:11" ht="15">
      <c r="A1066" s="3">
        <v>1700</v>
      </c>
      <c r="B1066" s="151">
        <v>59</v>
      </c>
      <c r="C1066" s="7" t="s">
        <v>16</v>
      </c>
      <c r="D1066" s="4" t="s">
        <v>35</v>
      </c>
      <c r="E1066" t="s">
        <v>484</v>
      </c>
      <c r="F1066" s="12" t="str">
        <f>IFERROR(VLOOKUP(B1066,'INSUMOS  JULIO'!$B$6:$CJ$109,36,0),"")</f>
        <v>0</v>
      </c>
      <c r="G1066" s="8">
        <f>IFERROR(VLOOKUP($B1066,'INSUMOS  JULIO'!$B$6:$CJ$109,37,0),"")</f>
        <v>5528.260000000002</v>
      </c>
      <c r="H1066" s="19">
        <f t="shared" si="64"/>
        <v>0</v>
      </c>
      <c r="I1066" s="1">
        <f t="shared" si="65"/>
        <v>0</v>
      </c>
      <c r="J1066" s="1">
        <f t="shared" si="66"/>
        <v>0</v>
      </c>
      <c r="K1066" s="19">
        <f t="shared" si="67"/>
        <v>0</v>
      </c>
    </row>
    <row r="1067" spans="1:11" ht="15">
      <c r="A1067" s="3">
        <v>1701</v>
      </c>
      <c r="B1067" s="151">
        <v>62</v>
      </c>
      <c r="C1067" s="7" t="s">
        <v>36</v>
      </c>
      <c r="D1067" s="4" t="s">
        <v>37</v>
      </c>
      <c r="E1067" t="s">
        <v>484</v>
      </c>
      <c r="F1067" s="12">
        <f>IFERROR(VLOOKUP(B1067,'INSUMOS  JULIO'!$B$6:$CJ$109,36,0),"")</f>
        <v>0</v>
      </c>
      <c r="G1067" s="8">
        <f>IFERROR(VLOOKUP($B1067,'INSUMOS  JULIO'!$B$6:$CJ$109,37,0),"")</f>
        <v>10100.3202</v>
      </c>
      <c r="H1067" s="19">
        <f t="shared" si="64"/>
        <v>0</v>
      </c>
      <c r="I1067" s="1">
        <f t="shared" si="65"/>
        <v>0</v>
      </c>
      <c r="J1067" s="1">
        <f t="shared" si="66"/>
        <v>0</v>
      </c>
      <c r="K1067" s="19">
        <f t="shared" si="67"/>
        <v>0</v>
      </c>
    </row>
    <row r="1068" spans="1:11" ht="15">
      <c r="A1068" s="3">
        <v>1702</v>
      </c>
      <c r="B1068" s="151">
        <v>63</v>
      </c>
      <c r="C1068" s="7" t="s">
        <v>36</v>
      </c>
      <c r="D1068" s="4" t="s">
        <v>38</v>
      </c>
      <c r="E1068" t="s">
        <v>484</v>
      </c>
      <c r="F1068" s="12">
        <f>IFERROR(VLOOKUP(B1068,'INSUMOS  JULIO'!$B$6:$CJ$109,36,0),"")</f>
        <v>0</v>
      </c>
      <c r="G1068" s="8">
        <f>IFERROR(VLOOKUP($B1068,'INSUMOS  JULIO'!$B$6:$CJ$109,37,0),"")</f>
        <v>11443.4982</v>
      </c>
      <c r="H1068" s="19">
        <f t="shared" si="64"/>
        <v>0</v>
      </c>
      <c r="I1068" s="1">
        <f t="shared" si="65"/>
        <v>0</v>
      </c>
      <c r="J1068" s="1">
        <f t="shared" si="66"/>
        <v>0</v>
      </c>
      <c r="K1068" s="19">
        <f t="shared" si="67"/>
        <v>0</v>
      </c>
    </row>
    <row r="1069" spans="1:11" ht="15">
      <c r="A1069" s="3">
        <v>1703</v>
      </c>
      <c r="B1069" s="151">
        <v>64</v>
      </c>
      <c r="C1069" s="7" t="s">
        <v>39</v>
      </c>
      <c r="D1069" s="4" t="s">
        <v>40</v>
      </c>
      <c r="E1069" t="s">
        <v>484</v>
      </c>
      <c r="F1069" s="12">
        <f>IFERROR(VLOOKUP(B1069,'INSUMOS  JULIO'!$B$6:$CJ$109,36,0),"")</f>
        <v>0</v>
      </c>
      <c r="G1069" s="8">
        <f>IFERROR(VLOOKUP($B1069,'INSUMOS  JULIO'!$B$6:$CJ$109,37,0),"")</f>
        <v>13820.650000000001</v>
      </c>
      <c r="H1069" s="19">
        <f t="shared" si="64"/>
        <v>0</v>
      </c>
      <c r="I1069" s="1">
        <f t="shared" si="65"/>
        <v>0</v>
      </c>
      <c r="J1069" s="1">
        <f t="shared" si="66"/>
        <v>0</v>
      </c>
      <c r="K1069" s="19">
        <f t="shared" si="67"/>
        <v>0</v>
      </c>
    </row>
    <row r="1070" spans="1:11" ht="15">
      <c r="A1070" s="3">
        <v>1704</v>
      </c>
      <c r="B1070" s="151">
        <v>65</v>
      </c>
      <c r="C1070" s="7" t="s">
        <v>39</v>
      </c>
      <c r="D1070" s="4" t="s">
        <v>41</v>
      </c>
      <c r="E1070" t="s">
        <v>484</v>
      </c>
      <c r="F1070" s="12">
        <f>IFERROR(VLOOKUP(B1070,'INSUMOS  JULIO'!$B$6:$CJ$109,36,0),"")</f>
        <v>0</v>
      </c>
      <c r="G1070" s="8">
        <f>IFERROR(VLOOKUP($B1070,'INSUMOS  JULIO'!$B$6:$CJ$109,37,0),"")</f>
        <v>13820.650000000001</v>
      </c>
      <c r="H1070" s="19">
        <f t="shared" si="64"/>
        <v>0</v>
      </c>
      <c r="I1070" s="1">
        <f t="shared" si="65"/>
        <v>0</v>
      </c>
      <c r="J1070" s="1">
        <f t="shared" si="66"/>
        <v>0</v>
      </c>
      <c r="K1070" s="19">
        <f t="shared" si="67"/>
        <v>0</v>
      </c>
    </row>
    <row r="1071" spans="1:11" ht="15">
      <c r="A1071" s="3">
        <v>1705</v>
      </c>
      <c r="B1071" s="151">
        <v>66</v>
      </c>
      <c r="C1071" s="7" t="s">
        <v>151</v>
      </c>
      <c r="D1071" s="4" t="s">
        <v>42</v>
      </c>
      <c r="E1071" t="s">
        <v>484</v>
      </c>
      <c r="F1071" s="12">
        <f>IFERROR(VLOOKUP(B1071,'INSUMOS  JULIO'!$B$6:$CJ$109,36,0),"")</f>
        <v>0</v>
      </c>
      <c r="G1071" s="8">
        <f>IFERROR(VLOOKUP($B1071,'INSUMOS  JULIO'!$B$6:$CJ$109,37,0),"")</f>
        <v>4178.9862000000003</v>
      </c>
      <c r="H1071" s="19">
        <f t="shared" si="64"/>
        <v>0</v>
      </c>
      <c r="I1071" s="1">
        <f t="shared" si="65"/>
        <v>0</v>
      </c>
      <c r="J1071" s="1">
        <f t="shared" si="66"/>
        <v>0</v>
      </c>
      <c r="K1071" s="19">
        <f t="shared" si="67"/>
        <v>0</v>
      </c>
    </row>
    <row r="1072" spans="1:11" ht="15">
      <c r="A1072" s="3">
        <v>1706</v>
      </c>
      <c r="B1072" s="151">
        <v>71</v>
      </c>
      <c r="C1072" s="7" t="s">
        <v>151</v>
      </c>
      <c r="D1072" s="4" t="s">
        <v>43</v>
      </c>
      <c r="E1072" t="s">
        <v>484</v>
      </c>
      <c r="F1072" s="12" t="str">
        <f>IFERROR(VLOOKUP(B1072,'INSUMOS  JULIO'!$B$6:$CJ$109,36,0),"")</f>
        <v>0</v>
      </c>
      <c r="G1072" s="8">
        <f>IFERROR(VLOOKUP($B1072,'INSUMOS  JULIO'!$B$6:$CJ$109,37,0),"")</f>
        <v>5196.1440000000002</v>
      </c>
      <c r="H1072" s="19">
        <f t="shared" si="64"/>
        <v>0</v>
      </c>
      <c r="I1072" s="1">
        <f t="shared" si="65"/>
        <v>0</v>
      </c>
      <c r="J1072" s="1">
        <f t="shared" si="66"/>
        <v>0</v>
      </c>
      <c r="K1072" s="19">
        <f t="shared" si="67"/>
        <v>0</v>
      </c>
    </row>
    <row r="1073" spans="1:11" ht="15">
      <c r="A1073" s="3">
        <v>1707</v>
      </c>
      <c r="B1073" s="151">
        <v>72</v>
      </c>
      <c r="C1073" s="7" t="s">
        <v>151</v>
      </c>
      <c r="D1073" s="4" t="s">
        <v>44</v>
      </c>
      <c r="E1073" t="s">
        <v>484</v>
      </c>
      <c r="F1073" s="12">
        <f>IFERROR(VLOOKUP(B1073,'INSUMOS  JULIO'!$B$6:$CJ$109,36,0),"")</f>
        <v>0</v>
      </c>
      <c r="G1073" s="8">
        <f>IFERROR(VLOOKUP($B1073,'INSUMOS  JULIO'!$B$6:$CJ$109,37,0),"")</f>
        <v>7861.3749000000007</v>
      </c>
      <c r="H1073" s="19">
        <f t="shared" si="64"/>
        <v>0</v>
      </c>
      <c r="I1073" s="1">
        <f t="shared" si="65"/>
        <v>0</v>
      </c>
      <c r="J1073" s="1">
        <f t="shared" si="66"/>
        <v>0</v>
      </c>
      <c r="K1073" s="19">
        <f t="shared" si="67"/>
        <v>0</v>
      </c>
    </row>
    <row r="1074" spans="1:11" ht="27">
      <c r="A1074" s="3">
        <v>1708</v>
      </c>
      <c r="B1074" s="151">
        <v>73</v>
      </c>
      <c r="C1074" s="7" t="s">
        <v>151</v>
      </c>
      <c r="D1074" s="4" t="s">
        <v>45</v>
      </c>
      <c r="E1074" t="s">
        <v>484</v>
      </c>
      <c r="F1074" s="12">
        <f>IFERROR(VLOOKUP(B1074,'INSUMOS  JULIO'!$B$6:$CJ$109,36,0),"")</f>
        <v>0</v>
      </c>
      <c r="G1074" s="8">
        <f>IFERROR(VLOOKUP($B1074,'INSUMOS  JULIO'!$B$6:$CJ$109,37,0),"")</f>
        <v>4975.4340000000011</v>
      </c>
      <c r="H1074" s="19">
        <f t="shared" si="64"/>
        <v>0</v>
      </c>
      <c r="I1074" s="1">
        <f t="shared" si="65"/>
        <v>0</v>
      </c>
      <c r="J1074" s="1">
        <f t="shared" si="66"/>
        <v>0</v>
      </c>
      <c r="K1074" s="19">
        <f t="shared" si="67"/>
        <v>0</v>
      </c>
    </row>
    <row r="1075" spans="1:11" ht="15">
      <c r="A1075" s="3">
        <v>1709</v>
      </c>
      <c r="B1075" s="151">
        <v>74</v>
      </c>
      <c r="C1075" s="7" t="s">
        <v>46</v>
      </c>
      <c r="D1075" s="4" t="s">
        <v>47</v>
      </c>
      <c r="E1075" t="s">
        <v>484</v>
      </c>
      <c r="F1075" s="12">
        <f>IFERROR(VLOOKUP(B1075,'INSUMOS  JULIO'!$B$6:$CJ$109,36,0),"")</f>
        <v>0</v>
      </c>
      <c r="G1075" s="8">
        <f>IFERROR(VLOOKUP($B1075,'INSUMOS  JULIO'!$B$6:$CJ$109,37,0),"")</f>
        <v>3261.2529999999997</v>
      </c>
      <c r="H1075" s="19">
        <f t="shared" si="64"/>
        <v>0</v>
      </c>
      <c r="I1075" s="1">
        <f t="shared" si="65"/>
        <v>0</v>
      </c>
      <c r="J1075" s="1">
        <f t="shared" si="66"/>
        <v>0</v>
      </c>
      <c r="K1075" s="19">
        <f t="shared" si="67"/>
        <v>0</v>
      </c>
    </row>
    <row r="1076" spans="1:11" ht="15">
      <c r="A1076" s="3">
        <v>1710</v>
      </c>
      <c r="B1076" s="151">
        <v>79</v>
      </c>
      <c r="C1076" s="7" t="s">
        <v>159</v>
      </c>
      <c r="D1076" s="4" t="s">
        <v>48</v>
      </c>
      <c r="E1076" t="s">
        <v>484</v>
      </c>
      <c r="F1076" s="12">
        <f>IFERROR(VLOOKUP(B1076,'INSUMOS  JULIO'!$B$6:$CJ$109,36,0),"")</f>
        <v>0</v>
      </c>
      <c r="G1076" s="8">
        <f>IFERROR(VLOOKUP($B1076,'INSUMOS  JULIO'!$B$6:$CJ$109,37,0),"")</f>
        <v>935.49510000000009</v>
      </c>
      <c r="H1076" s="19">
        <f t="shared" si="64"/>
        <v>0</v>
      </c>
      <c r="I1076" s="1">
        <f t="shared" si="65"/>
        <v>0</v>
      </c>
      <c r="J1076" s="1">
        <f t="shared" si="66"/>
        <v>0</v>
      </c>
      <c r="K1076" s="19">
        <f t="shared" si="67"/>
        <v>0</v>
      </c>
    </row>
    <row r="1077" spans="1:11" ht="15">
      <c r="A1077" s="3">
        <v>1711</v>
      </c>
      <c r="B1077" s="151">
        <v>80</v>
      </c>
      <c r="C1077" s="7" t="s">
        <v>159</v>
      </c>
      <c r="D1077" s="4" t="s">
        <v>49</v>
      </c>
      <c r="E1077" t="s">
        <v>484</v>
      </c>
      <c r="F1077" s="12">
        <f>IFERROR(VLOOKUP(B1077,'INSUMOS  JULIO'!$B$6:$CJ$109,36,0),"")</f>
        <v>0</v>
      </c>
      <c r="G1077" s="8">
        <f>IFERROR(VLOOKUP($B1077,'INSUMOS  JULIO'!$B$6:$CJ$109,37,0),"")</f>
        <v>433.01199999999994</v>
      </c>
      <c r="H1077" s="19">
        <f t="shared" si="64"/>
        <v>0</v>
      </c>
      <c r="I1077" s="1">
        <f t="shared" si="65"/>
        <v>0</v>
      </c>
      <c r="J1077" s="1">
        <f t="shared" si="66"/>
        <v>0</v>
      </c>
      <c r="K1077" s="19">
        <f t="shared" si="67"/>
        <v>0</v>
      </c>
    </row>
    <row r="1078" spans="1:11" ht="15">
      <c r="A1078" s="3">
        <v>1712</v>
      </c>
      <c r="B1078" s="151">
        <v>81</v>
      </c>
      <c r="C1078" s="7" t="s">
        <v>159</v>
      </c>
      <c r="D1078" s="4" t="s">
        <v>50</v>
      </c>
      <c r="E1078" t="s">
        <v>484</v>
      </c>
      <c r="F1078" s="12">
        <f>IFERROR(VLOOKUP(B1078,'INSUMOS  JULIO'!$B$6:$CJ$109,36,0),"")</f>
        <v>0</v>
      </c>
      <c r="G1078" s="8">
        <f>IFERROR(VLOOKUP($B1078,'INSUMOS  JULIO'!$B$6:$CJ$109,37,0),"")</f>
        <v>211.251</v>
      </c>
      <c r="H1078" s="19">
        <f t="shared" si="64"/>
        <v>0</v>
      </c>
      <c r="I1078" s="1">
        <f t="shared" si="65"/>
        <v>0</v>
      </c>
      <c r="J1078" s="1">
        <f t="shared" si="66"/>
        <v>0</v>
      </c>
      <c r="K1078" s="19">
        <f t="shared" si="67"/>
        <v>0</v>
      </c>
    </row>
    <row r="1079" spans="1:11" ht="15">
      <c r="A1079" s="3">
        <v>1713</v>
      </c>
      <c r="B1079" s="151">
        <v>82</v>
      </c>
      <c r="C1079" s="7" t="s">
        <v>159</v>
      </c>
      <c r="D1079" s="4" t="s">
        <v>51</v>
      </c>
      <c r="E1079" t="s">
        <v>484</v>
      </c>
      <c r="F1079" s="12" t="str">
        <f>IFERROR(VLOOKUP(B1079,'INSUMOS  JULIO'!$B$6:$CJ$109,36,0),"")</f>
        <v>0</v>
      </c>
      <c r="G1079" s="8">
        <f>IFERROR(VLOOKUP($B1079,'INSUMOS  JULIO'!$B$6:$CJ$109,37,0),"")</f>
        <v>1003.7049999999999</v>
      </c>
      <c r="H1079" s="19">
        <f t="shared" si="64"/>
        <v>0</v>
      </c>
      <c r="I1079" s="1">
        <f t="shared" si="65"/>
        <v>0</v>
      </c>
      <c r="J1079" s="1">
        <f t="shared" si="66"/>
        <v>0</v>
      </c>
      <c r="K1079" s="19">
        <f t="shared" si="67"/>
        <v>0</v>
      </c>
    </row>
    <row r="1080" spans="1:11" ht="15">
      <c r="A1080" s="3">
        <v>1714</v>
      </c>
      <c r="B1080" s="151">
        <v>83</v>
      </c>
      <c r="C1080" s="7" t="s">
        <v>159</v>
      </c>
      <c r="D1080" s="4" t="s">
        <v>52</v>
      </c>
      <c r="E1080" t="s">
        <v>484</v>
      </c>
      <c r="F1080" s="12" t="str">
        <f>IFERROR(VLOOKUP(B1080,'INSUMOS  JULIO'!$B$6:$CJ$109,36,0),"")</f>
        <v>0</v>
      </c>
      <c r="G1080" s="8">
        <f>IFERROR(VLOOKUP($B1080,'INSUMOS  JULIO'!$B$6:$CJ$109,37,0),"")</f>
        <v>336.32</v>
      </c>
      <c r="H1080" s="19">
        <f t="shared" si="64"/>
        <v>0</v>
      </c>
      <c r="I1080" s="1">
        <f t="shared" si="65"/>
        <v>0</v>
      </c>
      <c r="J1080" s="1">
        <f t="shared" si="66"/>
        <v>0</v>
      </c>
      <c r="K1080" s="19">
        <f t="shared" si="67"/>
        <v>0</v>
      </c>
    </row>
    <row r="1081" spans="1:11" ht="15">
      <c r="A1081" s="3">
        <v>1715</v>
      </c>
      <c r="B1081" s="151">
        <v>86</v>
      </c>
      <c r="C1081" s="7" t="s">
        <v>53</v>
      </c>
      <c r="D1081" s="4" t="s">
        <v>54</v>
      </c>
      <c r="E1081" t="s">
        <v>484</v>
      </c>
      <c r="F1081" s="12" t="str">
        <f>IFERROR(VLOOKUP(B1081,'INSUMOS  JULIO'!$B$6:$CJ$109,36,0),"")</f>
        <v>0</v>
      </c>
      <c r="G1081" s="8">
        <f>IFERROR(VLOOKUP($B1081,'INSUMOS  JULIO'!$B$6:$CJ$109,37,0),"")</f>
        <v>2792.5070000000005</v>
      </c>
      <c r="H1081" s="19">
        <f t="shared" si="64"/>
        <v>0</v>
      </c>
      <c r="I1081" s="1">
        <f t="shared" si="65"/>
        <v>0</v>
      </c>
      <c r="J1081" s="1">
        <f t="shared" si="66"/>
        <v>0</v>
      </c>
      <c r="K1081" s="19">
        <f t="shared" si="67"/>
        <v>0</v>
      </c>
    </row>
    <row r="1082" spans="1:11" ht="15">
      <c r="A1082" s="3">
        <v>1716</v>
      </c>
      <c r="B1082" s="151">
        <v>87</v>
      </c>
      <c r="C1082" s="7" t="s">
        <v>53</v>
      </c>
      <c r="D1082" s="4" t="s">
        <v>55</v>
      </c>
      <c r="E1082" t="s">
        <v>484</v>
      </c>
      <c r="F1082" s="12" t="str">
        <f>IFERROR(VLOOKUP(B1082,'INSUMOS  JULIO'!$B$6:$CJ$109,36,0),"")</f>
        <v>0</v>
      </c>
      <c r="G1082" s="8">
        <f>IFERROR(VLOOKUP($B1082,'INSUMOS  JULIO'!$B$6:$CJ$109,37,0),"")</f>
        <v>0</v>
      </c>
      <c r="H1082" s="19">
        <f t="shared" si="64"/>
        <v>0</v>
      </c>
      <c r="I1082" s="1">
        <f t="shared" si="65"/>
        <v>0</v>
      </c>
      <c r="J1082" s="1">
        <f t="shared" si="66"/>
        <v>0</v>
      </c>
      <c r="K1082" s="19">
        <f t="shared" si="67"/>
        <v>0</v>
      </c>
    </row>
    <row r="1083" spans="1:11" ht="15">
      <c r="A1083" s="3">
        <v>1717</v>
      </c>
      <c r="B1083" s="151">
        <v>88</v>
      </c>
      <c r="C1083" s="7" t="s">
        <v>53</v>
      </c>
      <c r="D1083" s="4" t="s">
        <v>56</v>
      </c>
      <c r="E1083" t="s">
        <v>484</v>
      </c>
      <c r="F1083" s="12">
        <f>IFERROR(VLOOKUP(B1083,'INSUMOS  JULIO'!$B$6:$CJ$109,36,0),"")</f>
        <v>0</v>
      </c>
      <c r="G1083" s="8">
        <f>IFERROR(VLOOKUP($B1083,'INSUMOS  JULIO'!$B$6:$CJ$109,37,0),"")</f>
        <v>2717.886</v>
      </c>
      <c r="H1083" s="19">
        <f t="shared" si="64"/>
        <v>0</v>
      </c>
      <c r="I1083" s="1">
        <f t="shared" si="65"/>
        <v>0</v>
      </c>
      <c r="J1083" s="1">
        <f t="shared" si="66"/>
        <v>0</v>
      </c>
      <c r="K1083" s="19">
        <f t="shared" si="67"/>
        <v>0</v>
      </c>
    </row>
    <row r="1084" spans="1:11" ht="15">
      <c r="A1084" s="3">
        <v>1718</v>
      </c>
      <c r="B1084" s="151">
        <v>89</v>
      </c>
      <c r="C1084" s="7" t="s">
        <v>53</v>
      </c>
      <c r="D1084" s="4" t="s">
        <v>57</v>
      </c>
      <c r="E1084" t="s">
        <v>484</v>
      </c>
      <c r="F1084" s="12" t="str">
        <f>IFERROR(VLOOKUP(B1084,'INSUMOS  JULIO'!$B$6:$CJ$109,36,0),"")</f>
        <v>0</v>
      </c>
      <c r="G1084" s="8">
        <f>IFERROR(VLOOKUP($B1084,'INSUMOS  JULIO'!$B$6:$CJ$109,37,0),"")</f>
        <v>2650.6220000000003</v>
      </c>
      <c r="H1084" s="19">
        <f t="shared" si="64"/>
        <v>0</v>
      </c>
      <c r="I1084" s="1">
        <f t="shared" si="65"/>
        <v>0</v>
      </c>
      <c r="J1084" s="1">
        <f t="shared" si="66"/>
        <v>0</v>
      </c>
      <c r="K1084" s="19">
        <f t="shared" si="67"/>
        <v>0</v>
      </c>
    </row>
    <row r="1085" spans="1:11" ht="15">
      <c r="A1085" s="3">
        <v>1719</v>
      </c>
      <c r="B1085" s="151">
        <v>91</v>
      </c>
      <c r="C1085" s="7" t="s">
        <v>160</v>
      </c>
      <c r="D1085" s="4" t="s">
        <v>58</v>
      </c>
      <c r="E1085" t="s">
        <v>484</v>
      </c>
      <c r="F1085" s="12" t="str">
        <f>IFERROR(VLOOKUP(B1085,'INSUMOS  JULIO'!$B$6:$CJ$109,36,0),"")</f>
        <v>0</v>
      </c>
      <c r="G1085" s="8">
        <f>IFERROR(VLOOKUP($B1085,'INSUMOS  JULIO'!$B$6:$CJ$109,37,0),"")</f>
        <v>4364.8029999999999</v>
      </c>
      <c r="H1085" s="19">
        <f t="shared" si="64"/>
        <v>0</v>
      </c>
      <c r="I1085" s="1">
        <f t="shared" si="65"/>
        <v>0</v>
      </c>
      <c r="J1085" s="1">
        <f t="shared" si="66"/>
        <v>0</v>
      </c>
      <c r="K1085" s="19">
        <f t="shared" si="67"/>
        <v>0</v>
      </c>
    </row>
    <row r="1086" spans="1:11" ht="15">
      <c r="A1086" s="3">
        <v>1720</v>
      </c>
      <c r="B1086" s="151">
        <v>92</v>
      </c>
      <c r="C1086" s="7" t="s">
        <v>160</v>
      </c>
      <c r="D1086" s="4" t="s">
        <v>59</v>
      </c>
      <c r="E1086" t="s">
        <v>484</v>
      </c>
      <c r="F1086" s="12" t="str">
        <f>IFERROR(VLOOKUP(B1086,'INSUMOS  JULIO'!$B$6:$CJ$109,36,0),"")</f>
        <v>0</v>
      </c>
      <c r="G1086" s="8">
        <f>IFERROR(VLOOKUP($B1086,'INSUMOS  JULIO'!$B$6:$CJ$109,37,0),"")</f>
        <v>2380.5149999999999</v>
      </c>
      <c r="H1086" s="19">
        <f t="shared" si="64"/>
        <v>0</v>
      </c>
      <c r="I1086" s="1">
        <f t="shared" si="65"/>
        <v>0</v>
      </c>
      <c r="J1086" s="1">
        <f t="shared" si="66"/>
        <v>0</v>
      </c>
      <c r="K1086" s="19">
        <f t="shared" si="67"/>
        <v>0</v>
      </c>
    </row>
    <row r="1087" spans="1:11" ht="15">
      <c r="A1087" s="3">
        <v>1721</v>
      </c>
      <c r="B1087" s="151">
        <v>94</v>
      </c>
      <c r="C1087" s="7" t="s">
        <v>60</v>
      </c>
      <c r="D1087" s="4" t="s">
        <v>61</v>
      </c>
      <c r="E1087" t="s">
        <v>484</v>
      </c>
      <c r="F1087" s="12" t="str">
        <f>IFERROR(VLOOKUP(B1087,'INSUMOS  JULIO'!$B$6:$CJ$109,36,0),"")</f>
        <v>0</v>
      </c>
      <c r="G1087" s="8">
        <f>IFERROR(VLOOKUP($B1087,'INSUMOS  JULIO'!$B$6:$CJ$109,37,0),"")</f>
        <v>3316.9560000000001</v>
      </c>
      <c r="H1087" s="19">
        <f t="shared" si="64"/>
        <v>0</v>
      </c>
      <c r="I1087" s="1">
        <f t="shared" si="65"/>
        <v>0</v>
      </c>
      <c r="J1087" s="1">
        <f t="shared" si="66"/>
        <v>0</v>
      </c>
      <c r="K1087" s="19">
        <f t="shared" si="67"/>
        <v>0</v>
      </c>
    </row>
    <row r="1088" spans="1:11" ht="15">
      <c r="A1088" s="3">
        <v>1722</v>
      </c>
      <c r="B1088" s="151">
        <v>95</v>
      </c>
      <c r="C1088" s="7" t="s">
        <v>60</v>
      </c>
      <c r="D1088" s="4" t="s">
        <v>62</v>
      </c>
      <c r="E1088" t="s">
        <v>484</v>
      </c>
      <c r="F1088" s="12" t="str">
        <f>IFERROR(VLOOKUP(B1088,'INSUMOS  JULIO'!$B$6:$CJ$109,36,0),"")</f>
        <v>0</v>
      </c>
      <c r="G1088" s="8">
        <f>IFERROR(VLOOKUP($B1088,'INSUMOS  JULIO'!$B$6:$CJ$109,37,0),"")</f>
        <v>11056.52</v>
      </c>
      <c r="H1088" s="19">
        <f t="shared" si="64"/>
        <v>0</v>
      </c>
      <c r="I1088" s="1">
        <f t="shared" si="65"/>
        <v>0</v>
      </c>
      <c r="J1088" s="1">
        <f t="shared" si="66"/>
        <v>0</v>
      </c>
      <c r="K1088" s="19">
        <f t="shared" si="67"/>
        <v>0</v>
      </c>
    </row>
    <row r="1089" spans="1:11" ht="15">
      <c r="A1089" s="3">
        <v>1723</v>
      </c>
      <c r="B1089" s="151">
        <v>98</v>
      </c>
      <c r="C1089" s="7" t="s">
        <v>151</v>
      </c>
      <c r="D1089" s="4" t="s">
        <v>63</v>
      </c>
      <c r="E1089" t="s">
        <v>484</v>
      </c>
      <c r="F1089" s="12">
        <f>IFERROR(VLOOKUP(B1089,'INSUMOS  JULIO'!$B$6:$CJ$109,36,0),"")</f>
        <v>0</v>
      </c>
      <c r="G1089" s="8">
        <f>IFERROR(VLOOKUP($B1089,'INSUMOS  JULIO'!$B$6:$CJ$109,37,0),"")</f>
        <v>9503.4573</v>
      </c>
      <c r="H1089" s="19">
        <f t="shared" si="64"/>
        <v>0</v>
      </c>
      <c r="I1089" s="1">
        <f t="shared" si="65"/>
        <v>0</v>
      </c>
      <c r="J1089" s="1">
        <f t="shared" si="66"/>
        <v>0</v>
      </c>
      <c r="K1089" s="19">
        <f t="shared" si="67"/>
        <v>0</v>
      </c>
    </row>
    <row r="1090" spans="1:11" ht="15">
      <c r="A1090" s="3">
        <v>1724</v>
      </c>
      <c r="B1090" s="151">
        <v>100</v>
      </c>
      <c r="C1090" s="7" t="s">
        <v>160</v>
      </c>
      <c r="D1090" s="4" t="s">
        <v>64</v>
      </c>
      <c r="E1090" t="s">
        <v>484</v>
      </c>
      <c r="F1090" s="12" t="str">
        <f>IFERROR(VLOOKUP(B1090,'INSUMOS  JULIO'!$B$6:$CJ$109,36,0),"")</f>
        <v>0</v>
      </c>
      <c r="G1090" s="8">
        <f>IFERROR(VLOOKUP($B1090,'INSUMOS  JULIO'!$B$6:$CJ$109,37,0),"")</f>
        <v>4364.8029999999999</v>
      </c>
      <c r="H1090" s="19">
        <f t="shared" si="64"/>
        <v>0</v>
      </c>
      <c r="I1090" s="1">
        <f t="shared" si="65"/>
        <v>0</v>
      </c>
      <c r="J1090" s="1">
        <f t="shared" si="66"/>
        <v>0</v>
      </c>
      <c r="K1090" s="19">
        <f t="shared" si="67"/>
        <v>0</v>
      </c>
    </row>
    <row r="1091" spans="1:11" ht="15">
      <c r="A1091" s="3">
        <v>1725</v>
      </c>
      <c r="B1091" s="151">
        <v>102</v>
      </c>
      <c r="C1091" s="7" t="s">
        <v>60</v>
      </c>
      <c r="D1091" s="4" t="s">
        <v>65</v>
      </c>
      <c r="E1091" t="s">
        <v>484</v>
      </c>
      <c r="F1091" s="12" t="str">
        <f>IFERROR(VLOOKUP(B1091,'INSUMOS  JULIO'!$B$6:$CJ$109,36,0),"")</f>
        <v>0</v>
      </c>
      <c r="G1091" s="8">
        <f>IFERROR(VLOOKUP($B1091,'INSUMOS  JULIO'!$B$6:$CJ$109,37,0),"")</f>
        <v>3811.9770000000003</v>
      </c>
      <c r="H1091" s="19">
        <f t="shared" si="64"/>
        <v>0</v>
      </c>
      <c r="I1091" s="1">
        <f t="shared" si="65"/>
        <v>0</v>
      </c>
      <c r="J1091" s="1">
        <f t="shared" si="66"/>
        <v>0</v>
      </c>
      <c r="K1091" s="19">
        <f t="shared" si="67"/>
        <v>0</v>
      </c>
    </row>
    <row r="1092" spans="1:11" ht="15">
      <c r="A1092" s="3">
        <v>1726</v>
      </c>
      <c r="B1092" s="151">
        <v>103</v>
      </c>
      <c r="C1092" s="7" t="s">
        <v>66</v>
      </c>
      <c r="D1092" s="4" t="s">
        <v>67</v>
      </c>
      <c r="E1092" t="s">
        <v>484</v>
      </c>
      <c r="F1092" s="12" t="str">
        <f>IFERROR(VLOOKUP(B1092,'INSUMOS  JULIO'!$B$6:$CJ$109,36,0),"")</f>
        <v>0</v>
      </c>
      <c r="G1092" s="8">
        <f>IFERROR(VLOOKUP($B1092,'INSUMOS  JULIO'!$B$6:$CJ$109,37,0),"")</f>
        <v>18022.547999999999</v>
      </c>
      <c r="H1092" s="19">
        <f t="shared" si="64"/>
        <v>0</v>
      </c>
      <c r="I1092" s="1">
        <f t="shared" si="65"/>
        <v>0</v>
      </c>
      <c r="J1092" s="1">
        <f t="shared" si="66"/>
        <v>0</v>
      </c>
      <c r="K1092" s="19">
        <f t="shared" si="67"/>
        <v>0</v>
      </c>
    </row>
    <row r="1093" spans="1:11" ht="15">
      <c r="A1093" s="3">
        <v>1727</v>
      </c>
      <c r="B1093" s="151">
        <v>104</v>
      </c>
      <c r="C1093" s="7" t="s">
        <v>66</v>
      </c>
      <c r="D1093" s="4" t="s">
        <v>68</v>
      </c>
      <c r="E1093" t="s">
        <v>484</v>
      </c>
      <c r="F1093" s="12" t="str">
        <f>IFERROR(VLOOKUP(B1093,'INSUMOS  JULIO'!$B$6:$CJ$109,36,0),"")</f>
        <v>0</v>
      </c>
      <c r="G1093" s="8">
        <f>IFERROR(VLOOKUP($B1093,'INSUMOS  JULIO'!$B$6:$CJ$109,37,0),"")</f>
        <v>18022.547999999999</v>
      </c>
      <c r="H1093" s="19">
        <f t="shared" si="64"/>
        <v>0</v>
      </c>
      <c r="I1093" s="1">
        <f t="shared" si="65"/>
        <v>0</v>
      </c>
      <c r="J1093" s="1">
        <f t="shared" si="66"/>
        <v>0</v>
      </c>
      <c r="K1093" s="19">
        <f t="shared" si="67"/>
        <v>0</v>
      </c>
    </row>
    <row r="1094" spans="1:11" ht="15">
      <c r="A1094" s="3">
        <v>1728</v>
      </c>
      <c r="B1094" s="151">
        <v>105</v>
      </c>
      <c r="C1094" s="7" t="s">
        <v>66</v>
      </c>
      <c r="D1094" s="4" t="s">
        <v>69</v>
      </c>
      <c r="E1094" t="s">
        <v>484</v>
      </c>
      <c r="F1094" s="12" t="str">
        <f>IFERROR(VLOOKUP(B1094,'INSUMOS  JULIO'!$B$6:$CJ$109,36,0),"")</f>
        <v>0</v>
      </c>
      <c r="G1094" s="8">
        <f>IFERROR(VLOOKUP($B1094,'INSUMOS  JULIO'!$B$6:$CJ$109,37,0),"")</f>
        <v>27641.3</v>
      </c>
      <c r="H1094" s="19">
        <f t="shared" ref="H1094:H1157" si="68">+F1094*G1094</f>
        <v>0</v>
      </c>
      <c r="I1094" s="1">
        <f t="shared" ref="I1094:I1157" si="69">+H1094*10%</f>
        <v>0</v>
      </c>
      <c r="J1094" s="1">
        <f t="shared" ref="J1094:J1157" si="70">+I1094*19%</f>
        <v>0</v>
      </c>
      <c r="K1094" s="19">
        <f t="shared" ref="K1094:K1157" si="71">SUM(H1094:J1094)</f>
        <v>0</v>
      </c>
    </row>
    <row r="1095" spans="1:11" ht="15">
      <c r="A1095" s="3">
        <v>1729</v>
      </c>
      <c r="B1095" s="151">
        <v>106</v>
      </c>
      <c r="C1095" s="7" t="s">
        <v>66</v>
      </c>
      <c r="D1095" s="4" t="s">
        <v>70</v>
      </c>
      <c r="E1095" t="s">
        <v>484</v>
      </c>
      <c r="F1095" s="12" t="str">
        <f>IFERROR(VLOOKUP(B1095,'INSUMOS  JULIO'!$B$6:$CJ$109,36,0),"")</f>
        <v>0</v>
      </c>
      <c r="G1095" s="8">
        <f>IFERROR(VLOOKUP($B1095,'INSUMOS  JULIO'!$B$6:$CJ$109,37,0),"")</f>
        <v>0</v>
      </c>
      <c r="H1095" s="19">
        <f t="shared" si="68"/>
        <v>0</v>
      </c>
      <c r="I1095" s="1">
        <f t="shared" si="69"/>
        <v>0</v>
      </c>
      <c r="J1095" s="1">
        <f t="shared" si="70"/>
        <v>0</v>
      </c>
      <c r="K1095" s="19">
        <f t="shared" si="71"/>
        <v>0</v>
      </c>
    </row>
    <row r="1096" spans="1:11" ht="15">
      <c r="A1096" s="3">
        <v>1730</v>
      </c>
      <c r="B1096" s="151">
        <v>108</v>
      </c>
      <c r="C1096" s="7" t="s">
        <v>66</v>
      </c>
      <c r="D1096" s="4" t="s">
        <v>71</v>
      </c>
      <c r="E1096" t="s">
        <v>484</v>
      </c>
      <c r="F1096" s="12" t="str">
        <f>IFERROR(VLOOKUP(B1096,'INSUMOS  JULIO'!$B$6:$CJ$109,36,0),"")</f>
        <v>0</v>
      </c>
      <c r="G1096" s="8">
        <f>IFERROR(VLOOKUP($B1096,'INSUMOS  JULIO'!$B$6:$CJ$109,37,0),"")</f>
        <v>38697.82</v>
      </c>
      <c r="H1096" s="19">
        <f t="shared" si="68"/>
        <v>0</v>
      </c>
      <c r="I1096" s="1">
        <f t="shared" si="69"/>
        <v>0</v>
      </c>
      <c r="J1096" s="1">
        <f t="shared" si="70"/>
        <v>0</v>
      </c>
      <c r="K1096" s="19">
        <f t="shared" si="71"/>
        <v>0</v>
      </c>
    </row>
    <row r="1097" spans="1:11" ht="15">
      <c r="A1097" s="3">
        <v>1731</v>
      </c>
      <c r="B1097" s="151">
        <v>109</v>
      </c>
      <c r="C1097" s="7" t="s">
        <v>66</v>
      </c>
      <c r="D1097" s="4" t="s">
        <v>72</v>
      </c>
      <c r="E1097" t="s">
        <v>484</v>
      </c>
      <c r="F1097" s="12" t="str">
        <f>IFERROR(VLOOKUP(B1097,'INSUMOS  JULIO'!$B$6:$CJ$109,36,0),"")</f>
        <v>0</v>
      </c>
      <c r="G1097" s="8">
        <f>IFERROR(VLOOKUP($B1097,'INSUMOS  JULIO'!$B$6:$CJ$109,37,0),"")</f>
        <v>49754.340000000004</v>
      </c>
      <c r="H1097" s="19">
        <f t="shared" si="68"/>
        <v>0</v>
      </c>
      <c r="I1097" s="1">
        <f t="shared" si="69"/>
        <v>0</v>
      </c>
      <c r="J1097" s="1">
        <f t="shared" si="70"/>
        <v>0</v>
      </c>
      <c r="K1097" s="19">
        <f t="shared" si="71"/>
        <v>0</v>
      </c>
    </row>
    <row r="1098" spans="1:11" ht="15">
      <c r="A1098" s="3">
        <v>1732</v>
      </c>
      <c r="B1098" s="151">
        <v>110</v>
      </c>
      <c r="C1098" s="7" t="s">
        <v>158</v>
      </c>
      <c r="D1098" s="4" t="s">
        <v>73</v>
      </c>
      <c r="E1098" t="s">
        <v>484</v>
      </c>
      <c r="F1098" s="12">
        <f>IFERROR(VLOOKUP(B1098,'INSUMOS  JULIO'!$B$6:$CJ$109,36,0),"")</f>
        <v>0</v>
      </c>
      <c r="G1098" s="8">
        <f>IFERROR(VLOOKUP($B1098,'INSUMOS  JULIO'!$B$6:$CJ$109,37,0),"")</f>
        <v>1442.4974999999999</v>
      </c>
      <c r="H1098" s="19">
        <f t="shared" si="68"/>
        <v>0</v>
      </c>
      <c r="I1098" s="1">
        <f t="shared" si="69"/>
        <v>0</v>
      </c>
      <c r="J1098" s="1">
        <f t="shared" si="70"/>
        <v>0</v>
      </c>
      <c r="K1098" s="19">
        <f t="shared" si="71"/>
        <v>0</v>
      </c>
    </row>
    <row r="1099" spans="1:11" ht="15">
      <c r="A1099" s="3">
        <v>1733</v>
      </c>
      <c r="B1099" s="151">
        <v>118</v>
      </c>
      <c r="C1099" s="7" t="s">
        <v>158</v>
      </c>
      <c r="D1099" s="4" t="s">
        <v>74</v>
      </c>
      <c r="E1099" t="s">
        <v>484</v>
      </c>
      <c r="F1099" s="12">
        <f>IFERROR(VLOOKUP(B1099,'INSUMOS  JULIO'!$B$6:$CJ$109,36,0),"")</f>
        <v>0</v>
      </c>
      <c r="G1099" s="8">
        <f>IFERROR(VLOOKUP($B1099,'INSUMOS  JULIO'!$B$6:$CJ$109,37,0),"")</f>
        <v>2455.136</v>
      </c>
      <c r="H1099" s="19">
        <f t="shared" si="68"/>
        <v>0</v>
      </c>
      <c r="I1099" s="1">
        <f t="shared" si="69"/>
        <v>0</v>
      </c>
      <c r="J1099" s="1">
        <f t="shared" si="70"/>
        <v>0</v>
      </c>
      <c r="K1099" s="19">
        <f t="shared" si="71"/>
        <v>0</v>
      </c>
    </row>
    <row r="1100" spans="1:11" ht="15">
      <c r="A1100" s="3">
        <v>1734</v>
      </c>
      <c r="B1100" s="151">
        <v>119</v>
      </c>
      <c r="C1100" s="7" t="s">
        <v>158</v>
      </c>
      <c r="D1100" s="4" t="s">
        <v>75</v>
      </c>
      <c r="E1100" t="s">
        <v>484</v>
      </c>
      <c r="F1100" s="12" t="str">
        <f>IFERROR(VLOOKUP(B1100,'INSUMOS  JULIO'!$B$6:$CJ$109,36,0),"")</f>
        <v>0</v>
      </c>
      <c r="G1100" s="8">
        <f>IFERROR(VLOOKUP($B1100,'INSUMOS  JULIO'!$B$6:$CJ$109,37,0),"")</f>
        <v>2821.9350000000004</v>
      </c>
      <c r="H1100" s="19">
        <f t="shared" si="68"/>
        <v>0</v>
      </c>
      <c r="I1100" s="1">
        <f t="shared" si="69"/>
        <v>0</v>
      </c>
      <c r="J1100" s="1">
        <f t="shared" si="70"/>
        <v>0</v>
      </c>
      <c r="K1100" s="19">
        <f t="shared" si="71"/>
        <v>0</v>
      </c>
    </row>
    <row r="1101" spans="1:11" ht="15">
      <c r="A1101" s="3">
        <v>1735</v>
      </c>
      <c r="B1101" s="151">
        <v>120</v>
      </c>
      <c r="C1101" s="7" t="s">
        <v>158</v>
      </c>
      <c r="D1101" s="4" t="s">
        <v>76</v>
      </c>
      <c r="E1101" t="s">
        <v>484</v>
      </c>
      <c r="F1101" s="12" t="str">
        <f>IFERROR(VLOOKUP(B1101,'INSUMOS  JULIO'!$B$6:$CJ$109,36,0),"")</f>
        <v>0</v>
      </c>
      <c r="G1101" s="8">
        <f>IFERROR(VLOOKUP($B1101,'INSUMOS  JULIO'!$B$6:$CJ$109,37,0),"")</f>
        <v>2821.9350000000004</v>
      </c>
      <c r="H1101" s="19">
        <f t="shared" si="68"/>
        <v>0</v>
      </c>
      <c r="I1101" s="1">
        <f t="shared" si="69"/>
        <v>0</v>
      </c>
      <c r="J1101" s="1">
        <f t="shared" si="70"/>
        <v>0</v>
      </c>
      <c r="K1101" s="19">
        <f t="shared" si="71"/>
        <v>0</v>
      </c>
    </row>
    <row r="1102" spans="1:11" ht="15">
      <c r="A1102" s="3">
        <v>1736</v>
      </c>
      <c r="B1102" s="151">
        <v>122</v>
      </c>
      <c r="C1102" s="7" t="s">
        <v>158</v>
      </c>
      <c r="D1102" s="4" t="s">
        <v>77</v>
      </c>
      <c r="E1102" t="s">
        <v>484</v>
      </c>
      <c r="F1102" s="12" t="str">
        <f>IFERROR(VLOOKUP(B1102,'INSUMOS  JULIO'!$B$6:$CJ$109,36,0),"")</f>
        <v>0</v>
      </c>
      <c r="G1102" s="8">
        <f>IFERROR(VLOOKUP($B1102,'INSUMOS  JULIO'!$B$6:$CJ$109,37,0),"")</f>
        <v>5223.4699999999993</v>
      </c>
      <c r="H1102" s="19">
        <f t="shared" si="68"/>
        <v>0</v>
      </c>
      <c r="I1102" s="1">
        <f t="shared" si="69"/>
        <v>0</v>
      </c>
      <c r="J1102" s="1">
        <f t="shared" si="70"/>
        <v>0</v>
      </c>
      <c r="K1102" s="19">
        <f t="shared" si="71"/>
        <v>0</v>
      </c>
    </row>
    <row r="1103" spans="1:11" ht="15">
      <c r="A1103" s="3">
        <v>1737</v>
      </c>
      <c r="B1103" s="151">
        <v>123</v>
      </c>
      <c r="C1103" s="7" t="s">
        <v>158</v>
      </c>
      <c r="D1103" s="4" t="s">
        <v>78</v>
      </c>
      <c r="E1103" t="s">
        <v>484</v>
      </c>
      <c r="F1103" s="12" t="str">
        <f>IFERROR(VLOOKUP(B1103,'INSUMOS  JULIO'!$B$6:$CJ$109,36,0),"")</f>
        <v>0</v>
      </c>
      <c r="G1103" s="8">
        <f>IFERROR(VLOOKUP($B1103,'INSUMOS  JULIO'!$B$6:$CJ$109,37,0),"")</f>
        <v>5765.7860000000001</v>
      </c>
      <c r="H1103" s="19">
        <f t="shared" si="68"/>
        <v>0</v>
      </c>
      <c r="I1103" s="1">
        <f t="shared" si="69"/>
        <v>0</v>
      </c>
      <c r="J1103" s="1">
        <f t="shared" si="70"/>
        <v>0</v>
      </c>
      <c r="K1103" s="19">
        <f t="shared" si="71"/>
        <v>0</v>
      </c>
    </row>
    <row r="1104" spans="1:11" ht="15">
      <c r="A1104" s="3">
        <v>1738</v>
      </c>
      <c r="B1104" s="151">
        <v>124</v>
      </c>
      <c r="C1104" s="7" t="s">
        <v>158</v>
      </c>
      <c r="D1104" s="4" t="s">
        <v>79</v>
      </c>
      <c r="E1104" t="s">
        <v>484</v>
      </c>
      <c r="F1104" s="12" t="str">
        <f>IFERROR(VLOOKUP(B1104,'INSUMOS  JULIO'!$B$6:$CJ$109,36,0),"")</f>
        <v>0</v>
      </c>
      <c r="G1104" s="8">
        <f>IFERROR(VLOOKUP($B1104,'INSUMOS  JULIO'!$B$6:$CJ$109,37,0),"")</f>
        <v>5765.7860000000001</v>
      </c>
      <c r="H1104" s="19">
        <f t="shared" si="68"/>
        <v>0</v>
      </c>
      <c r="I1104" s="1">
        <f t="shared" si="69"/>
        <v>0</v>
      </c>
      <c r="J1104" s="1">
        <f t="shared" si="70"/>
        <v>0</v>
      </c>
      <c r="K1104" s="19">
        <f t="shared" si="71"/>
        <v>0</v>
      </c>
    </row>
    <row r="1105" spans="1:11" ht="15">
      <c r="A1105" s="3">
        <v>1771</v>
      </c>
      <c r="B1105" s="151">
        <v>126</v>
      </c>
      <c r="C1105" s="7" t="s">
        <v>9</v>
      </c>
      <c r="D1105" s="4" t="s">
        <v>80</v>
      </c>
      <c r="E1105" t="s">
        <v>484</v>
      </c>
      <c r="F1105" s="12" t="str">
        <f>IFERROR(VLOOKUP(B1105,'INSUMOS  JULIO'!$B$6:$CJ$109,36,0),"")</f>
        <v>0</v>
      </c>
      <c r="G1105" s="8">
        <f>IFERROR(VLOOKUP($B1105,'INSUMOS  JULIO'!$B$6:$CJ$109,37,0),"")</f>
        <v>3316.9560000000001</v>
      </c>
      <c r="H1105" s="19">
        <f t="shared" si="68"/>
        <v>0</v>
      </c>
      <c r="I1105" s="1">
        <f t="shared" si="69"/>
        <v>0</v>
      </c>
      <c r="J1105" s="1">
        <f t="shared" si="70"/>
        <v>0</v>
      </c>
      <c r="K1105" s="19">
        <f t="shared" si="71"/>
        <v>0</v>
      </c>
    </row>
    <row r="1106" spans="1:11" ht="15">
      <c r="A1106" s="3">
        <v>1772</v>
      </c>
      <c r="B1106" s="151">
        <v>127</v>
      </c>
      <c r="C1106" s="7" t="s">
        <v>156</v>
      </c>
      <c r="D1106" s="4" t="s">
        <v>81</v>
      </c>
      <c r="E1106" t="s">
        <v>484</v>
      </c>
      <c r="F1106" s="12" t="str">
        <f>IFERROR(VLOOKUP(B1106,'INSUMOS  JULIO'!$B$6:$CJ$109,36,0),"")</f>
        <v>0</v>
      </c>
      <c r="G1106" s="8">
        <f>IFERROR(VLOOKUP($B1106,'INSUMOS  JULIO'!$B$6:$CJ$109,37,0),"")</f>
        <v>3316.9560000000001</v>
      </c>
      <c r="H1106" s="19">
        <f t="shared" si="68"/>
        <v>0</v>
      </c>
      <c r="I1106" s="1">
        <f t="shared" si="69"/>
        <v>0</v>
      </c>
      <c r="J1106" s="1">
        <f t="shared" si="70"/>
        <v>0</v>
      </c>
      <c r="K1106" s="19">
        <f t="shared" si="71"/>
        <v>0</v>
      </c>
    </row>
    <row r="1107" spans="1:11" ht="15">
      <c r="A1107" s="3">
        <v>1773</v>
      </c>
      <c r="B1107" s="151">
        <v>129</v>
      </c>
      <c r="C1107" s="7" t="s">
        <v>157</v>
      </c>
      <c r="D1107" s="4" t="s">
        <v>82</v>
      </c>
      <c r="E1107" t="s">
        <v>484</v>
      </c>
      <c r="F1107" s="12" t="str">
        <f>IFERROR(VLOOKUP(B1107,'INSUMOS  JULIO'!$B$6:$CJ$109,36,0),"")</f>
        <v>0</v>
      </c>
      <c r="G1107" s="8">
        <f>IFERROR(VLOOKUP($B1107,'INSUMOS  JULIO'!$B$6:$CJ$109,37,0),"")</f>
        <v>3787.8040000000001</v>
      </c>
      <c r="H1107" s="19">
        <f t="shared" si="68"/>
        <v>0</v>
      </c>
      <c r="I1107" s="1">
        <f t="shared" si="69"/>
        <v>0</v>
      </c>
      <c r="J1107" s="1">
        <f t="shared" si="70"/>
        <v>0</v>
      </c>
      <c r="K1107" s="19">
        <f t="shared" si="71"/>
        <v>0</v>
      </c>
    </row>
    <row r="1108" spans="1:11" ht="15">
      <c r="A1108" s="3">
        <v>1774</v>
      </c>
      <c r="B1108" s="151">
        <v>131</v>
      </c>
      <c r="C1108" s="7" t="s">
        <v>13</v>
      </c>
      <c r="D1108" s="4" t="s">
        <v>83</v>
      </c>
      <c r="E1108" t="s">
        <v>484</v>
      </c>
      <c r="F1108" s="12" t="str">
        <f>IFERROR(VLOOKUP(B1108,'INSUMOS  JULIO'!$B$6:$CJ$109,36,0),"")</f>
        <v>0</v>
      </c>
      <c r="G1108" s="8">
        <f>IFERROR(VLOOKUP($B1108,'INSUMOS  JULIO'!$B$6:$CJ$109,37,0),"")</f>
        <v>0</v>
      </c>
      <c r="H1108" s="19">
        <f t="shared" si="68"/>
        <v>0</v>
      </c>
      <c r="I1108" s="1">
        <f t="shared" si="69"/>
        <v>0</v>
      </c>
      <c r="J1108" s="1">
        <f t="shared" si="70"/>
        <v>0</v>
      </c>
      <c r="K1108" s="19">
        <f t="shared" si="71"/>
        <v>0</v>
      </c>
    </row>
    <row r="1109" spans="1:11" ht="15">
      <c r="A1109" s="3">
        <v>1775</v>
      </c>
      <c r="B1109" s="151">
        <v>132</v>
      </c>
      <c r="C1109" s="7" t="s">
        <v>13</v>
      </c>
      <c r="D1109" s="4" t="s">
        <v>84</v>
      </c>
      <c r="E1109" t="s">
        <v>484</v>
      </c>
      <c r="F1109" s="12" t="str">
        <f>IFERROR(VLOOKUP(B1109,'INSUMOS  JULIO'!$B$6:$CJ$109,36,0),"")</f>
        <v>0</v>
      </c>
      <c r="G1109" s="8">
        <f>IFERROR(VLOOKUP($B1109,'INSUMOS  JULIO'!$B$6:$CJ$109,37,0),"")</f>
        <v>0</v>
      </c>
      <c r="H1109" s="19">
        <f t="shared" si="68"/>
        <v>0</v>
      </c>
      <c r="I1109" s="1">
        <f t="shared" si="69"/>
        <v>0</v>
      </c>
      <c r="J1109" s="1">
        <f t="shared" si="70"/>
        <v>0</v>
      </c>
      <c r="K1109" s="19">
        <f t="shared" si="71"/>
        <v>0</v>
      </c>
    </row>
    <row r="1110" spans="1:11" ht="15">
      <c r="A1110" s="3">
        <v>1776</v>
      </c>
      <c r="B1110" s="151">
        <v>134</v>
      </c>
      <c r="C1110" s="7" t="s">
        <v>16</v>
      </c>
      <c r="D1110" s="4" t="s">
        <v>85</v>
      </c>
      <c r="E1110" t="s">
        <v>484</v>
      </c>
      <c r="F1110" s="12" t="str">
        <f>IFERROR(VLOOKUP(B1110,'INSUMOS  JULIO'!$B$6:$CJ$109,36,0),"")</f>
        <v>0</v>
      </c>
      <c r="G1110" s="8">
        <f>IFERROR(VLOOKUP($B1110,'INSUMOS  JULIO'!$B$6:$CJ$109,37,0),"")</f>
        <v>0</v>
      </c>
      <c r="H1110" s="19">
        <f t="shared" si="68"/>
        <v>0</v>
      </c>
      <c r="I1110" s="1">
        <f t="shared" si="69"/>
        <v>0</v>
      </c>
      <c r="J1110" s="1">
        <f t="shared" si="70"/>
        <v>0</v>
      </c>
      <c r="K1110" s="19">
        <f t="shared" si="71"/>
        <v>0</v>
      </c>
    </row>
    <row r="1111" spans="1:11" ht="15">
      <c r="A1111" s="3">
        <v>1777</v>
      </c>
      <c r="B1111" s="151">
        <v>135</v>
      </c>
      <c r="C1111" s="7" t="s">
        <v>18</v>
      </c>
      <c r="D1111" s="4" t="s">
        <v>86</v>
      </c>
      <c r="E1111" t="s">
        <v>484</v>
      </c>
      <c r="F1111" s="12">
        <f>IFERROR(VLOOKUP(B1111,'INSUMOS  JULIO'!$B$6:$CJ$109,36,0),"")</f>
        <v>0</v>
      </c>
      <c r="G1111" s="8">
        <f>IFERROR(VLOOKUP($B1111,'INSUMOS  JULIO'!$B$6:$CJ$109,37,0),"")</f>
        <v>6229.277</v>
      </c>
      <c r="H1111" s="19">
        <f t="shared" si="68"/>
        <v>0</v>
      </c>
      <c r="I1111" s="1">
        <f t="shared" si="69"/>
        <v>0</v>
      </c>
      <c r="J1111" s="1">
        <f t="shared" si="70"/>
        <v>0</v>
      </c>
      <c r="K1111" s="19">
        <f t="shared" si="71"/>
        <v>0</v>
      </c>
    </row>
    <row r="1112" spans="1:11" ht="15">
      <c r="A1112" s="3">
        <v>1778</v>
      </c>
      <c r="B1112" s="151">
        <v>137</v>
      </c>
      <c r="C1112" s="7" t="s">
        <v>20</v>
      </c>
      <c r="D1112" s="4" t="s">
        <v>88</v>
      </c>
      <c r="E1112" t="s">
        <v>484</v>
      </c>
      <c r="F1112" s="12" t="str">
        <f>IFERROR(VLOOKUP(B1112,'INSUMOS  JULIO'!$B$6:$CJ$109,36,0),"")</f>
        <v>0</v>
      </c>
      <c r="G1112" s="8">
        <f>IFERROR(VLOOKUP($B1112,'INSUMOS  JULIO'!$B$6:$CJ$109,37,0),"")</f>
        <v>1245.4349999999999</v>
      </c>
      <c r="H1112" s="19">
        <f t="shared" si="68"/>
        <v>0</v>
      </c>
      <c r="I1112" s="1">
        <f t="shared" si="69"/>
        <v>0</v>
      </c>
      <c r="J1112" s="1">
        <f t="shared" si="70"/>
        <v>0</v>
      </c>
      <c r="K1112" s="19">
        <f t="shared" si="71"/>
        <v>0</v>
      </c>
    </row>
    <row r="1113" spans="1:11" ht="15">
      <c r="A1113" s="3">
        <v>1779</v>
      </c>
      <c r="B1113" s="151">
        <v>139</v>
      </c>
      <c r="C1113" s="7" t="s">
        <v>22</v>
      </c>
      <c r="D1113" s="4" t="s">
        <v>89</v>
      </c>
      <c r="E1113" t="s">
        <v>484</v>
      </c>
      <c r="F1113" s="12">
        <f>IFERROR(VLOOKUP(B1113,'INSUMOS  JULIO'!$B$6:$CJ$109,36,0),"")</f>
        <v>0</v>
      </c>
      <c r="G1113" s="8">
        <f>IFERROR(VLOOKUP($B1113,'INSUMOS  JULIO'!$B$6:$CJ$109,37,0),"")</f>
        <v>25429.996000000003</v>
      </c>
      <c r="H1113" s="19">
        <f t="shared" si="68"/>
        <v>0</v>
      </c>
      <c r="I1113" s="1">
        <f t="shared" si="69"/>
        <v>0</v>
      </c>
      <c r="J1113" s="1">
        <f t="shared" si="70"/>
        <v>0</v>
      </c>
      <c r="K1113" s="19">
        <f t="shared" si="71"/>
        <v>0</v>
      </c>
    </row>
    <row r="1114" spans="1:11" ht="15">
      <c r="A1114" s="3">
        <v>1780</v>
      </c>
      <c r="B1114" s="151">
        <v>151</v>
      </c>
      <c r="C1114" s="7" t="s">
        <v>18</v>
      </c>
      <c r="D1114" s="4" t="s">
        <v>91</v>
      </c>
      <c r="E1114" t="s">
        <v>484</v>
      </c>
      <c r="F1114" s="12">
        <f>IFERROR(VLOOKUP(B1114,'INSUMOS  JULIO'!$B$6:$CJ$109,36,0),"")</f>
        <v>0</v>
      </c>
      <c r="G1114" s="8">
        <f>IFERROR(VLOOKUP($B1114,'INSUMOS  JULIO'!$B$6:$CJ$109,37,0),"")</f>
        <v>7960.6944000000003</v>
      </c>
      <c r="H1114" s="19">
        <f t="shared" si="68"/>
        <v>0</v>
      </c>
      <c r="I1114" s="1">
        <f t="shared" si="69"/>
        <v>0</v>
      </c>
      <c r="J1114" s="1">
        <f t="shared" si="70"/>
        <v>0</v>
      </c>
      <c r="K1114" s="19">
        <f t="shared" si="71"/>
        <v>0</v>
      </c>
    </row>
    <row r="1115" spans="1:11" ht="15">
      <c r="A1115" s="3">
        <v>1781</v>
      </c>
      <c r="B1115" s="151">
        <v>152</v>
      </c>
      <c r="C1115" s="7" t="s">
        <v>155</v>
      </c>
      <c r="D1115" s="4" t="s">
        <v>92</v>
      </c>
      <c r="E1115" t="s">
        <v>484</v>
      </c>
      <c r="F1115" s="12" t="str">
        <f>IFERROR(VLOOKUP(B1115,'INSUMOS  JULIO'!$B$6:$CJ$109,36,0),"")</f>
        <v>0</v>
      </c>
      <c r="G1115" s="8">
        <f>IFERROR(VLOOKUP($B1115,'INSUMOS  JULIO'!$B$6:$CJ$109,37,0),"")</f>
        <v>0</v>
      </c>
      <c r="H1115" s="19">
        <f t="shared" si="68"/>
        <v>0</v>
      </c>
      <c r="I1115" s="1">
        <f t="shared" si="69"/>
        <v>0</v>
      </c>
      <c r="J1115" s="1">
        <f t="shared" si="70"/>
        <v>0</v>
      </c>
      <c r="K1115" s="19">
        <f t="shared" si="71"/>
        <v>0</v>
      </c>
    </row>
    <row r="1116" spans="1:11" ht="15">
      <c r="A1116" s="3">
        <v>1782</v>
      </c>
      <c r="B1116" s="151">
        <v>154</v>
      </c>
      <c r="C1116" s="7" t="s">
        <v>16</v>
      </c>
      <c r="D1116" s="4" t="s">
        <v>94</v>
      </c>
      <c r="E1116" t="s">
        <v>484</v>
      </c>
      <c r="F1116" s="12" t="str">
        <f>IFERROR(VLOOKUP(B1116,'INSUMOS  JULIO'!$B$6:$CJ$109,36,0),"")</f>
        <v>0</v>
      </c>
      <c r="G1116" s="8">
        <f>IFERROR(VLOOKUP($B1116,'INSUMOS  JULIO'!$B$6:$CJ$109,37,0),"")</f>
        <v>0</v>
      </c>
      <c r="H1116" s="19">
        <f t="shared" si="68"/>
        <v>0</v>
      </c>
      <c r="I1116" s="1">
        <f t="shared" si="69"/>
        <v>0</v>
      </c>
      <c r="J1116" s="1">
        <f t="shared" si="70"/>
        <v>0</v>
      </c>
      <c r="K1116" s="19">
        <f t="shared" si="71"/>
        <v>0</v>
      </c>
    </row>
    <row r="1117" spans="1:11" ht="15">
      <c r="A1117" s="3">
        <v>1783</v>
      </c>
      <c r="B1117" s="151">
        <v>155</v>
      </c>
      <c r="C1117" s="7" t="s">
        <v>27</v>
      </c>
      <c r="D1117" s="4" t="s">
        <v>95</v>
      </c>
      <c r="E1117" t="s">
        <v>484</v>
      </c>
      <c r="F1117" s="12">
        <f>IFERROR(VLOOKUP(B1117,'INSUMOS  JULIO'!$B$6:$CJ$109,36,0),"")</f>
        <v>0</v>
      </c>
      <c r="G1117" s="8">
        <f>IFERROR(VLOOKUP($B1117,'INSUMOS  JULIO'!$B$6:$CJ$109,37,0),"")</f>
        <v>3703.7239999999997</v>
      </c>
      <c r="H1117" s="19">
        <f t="shared" si="68"/>
        <v>0</v>
      </c>
      <c r="I1117" s="1">
        <f t="shared" si="69"/>
        <v>0</v>
      </c>
      <c r="J1117" s="1">
        <f t="shared" si="70"/>
        <v>0</v>
      </c>
      <c r="K1117" s="19">
        <f t="shared" si="71"/>
        <v>0</v>
      </c>
    </row>
    <row r="1118" spans="1:11" ht="15">
      <c r="A1118" s="3">
        <v>1784</v>
      </c>
      <c r="B1118" s="151">
        <v>156</v>
      </c>
      <c r="C1118" s="7" t="s">
        <v>13</v>
      </c>
      <c r="D1118" s="4" t="s">
        <v>96</v>
      </c>
      <c r="E1118" t="s">
        <v>484</v>
      </c>
      <c r="F1118" s="12" t="str">
        <f>IFERROR(VLOOKUP(B1118,'INSUMOS  JULIO'!$B$6:$CJ$109,36,0),"")</f>
        <v>0</v>
      </c>
      <c r="G1118" s="8">
        <f>IFERROR(VLOOKUP($B1118,'INSUMOS  JULIO'!$B$6:$CJ$109,37,0),"")</f>
        <v>4422.6080000000002</v>
      </c>
      <c r="H1118" s="19">
        <f t="shared" si="68"/>
        <v>0</v>
      </c>
      <c r="I1118" s="1">
        <f t="shared" si="69"/>
        <v>0</v>
      </c>
      <c r="J1118" s="1">
        <f t="shared" si="70"/>
        <v>0</v>
      </c>
      <c r="K1118" s="19">
        <f t="shared" si="71"/>
        <v>0</v>
      </c>
    </row>
    <row r="1119" spans="1:11" ht="15">
      <c r="A1119" s="3">
        <v>1785</v>
      </c>
      <c r="B1119" s="151">
        <v>157</v>
      </c>
      <c r="C1119" s="7" t="s">
        <v>13</v>
      </c>
      <c r="D1119" s="4" t="s">
        <v>97</v>
      </c>
      <c r="E1119" t="s">
        <v>484</v>
      </c>
      <c r="F1119" s="12">
        <f>IFERROR(VLOOKUP(B1119,'INSUMOS  JULIO'!$B$6:$CJ$109,36,0),"")</f>
        <v>0</v>
      </c>
      <c r="G1119" s="8">
        <f>IFERROR(VLOOKUP($B1119,'INSUMOS  JULIO'!$B$6:$CJ$109,37,0),"")</f>
        <v>5970.7309999999998</v>
      </c>
      <c r="H1119" s="19">
        <f t="shared" si="68"/>
        <v>0</v>
      </c>
      <c r="I1119" s="1">
        <f t="shared" si="69"/>
        <v>0</v>
      </c>
      <c r="J1119" s="1">
        <f t="shared" si="70"/>
        <v>0</v>
      </c>
      <c r="K1119" s="19">
        <f t="shared" si="71"/>
        <v>0</v>
      </c>
    </row>
    <row r="1120" spans="1:11" ht="15">
      <c r="A1120" s="3">
        <v>1786</v>
      </c>
      <c r="B1120" s="151">
        <v>159</v>
      </c>
      <c r="C1120" s="7" t="s">
        <v>13</v>
      </c>
      <c r="D1120" s="4" t="s">
        <v>98</v>
      </c>
      <c r="E1120" t="s">
        <v>484</v>
      </c>
      <c r="F1120" s="12" t="str">
        <f>IFERROR(VLOOKUP(B1120,'INSUMOS  JULIO'!$B$6:$CJ$109,36,0),"")</f>
        <v>0</v>
      </c>
      <c r="G1120" s="8">
        <f>IFERROR(VLOOKUP($B1120,'INSUMOS  JULIO'!$B$6:$CJ$109,37,0),"")</f>
        <v>6716.8359</v>
      </c>
      <c r="H1120" s="19">
        <f t="shared" si="68"/>
        <v>0</v>
      </c>
      <c r="I1120" s="1">
        <f t="shared" si="69"/>
        <v>0</v>
      </c>
      <c r="J1120" s="1">
        <f t="shared" si="70"/>
        <v>0</v>
      </c>
      <c r="K1120" s="19">
        <f t="shared" si="71"/>
        <v>0</v>
      </c>
    </row>
    <row r="1121" spans="1:11" ht="15">
      <c r="A1121" s="3">
        <v>1787</v>
      </c>
      <c r="B1121" s="151">
        <v>160</v>
      </c>
      <c r="C1121" s="7" t="s">
        <v>13</v>
      </c>
      <c r="D1121" s="4" t="s">
        <v>99</v>
      </c>
      <c r="E1121" t="s">
        <v>484</v>
      </c>
      <c r="F1121" s="12" t="str">
        <f>IFERROR(VLOOKUP(B1121,'INSUMOS  JULIO'!$B$6:$CJ$109,36,0),"")</f>
        <v>0</v>
      </c>
      <c r="G1121" s="8">
        <f>IFERROR(VLOOKUP($B1121,'INSUMOS  JULIO'!$B$6:$CJ$109,37,0),"")</f>
        <v>3035.3931000000002</v>
      </c>
      <c r="H1121" s="19">
        <f t="shared" si="68"/>
        <v>0</v>
      </c>
      <c r="I1121" s="1">
        <f t="shared" si="69"/>
        <v>0</v>
      </c>
      <c r="J1121" s="1">
        <f t="shared" si="70"/>
        <v>0</v>
      </c>
      <c r="K1121" s="19">
        <f t="shared" si="71"/>
        <v>0</v>
      </c>
    </row>
    <row r="1122" spans="1:11" ht="15">
      <c r="A1122" s="3">
        <v>1788</v>
      </c>
      <c r="B1122" s="151">
        <v>161</v>
      </c>
      <c r="C1122" s="7" t="s">
        <v>33</v>
      </c>
      <c r="D1122" s="4" t="s">
        <v>100</v>
      </c>
      <c r="E1122" t="s">
        <v>484</v>
      </c>
      <c r="F1122" s="12" t="str">
        <f>IFERROR(VLOOKUP(B1122,'INSUMOS  JULIO'!$B$6:$CJ$109,36,0),"")</f>
        <v>0</v>
      </c>
      <c r="G1122" s="8">
        <f>IFERROR(VLOOKUP($B1122,'INSUMOS  JULIO'!$B$6:$CJ$109,37,0),"")</f>
        <v>2236.5280000000002</v>
      </c>
      <c r="H1122" s="19">
        <f t="shared" si="68"/>
        <v>0</v>
      </c>
      <c r="I1122" s="1">
        <f t="shared" si="69"/>
        <v>0</v>
      </c>
      <c r="J1122" s="1">
        <f t="shared" si="70"/>
        <v>0</v>
      </c>
      <c r="K1122" s="19">
        <f t="shared" si="71"/>
        <v>0</v>
      </c>
    </row>
    <row r="1123" spans="1:11" ht="15">
      <c r="A1123" s="3">
        <v>1789</v>
      </c>
      <c r="B1123" s="151">
        <v>162</v>
      </c>
      <c r="C1123" s="7" t="s">
        <v>16</v>
      </c>
      <c r="D1123" s="4" t="s">
        <v>101</v>
      </c>
      <c r="E1123" t="s">
        <v>484</v>
      </c>
      <c r="F1123" s="12">
        <f>IFERROR(VLOOKUP(B1123,'INSUMOS  JULIO'!$B$6:$CJ$109,36,0),"")</f>
        <v>0</v>
      </c>
      <c r="G1123" s="8">
        <f>IFERROR(VLOOKUP($B1123,'INSUMOS  JULIO'!$B$6:$CJ$109,37,0),"")</f>
        <v>2684.2539999999999</v>
      </c>
      <c r="H1123" s="19">
        <f t="shared" si="68"/>
        <v>0</v>
      </c>
      <c r="I1123" s="1">
        <f t="shared" si="69"/>
        <v>0</v>
      </c>
      <c r="J1123" s="1">
        <f t="shared" si="70"/>
        <v>0</v>
      </c>
      <c r="K1123" s="19">
        <f t="shared" si="71"/>
        <v>0</v>
      </c>
    </row>
    <row r="1124" spans="1:11" ht="15">
      <c r="A1124" s="3">
        <v>1790</v>
      </c>
      <c r="B1124" s="151">
        <v>164</v>
      </c>
      <c r="C1124" s="7" t="s">
        <v>36</v>
      </c>
      <c r="D1124" s="4" t="s">
        <v>102</v>
      </c>
      <c r="E1124" t="s">
        <v>484</v>
      </c>
      <c r="F1124" s="12" t="str">
        <f>IFERROR(VLOOKUP(B1124,'INSUMOS  JULIO'!$B$6:$CJ$109,36,0),"")</f>
        <v>0</v>
      </c>
      <c r="G1124" s="8">
        <f>IFERROR(VLOOKUP($B1124,'INSUMOS  JULIO'!$B$6:$CJ$109,37,0),"")</f>
        <v>1658.4780000000001</v>
      </c>
      <c r="H1124" s="19">
        <f t="shared" si="68"/>
        <v>0</v>
      </c>
      <c r="I1124" s="1">
        <f t="shared" si="69"/>
        <v>0</v>
      </c>
      <c r="J1124" s="1">
        <f t="shared" si="70"/>
        <v>0</v>
      </c>
      <c r="K1124" s="19">
        <f t="shared" si="71"/>
        <v>0</v>
      </c>
    </row>
    <row r="1125" spans="1:11" ht="15">
      <c r="A1125" s="3">
        <v>1791</v>
      </c>
      <c r="B1125" s="151">
        <v>169</v>
      </c>
      <c r="C1125" s="7" t="s">
        <v>36</v>
      </c>
      <c r="D1125" s="4" t="s">
        <v>104</v>
      </c>
      <c r="E1125" t="s">
        <v>484</v>
      </c>
      <c r="F1125" s="12" t="str">
        <f>IFERROR(VLOOKUP(B1125,'INSUMOS  JULIO'!$B$6:$CJ$109,36,0),"")</f>
        <v>0</v>
      </c>
      <c r="G1125" s="8">
        <f>IFERROR(VLOOKUP($B1125,'INSUMOS  JULIO'!$B$6:$CJ$109,37,0),"")</f>
        <v>85897.178999999989</v>
      </c>
      <c r="H1125" s="19">
        <f t="shared" si="68"/>
        <v>0</v>
      </c>
      <c r="I1125" s="1">
        <f t="shared" si="69"/>
        <v>0</v>
      </c>
      <c r="J1125" s="1">
        <f t="shared" si="70"/>
        <v>0</v>
      </c>
      <c r="K1125" s="19">
        <f t="shared" si="71"/>
        <v>0</v>
      </c>
    </row>
    <row r="1126" spans="1:11" ht="15">
      <c r="A1126" s="3">
        <v>1792</v>
      </c>
      <c r="B1126" s="151">
        <v>170</v>
      </c>
      <c r="C1126" s="7" t="s">
        <v>39</v>
      </c>
      <c r="D1126" s="4" t="s">
        <v>106</v>
      </c>
      <c r="E1126" t="s">
        <v>484</v>
      </c>
      <c r="F1126" s="12">
        <f>IFERROR(VLOOKUP(B1126,'INSUMOS  JULIO'!$B$6:$CJ$109,36,0),"")</f>
        <v>0</v>
      </c>
      <c r="G1126" s="8">
        <f>IFERROR(VLOOKUP($B1126,'INSUMOS  JULIO'!$B$6:$CJ$109,37,0),"")</f>
        <v>19405.664000000001</v>
      </c>
      <c r="H1126" s="19">
        <f t="shared" si="68"/>
        <v>0</v>
      </c>
      <c r="I1126" s="1">
        <f t="shared" si="69"/>
        <v>0</v>
      </c>
      <c r="J1126" s="1">
        <f t="shared" si="70"/>
        <v>0</v>
      </c>
      <c r="K1126" s="19">
        <f t="shared" si="71"/>
        <v>0</v>
      </c>
    </row>
    <row r="1127" spans="1:11" ht="15">
      <c r="A1127" s="3">
        <v>1793</v>
      </c>
      <c r="B1127" s="151">
        <v>173</v>
      </c>
      <c r="C1127" s="7" t="s">
        <v>39</v>
      </c>
      <c r="D1127" s="4" t="s">
        <v>107</v>
      </c>
      <c r="E1127" t="s">
        <v>484</v>
      </c>
      <c r="F1127" s="12" t="str">
        <f>IFERROR(VLOOKUP(B1127,'INSUMOS  JULIO'!$B$6:$CJ$109,36,0),"")</f>
        <v>0</v>
      </c>
      <c r="G1127" s="8">
        <f>IFERROR(VLOOKUP($B1127,'INSUMOS  JULIO'!$B$6:$CJ$109,37,0),"")</f>
        <v>0</v>
      </c>
      <c r="H1127" s="19">
        <f t="shared" si="68"/>
        <v>0</v>
      </c>
      <c r="I1127" s="1">
        <f t="shared" si="69"/>
        <v>0</v>
      </c>
      <c r="J1127" s="1">
        <f t="shared" si="70"/>
        <v>0</v>
      </c>
      <c r="K1127" s="19">
        <f t="shared" si="71"/>
        <v>0</v>
      </c>
    </row>
    <row r="1128" spans="1:11" ht="15">
      <c r="A1128" s="3">
        <v>1794</v>
      </c>
      <c r="B1128" s="151">
        <v>174</v>
      </c>
      <c r="C1128" s="7" t="s">
        <v>108</v>
      </c>
      <c r="D1128" s="4" t="s">
        <v>109</v>
      </c>
      <c r="E1128" t="s">
        <v>484</v>
      </c>
      <c r="F1128" s="12" t="str">
        <f>IFERROR(VLOOKUP(B1128,'INSUMOS  JULIO'!$B$6:$CJ$109,36,0),"")</f>
        <v>0</v>
      </c>
      <c r="G1128" s="8">
        <f>IFERROR(VLOOKUP($B1128,'INSUMOS  JULIO'!$B$6:$CJ$109,37,0),"")</f>
        <v>6081.0860000000002</v>
      </c>
      <c r="H1128" s="19">
        <f t="shared" si="68"/>
        <v>0</v>
      </c>
      <c r="I1128" s="1">
        <f t="shared" si="69"/>
        <v>0</v>
      </c>
      <c r="J1128" s="1">
        <f t="shared" si="70"/>
        <v>0</v>
      </c>
      <c r="K1128" s="19">
        <f t="shared" si="71"/>
        <v>0</v>
      </c>
    </row>
    <row r="1129" spans="1:11" ht="15">
      <c r="A1129" s="3">
        <v>1795</v>
      </c>
      <c r="B1129" s="151">
        <v>176</v>
      </c>
      <c r="C1129" s="7" t="s">
        <v>108</v>
      </c>
      <c r="D1129" s="4" t="s">
        <v>110</v>
      </c>
      <c r="E1129" t="s">
        <v>484</v>
      </c>
      <c r="F1129" s="12" t="str">
        <f>IFERROR(VLOOKUP(B1129,'INSUMOS  JULIO'!$B$6:$CJ$109,36,0),"")</f>
        <v>0</v>
      </c>
      <c r="G1129" s="8">
        <f>IFERROR(VLOOKUP($B1129,'INSUMOS  JULIO'!$B$6:$CJ$109,37,0),"")</f>
        <v>2749.4160000000002</v>
      </c>
      <c r="H1129" s="19">
        <f t="shared" si="68"/>
        <v>0</v>
      </c>
      <c r="I1129" s="1">
        <f t="shared" si="69"/>
        <v>0</v>
      </c>
      <c r="J1129" s="1">
        <f t="shared" si="70"/>
        <v>0</v>
      </c>
      <c r="K1129" s="19">
        <f t="shared" si="71"/>
        <v>0</v>
      </c>
    </row>
    <row r="1130" spans="1:11" ht="15">
      <c r="A1130" s="3">
        <v>1796</v>
      </c>
      <c r="B1130" s="151">
        <v>192</v>
      </c>
      <c r="C1130" s="7" t="s">
        <v>149</v>
      </c>
      <c r="D1130" s="4" t="s">
        <v>111</v>
      </c>
      <c r="E1130" t="s">
        <v>484</v>
      </c>
      <c r="F1130" s="12">
        <f>IFERROR(VLOOKUP(B1130,'INSUMOS  JULIO'!$B$6:$CJ$109,36,0),"")</f>
        <v>0</v>
      </c>
      <c r="G1130" s="8">
        <f>IFERROR(VLOOKUP($B1130,'INSUMOS  JULIO'!$B$6:$CJ$109,37,0),"")</f>
        <v>6866.2880999999998</v>
      </c>
      <c r="H1130" s="19">
        <f t="shared" si="68"/>
        <v>0</v>
      </c>
      <c r="I1130" s="1">
        <f t="shared" si="69"/>
        <v>0</v>
      </c>
      <c r="J1130" s="1">
        <f t="shared" si="70"/>
        <v>0</v>
      </c>
      <c r="K1130" s="19">
        <f t="shared" si="71"/>
        <v>0</v>
      </c>
    </row>
    <row r="1131" spans="1:11" ht="15">
      <c r="A1131" s="3">
        <v>1797</v>
      </c>
      <c r="B1131" s="151">
        <v>195</v>
      </c>
      <c r="C1131" s="7" t="s">
        <v>151</v>
      </c>
      <c r="D1131" s="4" t="s">
        <v>112</v>
      </c>
      <c r="E1131" t="s">
        <v>484</v>
      </c>
      <c r="F1131" s="12">
        <f>IFERROR(VLOOKUP(B1131,'INSUMOS  JULIO'!$B$6:$CJ$109,36,0),"")</f>
        <v>0</v>
      </c>
      <c r="G1131" s="8">
        <f>IFERROR(VLOOKUP($B1131,'INSUMOS  JULIO'!$B$6:$CJ$109,37,0),"")</f>
        <v>10697.1831</v>
      </c>
      <c r="H1131" s="19">
        <f t="shared" si="68"/>
        <v>0</v>
      </c>
      <c r="I1131" s="1">
        <f t="shared" si="69"/>
        <v>0</v>
      </c>
      <c r="J1131" s="1">
        <f t="shared" si="70"/>
        <v>0</v>
      </c>
      <c r="K1131" s="19">
        <f t="shared" si="71"/>
        <v>0</v>
      </c>
    </row>
    <row r="1132" spans="1:11" ht="15">
      <c r="A1132" s="3">
        <v>1798</v>
      </c>
      <c r="B1132" s="151">
        <v>204</v>
      </c>
      <c r="C1132" s="7" t="s">
        <v>46</v>
      </c>
      <c r="D1132" s="4" t="s">
        <v>113</v>
      </c>
      <c r="E1132" t="s">
        <v>484</v>
      </c>
      <c r="F1132" s="12">
        <f>IFERROR(VLOOKUP(B1132,'INSUMOS  JULIO'!$B$6:$CJ$109,36,0),"")</f>
        <v>10</v>
      </c>
      <c r="G1132" s="8">
        <f>IFERROR(VLOOKUP($B1132,'INSUMOS  JULIO'!$B$6:$CJ$109,37,0),"")</f>
        <v>25673.6178</v>
      </c>
      <c r="H1132" s="19">
        <f t="shared" si="68"/>
        <v>256736.17800000001</v>
      </c>
      <c r="I1132" s="1">
        <f t="shared" si="69"/>
        <v>25673.617800000004</v>
      </c>
      <c r="J1132" s="1">
        <f t="shared" si="70"/>
        <v>4877.9873820000012</v>
      </c>
      <c r="K1132" s="19">
        <f t="shared" si="71"/>
        <v>287287.78318200004</v>
      </c>
    </row>
    <row r="1133" spans="1:11" ht="27">
      <c r="A1133" s="3">
        <v>1799</v>
      </c>
      <c r="B1133" s="151">
        <v>205</v>
      </c>
      <c r="C1133" s="7" t="s">
        <v>159</v>
      </c>
      <c r="D1133" s="4" t="s">
        <v>114</v>
      </c>
      <c r="E1133" t="s">
        <v>484</v>
      </c>
      <c r="F1133" s="12" t="str">
        <f>IFERROR(VLOOKUP(B1133,'INSUMOS  JULIO'!$B$6:$CJ$109,36,0),"")</f>
        <v>0</v>
      </c>
      <c r="G1133" s="8">
        <f>IFERROR(VLOOKUP($B1133,'INSUMOS  JULIO'!$B$6:$CJ$109,37,0),"")</f>
        <v>17690.432000000001</v>
      </c>
      <c r="H1133" s="19">
        <f t="shared" si="68"/>
        <v>0</v>
      </c>
      <c r="I1133" s="1">
        <f t="shared" si="69"/>
        <v>0</v>
      </c>
      <c r="J1133" s="1">
        <f t="shared" si="70"/>
        <v>0</v>
      </c>
      <c r="K1133" s="19">
        <f t="shared" si="71"/>
        <v>0</v>
      </c>
    </row>
    <row r="1134" spans="1:11" ht="15">
      <c r="A1134" s="3">
        <v>1800</v>
      </c>
      <c r="B1134" s="151">
        <v>207</v>
      </c>
      <c r="C1134" s="7" t="s">
        <v>159</v>
      </c>
      <c r="D1134" s="4" t="s">
        <v>115</v>
      </c>
      <c r="E1134" t="s">
        <v>484</v>
      </c>
      <c r="F1134" s="12" t="str">
        <f>IFERROR(VLOOKUP(B1134,'INSUMOS  JULIO'!$B$6:$CJ$109,36,0),"")</f>
        <v>0</v>
      </c>
      <c r="G1134" s="8">
        <f>IFERROR(VLOOKUP($B1134,'INSUMOS  JULIO'!$B$6:$CJ$109,37,0),"")</f>
        <v>7186.7380000000003</v>
      </c>
      <c r="H1134" s="19">
        <f t="shared" si="68"/>
        <v>0</v>
      </c>
      <c r="I1134" s="1">
        <f t="shared" si="69"/>
        <v>0</v>
      </c>
      <c r="J1134" s="1">
        <f t="shared" si="70"/>
        <v>0</v>
      </c>
      <c r="K1134" s="19">
        <f t="shared" si="71"/>
        <v>0</v>
      </c>
    </row>
    <row r="1135" spans="1:11" ht="15">
      <c r="A1135" s="3">
        <v>1801</v>
      </c>
      <c r="B1135" s="151">
        <v>208</v>
      </c>
      <c r="C1135" s="7" t="s">
        <v>159</v>
      </c>
      <c r="D1135" s="4" t="s">
        <v>634</v>
      </c>
      <c r="E1135" t="s">
        <v>484</v>
      </c>
      <c r="F1135" s="12" t="str">
        <f>IFERROR(VLOOKUP(B1135,'INSUMOS  JULIO'!$B$6:$CJ$109,36,0),"")</f>
        <v>0</v>
      </c>
      <c r="G1135" s="8">
        <f>IFERROR(VLOOKUP($B1135,'INSUMOS  JULIO'!$B$6:$CJ$109,37,0),"")</f>
        <v>50779.065000000002</v>
      </c>
      <c r="H1135" s="19">
        <f t="shared" si="68"/>
        <v>0</v>
      </c>
      <c r="I1135" s="1">
        <f t="shared" si="69"/>
        <v>0</v>
      </c>
      <c r="J1135" s="1">
        <f t="shared" si="70"/>
        <v>0</v>
      </c>
      <c r="K1135" s="19">
        <f t="shared" si="71"/>
        <v>0</v>
      </c>
    </row>
    <row r="1136" spans="1:11" ht="15">
      <c r="A1136" s="3">
        <v>1802</v>
      </c>
      <c r="B1136" s="151">
        <v>209</v>
      </c>
      <c r="C1136" s="7" t="s">
        <v>159</v>
      </c>
      <c r="D1136" s="4" t="s">
        <v>635</v>
      </c>
      <c r="E1136" t="s">
        <v>484</v>
      </c>
      <c r="F1136" s="12" t="str">
        <f>IFERROR(VLOOKUP(B1136,'INSUMOS  JULIO'!$B$6:$CJ$109,36,0),"")</f>
        <v>0</v>
      </c>
      <c r="G1136" s="8">
        <f>IFERROR(VLOOKUP($B1136,'INSUMOS  JULIO'!$B$6:$CJ$109,37,0),"")</f>
        <v>37357.794999999998</v>
      </c>
      <c r="H1136" s="19">
        <f t="shared" si="68"/>
        <v>0</v>
      </c>
      <c r="I1136" s="1">
        <f t="shared" si="69"/>
        <v>0</v>
      </c>
      <c r="J1136" s="1">
        <f t="shared" si="70"/>
        <v>0</v>
      </c>
      <c r="K1136" s="19">
        <f t="shared" si="71"/>
        <v>0</v>
      </c>
    </row>
    <row r="1137" spans="1:11" ht="15">
      <c r="A1137" s="3">
        <v>1803</v>
      </c>
      <c r="B1137" s="151">
        <v>210</v>
      </c>
      <c r="C1137" s="7" t="s">
        <v>159</v>
      </c>
      <c r="D1137" s="4" t="s">
        <v>636</v>
      </c>
      <c r="E1137" t="s">
        <v>484</v>
      </c>
      <c r="F1137" s="12" t="str">
        <f>IFERROR(VLOOKUP(B1137,'INSUMOS  JULIO'!$B$6:$CJ$109,36,0),"")</f>
        <v>0</v>
      </c>
      <c r="G1137" s="8">
        <f>IFERROR(VLOOKUP($B1137,'INSUMOS  JULIO'!$B$6:$CJ$109,37,0),"")</f>
        <v>22537.643999999997</v>
      </c>
      <c r="H1137" s="19">
        <f t="shared" si="68"/>
        <v>0</v>
      </c>
      <c r="I1137" s="1">
        <f t="shared" si="69"/>
        <v>0</v>
      </c>
      <c r="J1137" s="1">
        <f t="shared" si="70"/>
        <v>0</v>
      </c>
      <c r="K1137" s="19">
        <f t="shared" si="71"/>
        <v>0</v>
      </c>
    </row>
    <row r="1138" spans="1:11" ht="15">
      <c r="A1138" s="3">
        <v>1804</v>
      </c>
      <c r="B1138" s="151">
        <v>211</v>
      </c>
      <c r="C1138" s="7" t="s">
        <v>53</v>
      </c>
      <c r="D1138" s="4" t="s">
        <v>637</v>
      </c>
      <c r="E1138" t="s">
        <v>484</v>
      </c>
      <c r="F1138" s="12" t="str">
        <f>IFERROR(VLOOKUP(B1138,'INSUMOS  JULIO'!$B$6:$CJ$109,36,0),"")</f>
        <v>0</v>
      </c>
      <c r="G1138" s="8">
        <f>IFERROR(VLOOKUP($B1138,'INSUMOS  JULIO'!$B$6:$CJ$109,37,0),"")</f>
        <v>15992.016</v>
      </c>
      <c r="H1138" s="19">
        <f t="shared" si="68"/>
        <v>0</v>
      </c>
      <c r="I1138" s="1">
        <f t="shared" si="69"/>
        <v>0</v>
      </c>
      <c r="J1138" s="1">
        <f t="shared" si="70"/>
        <v>0</v>
      </c>
      <c r="K1138" s="19">
        <f t="shared" si="71"/>
        <v>0</v>
      </c>
    </row>
    <row r="1139" spans="1:11" ht="15">
      <c r="A1139" s="3">
        <v>1805</v>
      </c>
      <c r="B1139" s="151">
        <v>212</v>
      </c>
      <c r="C1139" s="7" t="s">
        <v>53</v>
      </c>
      <c r="D1139" s="4" t="s">
        <v>116</v>
      </c>
      <c r="E1139" t="s">
        <v>484</v>
      </c>
      <c r="F1139" s="12" t="str">
        <f>IFERROR(VLOOKUP(B1139,'INSUMOS  JULIO'!$B$6:$CJ$109,36,0),"")</f>
        <v>0</v>
      </c>
      <c r="G1139" s="8">
        <f>IFERROR(VLOOKUP($B1139,'INSUMOS  JULIO'!$B$6:$CJ$109,37,0),"")</f>
        <v>2505.5839999999998</v>
      </c>
      <c r="H1139" s="19">
        <f t="shared" si="68"/>
        <v>0</v>
      </c>
      <c r="I1139" s="1">
        <f t="shared" si="69"/>
        <v>0</v>
      </c>
      <c r="J1139" s="1">
        <f t="shared" si="70"/>
        <v>0</v>
      </c>
      <c r="K1139" s="19">
        <f t="shared" si="71"/>
        <v>0</v>
      </c>
    </row>
    <row r="1140" spans="1:11" ht="15">
      <c r="A1140" s="3">
        <v>1806</v>
      </c>
      <c r="B1140" s="151">
        <v>213</v>
      </c>
      <c r="C1140" s="7" t="s">
        <v>53</v>
      </c>
      <c r="D1140" s="4" t="s">
        <v>638</v>
      </c>
      <c r="E1140" t="s">
        <v>484</v>
      </c>
      <c r="F1140" s="12" t="str">
        <f>IFERROR(VLOOKUP(B1140,'INSUMOS  JULIO'!$B$6:$CJ$109,36,0),"")</f>
        <v>0</v>
      </c>
      <c r="G1140" s="8">
        <f>IFERROR(VLOOKUP($B1140,'INSUMOS  JULIO'!$B$6:$CJ$109,37,0),"")</f>
        <v>0</v>
      </c>
      <c r="H1140" s="19">
        <f t="shared" si="68"/>
        <v>0</v>
      </c>
      <c r="I1140" s="1">
        <f t="shared" si="69"/>
        <v>0</v>
      </c>
      <c r="J1140" s="1">
        <f t="shared" si="70"/>
        <v>0</v>
      </c>
      <c r="K1140" s="19">
        <f t="shared" si="71"/>
        <v>0</v>
      </c>
    </row>
    <row r="1141" spans="1:11" ht="15">
      <c r="A1141" s="3">
        <v>1807</v>
      </c>
      <c r="B1141" s="151">
        <v>215</v>
      </c>
      <c r="C1141" s="7" t="s">
        <v>53</v>
      </c>
      <c r="D1141" s="4" t="s">
        <v>639</v>
      </c>
      <c r="E1141" t="s">
        <v>484</v>
      </c>
      <c r="F1141" s="12" t="str">
        <f>IFERROR(VLOOKUP(B1141,'INSUMOS  JULIO'!$B$6:$CJ$109,36,0),"")</f>
        <v>0</v>
      </c>
      <c r="G1141" s="8">
        <f>IFERROR(VLOOKUP($B1141,'INSUMOS  JULIO'!$B$6:$CJ$109,37,0),"")</f>
        <v>10476.367999999999</v>
      </c>
      <c r="H1141" s="19">
        <f t="shared" si="68"/>
        <v>0</v>
      </c>
      <c r="I1141" s="1">
        <f t="shared" si="69"/>
        <v>0</v>
      </c>
      <c r="J1141" s="1">
        <f t="shared" si="70"/>
        <v>0</v>
      </c>
      <c r="K1141" s="19">
        <f t="shared" si="71"/>
        <v>0</v>
      </c>
    </row>
    <row r="1142" spans="1:11" ht="15">
      <c r="A1142" s="3">
        <v>1808</v>
      </c>
      <c r="B1142" s="151">
        <v>216</v>
      </c>
      <c r="C1142" s="7" t="s">
        <v>160</v>
      </c>
      <c r="D1142" s="4" t="s">
        <v>640</v>
      </c>
      <c r="E1142" t="s">
        <v>484</v>
      </c>
      <c r="F1142" s="12" t="str">
        <f>IFERROR(VLOOKUP(B1142,'INSUMOS  JULIO'!$B$6:$CJ$109,36,0),"")</f>
        <v>0</v>
      </c>
      <c r="G1142" s="8">
        <f>IFERROR(VLOOKUP($B1142,'INSUMOS  JULIO'!$B$6:$CJ$109,37,0),"")</f>
        <v>3954.9129999999996</v>
      </c>
      <c r="H1142" s="19">
        <f t="shared" si="68"/>
        <v>0</v>
      </c>
      <c r="I1142" s="1">
        <f t="shared" si="69"/>
        <v>0</v>
      </c>
      <c r="J1142" s="1">
        <f t="shared" si="70"/>
        <v>0</v>
      </c>
      <c r="K1142" s="19">
        <f t="shared" si="71"/>
        <v>0</v>
      </c>
    </row>
    <row r="1143" spans="1:11" ht="15">
      <c r="A1143" s="3">
        <v>1809</v>
      </c>
      <c r="B1143" s="151">
        <v>218</v>
      </c>
      <c r="C1143" s="7" t="s">
        <v>160</v>
      </c>
      <c r="D1143" s="4" t="s">
        <v>117</v>
      </c>
      <c r="E1143" t="s">
        <v>484</v>
      </c>
      <c r="F1143" s="12" t="str">
        <f>IFERROR(VLOOKUP(B1143,'INSUMOS  JULIO'!$B$6:$CJ$109,36,0),"")</f>
        <v>0</v>
      </c>
      <c r="G1143" s="8">
        <f>IFERROR(VLOOKUP($B1143,'INSUMOS  JULIO'!$B$6:$CJ$109,37,0),"")</f>
        <v>1437.768</v>
      </c>
      <c r="H1143" s="19">
        <f t="shared" si="68"/>
        <v>0</v>
      </c>
      <c r="I1143" s="1">
        <f t="shared" si="69"/>
        <v>0</v>
      </c>
      <c r="J1143" s="1">
        <f t="shared" si="70"/>
        <v>0</v>
      </c>
      <c r="K1143" s="19">
        <f t="shared" si="71"/>
        <v>0</v>
      </c>
    </row>
    <row r="1144" spans="1:11" ht="15">
      <c r="A1144" s="3">
        <v>1810</v>
      </c>
      <c r="B1144" s="151">
        <v>251</v>
      </c>
      <c r="C1144" s="7" t="s">
        <v>60</v>
      </c>
      <c r="D1144" s="4" t="s">
        <v>118</v>
      </c>
      <c r="E1144" t="s">
        <v>484</v>
      </c>
      <c r="F1144" s="12" t="str">
        <f>IFERROR(VLOOKUP(B1144,'INSUMOS  JULIO'!$B$6:$CJ$109,36,0),"")</f>
        <v>0</v>
      </c>
      <c r="G1144" s="8">
        <f>IFERROR(VLOOKUP($B1144,'INSUMOS  JULIO'!$B$6:$CJ$109,37,0),"")</f>
        <v>16031.954000000002</v>
      </c>
      <c r="H1144" s="19">
        <f t="shared" si="68"/>
        <v>0</v>
      </c>
      <c r="I1144" s="1">
        <f t="shared" si="69"/>
        <v>0</v>
      </c>
      <c r="J1144" s="1">
        <f t="shared" si="70"/>
        <v>0</v>
      </c>
      <c r="K1144" s="19">
        <f t="shared" si="71"/>
        <v>0</v>
      </c>
    </row>
    <row r="1145" spans="1:11" ht="15">
      <c r="A1145" s="3">
        <v>1811</v>
      </c>
      <c r="B1145" s="151">
        <v>255</v>
      </c>
      <c r="C1145" s="7" t="s">
        <v>60</v>
      </c>
      <c r="D1145" s="4" t="s">
        <v>641</v>
      </c>
      <c r="E1145" t="s">
        <v>484</v>
      </c>
      <c r="F1145" s="12" t="str">
        <f>IFERROR(VLOOKUP(B1145,'INSUMOS  JULIO'!$B$6:$CJ$109,36,0),"")</f>
        <v>0</v>
      </c>
      <c r="G1145" s="8">
        <f>IFERROR(VLOOKUP($B1145,'INSUMOS  JULIO'!$B$6:$CJ$109,37,0),"")</f>
        <v>29299.777999999998</v>
      </c>
      <c r="H1145" s="19">
        <f t="shared" si="68"/>
        <v>0</v>
      </c>
      <c r="I1145" s="1">
        <f t="shared" si="69"/>
        <v>0</v>
      </c>
      <c r="J1145" s="1">
        <f t="shared" si="70"/>
        <v>0</v>
      </c>
      <c r="K1145" s="19">
        <f t="shared" si="71"/>
        <v>0</v>
      </c>
    </row>
    <row r="1146" spans="1:11" ht="15">
      <c r="A1146" s="3">
        <v>1812</v>
      </c>
      <c r="B1146" s="151">
        <v>257</v>
      </c>
      <c r="C1146" s="7" t="s">
        <v>151</v>
      </c>
      <c r="D1146" s="4" t="s">
        <v>642</v>
      </c>
      <c r="E1146" t="s">
        <v>484</v>
      </c>
      <c r="F1146" s="12" t="str">
        <f>IFERROR(VLOOKUP(B1146,'INSUMOS  JULIO'!$B$6:$CJ$109,36,0),"")</f>
        <v>0</v>
      </c>
      <c r="G1146" s="8">
        <f>IFERROR(VLOOKUP($B1146,'INSUMOS  JULIO'!$B$6:$CJ$109,37,0),"")</f>
        <v>18796.084000000003</v>
      </c>
      <c r="H1146" s="19">
        <f t="shared" si="68"/>
        <v>0</v>
      </c>
      <c r="I1146" s="1">
        <f t="shared" si="69"/>
        <v>0</v>
      </c>
      <c r="J1146" s="1">
        <f t="shared" si="70"/>
        <v>0</v>
      </c>
      <c r="K1146" s="19">
        <f t="shared" si="71"/>
        <v>0</v>
      </c>
    </row>
    <row r="1147" spans="1:11" ht="15">
      <c r="A1147" s="3">
        <v>1813</v>
      </c>
      <c r="B1147" s="151">
        <v>260</v>
      </c>
      <c r="C1147" s="7" t="s">
        <v>160</v>
      </c>
      <c r="D1147" s="4" t="s">
        <v>643</v>
      </c>
      <c r="E1147" t="s">
        <v>484</v>
      </c>
      <c r="F1147" s="12" t="str">
        <f>IFERROR(VLOOKUP(B1147,'INSUMOS  JULIO'!$B$6:$CJ$109,36,0),"")</f>
        <v>0</v>
      </c>
      <c r="G1147" s="8">
        <f>IFERROR(VLOOKUP($B1147,'INSUMOS  JULIO'!$B$6:$CJ$109,37,0),"")</f>
        <v>3417.8520000000008</v>
      </c>
      <c r="H1147" s="19">
        <f t="shared" si="68"/>
        <v>0</v>
      </c>
      <c r="I1147" s="1">
        <f t="shared" si="69"/>
        <v>0</v>
      </c>
      <c r="J1147" s="1">
        <f t="shared" si="70"/>
        <v>0</v>
      </c>
      <c r="K1147" s="19">
        <f t="shared" si="71"/>
        <v>0</v>
      </c>
    </row>
    <row r="1148" spans="1:11" ht="15">
      <c r="A1148" s="3">
        <v>1814</v>
      </c>
      <c r="B1148" s="151">
        <v>291</v>
      </c>
      <c r="C1148" s="7" t="s">
        <v>60</v>
      </c>
      <c r="D1148" s="4" t="s">
        <v>644</v>
      </c>
      <c r="E1148" t="s">
        <v>484</v>
      </c>
      <c r="F1148" s="12" t="str">
        <f>IFERROR(VLOOKUP(B1148,'INSUMOS  JULIO'!$B$6:$CJ$109,36,0),"")</f>
        <v>0</v>
      </c>
      <c r="G1148" s="8">
        <f>IFERROR(VLOOKUP($B1148,'INSUMOS  JULIO'!$B$6:$CJ$109,37,0),"")</f>
        <v>20454.562000000005</v>
      </c>
      <c r="H1148" s="19">
        <f t="shared" si="68"/>
        <v>0</v>
      </c>
      <c r="I1148" s="1">
        <f t="shared" si="69"/>
        <v>0</v>
      </c>
      <c r="J1148" s="1">
        <f t="shared" si="70"/>
        <v>0</v>
      </c>
      <c r="K1148" s="19">
        <f t="shared" si="71"/>
        <v>0</v>
      </c>
    </row>
    <row r="1149" spans="1:11" ht="15">
      <c r="A1149" s="3">
        <v>1815</v>
      </c>
      <c r="B1149" s="151">
        <v>3</v>
      </c>
      <c r="C1149" s="7" t="s">
        <v>155</v>
      </c>
      <c r="D1149" s="4" t="s">
        <v>5</v>
      </c>
      <c r="E1149" t="s">
        <v>172</v>
      </c>
      <c r="F1149" s="12" t="str">
        <f>IFERROR(VLOOKUP($B1149,'INSUMOS  JULIO'!$B$6:$CJ$109,39,0),"")</f>
        <v>0</v>
      </c>
      <c r="G1149" s="8">
        <f>IFERROR(VLOOKUP($B1149,'INSUMOS  JULIO'!$B$6:$CJ$109,40,0),"")</f>
        <v>7268.7160000000003</v>
      </c>
      <c r="H1149" s="19">
        <f t="shared" si="68"/>
        <v>0</v>
      </c>
      <c r="I1149" s="1">
        <f t="shared" si="69"/>
        <v>0</v>
      </c>
      <c r="J1149" s="1">
        <f t="shared" si="70"/>
        <v>0</v>
      </c>
      <c r="K1149" s="19">
        <f t="shared" si="71"/>
        <v>0</v>
      </c>
    </row>
    <row r="1150" spans="1:11" ht="15">
      <c r="A1150" s="3">
        <v>1816</v>
      </c>
      <c r="B1150" s="151">
        <v>5</v>
      </c>
      <c r="C1150" s="7" t="s">
        <v>6</v>
      </c>
      <c r="D1150" s="4" t="s">
        <v>7</v>
      </c>
      <c r="E1150" t="s">
        <v>172</v>
      </c>
      <c r="F1150" s="12" t="str">
        <f>IFERROR(VLOOKUP(B1150,'INSUMOS  JULIO'!$B$6:$CJ$109,39,0),"")</f>
        <v>0</v>
      </c>
      <c r="G1150" s="8">
        <f>IFERROR(VLOOKUP($B1150,'INSUMOS  JULIO'!$B$6:$CJ$109,40,0),"")</f>
        <v>6494.1289999999999</v>
      </c>
      <c r="H1150" s="19">
        <f t="shared" si="68"/>
        <v>0</v>
      </c>
      <c r="I1150" s="1">
        <f t="shared" si="69"/>
        <v>0</v>
      </c>
      <c r="J1150" s="1">
        <f t="shared" si="70"/>
        <v>0</v>
      </c>
      <c r="K1150" s="19">
        <f t="shared" si="71"/>
        <v>0</v>
      </c>
    </row>
    <row r="1151" spans="1:11" ht="15">
      <c r="A1151" s="3">
        <v>1817</v>
      </c>
      <c r="B1151" s="151">
        <v>8</v>
      </c>
      <c r="C1151" s="7" t="s">
        <v>6</v>
      </c>
      <c r="D1151" s="4" t="s">
        <v>8</v>
      </c>
      <c r="E1151" t="s">
        <v>172</v>
      </c>
      <c r="F1151" s="12">
        <f>IFERROR(VLOOKUP(B1151,'INSUMOS  JULIO'!$B$6:$CJ$109,39,0),"")</f>
        <v>0</v>
      </c>
      <c r="G1151" s="8">
        <f>IFERROR(VLOOKUP($B1151,'INSUMOS  JULIO'!$B$6:$CJ$109,40,0),"")</f>
        <v>2211.3040000000001</v>
      </c>
      <c r="H1151" s="19">
        <f t="shared" si="68"/>
        <v>0</v>
      </c>
      <c r="I1151" s="1">
        <f t="shared" si="69"/>
        <v>0</v>
      </c>
      <c r="J1151" s="1">
        <f t="shared" si="70"/>
        <v>0</v>
      </c>
      <c r="K1151" s="19">
        <f t="shared" si="71"/>
        <v>0</v>
      </c>
    </row>
    <row r="1152" spans="1:11" ht="15">
      <c r="A1152" s="3">
        <v>1818</v>
      </c>
      <c r="B1152" s="151">
        <v>9</v>
      </c>
      <c r="C1152" s="7" t="s">
        <v>9</v>
      </c>
      <c r="D1152" s="4" t="s">
        <v>10</v>
      </c>
      <c r="E1152" t="s">
        <v>172</v>
      </c>
      <c r="F1152" s="12">
        <f>IFERROR(VLOOKUP(B1152,'INSUMOS  JULIO'!$B$6:$CJ$109,39,0),"")</f>
        <v>0</v>
      </c>
      <c r="G1152" s="8">
        <f>IFERROR(VLOOKUP($B1152,'INSUMOS  JULIO'!$B$6:$CJ$109,40,0),"")</f>
        <v>3298.0379999999996</v>
      </c>
      <c r="H1152" s="19">
        <f t="shared" si="68"/>
        <v>0</v>
      </c>
      <c r="I1152" s="1">
        <f t="shared" si="69"/>
        <v>0</v>
      </c>
      <c r="J1152" s="1">
        <f t="shared" si="70"/>
        <v>0</v>
      </c>
      <c r="K1152" s="19">
        <f t="shared" si="71"/>
        <v>0</v>
      </c>
    </row>
    <row r="1153" spans="1:11" ht="15">
      <c r="A1153" s="3">
        <v>1819</v>
      </c>
      <c r="B1153" s="151">
        <v>11</v>
      </c>
      <c r="C1153" s="7" t="s">
        <v>156</v>
      </c>
      <c r="D1153" s="4" t="s">
        <v>11</v>
      </c>
      <c r="E1153" t="s">
        <v>172</v>
      </c>
      <c r="F1153" s="12" t="str">
        <f>IFERROR(VLOOKUP(B1153,'INSUMOS  JULIO'!$B$6:$CJ$109,39,0),"")</f>
        <v>0</v>
      </c>
      <c r="G1153" s="8">
        <f>IFERROR(VLOOKUP($B1153,'INSUMOS  JULIO'!$B$6:$CJ$109,40,0),"")</f>
        <v>7739.5639999999985</v>
      </c>
      <c r="H1153" s="19">
        <f t="shared" si="68"/>
        <v>0</v>
      </c>
      <c r="I1153" s="1">
        <f t="shared" si="69"/>
        <v>0</v>
      </c>
      <c r="J1153" s="1">
        <f t="shared" si="70"/>
        <v>0</v>
      </c>
      <c r="K1153" s="19">
        <f t="shared" si="71"/>
        <v>0</v>
      </c>
    </row>
    <row r="1154" spans="1:11" ht="15">
      <c r="A1154" s="3">
        <v>1820</v>
      </c>
      <c r="B1154" s="151">
        <v>13</v>
      </c>
      <c r="C1154" s="7" t="s">
        <v>157</v>
      </c>
      <c r="D1154" s="4" t="s">
        <v>12</v>
      </c>
      <c r="E1154" t="s">
        <v>172</v>
      </c>
      <c r="F1154" s="12">
        <f>IFERROR(VLOOKUP(B1154,'INSUMOS  JULIO'!$B$6:$CJ$109,39,0),"")</f>
        <v>0</v>
      </c>
      <c r="G1154" s="8">
        <f>IFERROR(VLOOKUP($B1154,'INSUMOS  JULIO'!$B$6:$CJ$109,40,0),"")</f>
        <v>6507.7919999999995</v>
      </c>
      <c r="H1154" s="19">
        <f t="shared" si="68"/>
        <v>0</v>
      </c>
      <c r="I1154" s="1">
        <f t="shared" si="69"/>
        <v>0</v>
      </c>
      <c r="J1154" s="1">
        <f t="shared" si="70"/>
        <v>0</v>
      </c>
      <c r="K1154" s="19">
        <f t="shared" si="71"/>
        <v>0</v>
      </c>
    </row>
    <row r="1155" spans="1:11" ht="15">
      <c r="A1155" s="3">
        <v>1821</v>
      </c>
      <c r="B1155" s="151">
        <v>17</v>
      </c>
      <c r="C1155" s="7" t="s">
        <v>13</v>
      </c>
      <c r="D1155" s="4" t="s">
        <v>14</v>
      </c>
      <c r="E1155" t="s">
        <v>172</v>
      </c>
      <c r="F1155" s="12">
        <f>IFERROR(VLOOKUP(B1155,'INSUMOS  JULIO'!$B$6:$CJ$109,39,0),"")</f>
        <v>0</v>
      </c>
      <c r="G1155" s="8">
        <f>IFERROR(VLOOKUP($B1155,'INSUMOS  JULIO'!$B$6:$CJ$109,40,0),"")</f>
        <v>5647.0229999999992</v>
      </c>
      <c r="H1155" s="19">
        <f t="shared" si="68"/>
        <v>0</v>
      </c>
      <c r="I1155" s="1">
        <f t="shared" si="69"/>
        <v>0</v>
      </c>
      <c r="J1155" s="1">
        <f t="shared" si="70"/>
        <v>0</v>
      </c>
      <c r="K1155" s="19">
        <f t="shared" si="71"/>
        <v>0</v>
      </c>
    </row>
    <row r="1156" spans="1:11" ht="15">
      <c r="A1156" s="3">
        <v>1822</v>
      </c>
      <c r="B1156" s="151">
        <v>20</v>
      </c>
      <c r="C1156" s="7" t="s">
        <v>13</v>
      </c>
      <c r="D1156" s="4" t="s">
        <v>15</v>
      </c>
      <c r="E1156" t="s">
        <v>172</v>
      </c>
      <c r="F1156" s="12">
        <f>IFERROR(VLOOKUP(B1156,'INSUMOS  JULIO'!$B$6:$CJ$109,39,0),"")</f>
        <v>0</v>
      </c>
      <c r="G1156" s="8">
        <f>IFERROR(VLOOKUP($B1156,'INSUMOS  JULIO'!$B$6:$CJ$109,40,0),"")</f>
        <v>0</v>
      </c>
      <c r="H1156" s="19">
        <f t="shared" si="68"/>
        <v>0</v>
      </c>
      <c r="I1156" s="1">
        <f t="shared" si="69"/>
        <v>0</v>
      </c>
      <c r="J1156" s="1">
        <f t="shared" si="70"/>
        <v>0</v>
      </c>
      <c r="K1156" s="19">
        <f t="shared" si="71"/>
        <v>0</v>
      </c>
    </row>
    <row r="1157" spans="1:11" ht="15">
      <c r="A1157" s="3">
        <v>1823</v>
      </c>
      <c r="B1157" s="151">
        <v>21</v>
      </c>
      <c r="C1157" s="7" t="s">
        <v>16</v>
      </c>
      <c r="D1157" s="4" t="s">
        <v>17</v>
      </c>
      <c r="E1157" t="s">
        <v>172</v>
      </c>
      <c r="F1157" s="12">
        <f>IFERROR(VLOOKUP(B1157,'INSUMOS  JULIO'!$B$6:$CJ$109,39,0),"")</f>
        <v>0</v>
      </c>
      <c r="G1157" s="8">
        <f>IFERROR(VLOOKUP($B1157,'INSUMOS  JULIO'!$B$6:$CJ$109,40,0),"")</f>
        <v>5932.8950000000013</v>
      </c>
      <c r="H1157" s="19">
        <f t="shared" si="68"/>
        <v>0</v>
      </c>
      <c r="I1157" s="1">
        <f t="shared" si="69"/>
        <v>0</v>
      </c>
      <c r="J1157" s="1">
        <f t="shared" si="70"/>
        <v>0</v>
      </c>
      <c r="K1157" s="19">
        <f t="shared" si="71"/>
        <v>0</v>
      </c>
    </row>
    <row r="1158" spans="1:11" ht="15">
      <c r="A1158" s="3">
        <v>1824</v>
      </c>
      <c r="B1158" s="151">
        <v>28</v>
      </c>
      <c r="C1158" s="7" t="s">
        <v>18</v>
      </c>
      <c r="D1158" s="4" t="s">
        <v>19</v>
      </c>
      <c r="E1158" t="s">
        <v>172</v>
      </c>
      <c r="F1158" s="12">
        <f>IFERROR(VLOOKUP(B1158,'INSUMOS  JULIO'!$B$6:$CJ$109,39,0),"")</f>
        <v>0</v>
      </c>
      <c r="G1158" s="8">
        <f>IFERROR(VLOOKUP($B1158,'INSUMOS  JULIO'!$B$6:$CJ$109,40,0),"")</f>
        <v>2764.13</v>
      </c>
      <c r="H1158" s="19">
        <f t="shared" ref="H1158:H1221" si="72">+F1158*G1158</f>
        <v>0</v>
      </c>
      <c r="I1158" s="1">
        <f t="shared" ref="I1158:I1221" si="73">+H1158*10%</f>
        <v>0</v>
      </c>
      <c r="J1158" s="1">
        <f t="shared" ref="J1158:J1221" si="74">+I1158*19%</f>
        <v>0</v>
      </c>
      <c r="K1158" s="19">
        <f t="shared" ref="K1158:K1221" si="75">SUM(H1158:J1158)</f>
        <v>0</v>
      </c>
    </row>
    <row r="1159" spans="1:11" ht="15">
      <c r="A1159" s="3">
        <v>1825</v>
      </c>
      <c r="B1159" s="151">
        <v>29</v>
      </c>
      <c r="C1159" s="7" t="s">
        <v>20</v>
      </c>
      <c r="D1159" s="4" t="s">
        <v>21</v>
      </c>
      <c r="E1159" t="s">
        <v>172</v>
      </c>
      <c r="F1159" s="12" t="str">
        <f>IFERROR(VLOOKUP(B1159,'INSUMOS  JULIO'!$B$6:$CJ$109,39,0),"")</f>
        <v>0</v>
      </c>
      <c r="G1159" s="8">
        <f>IFERROR(VLOOKUP($B1159,'INSUMOS  JULIO'!$B$6:$CJ$109,40,0),"")</f>
        <v>4829.3450000000012</v>
      </c>
      <c r="H1159" s="19">
        <f t="shared" si="72"/>
        <v>0</v>
      </c>
      <c r="I1159" s="1">
        <f t="shared" si="73"/>
        <v>0</v>
      </c>
      <c r="J1159" s="1">
        <f t="shared" si="74"/>
        <v>0</v>
      </c>
      <c r="K1159" s="19">
        <f t="shared" si="75"/>
        <v>0</v>
      </c>
    </row>
    <row r="1160" spans="1:11" ht="15">
      <c r="A1160" s="3">
        <v>1826</v>
      </c>
      <c r="B1160" s="151">
        <v>32</v>
      </c>
      <c r="C1160" s="7" t="s">
        <v>22</v>
      </c>
      <c r="D1160" s="4" t="s">
        <v>23</v>
      </c>
      <c r="E1160" t="s">
        <v>172</v>
      </c>
      <c r="F1160" s="12">
        <f>IFERROR(VLOOKUP(B1160,'INSUMOS  JULIO'!$B$6:$CJ$109,39,0),"")</f>
        <v>0</v>
      </c>
      <c r="G1160" s="8">
        <f>IFERROR(VLOOKUP($B1160,'INSUMOS  JULIO'!$B$6:$CJ$109,40,0),"")</f>
        <v>4115.7160000000003</v>
      </c>
      <c r="H1160" s="19">
        <f t="shared" si="72"/>
        <v>0</v>
      </c>
      <c r="I1160" s="1">
        <f t="shared" si="73"/>
        <v>0</v>
      </c>
      <c r="J1160" s="1">
        <f t="shared" si="74"/>
        <v>0</v>
      </c>
      <c r="K1160" s="19">
        <f t="shared" si="75"/>
        <v>0</v>
      </c>
    </row>
    <row r="1161" spans="1:11" ht="15">
      <c r="A1161" s="3">
        <v>1827</v>
      </c>
      <c r="B1161" s="151">
        <v>38</v>
      </c>
      <c r="C1161" s="7" t="s">
        <v>18</v>
      </c>
      <c r="D1161" s="4" t="s">
        <v>24</v>
      </c>
      <c r="E1161" t="s">
        <v>172</v>
      </c>
      <c r="F1161" s="12" t="str">
        <f>IFERROR(VLOOKUP(B1161,'INSUMOS  JULIO'!$B$6:$CJ$109,39,0),"")</f>
        <v>0</v>
      </c>
      <c r="G1161" s="8">
        <f>IFERROR(VLOOKUP($B1161,'INSUMOS  JULIO'!$B$6:$CJ$109,40,0),"")</f>
        <v>11100.662</v>
      </c>
      <c r="H1161" s="19">
        <f t="shared" si="72"/>
        <v>0</v>
      </c>
      <c r="I1161" s="1">
        <f t="shared" si="73"/>
        <v>0</v>
      </c>
      <c r="J1161" s="1">
        <f t="shared" si="74"/>
        <v>0</v>
      </c>
      <c r="K1161" s="19">
        <f t="shared" si="75"/>
        <v>0</v>
      </c>
    </row>
    <row r="1162" spans="1:11" ht="15">
      <c r="A1162" s="3">
        <v>1828</v>
      </c>
      <c r="B1162" s="151">
        <v>41</v>
      </c>
      <c r="C1162" s="7" t="s">
        <v>155</v>
      </c>
      <c r="D1162" s="4" t="s">
        <v>25</v>
      </c>
      <c r="E1162" t="s">
        <v>172</v>
      </c>
      <c r="F1162" s="12" t="str">
        <f>IFERROR(VLOOKUP(B1162,'INSUMOS  JULIO'!$B$6:$CJ$109,39,0),"")</f>
        <v>0</v>
      </c>
      <c r="G1162" s="8">
        <f>IFERROR(VLOOKUP($B1162,'INSUMOS  JULIO'!$B$6:$CJ$109,40,0),"")</f>
        <v>7034.3429999999989</v>
      </c>
      <c r="H1162" s="19">
        <f t="shared" si="72"/>
        <v>0</v>
      </c>
      <c r="I1162" s="1">
        <f t="shared" si="73"/>
        <v>0</v>
      </c>
      <c r="J1162" s="1">
        <f t="shared" si="74"/>
        <v>0</v>
      </c>
      <c r="K1162" s="19">
        <f t="shared" si="75"/>
        <v>0</v>
      </c>
    </row>
    <row r="1163" spans="1:11" ht="15">
      <c r="A1163" s="3">
        <v>1829</v>
      </c>
      <c r="B1163" s="151">
        <v>44</v>
      </c>
      <c r="C1163" s="7" t="s">
        <v>16</v>
      </c>
      <c r="D1163" s="4" t="s">
        <v>26</v>
      </c>
      <c r="E1163" t="s">
        <v>172</v>
      </c>
      <c r="F1163" s="12">
        <f>IFERROR(VLOOKUP(B1163,'INSUMOS  JULIO'!$B$6:$CJ$109,39,0),"")</f>
        <v>0</v>
      </c>
      <c r="G1163" s="8">
        <f>IFERROR(VLOOKUP($B1163,'INSUMOS  JULIO'!$B$6:$CJ$109,40,0),"")</f>
        <v>2787.2520000000004</v>
      </c>
      <c r="H1163" s="19">
        <f t="shared" si="72"/>
        <v>0</v>
      </c>
      <c r="I1163" s="1">
        <f t="shared" si="73"/>
        <v>0</v>
      </c>
      <c r="J1163" s="1">
        <f t="shared" si="74"/>
        <v>0</v>
      </c>
      <c r="K1163" s="19">
        <f t="shared" si="75"/>
        <v>0</v>
      </c>
    </row>
    <row r="1164" spans="1:11" ht="15">
      <c r="A1164" s="3">
        <v>1830</v>
      </c>
      <c r="B1164" s="151">
        <v>46</v>
      </c>
      <c r="C1164" s="7" t="s">
        <v>27</v>
      </c>
      <c r="D1164" s="4" t="s">
        <v>28</v>
      </c>
      <c r="E1164" t="s">
        <v>172</v>
      </c>
      <c r="F1164" s="12" t="str">
        <f>IFERROR(VLOOKUP(B1164,'INSUMOS  JULIO'!$B$6:$CJ$109,39,0),"")</f>
        <v>0</v>
      </c>
      <c r="G1164" s="8">
        <f>IFERROR(VLOOKUP($B1164,'INSUMOS  JULIO'!$B$6:$CJ$109,40,0),"")</f>
        <v>7739.5640000000021</v>
      </c>
      <c r="H1164" s="19">
        <f t="shared" si="72"/>
        <v>0</v>
      </c>
      <c r="I1164" s="1">
        <f t="shared" si="73"/>
        <v>0</v>
      </c>
      <c r="J1164" s="1">
        <f t="shared" si="74"/>
        <v>0</v>
      </c>
      <c r="K1164" s="19">
        <f t="shared" si="75"/>
        <v>0</v>
      </c>
    </row>
    <row r="1165" spans="1:11" ht="15">
      <c r="A1165" s="3">
        <v>1831</v>
      </c>
      <c r="B1165" s="151">
        <v>50</v>
      </c>
      <c r="C1165" s="7" t="s">
        <v>13</v>
      </c>
      <c r="D1165" s="4" t="s">
        <v>29</v>
      </c>
      <c r="E1165" t="s">
        <v>172</v>
      </c>
      <c r="F1165" s="12">
        <f>IFERROR(VLOOKUP(B1165,'INSUMOS  JULIO'!$B$6:$CJ$109,39,0),"")</f>
        <v>0</v>
      </c>
      <c r="G1165" s="8">
        <f>IFERROR(VLOOKUP($B1165,'INSUMOS  JULIO'!$B$6:$CJ$109,40,0),"")</f>
        <v>38567.495999999999</v>
      </c>
      <c r="H1165" s="19">
        <f t="shared" si="72"/>
        <v>0</v>
      </c>
      <c r="I1165" s="1">
        <f t="shared" si="73"/>
        <v>0</v>
      </c>
      <c r="J1165" s="1">
        <f t="shared" si="74"/>
        <v>0</v>
      </c>
      <c r="K1165" s="19">
        <f t="shared" si="75"/>
        <v>0</v>
      </c>
    </row>
    <row r="1166" spans="1:11" ht="15">
      <c r="A1166" s="3">
        <v>1832</v>
      </c>
      <c r="B1166" s="151">
        <v>51</v>
      </c>
      <c r="C1166" s="7" t="s">
        <v>13</v>
      </c>
      <c r="D1166" s="4" t="s">
        <v>30</v>
      </c>
      <c r="E1166" t="s">
        <v>172</v>
      </c>
      <c r="F1166" s="12" t="str">
        <f>IFERROR(VLOOKUP(B1166,'INSUMOS  JULIO'!$B$6:$CJ$109,39,0),"")</f>
        <v>0</v>
      </c>
      <c r="G1166" s="8">
        <f>IFERROR(VLOOKUP($B1166,'INSUMOS  JULIO'!$B$6:$CJ$109,40,0),"")</f>
        <v>7739.5640000000021</v>
      </c>
      <c r="H1166" s="19">
        <f t="shared" si="72"/>
        <v>0</v>
      </c>
      <c r="I1166" s="1">
        <f t="shared" si="73"/>
        <v>0</v>
      </c>
      <c r="J1166" s="1">
        <f t="shared" si="74"/>
        <v>0</v>
      </c>
      <c r="K1166" s="19">
        <f t="shared" si="75"/>
        <v>0</v>
      </c>
    </row>
    <row r="1167" spans="1:11" ht="15">
      <c r="A1167" s="3">
        <v>1833</v>
      </c>
      <c r="B1167" s="151">
        <v>52</v>
      </c>
      <c r="C1167" s="7" t="s">
        <v>13</v>
      </c>
      <c r="D1167" s="4" t="s">
        <v>31</v>
      </c>
      <c r="E1167" t="s">
        <v>172</v>
      </c>
      <c r="F1167" s="12">
        <f>IFERROR(VLOOKUP(B1167,'INSUMOS  JULIO'!$B$6:$CJ$109,39,0),"")</f>
        <v>0</v>
      </c>
      <c r="G1167" s="8">
        <f>IFERROR(VLOOKUP($B1167,'INSUMOS  JULIO'!$B$6:$CJ$109,40,0),"")</f>
        <v>6412.1509999999998</v>
      </c>
      <c r="H1167" s="19">
        <f t="shared" si="72"/>
        <v>0</v>
      </c>
      <c r="I1167" s="1">
        <f t="shared" si="73"/>
        <v>0</v>
      </c>
      <c r="J1167" s="1">
        <f t="shared" si="74"/>
        <v>0</v>
      </c>
      <c r="K1167" s="19">
        <f t="shared" si="75"/>
        <v>0</v>
      </c>
    </row>
    <row r="1168" spans="1:11" ht="15">
      <c r="A1168" s="3">
        <v>1834</v>
      </c>
      <c r="B1168" s="151">
        <v>54</v>
      </c>
      <c r="C1168" s="7" t="s">
        <v>13</v>
      </c>
      <c r="D1168" s="4" t="s">
        <v>32</v>
      </c>
      <c r="E1168" t="s">
        <v>172</v>
      </c>
      <c r="F1168" s="12">
        <f>IFERROR(VLOOKUP(B1168,'INSUMOS  JULIO'!$B$6:$CJ$109,39,0),"")</f>
        <v>0</v>
      </c>
      <c r="G1168" s="8">
        <f>IFERROR(VLOOKUP($B1168,'INSUMOS  JULIO'!$B$6:$CJ$109,40,0),"")</f>
        <v>5359.049</v>
      </c>
      <c r="H1168" s="19">
        <f t="shared" si="72"/>
        <v>0</v>
      </c>
      <c r="I1168" s="1">
        <f t="shared" si="73"/>
        <v>0</v>
      </c>
      <c r="J1168" s="1">
        <f t="shared" si="74"/>
        <v>0</v>
      </c>
      <c r="K1168" s="19">
        <f t="shared" si="75"/>
        <v>0</v>
      </c>
    </row>
    <row r="1169" spans="1:11" ht="15">
      <c r="A1169" s="3">
        <v>1835</v>
      </c>
      <c r="B1169" s="151">
        <v>57</v>
      </c>
      <c r="C1169" s="7" t="s">
        <v>33</v>
      </c>
      <c r="D1169" s="4" t="s">
        <v>34</v>
      </c>
      <c r="E1169" t="s">
        <v>172</v>
      </c>
      <c r="F1169" s="12">
        <f>IFERROR(VLOOKUP(B1169,'INSUMOS  JULIO'!$B$6:$CJ$109,39,0),"")</f>
        <v>0</v>
      </c>
      <c r="G1169" s="8">
        <f>IFERROR(VLOOKUP($B1169,'INSUMOS  JULIO'!$B$6:$CJ$109,40,0),"")</f>
        <v>12823.251000000004</v>
      </c>
      <c r="H1169" s="19">
        <f t="shared" si="72"/>
        <v>0</v>
      </c>
      <c r="I1169" s="1">
        <f t="shared" si="73"/>
        <v>0</v>
      </c>
      <c r="J1169" s="1">
        <f t="shared" si="74"/>
        <v>0</v>
      </c>
      <c r="K1169" s="19">
        <f t="shared" si="75"/>
        <v>0</v>
      </c>
    </row>
    <row r="1170" spans="1:11" ht="15">
      <c r="A1170" s="3">
        <v>1875</v>
      </c>
      <c r="B1170" s="151">
        <v>59</v>
      </c>
      <c r="C1170" s="7" t="s">
        <v>16</v>
      </c>
      <c r="D1170" s="4" t="s">
        <v>35</v>
      </c>
      <c r="E1170" t="s">
        <v>172</v>
      </c>
      <c r="F1170" s="12" t="str">
        <f>IFERROR(VLOOKUP(B1170,'INSUMOS  JULIO'!$B$6:$CJ$109,39,0),"")</f>
        <v>0</v>
      </c>
      <c r="G1170" s="8">
        <f>IFERROR(VLOOKUP($B1170,'INSUMOS  JULIO'!$B$6:$CJ$109,40,0),"")</f>
        <v>5528.260000000002</v>
      </c>
      <c r="H1170" s="19">
        <f t="shared" si="72"/>
        <v>0</v>
      </c>
      <c r="I1170" s="1">
        <f t="shared" si="73"/>
        <v>0</v>
      </c>
      <c r="J1170" s="1">
        <f t="shared" si="74"/>
        <v>0</v>
      </c>
      <c r="K1170" s="19">
        <f t="shared" si="75"/>
        <v>0</v>
      </c>
    </row>
    <row r="1171" spans="1:11" ht="15">
      <c r="A1171" s="3">
        <v>1876</v>
      </c>
      <c r="B1171" s="151">
        <v>62</v>
      </c>
      <c r="C1171" s="7" t="s">
        <v>36</v>
      </c>
      <c r="D1171" s="4" t="s">
        <v>37</v>
      </c>
      <c r="E1171" t="s">
        <v>172</v>
      </c>
      <c r="F1171" s="12">
        <f>IFERROR(VLOOKUP(B1171,'INSUMOS  JULIO'!$B$6:$CJ$109,39,0),"")</f>
        <v>0</v>
      </c>
      <c r="G1171" s="8">
        <f>IFERROR(VLOOKUP($B1171,'INSUMOS  JULIO'!$B$6:$CJ$109,40,0),"")</f>
        <v>10100.3202</v>
      </c>
      <c r="H1171" s="19">
        <f t="shared" si="72"/>
        <v>0</v>
      </c>
      <c r="I1171" s="1">
        <f t="shared" si="73"/>
        <v>0</v>
      </c>
      <c r="J1171" s="1">
        <f t="shared" si="74"/>
        <v>0</v>
      </c>
      <c r="K1171" s="19">
        <f t="shared" si="75"/>
        <v>0</v>
      </c>
    </row>
    <row r="1172" spans="1:11" ht="15">
      <c r="A1172" s="3">
        <v>1877</v>
      </c>
      <c r="B1172" s="151">
        <v>63</v>
      </c>
      <c r="C1172" s="7" t="s">
        <v>36</v>
      </c>
      <c r="D1172" s="4" t="s">
        <v>38</v>
      </c>
      <c r="E1172" t="s">
        <v>172</v>
      </c>
      <c r="F1172" s="12">
        <f>IFERROR(VLOOKUP(B1172,'INSUMOS  JULIO'!$B$6:$CJ$109,39,0),"")</f>
        <v>0</v>
      </c>
      <c r="G1172" s="8">
        <f>IFERROR(VLOOKUP($B1172,'INSUMOS  JULIO'!$B$6:$CJ$109,40,0),"")</f>
        <v>11443.4982</v>
      </c>
      <c r="H1172" s="19">
        <f t="shared" si="72"/>
        <v>0</v>
      </c>
      <c r="I1172" s="1">
        <f t="shared" si="73"/>
        <v>0</v>
      </c>
      <c r="J1172" s="1">
        <f t="shared" si="74"/>
        <v>0</v>
      </c>
      <c r="K1172" s="19">
        <f t="shared" si="75"/>
        <v>0</v>
      </c>
    </row>
    <row r="1173" spans="1:11" ht="15">
      <c r="A1173" s="3">
        <v>1878</v>
      </c>
      <c r="B1173" s="151">
        <v>64</v>
      </c>
      <c r="C1173" s="7" t="s">
        <v>39</v>
      </c>
      <c r="D1173" s="4" t="s">
        <v>40</v>
      </c>
      <c r="E1173" t="s">
        <v>172</v>
      </c>
      <c r="F1173" s="12">
        <f>IFERROR(VLOOKUP(B1173,'INSUMOS  JULIO'!$B$6:$CJ$109,39,0),"")</f>
        <v>0</v>
      </c>
      <c r="G1173" s="8">
        <f>IFERROR(VLOOKUP($B1173,'INSUMOS  JULIO'!$B$6:$CJ$109,40,0),"")</f>
        <v>13820.650000000001</v>
      </c>
      <c r="H1173" s="19">
        <f t="shared" si="72"/>
        <v>0</v>
      </c>
      <c r="I1173" s="1">
        <f t="shared" si="73"/>
        <v>0</v>
      </c>
      <c r="J1173" s="1">
        <f t="shared" si="74"/>
        <v>0</v>
      </c>
      <c r="K1173" s="19">
        <f t="shared" si="75"/>
        <v>0</v>
      </c>
    </row>
    <row r="1174" spans="1:11" ht="15">
      <c r="A1174" s="3">
        <v>1879</v>
      </c>
      <c r="B1174" s="151">
        <v>65</v>
      </c>
      <c r="C1174" s="7" t="s">
        <v>39</v>
      </c>
      <c r="D1174" s="4" t="s">
        <v>41</v>
      </c>
      <c r="E1174" t="s">
        <v>172</v>
      </c>
      <c r="F1174" s="12">
        <f>IFERROR(VLOOKUP(B1174,'INSUMOS  JULIO'!$B$6:$CJ$109,39,0),"")</f>
        <v>0</v>
      </c>
      <c r="G1174" s="8">
        <f>IFERROR(VLOOKUP($B1174,'INSUMOS  JULIO'!$B$6:$CJ$109,40,0),"")</f>
        <v>13820.650000000001</v>
      </c>
      <c r="H1174" s="19">
        <f t="shared" si="72"/>
        <v>0</v>
      </c>
      <c r="I1174" s="1">
        <f t="shared" si="73"/>
        <v>0</v>
      </c>
      <c r="J1174" s="1">
        <f t="shared" si="74"/>
        <v>0</v>
      </c>
      <c r="K1174" s="19">
        <f t="shared" si="75"/>
        <v>0</v>
      </c>
    </row>
    <row r="1175" spans="1:11" ht="15">
      <c r="A1175" s="3">
        <v>1880</v>
      </c>
      <c r="B1175" s="151">
        <v>66</v>
      </c>
      <c r="C1175" s="7" t="s">
        <v>151</v>
      </c>
      <c r="D1175" s="4" t="s">
        <v>42</v>
      </c>
      <c r="E1175" t="s">
        <v>172</v>
      </c>
      <c r="F1175" s="12">
        <f>IFERROR(VLOOKUP(B1175,'INSUMOS  JULIO'!$B$6:$CJ$109,39,0),"")</f>
        <v>0</v>
      </c>
      <c r="G1175" s="8">
        <f>IFERROR(VLOOKUP($B1175,'INSUMOS  JULIO'!$B$6:$CJ$109,40,0),"")</f>
        <v>2887.0970000000002</v>
      </c>
      <c r="H1175" s="19">
        <f t="shared" si="72"/>
        <v>0</v>
      </c>
      <c r="I1175" s="1">
        <f t="shared" si="73"/>
        <v>0</v>
      </c>
      <c r="J1175" s="1">
        <f t="shared" si="74"/>
        <v>0</v>
      </c>
      <c r="K1175" s="19">
        <f t="shared" si="75"/>
        <v>0</v>
      </c>
    </row>
    <row r="1176" spans="1:11" ht="15">
      <c r="A1176" s="3">
        <v>1881</v>
      </c>
      <c r="B1176" s="151">
        <v>71</v>
      </c>
      <c r="C1176" s="7" t="s">
        <v>151</v>
      </c>
      <c r="D1176" s="4" t="s">
        <v>43</v>
      </c>
      <c r="E1176" t="s">
        <v>172</v>
      </c>
      <c r="F1176" s="12" t="str">
        <f>IFERROR(VLOOKUP(B1176,'INSUMOS  JULIO'!$B$6:$CJ$109,39,0),"")</f>
        <v>0</v>
      </c>
      <c r="G1176" s="8">
        <f>IFERROR(VLOOKUP($B1176,'INSUMOS  JULIO'!$B$6:$CJ$109,40,0),"")</f>
        <v>5196.1440000000002</v>
      </c>
      <c r="H1176" s="19">
        <f t="shared" si="72"/>
        <v>0</v>
      </c>
      <c r="I1176" s="1">
        <f t="shared" si="73"/>
        <v>0</v>
      </c>
      <c r="J1176" s="1">
        <f t="shared" si="74"/>
        <v>0</v>
      </c>
      <c r="K1176" s="19">
        <f t="shared" si="75"/>
        <v>0</v>
      </c>
    </row>
    <row r="1177" spans="1:11" ht="15">
      <c r="A1177" s="3">
        <v>1882</v>
      </c>
      <c r="B1177" s="151">
        <v>72</v>
      </c>
      <c r="C1177" s="7" t="s">
        <v>151</v>
      </c>
      <c r="D1177" s="4" t="s">
        <v>44</v>
      </c>
      <c r="E1177" t="s">
        <v>172</v>
      </c>
      <c r="F1177" s="12">
        <f>IFERROR(VLOOKUP(B1177,'INSUMOS  JULIO'!$B$6:$CJ$109,39,0),"")</f>
        <v>0</v>
      </c>
      <c r="G1177" s="8">
        <f>IFERROR(VLOOKUP($B1177,'INSUMOS  JULIO'!$B$6:$CJ$109,40,0),"")</f>
        <v>5196.1440000000002</v>
      </c>
      <c r="H1177" s="19">
        <f t="shared" si="72"/>
        <v>0</v>
      </c>
      <c r="I1177" s="1">
        <f t="shared" si="73"/>
        <v>0</v>
      </c>
      <c r="J1177" s="1">
        <f t="shared" si="74"/>
        <v>0</v>
      </c>
      <c r="K1177" s="19">
        <f t="shared" si="75"/>
        <v>0</v>
      </c>
    </row>
    <row r="1178" spans="1:11" ht="27">
      <c r="A1178" s="3">
        <v>1883</v>
      </c>
      <c r="B1178" s="151">
        <v>73</v>
      </c>
      <c r="C1178" s="7" t="s">
        <v>151</v>
      </c>
      <c r="D1178" s="4" t="s">
        <v>45</v>
      </c>
      <c r="E1178" t="s">
        <v>172</v>
      </c>
      <c r="F1178" s="12">
        <f>IFERROR(VLOOKUP(B1178,'INSUMOS  JULIO'!$B$6:$CJ$109,39,0),"")</f>
        <v>0</v>
      </c>
      <c r="G1178" s="8">
        <f>IFERROR(VLOOKUP($B1178,'INSUMOS  JULIO'!$B$6:$CJ$109,40,0),"")</f>
        <v>4975.4340000000011</v>
      </c>
      <c r="H1178" s="19">
        <f t="shared" si="72"/>
        <v>0</v>
      </c>
      <c r="I1178" s="1">
        <f t="shared" si="73"/>
        <v>0</v>
      </c>
      <c r="J1178" s="1">
        <f t="shared" si="74"/>
        <v>0</v>
      </c>
      <c r="K1178" s="19">
        <f t="shared" si="75"/>
        <v>0</v>
      </c>
    </row>
    <row r="1179" spans="1:11" ht="15">
      <c r="A1179" s="3">
        <v>1884</v>
      </c>
      <c r="B1179" s="151">
        <v>74</v>
      </c>
      <c r="C1179" s="7" t="s">
        <v>46</v>
      </c>
      <c r="D1179" s="4" t="s">
        <v>47</v>
      </c>
      <c r="E1179" t="s">
        <v>172</v>
      </c>
      <c r="F1179" s="12">
        <f>IFERROR(VLOOKUP(B1179,'INSUMOS  JULIO'!$B$6:$CJ$109,39,0),"")</f>
        <v>0</v>
      </c>
      <c r="G1179" s="8">
        <f>IFERROR(VLOOKUP($B1179,'INSUMOS  JULIO'!$B$6:$CJ$109,40,0),"")</f>
        <v>3261.2529999999997</v>
      </c>
      <c r="H1179" s="19">
        <f t="shared" si="72"/>
        <v>0</v>
      </c>
      <c r="I1179" s="1">
        <f t="shared" si="73"/>
        <v>0</v>
      </c>
      <c r="J1179" s="1">
        <f t="shared" si="74"/>
        <v>0</v>
      </c>
      <c r="K1179" s="19">
        <f t="shared" si="75"/>
        <v>0</v>
      </c>
    </row>
    <row r="1180" spans="1:11" ht="15">
      <c r="A1180" s="3">
        <v>1885</v>
      </c>
      <c r="B1180" s="151">
        <v>79</v>
      </c>
      <c r="C1180" s="7" t="s">
        <v>159</v>
      </c>
      <c r="D1180" s="4" t="s">
        <v>48</v>
      </c>
      <c r="E1180" t="s">
        <v>172</v>
      </c>
      <c r="F1180" s="12">
        <f>IFERROR(VLOOKUP(B1180,'INSUMOS  JULIO'!$B$6:$CJ$109,39,0),"")</f>
        <v>0</v>
      </c>
      <c r="G1180" s="8">
        <f>IFERROR(VLOOKUP($B1180,'INSUMOS  JULIO'!$B$6:$CJ$109,40,0),"")</f>
        <v>541.2650000000001</v>
      </c>
      <c r="H1180" s="19">
        <f t="shared" si="72"/>
        <v>0</v>
      </c>
      <c r="I1180" s="1">
        <f t="shared" si="73"/>
        <v>0</v>
      </c>
      <c r="J1180" s="1">
        <f t="shared" si="74"/>
        <v>0</v>
      </c>
      <c r="K1180" s="19">
        <f t="shared" si="75"/>
        <v>0</v>
      </c>
    </row>
    <row r="1181" spans="1:11" ht="15">
      <c r="A1181" s="3">
        <v>1886</v>
      </c>
      <c r="B1181" s="151">
        <v>80</v>
      </c>
      <c r="C1181" s="7" t="s">
        <v>159</v>
      </c>
      <c r="D1181" s="4" t="s">
        <v>49</v>
      </c>
      <c r="E1181" t="s">
        <v>172</v>
      </c>
      <c r="F1181" s="12">
        <f>IFERROR(VLOOKUP(B1181,'INSUMOS  JULIO'!$B$6:$CJ$109,39,0),"")</f>
        <v>0</v>
      </c>
      <c r="G1181" s="8">
        <f>IFERROR(VLOOKUP($B1181,'INSUMOS  JULIO'!$B$6:$CJ$109,40,0),"")</f>
        <v>433.01199999999994</v>
      </c>
      <c r="H1181" s="19">
        <f t="shared" si="72"/>
        <v>0</v>
      </c>
      <c r="I1181" s="1">
        <f t="shared" si="73"/>
        <v>0</v>
      </c>
      <c r="J1181" s="1">
        <f t="shared" si="74"/>
        <v>0</v>
      </c>
      <c r="K1181" s="19">
        <f t="shared" si="75"/>
        <v>0</v>
      </c>
    </row>
    <row r="1182" spans="1:11" ht="15">
      <c r="A1182" s="3">
        <v>1887</v>
      </c>
      <c r="B1182" s="151">
        <v>81</v>
      </c>
      <c r="C1182" s="7" t="s">
        <v>159</v>
      </c>
      <c r="D1182" s="4" t="s">
        <v>50</v>
      </c>
      <c r="E1182" t="s">
        <v>172</v>
      </c>
      <c r="F1182" s="12">
        <f>IFERROR(VLOOKUP(B1182,'INSUMOS  JULIO'!$B$6:$CJ$109,39,0),"")</f>
        <v>0</v>
      </c>
      <c r="G1182" s="8">
        <f>IFERROR(VLOOKUP($B1182,'INSUMOS  JULIO'!$B$6:$CJ$109,40,0),"")</f>
        <v>211.251</v>
      </c>
      <c r="H1182" s="19">
        <f t="shared" si="72"/>
        <v>0</v>
      </c>
      <c r="I1182" s="1">
        <f t="shared" si="73"/>
        <v>0</v>
      </c>
      <c r="J1182" s="1">
        <f t="shared" si="74"/>
        <v>0</v>
      </c>
      <c r="K1182" s="19">
        <f t="shared" si="75"/>
        <v>0</v>
      </c>
    </row>
    <row r="1183" spans="1:11" ht="15">
      <c r="A1183" s="3">
        <v>1888</v>
      </c>
      <c r="B1183" s="151">
        <v>82</v>
      </c>
      <c r="C1183" s="7" t="s">
        <v>159</v>
      </c>
      <c r="D1183" s="4" t="s">
        <v>51</v>
      </c>
      <c r="E1183" t="s">
        <v>172</v>
      </c>
      <c r="F1183" s="12" t="str">
        <f>IFERROR(VLOOKUP(B1183,'INSUMOS  JULIO'!$B$6:$CJ$109,39,0),"")</f>
        <v>0</v>
      </c>
      <c r="G1183" s="8">
        <f>IFERROR(VLOOKUP($B1183,'INSUMOS  JULIO'!$B$6:$CJ$109,40,0),"")</f>
        <v>1003.7049999999999</v>
      </c>
      <c r="H1183" s="19">
        <f t="shared" si="72"/>
        <v>0</v>
      </c>
      <c r="I1183" s="1">
        <f t="shared" si="73"/>
        <v>0</v>
      </c>
      <c r="J1183" s="1">
        <f t="shared" si="74"/>
        <v>0</v>
      </c>
      <c r="K1183" s="19">
        <f t="shared" si="75"/>
        <v>0</v>
      </c>
    </row>
    <row r="1184" spans="1:11" ht="15">
      <c r="A1184" s="3">
        <v>1889</v>
      </c>
      <c r="B1184" s="151">
        <v>83</v>
      </c>
      <c r="C1184" s="7" t="s">
        <v>159</v>
      </c>
      <c r="D1184" s="4" t="s">
        <v>52</v>
      </c>
      <c r="E1184" t="s">
        <v>172</v>
      </c>
      <c r="F1184" s="12" t="str">
        <f>IFERROR(VLOOKUP(B1184,'INSUMOS  JULIO'!$B$6:$CJ$109,39,0),"")</f>
        <v>0</v>
      </c>
      <c r="G1184" s="8">
        <f>IFERROR(VLOOKUP($B1184,'INSUMOS  JULIO'!$B$6:$CJ$109,40,0),"")</f>
        <v>336.32</v>
      </c>
      <c r="H1184" s="19">
        <f t="shared" si="72"/>
        <v>0</v>
      </c>
      <c r="I1184" s="1">
        <f t="shared" si="73"/>
        <v>0</v>
      </c>
      <c r="J1184" s="1">
        <f t="shared" si="74"/>
        <v>0</v>
      </c>
      <c r="K1184" s="19">
        <f t="shared" si="75"/>
        <v>0</v>
      </c>
    </row>
    <row r="1185" spans="1:11" ht="15">
      <c r="A1185" s="3">
        <v>1890</v>
      </c>
      <c r="B1185" s="151">
        <v>86</v>
      </c>
      <c r="C1185" s="7" t="s">
        <v>53</v>
      </c>
      <c r="D1185" s="4" t="s">
        <v>54</v>
      </c>
      <c r="E1185" t="s">
        <v>172</v>
      </c>
      <c r="F1185" s="12" t="str">
        <f>IFERROR(VLOOKUP(B1185,'INSUMOS  JULIO'!$B$6:$CJ$109,39,0),"")</f>
        <v>0</v>
      </c>
      <c r="G1185" s="8">
        <f>IFERROR(VLOOKUP($B1185,'INSUMOS  JULIO'!$B$6:$CJ$109,40,0),"")</f>
        <v>2792.5070000000005</v>
      </c>
      <c r="H1185" s="19">
        <f t="shared" si="72"/>
        <v>0</v>
      </c>
      <c r="I1185" s="1">
        <f t="shared" si="73"/>
        <v>0</v>
      </c>
      <c r="J1185" s="1">
        <f t="shared" si="74"/>
        <v>0</v>
      </c>
      <c r="K1185" s="19">
        <f t="shared" si="75"/>
        <v>0</v>
      </c>
    </row>
    <row r="1186" spans="1:11" ht="15">
      <c r="A1186" s="3">
        <v>1891</v>
      </c>
      <c r="B1186" s="151">
        <v>87</v>
      </c>
      <c r="C1186" s="7" t="s">
        <v>53</v>
      </c>
      <c r="D1186" s="4" t="s">
        <v>55</v>
      </c>
      <c r="E1186" t="s">
        <v>172</v>
      </c>
      <c r="F1186" s="12" t="str">
        <f>IFERROR(VLOOKUP(B1186,'INSUMOS  JULIO'!$B$6:$CJ$109,39,0),"")</f>
        <v>0</v>
      </c>
      <c r="G1186" s="8">
        <f>IFERROR(VLOOKUP($B1186,'INSUMOS  JULIO'!$B$6:$CJ$109,40,0),"")</f>
        <v>0</v>
      </c>
      <c r="H1186" s="19">
        <f t="shared" si="72"/>
        <v>0</v>
      </c>
      <c r="I1186" s="1">
        <f t="shared" si="73"/>
        <v>0</v>
      </c>
      <c r="J1186" s="1">
        <f t="shared" si="74"/>
        <v>0</v>
      </c>
      <c r="K1186" s="19">
        <f t="shared" si="75"/>
        <v>0</v>
      </c>
    </row>
    <row r="1187" spans="1:11" ht="15">
      <c r="A1187" s="3">
        <v>1892</v>
      </c>
      <c r="B1187" s="151">
        <v>88</v>
      </c>
      <c r="C1187" s="7" t="s">
        <v>53</v>
      </c>
      <c r="D1187" s="4" t="s">
        <v>56</v>
      </c>
      <c r="E1187" t="s">
        <v>172</v>
      </c>
      <c r="F1187" s="12">
        <f>IFERROR(VLOOKUP(B1187,'INSUMOS  JULIO'!$B$6:$CJ$109,39,0),"")</f>
        <v>0</v>
      </c>
      <c r="G1187" s="8">
        <f>IFERROR(VLOOKUP($B1187,'INSUMOS  JULIO'!$B$6:$CJ$109,40,0),"")</f>
        <v>2717.886</v>
      </c>
      <c r="H1187" s="19">
        <f t="shared" si="72"/>
        <v>0</v>
      </c>
      <c r="I1187" s="1">
        <f t="shared" si="73"/>
        <v>0</v>
      </c>
      <c r="J1187" s="1">
        <f t="shared" si="74"/>
        <v>0</v>
      </c>
      <c r="K1187" s="19">
        <f t="shared" si="75"/>
        <v>0</v>
      </c>
    </row>
    <row r="1188" spans="1:11" ht="15">
      <c r="A1188" s="3">
        <v>1893</v>
      </c>
      <c r="B1188" s="151">
        <v>89</v>
      </c>
      <c r="C1188" s="7" t="s">
        <v>53</v>
      </c>
      <c r="D1188" s="4" t="s">
        <v>57</v>
      </c>
      <c r="E1188" t="s">
        <v>172</v>
      </c>
      <c r="F1188" s="12" t="str">
        <f>IFERROR(VLOOKUP(B1188,'INSUMOS  JULIO'!$B$6:$CJ$109,39,0),"")</f>
        <v>0</v>
      </c>
      <c r="G1188" s="8">
        <f>IFERROR(VLOOKUP($B1188,'INSUMOS  JULIO'!$B$6:$CJ$109,40,0),"")</f>
        <v>2650.6220000000003</v>
      </c>
      <c r="H1188" s="19">
        <f t="shared" si="72"/>
        <v>0</v>
      </c>
      <c r="I1188" s="1">
        <f t="shared" si="73"/>
        <v>0</v>
      </c>
      <c r="J1188" s="1">
        <f t="shared" si="74"/>
        <v>0</v>
      </c>
      <c r="K1188" s="19">
        <f t="shared" si="75"/>
        <v>0</v>
      </c>
    </row>
    <row r="1189" spans="1:11" ht="15">
      <c r="A1189" s="3">
        <v>1894</v>
      </c>
      <c r="B1189" s="151">
        <v>91</v>
      </c>
      <c r="C1189" s="7" t="s">
        <v>160</v>
      </c>
      <c r="D1189" s="4" t="s">
        <v>58</v>
      </c>
      <c r="E1189" t="s">
        <v>172</v>
      </c>
      <c r="F1189" s="12" t="str">
        <f>IFERROR(VLOOKUP(B1189,'INSUMOS  JULIO'!$B$6:$CJ$109,39,0),"")</f>
        <v>0</v>
      </c>
      <c r="G1189" s="8">
        <f>IFERROR(VLOOKUP($B1189,'INSUMOS  JULIO'!$B$6:$CJ$109,40,0),"")</f>
        <v>4364.8029999999999</v>
      </c>
      <c r="H1189" s="19">
        <f t="shared" si="72"/>
        <v>0</v>
      </c>
      <c r="I1189" s="1">
        <f t="shared" si="73"/>
        <v>0</v>
      </c>
      <c r="J1189" s="1">
        <f t="shared" si="74"/>
        <v>0</v>
      </c>
      <c r="K1189" s="19">
        <f t="shared" si="75"/>
        <v>0</v>
      </c>
    </row>
    <row r="1190" spans="1:11" ht="15">
      <c r="A1190" s="3">
        <v>1895</v>
      </c>
      <c r="B1190" s="151">
        <v>92</v>
      </c>
      <c r="C1190" s="7" t="s">
        <v>160</v>
      </c>
      <c r="D1190" s="4" t="s">
        <v>59</v>
      </c>
      <c r="E1190" t="s">
        <v>172</v>
      </c>
      <c r="F1190" s="12" t="str">
        <f>IFERROR(VLOOKUP(B1190,'INSUMOS  JULIO'!$B$6:$CJ$109,39,0),"")</f>
        <v>0</v>
      </c>
      <c r="G1190" s="8">
        <f>IFERROR(VLOOKUP($B1190,'INSUMOS  JULIO'!$B$6:$CJ$109,40,0),"")</f>
        <v>2380.5149999999999</v>
      </c>
      <c r="H1190" s="19">
        <f t="shared" si="72"/>
        <v>0</v>
      </c>
      <c r="I1190" s="1">
        <f t="shared" si="73"/>
        <v>0</v>
      </c>
      <c r="J1190" s="1">
        <f t="shared" si="74"/>
        <v>0</v>
      </c>
      <c r="K1190" s="19">
        <f t="shared" si="75"/>
        <v>0</v>
      </c>
    </row>
    <row r="1191" spans="1:11" ht="15">
      <c r="A1191" s="3">
        <v>1896</v>
      </c>
      <c r="B1191" s="151">
        <v>94</v>
      </c>
      <c r="C1191" s="7" t="s">
        <v>60</v>
      </c>
      <c r="D1191" s="4" t="s">
        <v>61</v>
      </c>
      <c r="E1191" t="s">
        <v>172</v>
      </c>
      <c r="F1191" s="12" t="str">
        <f>IFERROR(VLOOKUP(B1191,'INSUMOS  JULIO'!$B$6:$CJ$109,39,0),"")</f>
        <v>0</v>
      </c>
      <c r="G1191" s="8">
        <f>IFERROR(VLOOKUP($B1191,'INSUMOS  JULIO'!$B$6:$CJ$109,40,0),"")</f>
        <v>3316.9560000000001</v>
      </c>
      <c r="H1191" s="19">
        <f t="shared" si="72"/>
        <v>0</v>
      </c>
      <c r="I1191" s="1">
        <f t="shared" si="73"/>
        <v>0</v>
      </c>
      <c r="J1191" s="1">
        <f t="shared" si="74"/>
        <v>0</v>
      </c>
      <c r="K1191" s="19">
        <f t="shared" si="75"/>
        <v>0</v>
      </c>
    </row>
    <row r="1192" spans="1:11" ht="15">
      <c r="A1192" s="3">
        <v>1897</v>
      </c>
      <c r="B1192" s="151">
        <v>95</v>
      </c>
      <c r="C1192" s="7" t="s">
        <v>60</v>
      </c>
      <c r="D1192" s="4" t="s">
        <v>62</v>
      </c>
      <c r="E1192" t="s">
        <v>172</v>
      </c>
      <c r="F1192" s="12" t="str">
        <f>IFERROR(VLOOKUP(B1192,'INSUMOS  JULIO'!$B$6:$CJ$109,39,0),"")</f>
        <v>0</v>
      </c>
      <c r="G1192" s="8">
        <f>IFERROR(VLOOKUP($B1192,'INSUMOS  JULIO'!$B$6:$CJ$109,40,0),"")</f>
        <v>11056.52</v>
      </c>
      <c r="H1192" s="19">
        <f t="shared" si="72"/>
        <v>0</v>
      </c>
      <c r="I1192" s="1">
        <f t="shared" si="73"/>
        <v>0</v>
      </c>
      <c r="J1192" s="1">
        <f t="shared" si="74"/>
        <v>0</v>
      </c>
      <c r="K1192" s="19">
        <f t="shared" si="75"/>
        <v>0</v>
      </c>
    </row>
    <row r="1193" spans="1:11" ht="15">
      <c r="A1193" s="3">
        <v>1898</v>
      </c>
      <c r="B1193" s="151">
        <v>98</v>
      </c>
      <c r="C1193" s="7" t="s">
        <v>151</v>
      </c>
      <c r="D1193" s="4" t="s">
        <v>63</v>
      </c>
      <c r="E1193" t="s">
        <v>172</v>
      </c>
      <c r="F1193" s="12">
        <f>IFERROR(VLOOKUP(B1193,'INSUMOS  JULIO'!$B$6:$CJ$109,39,0),"")</f>
        <v>0</v>
      </c>
      <c r="G1193" s="8">
        <f>IFERROR(VLOOKUP($B1193,'INSUMOS  JULIO'!$B$6:$CJ$109,40,0),"")</f>
        <v>6633.9120000000003</v>
      </c>
      <c r="H1193" s="19">
        <f t="shared" si="72"/>
        <v>0</v>
      </c>
      <c r="I1193" s="1">
        <f t="shared" si="73"/>
        <v>0</v>
      </c>
      <c r="J1193" s="1">
        <f t="shared" si="74"/>
        <v>0</v>
      </c>
      <c r="K1193" s="19">
        <f t="shared" si="75"/>
        <v>0</v>
      </c>
    </row>
    <row r="1194" spans="1:11" ht="15">
      <c r="A1194" s="3">
        <v>1899</v>
      </c>
      <c r="B1194" s="151">
        <v>100</v>
      </c>
      <c r="C1194" s="7" t="s">
        <v>160</v>
      </c>
      <c r="D1194" s="4" t="s">
        <v>64</v>
      </c>
      <c r="E1194" t="s">
        <v>172</v>
      </c>
      <c r="F1194" s="12" t="str">
        <f>IFERROR(VLOOKUP(B1194,'INSUMOS  JULIO'!$B$6:$CJ$109,39,0),"")</f>
        <v>0</v>
      </c>
      <c r="G1194" s="8">
        <f>IFERROR(VLOOKUP($B1194,'INSUMOS  JULIO'!$B$6:$CJ$109,40,0),"")</f>
        <v>4364.8029999999999</v>
      </c>
      <c r="H1194" s="19">
        <f t="shared" si="72"/>
        <v>0</v>
      </c>
      <c r="I1194" s="1">
        <f t="shared" si="73"/>
        <v>0</v>
      </c>
      <c r="J1194" s="1">
        <f t="shared" si="74"/>
        <v>0</v>
      </c>
      <c r="K1194" s="19">
        <f t="shared" si="75"/>
        <v>0</v>
      </c>
    </row>
    <row r="1195" spans="1:11" ht="15">
      <c r="A1195" s="3">
        <v>1900</v>
      </c>
      <c r="B1195" s="151">
        <v>102</v>
      </c>
      <c r="C1195" s="7" t="s">
        <v>60</v>
      </c>
      <c r="D1195" s="4" t="s">
        <v>65</v>
      </c>
      <c r="E1195" t="s">
        <v>172</v>
      </c>
      <c r="F1195" s="12" t="str">
        <f>IFERROR(VLOOKUP(B1195,'INSUMOS  JULIO'!$B$6:$CJ$109,39,0),"")</f>
        <v>0</v>
      </c>
      <c r="G1195" s="8">
        <f>IFERROR(VLOOKUP($B1195,'INSUMOS  JULIO'!$B$6:$CJ$109,40,0),"")</f>
        <v>3811.9770000000003</v>
      </c>
      <c r="H1195" s="19">
        <f t="shared" si="72"/>
        <v>0</v>
      </c>
      <c r="I1195" s="1">
        <f t="shared" si="73"/>
        <v>0</v>
      </c>
      <c r="J1195" s="1">
        <f t="shared" si="74"/>
        <v>0</v>
      </c>
      <c r="K1195" s="19">
        <f t="shared" si="75"/>
        <v>0</v>
      </c>
    </row>
    <row r="1196" spans="1:11" ht="15">
      <c r="A1196" s="3">
        <v>1901</v>
      </c>
      <c r="B1196" s="151">
        <v>103</v>
      </c>
      <c r="C1196" s="7" t="s">
        <v>66</v>
      </c>
      <c r="D1196" s="4" t="s">
        <v>67</v>
      </c>
      <c r="E1196" t="s">
        <v>172</v>
      </c>
      <c r="F1196" s="12" t="str">
        <f>IFERROR(VLOOKUP(B1196,'INSUMOS  JULIO'!$B$6:$CJ$109,39,0),"")</f>
        <v>0</v>
      </c>
      <c r="G1196" s="8">
        <f>IFERROR(VLOOKUP($B1196,'INSUMOS  JULIO'!$B$6:$CJ$109,40,0),"")</f>
        <v>18022.547999999999</v>
      </c>
      <c r="H1196" s="19">
        <f t="shared" si="72"/>
        <v>0</v>
      </c>
      <c r="I1196" s="1">
        <f t="shared" si="73"/>
        <v>0</v>
      </c>
      <c r="J1196" s="1">
        <f t="shared" si="74"/>
        <v>0</v>
      </c>
      <c r="K1196" s="19">
        <f t="shared" si="75"/>
        <v>0</v>
      </c>
    </row>
    <row r="1197" spans="1:11" ht="15">
      <c r="A1197" s="3">
        <v>1902</v>
      </c>
      <c r="B1197" s="151">
        <v>104</v>
      </c>
      <c r="C1197" s="7" t="s">
        <v>66</v>
      </c>
      <c r="D1197" s="4" t="s">
        <v>68</v>
      </c>
      <c r="E1197" t="s">
        <v>172</v>
      </c>
      <c r="F1197" s="12" t="str">
        <f>IFERROR(VLOOKUP(B1197,'INSUMOS  JULIO'!$B$6:$CJ$109,39,0),"")</f>
        <v>0</v>
      </c>
      <c r="G1197" s="8">
        <f>IFERROR(VLOOKUP($B1197,'INSUMOS  JULIO'!$B$6:$CJ$109,40,0),"")</f>
        <v>18022.547999999999</v>
      </c>
      <c r="H1197" s="19">
        <f t="shared" si="72"/>
        <v>0</v>
      </c>
      <c r="I1197" s="1">
        <f t="shared" si="73"/>
        <v>0</v>
      </c>
      <c r="J1197" s="1">
        <f t="shared" si="74"/>
        <v>0</v>
      </c>
      <c r="K1197" s="19">
        <f t="shared" si="75"/>
        <v>0</v>
      </c>
    </row>
    <row r="1198" spans="1:11" ht="15">
      <c r="A1198" s="3">
        <v>1903</v>
      </c>
      <c r="B1198" s="151">
        <v>105</v>
      </c>
      <c r="C1198" s="7" t="s">
        <v>66</v>
      </c>
      <c r="D1198" s="4" t="s">
        <v>69</v>
      </c>
      <c r="E1198" t="s">
        <v>172</v>
      </c>
      <c r="F1198" s="12" t="str">
        <f>IFERROR(VLOOKUP(B1198,'INSUMOS  JULIO'!$B$6:$CJ$109,39,0),"")</f>
        <v>0</v>
      </c>
      <c r="G1198" s="8">
        <f>IFERROR(VLOOKUP($B1198,'INSUMOS  JULIO'!$B$6:$CJ$109,40,0),"")</f>
        <v>27641.3</v>
      </c>
      <c r="H1198" s="19">
        <f t="shared" si="72"/>
        <v>0</v>
      </c>
      <c r="I1198" s="1">
        <f t="shared" si="73"/>
        <v>0</v>
      </c>
      <c r="J1198" s="1">
        <f t="shared" si="74"/>
        <v>0</v>
      </c>
      <c r="K1198" s="19">
        <f t="shared" si="75"/>
        <v>0</v>
      </c>
    </row>
    <row r="1199" spans="1:11" ht="15">
      <c r="A1199" s="3">
        <v>1904</v>
      </c>
      <c r="B1199" s="151">
        <v>106</v>
      </c>
      <c r="C1199" s="7" t="s">
        <v>66</v>
      </c>
      <c r="D1199" s="4" t="s">
        <v>70</v>
      </c>
      <c r="E1199" t="s">
        <v>172</v>
      </c>
      <c r="F1199" s="12" t="str">
        <f>IFERROR(VLOOKUP(B1199,'INSUMOS  JULIO'!$B$6:$CJ$109,39,0),"")</f>
        <v>0</v>
      </c>
      <c r="G1199" s="8">
        <f>IFERROR(VLOOKUP($B1199,'INSUMOS  JULIO'!$B$6:$CJ$109,40,0),"")</f>
        <v>0</v>
      </c>
      <c r="H1199" s="19">
        <f t="shared" si="72"/>
        <v>0</v>
      </c>
      <c r="I1199" s="1">
        <f t="shared" si="73"/>
        <v>0</v>
      </c>
      <c r="J1199" s="1">
        <f t="shared" si="74"/>
        <v>0</v>
      </c>
      <c r="K1199" s="19">
        <f t="shared" si="75"/>
        <v>0</v>
      </c>
    </row>
    <row r="1200" spans="1:11" ht="15">
      <c r="A1200" s="3">
        <v>1905</v>
      </c>
      <c r="B1200" s="151">
        <v>108</v>
      </c>
      <c r="C1200" s="7" t="s">
        <v>66</v>
      </c>
      <c r="D1200" s="4" t="s">
        <v>71</v>
      </c>
      <c r="E1200" t="s">
        <v>172</v>
      </c>
      <c r="F1200" s="12" t="str">
        <f>IFERROR(VLOOKUP(B1200,'INSUMOS  JULIO'!$B$6:$CJ$109,39,0),"")</f>
        <v>0</v>
      </c>
      <c r="G1200" s="8">
        <f>IFERROR(VLOOKUP($B1200,'INSUMOS  JULIO'!$B$6:$CJ$109,40,0),"")</f>
        <v>38697.82</v>
      </c>
      <c r="H1200" s="19">
        <f t="shared" si="72"/>
        <v>0</v>
      </c>
      <c r="I1200" s="1">
        <f t="shared" si="73"/>
        <v>0</v>
      </c>
      <c r="J1200" s="1">
        <f t="shared" si="74"/>
        <v>0</v>
      </c>
      <c r="K1200" s="19">
        <f t="shared" si="75"/>
        <v>0</v>
      </c>
    </row>
    <row r="1201" spans="1:11" ht="15">
      <c r="A1201" s="3">
        <v>1906</v>
      </c>
      <c r="B1201" s="151">
        <v>109</v>
      </c>
      <c r="C1201" s="7" t="s">
        <v>66</v>
      </c>
      <c r="D1201" s="4" t="s">
        <v>72</v>
      </c>
      <c r="E1201" t="s">
        <v>172</v>
      </c>
      <c r="F1201" s="12" t="str">
        <f>IFERROR(VLOOKUP(B1201,'INSUMOS  JULIO'!$B$6:$CJ$109,39,0),"")</f>
        <v>0</v>
      </c>
      <c r="G1201" s="8">
        <f>IFERROR(VLOOKUP($B1201,'INSUMOS  JULIO'!$B$6:$CJ$109,40,0),"")</f>
        <v>49754.340000000004</v>
      </c>
      <c r="H1201" s="19">
        <f t="shared" si="72"/>
        <v>0</v>
      </c>
      <c r="I1201" s="1">
        <f t="shared" si="73"/>
        <v>0</v>
      </c>
      <c r="J1201" s="1">
        <f t="shared" si="74"/>
        <v>0</v>
      </c>
      <c r="K1201" s="19">
        <f t="shared" si="75"/>
        <v>0</v>
      </c>
    </row>
    <row r="1202" spans="1:11" ht="15">
      <c r="A1202" s="3">
        <v>1907</v>
      </c>
      <c r="B1202" s="151">
        <v>110</v>
      </c>
      <c r="C1202" s="7" t="s">
        <v>158</v>
      </c>
      <c r="D1202" s="4" t="s">
        <v>73</v>
      </c>
      <c r="E1202" t="s">
        <v>172</v>
      </c>
      <c r="F1202" s="12">
        <f>IFERROR(VLOOKUP(B1202,'INSUMOS  JULIO'!$B$6:$CJ$109,39,0),"")</f>
        <v>0</v>
      </c>
      <c r="G1202" s="8">
        <f>IFERROR(VLOOKUP($B1202,'INSUMOS  JULIO'!$B$6:$CJ$109,40,0),"")</f>
        <v>1442.4974999999999</v>
      </c>
      <c r="H1202" s="19">
        <f t="shared" si="72"/>
        <v>0</v>
      </c>
      <c r="I1202" s="1">
        <f t="shared" si="73"/>
        <v>0</v>
      </c>
      <c r="J1202" s="1">
        <f t="shared" si="74"/>
        <v>0</v>
      </c>
      <c r="K1202" s="19">
        <f t="shared" si="75"/>
        <v>0</v>
      </c>
    </row>
    <row r="1203" spans="1:11" ht="15">
      <c r="A1203" s="3">
        <v>1908</v>
      </c>
      <c r="B1203" s="151">
        <v>118</v>
      </c>
      <c r="C1203" s="7" t="s">
        <v>158</v>
      </c>
      <c r="D1203" s="4" t="s">
        <v>74</v>
      </c>
      <c r="E1203" t="s">
        <v>172</v>
      </c>
      <c r="F1203" s="12">
        <f>IFERROR(VLOOKUP(B1203,'INSUMOS  JULIO'!$B$6:$CJ$109,39,0),"")</f>
        <v>0</v>
      </c>
      <c r="G1203" s="8">
        <f>IFERROR(VLOOKUP($B1203,'INSUMOS  JULIO'!$B$6:$CJ$109,40,0),"")</f>
        <v>2455.136</v>
      </c>
      <c r="H1203" s="19">
        <f t="shared" si="72"/>
        <v>0</v>
      </c>
      <c r="I1203" s="1">
        <f t="shared" si="73"/>
        <v>0</v>
      </c>
      <c r="J1203" s="1">
        <f t="shared" si="74"/>
        <v>0</v>
      </c>
      <c r="K1203" s="19">
        <f t="shared" si="75"/>
        <v>0</v>
      </c>
    </row>
    <row r="1204" spans="1:11" ht="15">
      <c r="A1204" s="3">
        <v>1909</v>
      </c>
      <c r="B1204" s="151">
        <v>119</v>
      </c>
      <c r="C1204" s="7" t="s">
        <v>158</v>
      </c>
      <c r="D1204" s="4" t="s">
        <v>75</v>
      </c>
      <c r="E1204" t="s">
        <v>172</v>
      </c>
      <c r="F1204" s="12" t="str">
        <f>IFERROR(VLOOKUP(B1204,'INSUMOS  JULIO'!$B$6:$CJ$109,39,0),"")</f>
        <v>0</v>
      </c>
      <c r="G1204" s="8">
        <f>IFERROR(VLOOKUP($B1204,'INSUMOS  JULIO'!$B$6:$CJ$109,40,0),"")</f>
        <v>2821.9350000000004</v>
      </c>
      <c r="H1204" s="19">
        <f t="shared" si="72"/>
        <v>0</v>
      </c>
      <c r="I1204" s="1">
        <f t="shared" si="73"/>
        <v>0</v>
      </c>
      <c r="J1204" s="1">
        <f t="shared" si="74"/>
        <v>0</v>
      </c>
      <c r="K1204" s="19">
        <f t="shared" si="75"/>
        <v>0</v>
      </c>
    </row>
    <row r="1205" spans="1:11" ht="15">
      <c r="A1205" s="3">
        <v>1910</v>
      </c>
      <c r="B1205" s="151">
        <v>120</v>
      </c>
      <c r="C1205" s="7" t="s">
        <v>158</v>
      </c>
      <c r="D1205" s="4" t="s">
        <v>76</v>
      </c>
      <c r="E1205" t="s">
        <v>172</v>
      </c>
      <c r="F1205" s="12" t="str">
        <f>IFERROR(VLOOKUP(B1205,'INSUMOS  JULIO'!$B$6:$CJ$109,39,0),"")</f>
        <v>0</v>
      </c>
      <c r="G1205" s="8">
        <f>IFERROR(VLOOKUP($B1205,'INSUMOS  JULIO'!$B$6:$CJ$109,40,0),"")</f>
        <v>2821.9350000000004</v>
      </c>
      <c r="H1205" s="19">
        <f t="shared" si="72"/>
        <v>0</v>
      </c>
      <c r="I1205" s="1">
        <f t="shared" si="73"/>
        <v>0</v>
      </c>
      <c r="J1205" s="1">
        <f t="shared" si="74"/>
        <v>0</v>
      </c>
      <c r="K1205" s="19">
        <f t="shared" si="75"/>
        <v>0</v>
      </c>
    </row>
    <row r="1206" spans="1:11" ht="15">
      <c r="A1206" s="3">
        <v>1911</v>
      </c>
      <c r="B1206" s="151">
        <v>122</v>
      </c>
      <c r="C1206" s="7" t="s">
        <v>158</v>
      </c>
      <c r="D1206" s="4" t="s">
        <v>77</v>
      </c>
      <c r="E1206" t="s">
        <v>172</v>
      </c>
      <c r="F1206" s="12" t="str">
        <f>IFERROR(VLOOKUP(B1206,'INSUMOS  JULIO'!$B$6:$CJ$109,39,0),"")</f>
        <v>0</v>
      </c>
      <c r="G1206" s="8">
        <f>IFERROR(VLOOKUP($B1206,'INSUMOS  JULIO'!$B$6:$CJ$109,40,0),"")</f>
        <v>5920.3881000000001</v>
      </c>
      <c r="H1206" s="19">
        <f t="shared" si="72"/>
        <v>0</v>
      </c>
      <c r="I1206" s="1">
        <f t="shared" si="73"/>
        <v>0</v>
      </c>
      <c r="J1206" s="1">
        <f t="shared" si="74"/>
        <v>0</v>
      </c>
      <c r="K1206" s="19">
        <f t="shared" si="75"/>
        <v>0</v>
      </c>
    </row>
    <row r="1207" spans="1:11" ht="15">
      <c r="A1207" s="3">
        <v>1912</v>
      </c>
      <c r="B1207" s="151">
        <v>123</v>
      </c>
      <c r="C1207" s="7" t="s">
        <v>158</v>
      </c>
      <c r="D1207" s="4" t="s">
        <v>78</v>
      </c>
      <c r="E1207" t="s">
        <v>172</v>
      </c>
      <c r="F1207" s="12" t="str">
        <f>IFERROR(VLOOKUP(B1207,'INSUMOS  JULIO'!$B$6:$CJ$109,39,0),"")</f>
        <v>0</v>
      </c>
      <c r="G1207" s="8">
        <f>IFERROR(VLOOKUP($B1207,'INSUMOS  JULIO'!$B$6:$CJ$109,40,0),"")</f>
        <v>5765.7860000000001</v>
      </c>
      <c r="H1207" s="19">
        <f t="shared" si="72"/>
        <v>0</v>
      </c>
      <c r="I1207" s="1">
        <f t="shared" si="73"/>
        <v>0</v>
      </c>
      <c r="J1207" s="1">
        <f t="shared" si="74"/>
        <v>0</v>
      </c>
      <c r="K1207" s="19">
        <f t="shared" si="75"/>
        <v>0</v>
      </c>
    </row>
    <row r="1208" spans="1:11" ht="15">
      <c r="A1208" s="3">
        <v>1913</v>
      </c>
      <c r="B1208" s="151">
        <v>124</v>
      </c>
      <c r="C1208" s="7" t="s">
        <v>158</v>
      </c>
      <c r="D1208" s="4" t="s">
        <v>79</v>
      </c>
      <c r="E1208" t="s">
        <v>172</v>
      </c>
      <c r="F1208" s="12" t="str">
        <f>IFERROR(VLOOKUP(B1208,'INSUMOS  JULIO'!$B$6:$CJ$109,39,0),"")</f>
        <v>0</v>
      </c>
      <c r="G1208" s="8">
        <f>IFERROR(VLOOKUP($B1208,'INSUMOS  JULIO'!$B$6:$CJ$109,40,0),"")</f>
        <v>5765.7860000000001</v>
      </c>
      <c r="H1208" s="19">
        <f t="shared" si="72"/>
        <v>0</v>
      </c>
      <c r="I1208" s="1">
        <f t="shared" si="73"/>
        <v>0</v>
      </c>
      <c r="J1208" s="1">
        <f t="shared" si="74"/>
        <v>0</v>
      </c>
      <c r="K1208" s="19">
        <f t="shared" si="75"/>
        <v>0</v>
      </c>
    </row>
    <row r="1209" spans="1:11" ht="15">
      <c r="A1209" s="3">
        <v>1914</v>
      </c>
      <c r="B1209" s="151">
        <v>126</v>
      </c>
      <c r="C1209" s="7" t="s">
        <v>9</v>
      </c>
      <c r="D1209" s="4" t="s">
        <v>80</v>
      </c>
      <c r="E1209" t="s">
        <v>172</v>
      </c>
      <c r="F1209" s="12" t="str">
        <f>IFERROR(VLOOKUP(B1209,'INSUMOS  JULIO'!$B$6:$CJ$109,39,0),"")</f>
        <v>0</v>
      </c>
      <c r="G1209" s="8">
        <f>IFERROR(VLOOKUP($B1209,'INSUMOS  JULIO'!$B$6:$CJ$109,40,0),"")</f>
        <v>3316.9560000000001</v>
      </c>
      <c r="H1209" s="19">
        <f t="shared" si="72"/>
        <v>0</v>
      </c>
      <c r="I1209" s="1">
        <f t="shared" si="73"/>
        <v>0</v>
      </c>
      <c r="J1209" s="1">
        <f t="shared" si="74"/>
        <v>0</v>
      </c>
      <c r="K1209" s="19">
        <f t="shared" si="75"/>
        <v>0</v>
      </c>
    </row>
    <row r="1210" spans="1:11" ht="15">
      <c r="A1210" s="3">
        <v>1915</v>
      </c>
      <c r="B1210" s="151">
        <v>127</v>
      </c>
      <c r="C1210" s="7" t="s">
        <v>156</v>
      </c>
      <c r="D1210" s="4" t="s">
        <v>81</v>
      </c>
      <c r="E1210" t="s">
        <v>172</v>
      </c>
      <c r="F1210" s="12" t="str">
        <f>IFERROR(VLOOKUP(B1210,'INSUMOS  JULIO'!$B$6:$CJ$109,39,0),"")</f>
        <v>0</v>
      </c>
      <c r="G1210" s="8">
        <f>IFERROR(VLOOKUP($B1210,'INSUMOS  JULIO'!$B$6:$CJ$109,40,0),"")</f>
        <v>3316.9560000000001</v>
      </c>
      <c r="H1210" s="19">
        <f t="shared" si="72"/>
        <v>0</v>
      </c>
      <c r="I1210" s="1">
        <f t="shared" si="73"/>
        <v>0</v>
      </c>
      <c r="J1210" s="1">
        <f t="shared" si="74"/>
        <v>0</v>
      </c>
      <c r="K1210" s="19">
        <f t="shared" si="75"/>
        <v>0</v>
      </c>
    </row>
    <row r="1211" spans="1:11" ht="15">
      <c r="A1211" s="3">
        <v>1916</v>
      </c>
      <c r="B1211" s="151">
        <v>129</v>
      </c>
      <c r="C1211" s="7" t="s">
        <v>157</v>
      </c>
      <c r="D1211" s="4" t="s">
        <v>82</v>
      </c>
      <c r="E1211" t="s">
        <v>172</v>
      </c>
      <c r="F1211" s="12" t="str">
        <f>IFERROR(VLOOKUP(B1211,'INSUMOS  JULIO'!$B$6:$CJ$109,39,0),"")</f>
        <v>0</v>
      </c>
      <c r="G1211" s="8">
        <f>IFERROR(VLOOKUP($B1211,'INSUMOS  JULIO'!$B$6:$CJ$109,40,0),"")</f>
        <v>3787.8040000000001</v>
      </c>
      <c r="H1211" s="19">
        <f t="shared" si="72"/>
        <v>0</v>
      </c>
      <c r="I1211" s="1">
        <f t="shared" si="73"/>
        <v>0</v>
      </c>
      <c r="J1211" s="1">
        <f t="shared" si="74"/>
        <v>0</v>
      </c>
      <c r="K1211" s="19">
        <f t="shared" si="75"/>
        <v>0</v>
      </c>
    </row>
    <row r="1212" spans="1:11" ht="15">
      <c r="A1212" s="3">
        <v>1917</v>
      </c>
      <c r="B1212" s="151">
        <v>131</v>
      </c>
      <c r="C1212" s="7" t="s">
        <v>13</v>
      </c>
      <c r="D1212" s="4" t="s">
        <v>83</v>
      </c>
      <c r="E1212" t="s">
        <v>172</v>
      </c>
      <c r="F1212" s="12" t="str">
        <f>IFERROR(VLOOKUP(B1212,'INSUMOS  JULIO'!$B$6:$CJ$109,39,0),"")</f>
        <v>0</v>
      </c>
      <c r="G1212" s="8">
        <f>IFERROR(VLOOKUP($B1212,'INSUMOS  JULIO'!$B$6:$CJ$109,40,0),"")</f>
        <v>0</v>
      </c>
      <c r="H1212" s="19">
        <f t="shared" si="72"/>
        <v>0</v>
      </c>
      <c r="I1212" s="1">
        <f t="shared" si="73"/>
        <v>0</v>
      </c>
      <c r="J1212" s="1">
        <f t="shared" si="74"/>
        <v>0</v>
      </c>
      <c r="K1212" s="19">
        <f t="shared" si="75"/>
        <v>0</v>
      </c>
    </row>
    <row r="1213" spans="1:11" ht="15">
      <c r="A1213" s="3">
        <v>1918</v>
      </c>
      <c r="B1213" s="151">
        <v>132</v>
      </c>
      <c r="C1213" s="7" t="s">
        <v>13</v>
      </c>
      <c r="D1213" s="4" t="s">
        <v>84</v>
      </c>
      <c r="E1213" t="s">
        <v>172</v>
      </c>
      <c r="F1213" s="12" t="str">
        <f>IFERROR(VLOOKUP(B1213,'INSUMOS  JULIO'!$B$6:$CJ$109,39,0),"")</f>
        <v>0</v>
      </c>
      <c r="G1213" s="8">
        <f>IFERROR(VLOOKUP($B1213,'INSUMOS  JULIO'!$B$6:$CJ$109,40,0),"")</f>
        <v>0</v>
      </c>
      <c r="H1213" s="19">
        <f t="shared" si="72"/>
        <v>0</v>
      </c>
      <c r="I1213" s="1">
        <f t="shared" si="73"/>
        <v>0</v>
      </c>
      <c r="J1213" s="1">
        <f t="shared" si="74"/>
        <v>0</v>
      </c>
      <c r="K1213" s="19">
        <f t="shared" si="75"/>
        <v>0</v>
      </c>
    </row>
    <row r="1214" spans="1:11" ht="15">
      <c r="A1214" s="3">
        <v>1919</v>
      </c>
      <c r="B1214" s="151">
        <v>134</v>
      </c>
      <c r="C1214" s="7" t="s">
        <v>16</v>
      </c>
      <c r="D1214" s="4" t="s">
        <v>85</v>
      </c>
      <c r="E1214" t="s">
        <v>172</v>
      </c>
      <c r="F1214" s="12" t="str">
        <f>IFERROR(VLOOKUP(B1214,'INSUMOS  JULIO'!$B$6:$CJ$109,39,0),"")</f>
        <v>0</v>
      </c>
      <c r="G1214" s="8">
        <f>IFERROR(VLOOKUP($B1214,'INSUMOS  JULIO'!$B$6:$CJ$109,40,0),"")</f>
        <v>0</v>
      </c>
      <c r="H1214" s="19">
        <f t="shared" si="72"/>
        <v>0</v>
      </c>
      <c r="I1214" s="1">
        <f t="shared" si="73"/>
        <v>0</v>
      </c>
      <c r="J1214" s="1">
        <f t="shared" si="74"/>
        <v>0</v>
      </c>
      <c r="K1214" s="19">
        <f t="shared" si="75"/>
        <v>0</v>
      </c>
    </row>
    <row r="1215" spans="1:11" ht="15">
      <c r="A1215" s="3">
        <v>1920</v>
      </c>
      <c r="B1215" s="151">
        <v>135</v>
      </c>
      <c r="C1215" s="7" t="s">
        <v>18</v>
      </c>
      <c r="D1215" s="4" t="s">
        <v>86</v>
      </c>
      <c r="E1215" t="s">
        <v>172</v>
      </c>
      <c r="F1215" s="12">
        <f>IFERROR(VLOOKUP(B1215,'INSUMOS  JULIO'!$B$6:$CJ$109,39,0),"")</f>
        <v>0</v>
      </c>
      <c r="G1215" s="8">
        <f>IFERROR(VLOOKUP($B1215,'INSUMOS  JULIO'!$B$6:$CJ$109,40,0),"")</f>
        <v>6229.277</v>
      </c>
      <c r="H1215" s="19">
        <f t="shared" si="72"/>
        <v>0</v>
      </c>
      <c r="I1215" s="1">
        <f t="shared" si="73"/>
        <v>0</v>
      </c>
      <c r="J1215" s="1">
        <f t="shared" si="74"/>
        <v>0</v>
      </c>
      <c r="K1215" s="19">
        <f t="shared" si="75"/>
        <v>0</v>
      </c>
    </row>
    <row r="1216" spans="1:11" ht="15">
      <c r="A1216" s="3">
        <v>1921</v>
      </c>
      <c r="B1216" s="151">
        <v>137</v>
      </c>
      <c r="C1216" s="7" t="s">
        <v>20</v>
      </c>
      <c r="D1216" s="4" t="s">
        <v>88</v>
      </c>
      <c r="E1216" t="s">
        <v>172</v>
      </c>
      <c r="F1216" s="12" t="str">
        <f>IFERROR(VLOOKUP(B1216,'INSUMOS  JULIO'!$B$6:$CJ$109,39,0),"")</f>
        <v>0</v>
      </c>
      <c r="G1216" s="8">
        <f>IFERROR(VLOOKUP($B1216,'INSUMOS  JULIO'!$B$6:$CJ$109,40,0),"")</f>
        <v>1245.4349999999999</v>
      </c>
      <c r="H1216" s="19">
        <f t="shared" si="72"/>
        <v>0</v>
      </c>
      <c r="I1216" s="1">
        <f t="shared" si="73"/>
        <v>0</v>
      </c>
      <c r="J1216" s="1">
        <f t="shared" si="74"/>
        <v>0</v>
      </c>
      <c r="K1216" s="19">
        <f t="shared" si="75"/>
        <v>0</v>
      </c>
    </row>
    <row r="1217" spans="1:11" ht="15">
      <c r="A1217" s="3">
        <v>1922</v>
      </c>
      <c r="B1217" s="151">
        <v>139</v>
      </c>
      <c r="C1217" s="7" t="s">
        <v>22</v>
      </c>
      <c r="D1217" s="4" t="s">
        <v>89</v>
      </c>
      <c r="E1217" t="s">
        <v>172</v>
      </c>
      <c r="F1217" s="12">
        <f>IFERROR(VLOOKUP(B1217,'INSUMOS  JULIO'!$B$6:$CJ$109,39,0),"")</f>
        <v>0</v>
      </c>
      <c r="G1217" s="8">
        <f>IFERROR(VLOOKUP($B1217,'INSUMOS  JULIO'!$B$6:$CJ$109,40,0),"")</f>
        <v>25429.996000000003</v>
      </c>
      <c r="H1217" s="19">
        <f t="shared" si="72"/>
        <v>0</v>
      </c>
      <c r="I1217" s="1">
        <f t="shared" si="73"/>
        <v>0</v>
      </c>
      <c r="J1217" s="1">
        <f t="shared" si="74"/>
        <v>0</v>
      </c>
      <c r="K1217" s="19">
        <f t="shared" si="75"/>
        <v>0</v>
      </c>
    </row>
    <row r="1218" spans="1:11" ht="15">
      <c r="A1218" s="3">
        <v>1923</v>
      </c>
      <c r="B1218" s="151">
        <v>151</v>
      </c>
      <c r="C1218" s="7" t="s">
        <v>18</v>
      </c>
      <c r="D1218" s="4" t="s">
        <v>91</v>
      </c>
      <c r="E1218" t="s">
        <v>172</v>
      </c>
      <c r="F1218" s="12">
        <f>IFERROR(VLOOKUP(B1218,'INSUMOS  JULIO'!$B$6:$CJ$109,39,0),"")</f>
        <v>0</v>
      </c>
      <c r="G1218" s="8">
        <f>IFERROR(VLOOKUP($B1218,'INSUMOS  JULIO'!$B$6:$CJ$109,40,0),"")</f>
        <v>7960.6944000000003</v>
      </c>
      <c r="H1218" s="19">
        <f t="shared" si="72"/>
        <v>0</v>
      </c>
      <c r="I1218" s="1">
        <f t="shared" si="73"/>
        <v>0</v>
      </c>
      <c r="J1218" s="1">
        <f t="shared" si="74"/>
        <v>0</v>
      </c>
      <c r="K1218" s="19">
        <f t="shared" si="75"/>
        <v>0</v>
      </c>
    </row>
    <row r="1219" spans="1:11" ht="15">
      <c r="A1219" s="3">
        <v>1924</v>
      </c>
      <c r="B1219" s="151">
        <v>152</v>
      </c>
      <c r="C1219" s="7" t="s">
        <v>155</v>
      </c>
      <c r="D1219" s="4" t="s">
        <v>92</v>
      </c>
      <c r="E1219" t="s">
        <v>172</v>
      </c>
      <c r="F1219" s="12" t="str">
        <f>IFERROR(VLOOKUP(B1219,'INSUMOS  JULIO'!$B$6:$CJ$109,39,0),"")</f>
        <v>0</v>
      </c>
      <c r="G1219" s="8">
        <f>IFERROR(VLOOKUP($B1219,'INSUMOS  JULIO'!$B$6:$CJ$109,40,0),"")</f>
        <v>0</v>
      </c>
      <c r="H1219" s="19">
        <f t="shared" si="72"/>
        <v>0</v>
      </c>
      <c r="I1219" s="1">
        <f t="shared" si="73"/>
        <v>0</v>
      </c>
      <c r="J1219" s="1">
        <f t="shared" si="74"/>
        <v>0</v>
      </c>
      <c r="K1219" s="19">
        <f t="shared" si="75"/>
        <v>0</v>
      </c>
    </row>
    <row r="1220" spans="1:11" ht="15">
      <c r="A1220" s="3">
        <v>1925</v>
      </c>
      <c r="B1220" s="151">
        <v>154</v>
      </c>
      <c r="C1220" s="7" t="s">
        <v>16</v>
      </c>
      <c r="D1220" s="4" t="s">
        <v>94</v>
      </c>
      <c r="E1220" t="s">
        <v>172</v>
      </c>
      <c r="F1220" s="12" t="str">
        <f>IFERROR(VLOOKUP(B1220,'INSUMOS  JULIO'!$B$6:$CJ$109,39,0),"")</f>
        <v>0</v>
      </c>
      <c r="G1220" s="8">
        <f>IFERROR(VLOOKUP($B1220,'INSUMOS  JULIO'!$B$6:$CJ$109,40,0),"")</f>
        <v>0</v>
      </c>
      <c r="H1220" s="19">
        <f t="shared" si="72"/>
        <v>0</v>
      </c>
      <c r="I1220" s="1">
        <f t="shared" si="73"/>
        <v>0</v>
      </c>
      <c r="J1220" s="1">
        <f t="shared" si="74"/>
        <v>0</v>
      </c>
      <c r="K1220" s="19">
        <f t="shared" si="75"/>
        <v>0</v>
      </c>
    </row>
    <row r="1221" spans="1:11" ht="15">
      <c r="A1221" s="3">
        <v>1926</v>
      </c>
      <c r="B1221" s="151">
        <v>155</v>
      </c>
      <c r="C1221" s="7" t="s">
        <v>27</v>
      </c>
      <c r="D1221" s="4" t="s">
        <v>95</v>
      </c>
      <c r="E1221" t="s">
        <v>172</v>
      </c>
      <c r="F1221" s="12">
        <f>IFERROR(VLOOKUP(B1221,'INSUMOS  JULIO'!$B$6:$CJ$109,39,0),"")</f>
        <v>0</v>
      </c>
      <c r="G1221" s="8">
        <f>IFERROR(VLOOKUP($B1221,'INSUMOS  JULIO'!$B$6:$CJ$109,40,0),"")</f>
        <v>3703.7239999999997</v>
      </c>
      <c r="H1221" s="19">
        <f t="shared" si="72"/>
        <v>0</v>
      </c>
      <c r="I1221" s="1">
        <f t="shared" si="73"/>
        <v>0</v>
      </c>
      <c r="J1221" s="1">
        <f t="shared" si="74"/>
        <v>0</v>
      </c>
      <c r="K1221" s="19">
        <f t="shared" si="75"/>
        <v>0</v>
      </c>
    </row>
    <row r="1222" spans="1:11" ht="15">
      <c r="A1222" s="3">
        <v>1927</v>
      </c>
      <c r="B1222" s="151">
        <v>156</v>
      </c>
      <c r="C1222" s="7" t="s">
        <v>13</v>
      </c>
      <c r="D1222" s="4" t="s">
        <v>96</v>
      </c>
      <c r="E1222" t="s">
        <v>172</v>
      </c>
      <c r="F1222" s="12" t="str">
        <f>IFERROR(VLOOKUP(B1222,'INSUMOS  JULIO'!$B$6:$CJ$109,39,0),"")</f>
        <v>0</v>
      </c>
      <c r="G1222" s="8">
        <f>IFERROR(VLOOKUP($B1222,'INSUMOS  JULIO'!$B$6:$CJ$109,40,0),"")</f>
        <v>4422.6080000000002</v>
      </c>
      <c r="H1222" s="19">
        <f t="shared" ref="H1222:H1285" si="76">+F1222*G1222</f>
        <v>0</v>
      </c>
      <c r="I1222" s="1">
        <f t="shared" ref="I1222:I1285" si="77">+H1222*10%</f>
        <v>0</v>
      </c>
      <c r="J1222" s="1">
        <f t="shared" ref="J1222:J1285" si="78">+I1222*19%</f>
        <v>0</v>
      </c>
      <c r="K1222" s="19">
        <f t="shared" ref="K1222:K1285" si="79">SUM(H1222:J1222)</f>
        <v>0</v>
      </c>
    </row>
    <row r="1223" spans="1:11" ht="15">
      <c r="A1223" s="3">
        <v>1928</v>
      </c>
      <c r="B1223" s="151">
        <v>157</v>
      </c>
      <c r="C1223" s="7" t="s">
        <v>13</v>
      </c>
      <c r="D1223" s="4" t="s">
        <v>97</v>
      </c>
      <c r="E1223" t="s">
        <v>172</v>
      </c>
      <c r="F1223" s="12">
        <f>IFERROR(VLOOKUP(B1223,'INSUMOS  JULIO'!$B$6:$CJ$109,39,0),"")</f>
        <v>0</v>
      </c>
      <c r="G1223" s="8">
        <f>IFERROR(VLOOKUP($B1223,'INSUMOS  JULIO'!$B$6:$CJ$109,40,0),"")</f>
        <v>5970.7309999999998</v>
      </c>
      <c r="H1223" s="19">
        <f t="shared" si="76"/>
        <v>0</v>
      </c>
      <c r="I1223" s="1">
        <f t="shared" si="77"/>
        <v>0</v>
      </c>
      <c r="J1223" s="1">
        <f t="shared" si="78"/>
        <v>0</v>
      </c>
      <c r="K1223" s="19">
        <f t="shared" si="79"/>
        <v>0</v>
      </c>
    </row>
    <row r="1224" spans="1:11" ht="15">
      <c r="A1224" s="3">
        <v>1929</v>
      </c>
      <c r="B1224" s="151">
        <v>159</v>
      </c>
      <c r="C1224" s="7" t="s">
        <v>13</v>
      </c>
      <c r="D1224" s="4" t="s">
        <v>98</v>
      </c>
      <c r="E1224" t="s">
        <v>172</v>
      </c>
      <c r="F1224" s="12" t="str">
        <f>IFERROR(VLOOKUP(B1224,'INSUMOS  JULIO'!$B$6:$CJ$109,39,0),"")</f>
        <v>0</v>
      </c>
      <c r="G1224" s="8">
        <f>IFERROR(VLOOKUP($B1224,'INSUMOS  JULIO'!$B$6:$CJ$109,40,0),"")</f>
        <v>0</v>
      </c>
      <c r="H1224" s="19">
        <f t="shared" si="76"/>
        <v>0</v>
      </c>
      <c r="I1224" s="1">
        <f t="shared" si="77"/>
        <v>0</v>
      </c>
      <c r="J1224" s="1">
        <f t="shared" si="78"/>
        <v>0</v>
      </c>
      <c r="K1224" s="19">
        <f t="shared" si="79"/>
        <v>0</v>
      </c>
    </row>
    <row r="1225" spans="1:11" ht="15">
      <c r="A1225" s="3">
        <v>1930</v>
      </c>
      <c r="B1225" s="151">
        <v>160</v>
      </c>
      <c r="C1225" s="7" t="s">
        <v>13</v>
      </c>
      <c r="D1225" s="4" t="s">
        <v>99</v>
      </c>
      <c r="E1225" t="s">
        <v>172</v>
      </c>
      <c r="F1225" s="12" t="str">
        <f>IFERROR(VLOOKUP(B1225,'INSUMOS  JULIO'!$B$6:$CJ$109,39,0),"")</f>
        <v>0</v>
      </c>
      <c r="G1225" s="8">
        <f>IFERROR(VLOOKUP($B1225,'INSUMOS  JULIO'!$B$6:$CJ$109,40,0),"")</f>
        <v>2276.4660000000003</v>
      </c>
      <c r="H1225" s="19">
        <f t="shared" si="76"/>
        <v>0</v>
      </c>
      <c r="I1225" s="1">
        <f t="shared" si="77"/>
        <v>0</v>
      </c>
      <c r="J1225" s="1">
        <f t="shared" si="78"/>
        <v>0</v>
      </c>
      <c r="K1225" s="19">
        <f t="shared" si="79"/>
        <v>0</v>
      </c>
    </row>
    <row r="1226" spans="1:11" ht="15">
      <c r="A1226" s="3">
        <v>1931</v>
      </c>
      <c r="B1226" s="151">
        <v>161</v>
      </c>
      <c r="C1226" s="7" t="s">
        <v>33</v>
      </c>
      <c r="D1226" s="4" t="s">
        <v>100</v>
      </c>
      <c r="E1226" t="s">
        <v>172</v>
      </c>
      <c r="F1226" s="12" t="str">
        <f>IFERROR(VLOOKUP(B1226,'INSUMOS  JULIO'!$B$6:$CJ$109,39,0),"")</f>
        <v>0</v>
      </c>
      <c r="G1226" s="8">
        <f>IFERROR(VLOOKUP($B1226,'INSUMOS  JULIO'!$B$6:$CJ$109,40,0),"")</f>
        <v>2236.5280000000002</v>
      </c>
      <c r="H1226" s="19">
        <f t="shared" si="76"/>
        <v>0</v>
      </c>
      <c r="I1226" s="1">
        <f t="shared" si="77"/>
        <v>0</v>
      </c>
      <c r="J1226" s="1">
        <f t="shared" si="78"/>
        <v>0</v>
      </c>
      <c r="K1226" s="19">
        <f t="shared" si="79"/>
        <v>0</v>
      </c>
    </row>
    <row r="1227" spans="1:11" ht="15">
      <c r="A1227" s="3">
        <v>1932</v>
      </c>
      <c r="B1227" s="151">
        <v>162</v>
      </c>
      <c r="C1227" s="7" t="s">
        <v>16</v>
      </c>
      <c r="D1227" s="4" t="s">
        <v>101</v>
      </c>
      <c r="E1227" t="s">
        <v>172</v>
      </c>
      <c r="F1227" s="12">
        <f>IFERROR(VLOOKUP(B1227,'INSUMOS  JULIO'!$B$6:$CJ$109,39,0),"")</f>
        <v>0</v>
      </c>
      <c r="G1227" s="8">
        <f>IFERROR(VLOOKUP($B1227,'INSUMOS  JULIO'!$B$6:$CJ$109,40,0),"")</f>
        <v>2684.2539999999999</v>
      </c>
      <c r="H1227" s="19">
        <f t="shared" si="76"/>
        <v>0</v>
      </c>
      <c r="I1227" s="1">
        <f t="shared" si="77"/>
        <v>0</v>
      </c>
      <c r="J1227" s="1">
        <f t="shared" si="78"/>
        <v>0</v>
      </c>
      <c r="K1227" s="19">
        <f t="shared" si="79"/>
        <v>0</v>
      </c>
    </row>
    <row r="1228" spans="1:11" ht="15">
      <c r="A1228" s="3">
        <v>1933</v>
      </c>
      <c r="B1228" s="151">
        <v>164</v>
      </c>
      <c r="C1228" s="7" t="s">
        <v>36</v>
      </c>
      <c r="D1228" s="4" t="s">
        <v>102</v>
      </c>
      <c r="E1228" t="s">
        <v>172</v>
      </c>
      <c r="F1228" s="12" t="str">
        <f>IFERROR(VLOOKUP(B1228,'INSUMOS  JULIO'!$B$6:$CJ$109,39,0),"")</f>
        <v>0</v>
      </c>
      <c r="G1228" s="8">
        <f>IFERROR(VLOOKUP($B1228,'INSUMOS  JULIO'!$B$6:$CJ$109,40,0),"")</f>
        <v>1658.4780000000001</v>
      </c>
      <c r="H1228" s="19">
        <f t="shared" si="76"/>
        <v>0</v>
      </c>
      <c r="I1228" s="1">
        <f t="shared" si="77"/>
        <v>0</v>
      </c>
      <c r="J1228" s="1">
        <f t="shared" si="78"/>
        <v>0</v>
      </c>
      <c r="K1228" s="19">
        <f t="shared" si="79"/>
        <v>0</v>
      </c>
    </row>
    <row r="1229" spans="1:11" ht="15">
      <c r="A1229" s="3">
        <v>1934</v>
      </c>
      <c r="B1229" s="151">
        <v>169</v>
      </c>
      <c r="C1229" s="7" t="s">
        <v>36</v>
      </c>
      <c r="D1229" s="4" t="s">
        <v>104</v>
      </c>
      <c r="E1229" t="s">
        <v>172</v>
      </c>
      <c r="F1229" s="12" t="str">
        <f>IFERROR(VLOOKUP(B1229,'INSUMOS  JULIO'!$B$6:$CJ$109,39,0),"")</f>
        <v>0</v>
      </c>
      <c r="G1229" s="8">
        <f>IFERROR(VLOOKUP($B1229,'INSUMOS  JULIO'!$B$6:$CJ$109,40,0),"")</f>
        <v>85897.178999999989</v>
      </c>
      <c r="H1229" s="19">
        <f t="shared" si="76"/>
        <v>0</v>
      </c>
      <c r="I1229" s="1">
        <f t="shared" si="77"/>
        <v>0</v>
      </c>
      <c r="J1229" s="1">
        <f t="shared" si="78"/>
        <v>0</v>
      </c>
      <c r="K1229" s="19">
        <f t="shared" si="79"/>
        <v>0</v>
      </c>
    </row>
    <row r="1230" spans="1:11" ht="15">
      <c r="A1230" s="3">
        <v>1935</v>
      </c>
      <c r="B1230" s="151">
        <v>170</v>
      </c>
      <c r="C1230" s="7" t="s">
        <v>39</v>
      </c>
      <c r="D1230" s="4" t="s">
        <v>106</v>
      </c>
      <c r="E1230" t="s">
        <v>172</v>
      </c>
      <c r="F1230" s="12">
        <f>IFERROR(VLOOKUP(B1230,'INSUMOS  JULIO'!$B$6:$CJ$109,39,0),"")</f>
        <v>0</v>
      </c>
      <c r="G1230" s="8">
        <f>IFERROR(VLOOKUP($B1230,'INSUMOS  JULIO'!$B$6:$CJ$109,40,0),"")</f>
        <v>19405.664000000001</v>
      </c>
      <c r="H1230" s="19">
        <f t="shared" si="76"/>
        <v>0</v>
      </c>
      <c r="I1230" s="1">
        <f t="shared" si="77"/>
        <v>0</v>
      </c>
      <c r="J1230" s="1">
        <f t="shared" si="78"/>
        <v>0</v>
      </c>
      <c r="K1230" s="19">
        <f t="shared" si="79"/>
        <v>0</v>
      </c>
    </row>
    <row r="1231" spans="1:11" ht="15">
      <c r="A1231" s="3">
        <v>1936</v>
      </c>
      <c r="B1231" s="151">
        <v>173</v>
      </c>
      <c r="C1231" s="7" t="s">
        <v>39</v>
      </c>
      <c r="D1231" s="4" t="s">
        <v>107</v>
      </c>
      <c r="E1231" t="s">
        <v>172</v>
      </c>
      <c r="F1231" s="12" t="str">
        <f>IFERROR(VLOOKUP(B1231,'INSUMOS  JULIO'!$B$6:$CJ$109,39,0),"")</f>
        <v>0</v>
      </c>
      <c r="G1231" s="8">
        <f>IFERROR(VLOOKUP($B1231,'INSUMOS  JULIO'!$B$6:$CJ$109,40,0),"")</f>
        <v>0</v>
      </c>
      <c r="H1231" s="19">
        <f t="shared" si="76"/>
        <v>0</v>
      </c>
      <c r="I1231" s="1">
        <f t="shared" si="77"/>
        <v>0</v>
      </c>
      <c r="J1231" s="1">
        <f t="shared" si="78"/>
        <v>0</v>
      </c>
      <c r="K1231" s="19">
        <f t="shared" si="79"/>
        <v>0</v>
      </c>
    </row>
    <row r="1232" spans="1:11" ht="15">
      <c r="A1232" s="3">
        <v>1937</v>
      </c>
      <c r="B1232" s="151">
        <v>174</v>
      </c>
      <c r="C1232" s="7" t="s">
        <v>108</v>
      </c>
      <c r="D1232" s="4" t="s">
        <v>109</v>
      </c>
      <c r="E1232" t="s">
        <v>172</v>
      </c>
      <c r="F1232" s="12" t="str">
        <f>IFERROR(VLOOKUP(B1232,'INSUMOS  JULIO'!$B$6:$CJ$109,39,0),"")</f>
        <v>0</v>
      </c>
      <c r="G1232" s="8">
        <f>IFERROR(VLOOKUP($B1232,'INSUMOS  JULIO'!$B$6:$CJ$109,40,0),"")</f>
        <v>6081.0860000000002</v>
      </c>
      <c r="H1232" s="19">
        <f t="shared" si="76"/>
        <v>0</v>
      </c>
      <c r="I1232" s="1">
        <f t="shared" si="77"/>
        <v>0</v>
      </c>
      <c r="J1232" s="1">
        <f t="shared" si="78"/>
        <v>0</v>
      </c>
      <c r="K1232" s="19">
        <f t="shared" si="79"/>
        <v>0</v>
      </c>
    </row>
    <row r="1233" spans="1:11" ht="15">
      <c r="A1233" s="3">
        <v>1938</v>
      </c>
      <c r="B1233" s="151">
        <v>176</v>
      </c>
      <c r="C1233" s="7" t="s">
        <v>108</v>
      </c>
      <c r="D1233" s="4" t="s">
        <v>110</v>
      </c>
      <c r="E1233" t="s">
        <v>172</v>
      </c>
      <c r="F1233" s="12" t="str">
        <f>IFERROR(VLOOKUP(B1233,'INSUMOS  JULIO'!$B$6:$CJ$109,39,0),"")</f>
        <v>0</v>
      </c>
      <c r="G1233" s="8">
        <f>IFERROR(VLOOKUP($B1233,'INSUMOS  JULIO'!$B$6:$CJ$109,40,0),"")</f>
        <v>2749.4160000000002</v>
      </c>
      <c r="H1233" s="19">
        <f t="shared" si="76"/>
        <v>0</v>
      </c>
      <c r="I1233" s="1">
        <f t="shared" si="77"/>
        <v>0</v>
      </c>
      <c r="J1233" s="1">
        <f t="shared" si="78"/>
        <v>0</v>
      </c>
      <c r="K1233" s="19">
        <f t="shared" si="79"/>
        <v>0</v>
      </c>
    </row>
    <row r="1234" spans="1:11" ht="15">
      <c r="A1234" s="3">
        <v>1939</v>
      </c>
      <c r="B1234" s="151">
        <v>192</v>
      </c>
      <c r="C1234" s="7" t="s">
        <v>149</v>
      </c>
      <c r="D1234" s="4" t="s">
        <v>111</v>
      </c>
      <c r="E1234" t="s">
        <v>172</v>
      </c>
      <c r="F1234" s="12">
        <f>IFERROR(VLOOKUP(B1234,'INSUMOS  JULIO'!$B$6:$CJ$109,39,0),"")</f>
        <v>0</v>
      </c>
      <c r="G1234" s="8">
        <f>IFERROR(VLOOKUP($B1234,'INSUMOS  JULIO'!$B$6:$CJ$109,40,0),"")</f>
        <v>3930.7400000000002</v>
      </c>
      <c r="H1234" s="19">
        <f t="shared" si="76"/>
        <v>0</v>
      </c>
      <c r="I1234" s="1">
        <f t="shared" si="77"/>
        <v>0</v>
      </c>
      <c r="J1234" s="1">
        <f t="shared" si="78"/>
        <v>0</v>
      </c>
      <c r="K1234" s="19">
        <f t="shared" si="79"/>
        <v>0</v>
      </c>
    </row>
    <row r="1235" spans="1:11" ht="15">
      <c r="A1235" s="3">
        <v>2000</v>
      </c>
      <c r="B1235" s="151">
        <v>195</v>
      </c>
      <c r="C1235" s="7" t="s">
        <v>151</v>
      </c>
      <c r="D1235" s="4" t="s">
        <v>112</v>
      </c>
      <c r="E1235" t="s">
        <v>172</v>
      </c>
      <c r="F1235" s="12">
        <f>IFERROR(VLOOKUP(B1235,'INSUMOS  JULIO'!$B$6:$CJ$109,39,0),"")</f>
        <v>0</v>
      </c>
      <c r="G1235" s="8">
        <f>IFERROR(VLOOKUP($B1235,'INSUMOS  JULIO'!$B$6:$CJ$109,40,0),"")</f>
        <v>10697.1831</v>
      </c>
      <c r="H1235" s="19">
        <f t="shared" si="76"/>
        <v>0</v>
      </c>
      <c r="I1235" s="1">
        <f t="shared" si="77"/>
        <v>0</v>
      </c>
      <c r="J1235" s="1">
        <f t="shared" si="78"/>
        <v>0</v>
      </c>
      <c r="K1235" s="19">
        <f t="shared" si="79"/>
        <v>0</v>
      </c>
    </row>
    <row r="1236" spans="1:11" ht="15">
      <c r="A1236" s="3">
        <v>2001</v>
      </c>
      <c r="B1236" s="151">
        <v>204</v>
      </c>
      <c r="C1236" s="7" t="s">
        <v>46</v>
      </c>
      <c r="D1236" s="4" t="s">
        <v>113</v>
      </c>
      <c r="E1236" t="s">
        <v>172</v>
      </c>
      <c r="F1236" s="12">
        <f>IFERROR(VLOOKUP(B1236,'INSUMOS  JULIO'!$B$6:$CJ$109,39,0),"")</f>
        <v>6</v>
      </c>
      <c r="G1236" s="8">
        <f>IFERROR(VLOOKUP($B1236,'INSUMOS  JULIO'!$B$6:$CJ$109,40,0),"")</f>
        <v>25673.6178</v>
      </c>
      <c r="H1236" s="19">
        <f t="shared" si="76"/>
        <v>154041.70679999999</v>
      </c>
      <c r="I1236" s="1">
        <f t="shared" si="77"/>
        <v>15404.170679999999</v>
      </c>
      <c r="J1236" s="1">
        <f t="shared" si="78"/>
        <v>2926.7924291999998</v>
      </c>
      <c r="K1236" s="19">
        <f t="shared" si="79"/>
        <v>172372.66990919999</v>
      </c>
    </row>
    <row r="1237" spans="1:11" ht="27">
      <c r="A1237" s="3">
        <v>2002</v>
      </c>
      <c r="B1237" s="151">
        <v>205</v>
      </c>
      <c r="C1237" s="7" t="s">
        <v>159</v>
      </c>
      <c r="D1237" s="4" t="s">
        <v>114</v>
      </c>
      <c r="E1237" t="s">
        <v>172</v>
      </c>
      <c r="F1237" s="12" t="str">
        <f>IFERROR(VLOOKUP(B1237,'INSUMOS  JULIO'!$B$6:$CJ$109,39,0),"")</f>
        <v>0</v>
      </c>
      <c r="G1237" s="8">
        <f>IFERROR(VLOOKUP($B1237,'INSUMOS  JULIO'!$B$6:$CJ$109,40,0),"")</f>
        <v>17690.432000000001</v>
      </c>
      <c r="H1237" s="19">
        <f t="shared" si="76"/>
        <v>0</v>
      </c>
      <c r="I1237" s="1">
        <f t="shared" si="77"/>
        <v>0</v>
      </c>
      <c r="J1237" s="1">
        <f t="shared" si="78"/>
        <v>0</v>
      </c>
      <c r="K1237" s="19">
        <f t="shared" si="79"/>
        <v>0</v>
      </c>
    </row>
    <row r="1238" spans="1:11" ht="15">
      <c r="A1238" s="3">
        <v>2003</v>
      </c>
      <c r="B1238" s="151">
        <v>207</v>
      </c>
      <c r="C1238" s="7" t="s">
        <v>159</v>
      </c>
      <c r="D1238" s="4" t="s">
        <v>115</v>
      </c>
      <c r="E1238" t="s">
        <v>172</v>
      </c>
      <c r="F1238" s="12" t="str">
        <f>IFERROR(VLOOKUP(B1238,'INSUMOS  JULIO'!$B$6:$CJ$109,39,0),"")</f>
        <v>0</v>
      </c>
      <c r="G1238" s="8">
        <f>IFERROR(VLOOKUP($B1238,'INSUMOS  JULIO'!$B$6:$CJ$109,40,0),"")</f>
        <v>7186.7380000000003</v>
      </c>
      <c r="H1238" s="19">
        <f t="shared" si="76"/>
        <v>0</v>
      </c>
      <c r="I1238" s="1">
        <f t="shared" si="77"/>
        <v>0</v>
      </c>
      <c r="J1238" s="1">
        <f t="shared" si="78"/>
        <v>0</v>
      </c>
      <c r="K1238" s="19">
        <f t="shared" si="79"/>
        <v>0</v>
      </c>
    </row>
    <row r="1239" spans="1:11" ht="15">
      <c r="A1239" s="3">
        <v>2004</v>
      </c>
      <c r="B1239" s="151">
        <v>208</v>
      </c>
      <c r="C1239" s="7" t="s">
        <v>159</v>
      </c>
      <c r="D1239" s="4" t="s">
        <v>634</v>
      </c>
      <c r="E1239" t="s">
        <v>172</v>
      </c>
      <c r="F1239" s="12" t="str">
        <f>IFERROR(VLOOKUP(B1239,'INSUMOS  JULIO'!$B$6:$CJ$109,39,0),"")</f>
        <v>0</v>
      </c>
      <c r="G1239" s="8">
        <f>IFERROR(VLOOKUP($B1239,'INSUMOS  JULIO'!$B$6:$CJ$109,40,0),"")</f>
        <v>50779.065000000002</v>
      </c>
      <c r="H1239" s="19">
        <f t="shared" si="76"/>
        <v>0</v>
      </c>
      <c r="I1239" s="1">
        <f t="shared" si="77"/>
        <v>0</v>
      </c>
      <c r="J1239" s="1">
        <f t="shared" si="78"/>
        <v>0</v>
      </c>
      <c r="K1239" s="19">
        <f t="shared" si="79"/>
        <v>0</v>
      </c>
    </row>
    <row r="1240" spans="1:11" ht="15">
      <c r="A1240" s="3">
        <v>2005</v>
      </c>
      <c r="B1240" s="151">
        <v>209</v>
      </c>
      <c r="C1240" s="7" t="s">
        <v>159</v>
      </c>
      <c r="D1240" s="4" t="s">
        <v>635</v>
      </c>
      <c r="E1240" t="s">
        <v>172</v>
      </c>
      <c r="F1240" s="12" t="str">
        <f>IFERROR(VLOOKUP(B1240,'INSUMOS  JULIO'!$B$6:$CJ$109,39,0),"")</f>
        <v>0</v>
      </c>
      <c r="G1240" s="8">
        <f>IFERROR(VLOOKUP($B1240,'INSUMOS  JULIO'!$B$6:$CJ$109,40,0),"")</f>
        <v>37357.794999999998</v>
      </c>
      <c r="H1240" s="19">
        <f t="shared" si="76"/>
        <v>0</v>
      </c>
      <c r="I1240" s="1">
        <f t="shared" si="77"/>
        <v>0</v>
      </c>
      <c r="J1240" s="1">
        <f t="shared" si="78"/>
        <v>0</v>
      </c>
      <c r="K1240" s="19">
        <f t="shared" si="79"/>
        <v>0</v>
      </c>
    </row>
    <row r="1241" spans="1:11" ht="15">
      <c r="A1241" s="3">
        <v>2006</v>
      </c>
      <c r="B1241" s="151">
        <v>210</v>
      </c>
      <c r="C1241" s="7" t="s">
        <v>159</v>
      </c>
      <c r="D1241" s="4" t="s">
        <v>636</v>
      </c>
      <c r="E1241" t="s">
        <v>172</v>
      </c>
      <c r="F1241" s="12" t="str">
        <f>IFERROR(VLOOKUP(B1241,'INSUMOS  JULIO'!$B$6:$CJ$109,39,0),"")</f>
        <v>0</v>
      </c>
      <c r="G1241" s="8">
        <f>IFERROR(VLOOKUP($B1241,'INSUMOS  JULIO'!$B$6:$CJ$109,40,0),"")</f>
        <v>22537.643999999997</v>
      </c>
      <c r="H1241" s="19">
        <f t="shared" si="76"/>
        <v>0</v>
      </c>
      <c r="I1241" s="1">
        <f t="shared" si="77"/>
        <v>0</v>
      </c>
      <c r="J1241" s="1">
        <f t="shared" si="78"/>
        <v>0</v>
      </c>
      <c r="K1241" s="19">
        <f t="shared" si="79"/>
        <v>0</v>
      </c>
    </row>
    <row r="1242" spans="1:11" ht="15">
      <c r="A1242" s="3">
        <v>2007</v>
      </c>
      <c r="B1242" s="151">
        <v>211</v>
      </c>
      <c r="C1242" s="7" t="s">
        <v>53</v>
      </c>
      <c r="D1242" s="4" t="s">
        <v>637</v>
      </c>
      <c r="E1242" t="s">
        <v>172</v>
      </c>
      <c r="F1242" s="12" t="str">
        <f>IFERROR(VLOOKUP(B1242,'INSUMOS  JULIO'!$B$6:$CJ$109,39,0),"")</f>
        <v>0</v>
      </c>
      <c r="G1242" s="8">
        <f>IFERROR(VLOOKUP($B1242,'INSUMOS  JULIO'!$B$6:$CJ$109,40,0),"")</f>
        <v>15992.016</v>
      </c>
      <c r="H1242" s="19">
        <f t="shared" si="76"/>
        <v>0</v>
      </c>
      <c r="I1242" s="1">
        <f t="shared" si="77"/>
        <v>0</v>
      </c>
      <c r="J1242" s="1">
        <f t="shared" si="78"/>
        <v>0</v>
      </c>
      <c r="K1242" s="19">
        <f t="shared" si="79"/>
        <v>0</v>
      </c>
    </row>
    <row r="1243" spans="1:11" ht="15">
      <c r="A1243" s="3">
        <v>2008</v>
      </c>
      <c r="B1243" s="151">
        <v>212</v>
      </c>
      <c r="C1243" s="7" t="s">
        <v>53</v>
      </c>
      <c r="D1243" s="4" t="s">
        <v>116</v>
      </c>
      <c r="E1243" t="s">
        <v>172</v>
      </c>
      <c r="F1243" s="12" t="str">
        <f>IFERROR(VLOOKUP(B1243,'INSUMOS  JULIO'!$B$6:$CJ$109,39,0),"")</f>
        <v>0</v>
      </c>
      <c r="G1243" s="8">
        <f>IFERROR(VLOOKUP($B1243,'INSUMOS  JULIO'!$B$6:$CJ$109,40,0),"")</f>
        <v>2505.5839999999998</v>
      </c>
      <c r="H1243" s="19">
        <f t="shared" si="76"/>
        <v>0</v>
      </c>
      <c r="I1243" s="1">
        <f t="shared" si="77"/>
        <v>0</v>
      </c>
      <c r="J1243" s="1">
        <f t="shared" si="78"/>
        <v>0</v>
      </c>
      <c r="K1243" s="19">
        <f t="shared" si="79"/>
        <v>0</v>
      </c>
    </row>
    <row r="1244" spans="1:11" ht="15">
      <c r="A1244" s="3">
        <v>2009</v>
      </c>
      <c r="B1244" s="151">
        <v>213</v>
      </c>
      <c r="C1244" s="7" t="s">
        <v>53</v>
      </c>
      <c r="D1244" s="4" t="s">
        <v>638</v>
      </c>
      <c r="E1244" t="s">
        <v>172</v>
      </c>
      <c r="F1244" s="12" t="str">
        <f>IFERROR(VLOOKUP(B1244,'INSUMOS  JULIO'!$B$6:$CJ$109,39,0),"")</f>
        <v>0</v>
      </c>
      <c r="G1244" s="8">
        <f>IFERROR(VLOOKUP($B1244,'INSUMOS  JULIO'!$B$6:$CJ$109,40,0),"")</f>
        <v>0</v>
      </c>
      <c r="H1244" s="19">
        <f t="shared" si="76"/>
        <v>0</v>
      </c>
      <c r="I1244" s="1">
        <f t="shared" si="77"/>
        <v>0</v>
      </c>
      <c r="J1244" s="1">
        <f t="shared" si="78"/>
        <v>0</v>
      </c>
      <c r="K1244" s="19">
        <f t="shared" si="79"/>
        <v>0</v>
      </c>
    </row>
    <row r="1245" spans="1:11" ht="15">
      <c r="A1245" s="3">
        <v>2010</v>
      </c>
      <c r="B1245" s="151">
        <v>215</v>
      </c>
      <c r="C1245" s="7" t="s">
        <v>53</v>
      </c>
      <c r="D1245" s="4" t="s">
        <v>639</v>
      </c>
      <c r="E1245" t="s">
        <v>172</v>
      </c>
      <c r="F1245" s="12" t="str">
        <f>IFERROR(VLOOKUP(B1245,'INSUMOS  JULIO'!$B$6:$CJ$109,39,0),"")</f>
        <v>0</v>
      </c>
      <c r="G1245" s="8">
        <f>IFERROR(VLOOKUP($B1245,'INSUMOS  JULIO'!$B$6:$CJ$109,40,0),"")</f>
        <v>10476.367999999999</v>
      </c>
      <c r="H1245" s="19">
        <f t="shared" si="76"/>
        <v>0</v>
      </c>
      <c r="I1245" s="1">
        <f t="shared" si="77"/>
        <v>0</v>
      </c>
      <c r="J1245" s="1">
        <f t="shared" si="78"/>
        <v>0</v>
      </c>
      <c r="K1245" s="19">
        <f t="shared" si="79"/>
        <v>0</v>
      </c>
    </row>
    <row r="1246" spans="1:11" ht="15">
      <c r="A1246" s="3">
        <v>2011</v>
      </c>
      <c r="B1246" s="151">
        <v>216</v>
      </c>
      <c r="C1246" s="7" t="s">
        <v>160</v>
      </c>
      <c r="D1246" s="4" t="s">
        <v>640</v>
      </c>
      <c r="E1246" t="s">
        <v>172</v>
      </c>
      <c r="F1246" s="12" t="str">
        <f>IFERROR(VLOOKUP(B1246,'INSUMOS  JULIO'!$B$6:$CJ$109,39,0),"")</f>
        <v>0</v>
      </c>
      <c r="G1246" s="8">
        <f>IFERROR(VLOOKUP($B1246,'INSUMOS  JULIO'!$B$6:$CJ$109,40,0),"")</f>
        <v>3954.9129999999996</v>
      </c>
      <c r="H1246" s="19">
        <f t="shared" si="76"/>
        <v>0</v>
      </c>
      <c r="I1246" s="1">
        <f t="shared" si="77"/>
        <v>0</v>
      </c>
      <c r="J1246" s="1">
        <f t="shared" si="78"/>
        <v>0</v>
      </c>
      <c r="K1246" s="19">
        <f t="shared" si="79"/>
        <v>0</v>
      </c>
    </row>
    <row r="1247" spans="1:11" ht="15">
      <c r="A1247" s="3">
        <v>2012</v>
      </c>
      <c r="B1247" s="151">
        <v>218</v>
      </c>
      <c r="C1247" s="7" t="s">
        <v>160</v>
      </c>
      <c r="D1247" s="4" t="s">
        <v>117</v>
      </c>
      <c r="E1247" t="s">
        <v>172</v>
      </c>
      <c r="F1247" s="12" t="str">
        <f>IFERROR(VLOOKUP(B1247,'INSUMOS  JULIO'!$B$6:$CJ$109,39,0),"")</f>
        <v>0</v>
      </c>
      <c r="G1247" s="8">
        <f>IFERROR(VLOOKUP($B1247,'INSUMOS  JULIO'!$B$6:$CJ$109,40,0),"")</f>
        <v>1437.768</v>
      </c>
      <c r="H1247" s="19">
        <f t="shared" si="76"/>
        <v>0</v>
      </c>
      <c r="I1247" s="1">
        <f t="shared" si="77"/>
        <v>0</v>
      </c>
      <c r="J1247" s="1">
        <f t="shared" si="78"/>
        <v>0</v>
      </c>
      <c r="K1247" s="19">
        <f t="shared" si="79"/>
        <v>0</v>
      </c>
    </row>
    <row r="1248" spans="1:11" ht="15">
      <c r="A1248" s="3">
        <v>2013</v>
      </c>
      <c r="B1248" s="151">
        <v>251</v>
      </c>
      <c r="C1248" s="7" t="s">
        <v>60</v>
      </c>
      <c r="D1248" s="4" t="s">
        <v>118</v>
      </c>
      <c r="E1248" t="s">
        <v>172</v>
      </c>
      <c r="F1248" s="12" t="str">
        <f>IFERROR(VLOOKUP(B1248,'INSUMOS  JULIO'!$B$6:$CJ$109,39,0),"")</f>
        <v>0</v>
      </c>
      <c r="G1248" s="8">
        <f>IFERROR(VLOOKUP($B1248,'INSUMOS  JULIO'!$B$6:$CJ$109,40,0),"")</f>
        <v>16031.954000000002</v>
      </c>
      <c r="H1248" s="19">
        <f t="shared" si="76"/>
        <v>0</v>
      </c>
      <c r="I1248" s="1">
        <f t="shared" si="77"/>
        <v>0</v>
      </c>
      <c r="J1248" s="1">
        <f t="shared" si="78"/>
        <v>0</v>
      </c>
      <c r="K1248" s="19">
        <f t="shared" si="79"/>
        <v>0</v>
      </c>
    </row>
    <row r="1249" spans="1:11" ht="15">
      <c r="A1249" s="3">
        <v>2014</v>
      </c>
      <c r="B1249" s="151">
        <v>255</v>
      </c>
      <c r="C1249" s="7" t="s">
        <v>60</v>
      </c>
      <c r="D1249" s="4" t="s">
        <v>641</v>
      </c>
      <c r="E1249" t="s">
        <v>172</v>
      </c>
      <c r="F1249" s="12" t="str">
        <f>IFERROR(VLOOKUP(B1249,'INSUMOS  JULIO'!$B$6:$CJ$109,39,0),"")</f>
        <v>0</v>
      </c>
      <c r="G1249" s="8">
        <f>IFERROR(VLOOKUP($B1249,'INSUMOS  JULIO'!$B$6:$CJ$109,40,0),"")</f>
        <v>29299.777999999998</v>
      </c>
      <c r="H1249" s="19">
        <f t="shared" si="76"/>
        <v>0</v>
      </c>
      <c r="I1249" s="1">
        <f t="shared" si="77"/>
        <v>0</v>
      </c>
      <c r="J1249" s="1">
        <f t="shared" si="78"/>
        <v>0</v>
      </c>
      <c r="K1249" s="19">
        <f t="shared" si="79"/>
        <v>0</v>
      </c>
    </row>
    <row r="1250" spans="1:11" ht="15">
      <c r="A1250" s="3">
        <v>2015</v>
      </c>
      <c r="B1250" s="151">
        <v>257</v>
      </c>
      <c r="C1250" s="7" t="s">
        <v>151</v>
      </c>
      <c r="D1250" s="4" t="s">
        <v>642</v>
      </c>
      <c r="E1250" t="s">
        <v>172</v>
      </c>
      <c r="F1250" s="12" t="str">
        <f>IFERROR(VLOOKUP(B1250,'INSUMOS  JULIO'!$B$6:$CJ$109,39,0),"")</f>
        <v>0</v>
      </c>
      <c r="G1250" s="8">
        <f>IFERROR(VLOOKUP($B1250,'INSUMOS  JULIO'!$B$6:$CJ$109,40,0),"")</f>
        <v>18796.084000000003</v>
      </c>
      <c r="H1250" s="19">
        <f t="shared" si="76"/>
        <v>0</v>
      </c>
      <c r="I1250" s="1">
        <f t="shared" si="77"/>
        <v>0</v>
      </c>
      <c r="J1250" s="1">
        <f t="shared" si="78"/>
        <v>0</v>
      </c>
      <c r="K1250" s="19">
        <f t="shared" si="79"/>
        <v>0</v>
      </c>
    </row>
    <row r="1251" spans="1:11" ht="15">
      <c r="A1251" s="3">
        <v>2016</v>
      </c>
      <c r="B1251" s="151">
        <v>260</v>
      </c>
      <c r="C1251" s="7" t="s">
        <v>160</v>
      </c>
      <c r="D1251" s="4" t="s">
        <v>643</v>
      </c>
      <c r="E1251" t="s">
        <v>172</v>
      </c>
      <c r="F1251" s="12" t="str">
        <f>IFERROR(VLOOKUP(B1251,'INSUMOS  JULIO'!$B$6:$CJ$109,39,0),"")</f>
        <v>0</v>
      </c>
      <c r="G1251" s="8">
        <f>IFERROR(VLOOKUP($B1251,'INSUMOS  JULIO'!$B$6:$CJ$109,40,0),"")</f>
        <v>3417.8520000000008</v>
      </c>
      <c r="H1251" s="19">
        <f t="shared" si="76"/>
        <v>0</v>
      </c>
      <c r="I1251" s="1">
        <f t="shared" si="77"/>
        <v>0</v>
      </c>
      <c r="J1251" s="1">
        <f t="shared" si="78"/>
        <v>0</v>
      </c>
      <c r="K1251" s="19">
        <f t="shared" si="79"/>
        <v>0</v>
      </c>
    </row>
    <row r="1252" spans="1:11" ht="15">
      <c r="A1252" s="3">
        <v>2017</v>
      </c>
      <c r="B1252" s="151">
        <v>291</v>
      </c>
      <c r="C1252" s="7" t="s">
        <v>60</v>
      </c>
      <c r="D1252" s="4" t="s">
        <v>644</v>
      </c>
      <c r="E1252" t="s">
        <v>172</v>
      </c>
      <c r="F1252" s="12" t="str">
        <f>IFERROR(VLOOKUP(B1252,'INSUMOS  JULIO'!$B$6:$CJ$109,39,0),"")</f>
        <v>0</v>
      </c>
      <c r="G1252" s="8">
        <f>IFERROR(VLOOKUP($B1252,'INSUMOS  JULIO'!$B$6:$CJ$109,40,0),"")</f>
        <v>20454.562000000005</v>
      </c>
      <c r="H1252" s="19">
        <f t="shared" si="76"/>
        <v>0</v>
      </c>
      <c r="I1252" s="1">
        <f t="shared" si="77"/>
        <v>0</v>
      </c>
      <c r="J1252" s="1">
        <f t="shared" si="78"/>
        <v>0</v>
      </c>
      <c r="K1252" s="19">
        <f t="shared" si="79"/>
        <v>0</v>
      </c>
    </row>
    <row r="1253" spans="1:11" ht="15">
      <c r="A1253" s="3">
        <v>2018</v>
      </c>
      <c r="B1253" s="151">
        <v>3</v>
      </c>
      <c r="C1253" s="7" t="s">
        <v>155</v>
      </c>
      <c r="D1253" s="4" t="s">
        <v>5</v>
      </c>
      <c r="E1253" t="s">
        <v>485</v>
      </c>
      <c r="F1253" s="12" t="str">
        <f>IFERROR(VLOOKUP($B1253,'INSUMOS  JULIO'!$B$6:$CJ$109,42,0),"")</f>
        <v>0</v>
      </c>
      <c r="G1253" s="8">
        <f>IFERROR(VLOOKUP($B1253,'INSUMOS  JULIO'!$B$6:$CJ$109,43,0),"")</f>
        <v>7268.7160000000003</v>
      </c>
      <c r="H1253" s="19">
        <f t="shared" si="76"/>
        <v>0</v>
      </c>
      <c r="I1253" s="1">
        <f t="shared" si="77"/>
        <v>0</v>
      </c>
      <c r="J1253" s="1">
        <f t="shared" si="78"/>
        <v>0</v>
      </c>
      <c r="K1253" s="19">
        <f t="shared" si="79"/>
        <v>0</v>
      </c>
    </row>
    <row r="1254" spans="1:11" ht="15">
      <c r="A1254" s="3">
        <v>2019</v>
      </c>
      <c r="B1254" s="151">
        <v>5</v>
      </c>
      <c r="C1254" s="7" t="s">
        <v>6</v>
      </c>
      <c r="D1254" s="4" t="s">
        <v>7</v>
      </c>
      <c r="E1254" t="s">
        <v>485</v>
      </c>
      <c r="F1254" s="12" t="str">
        <f>IFERROR(VLOOKUP(B1254,'INSUMOS  JULIO'!$B$6:$CJ$109,42,0),"")</f>
        <v>0</v>
      </c>
      <c r="G1254" s="8">
        <f>IFERROR(VLOOKUP($B1254,'INSUMOS  JULIO'!$B$6:$CJ$109,43,0),"")</f>
        <v>6494.1289999999999</v>
      </c>
      <c r="H1254" s="19">
        <f t="shared" si="76"/>
        <v>0</v>
      </c>
      <c r="I1254" s="1">
        <f t="shared" si="77"/>
        <v>0</v>
      </c>
      <c r="J1254" s="1">
        <f t="shared" si="78"/>
        <v>0</v>
      </c>
      <c r="K1254" s="19">
        <f t="shared" si="79"/>
        <v>0</v>
      </c>
    </row>
    <row r="1255" spans="1:11" ht="15">
      <c r="A1255" s="3">
        <v>2020</v>
      </c>
      <c r="B1255" s="151">
        <v>8</v>
      </c>
      <c r="C1255" s="7" t="s">
        <v>6</v>
      </c>
      <c r="D1255" s="4" t="s">
        <v>8</v>
      </c>
      <c r="E1255" t="s">
        <v>485</v>
      </c>
      <c r="F1255" s="12">
        <f>IFERROR(VLOOKUP(B1255,'INSUMOS  JULIO'!$B$6:$CJ$109,42,0),"")</f>
        <v>3</v>
      </c>
      <c r="G1255" s="8">
        <f>IFERROR(VLOOKUP($B1255,'INSUMOS  JULIO'!$B$6:$CJ$109,43,0),"")</f>
        <v>2211.3040000000001</v>
      </c>
      <c r="H1255" s="19">
        <f t="shared" si="76"/>
        <v>6633.9120000000003</v>
      </c>
      <c r="I1255" s="1">
        <f t="shared" si="77"/>
        <v>663.39120000000003</v>
      </c>
      <c r="J1255" s="1">
        <f t="shared" si="78"/>
        <v>126.04432800000001</v>
      </c>
      <c r="K1255" s="19">
        <f t="shared" si="79"/>
        <v>7423.3475280000002</v>
      </c>
    </row>
    <row r="1256" spans="1:11" ht="15">
      <c r="A1256" s="3">
        <v>2021</v>
      </c>
      <c r="B1256" s="151">
        <v>9</v>
      </c>
      <c r="C1256" s="7" t="s">
        <v>9</v>
      </c>
      <c r="D1256" s="4" t="s">
        <v>10</v>
      </c>
      <c r="E1256" t="s">
        <v>485</v>
      </c>
      <c r="F1256" s="12">
        <f>IFERROR(VLOOKUP(B1256,'INSUMOS  JULIO'!$B$6:$CJ$109,42,0),"")</f>
        <v>3</v>
      </c>
      <c r="G1256" s="8">
        <f>IFERROR(VLOOKUP($B1256,'INSUMOS  JULIO'!$B$6:$CJ$109,43,0),"")</f>
        <v>3298.0379999999996</v>
      </c>
      <c r="H1256" s="19">
        <f t="shared" si="76"/>
        <v>9894.1139999999978</v>
      </c>
      <c r="I1256" s="1">
        <f t="shared" si="77"/>
        <v>989.41139999999984</v>
      </c>
      <c r="J1256" s="1">
        <f t="shared" si="78"/>
        <v>187.98816599999998</v>
      </c>
      <c r="K1256" s="19">
        <f t="shared" si="79"/>
        <v>11071.513565999996</v>
      </c>
    </row>
    <row r="1257" spans="1:11" ht="15">
      <c r="A1257" s="3">
        <v>2022</v>
      </c>
      <c r="B1257" s="151">
        <v>11</v>
      </c>
      <c r="C1257" s="7" t="s">
        <v>156</v>
      </c>
      <c r="D1257" s="4" t="s">
        <v>11</v>
      </c>
      <c r="E1257" t="s">
        <v>485</v>
      </c>
      <c r="F1257" s="12" t="str">
        <f>IFERROR(VLOOKUP(B1257,'INSUMOS  JULIO'!$B$6:$CJ$109,42,0),"")</f>
        <v>0</v>
      </c>
      <c r="G1257" s="8">
        <f>IFERROR(VLOOKUP($B1257,'INSUMOS  JULIO'!$B$6:$CJ$109,43,0),"")</f>
        <v>7739.5639999999985</v>
      </c>
      <c r="H1257" s="19">
        <f t="shared" si="76"/>
        <v>0</v>
      </c>
      <c r="I1257" s="1">
        <f t="shared" si="77"/>
        <v>0</v>
      </c>
      <c r="J1257" s="1">
        <f t="shared" si="78"/>
        <v>0</v>
      </c>
      <c r="K1257" s="19">
        <f t="shared" si="79"/>
        <v>0</v>
      </c>
    </row>
    <row r="1258" spans="1:11" ht="15">
      <c r="A1258" s="3">
        <v>2023</v>
      </c>
      <c r="B1258" s="151">
        <v>13</v>
      </c>
      <c r="C1258" s="7" t="s">
        <v>157</v>
      </c>
      <c r="D1258" s="4" t="s">
        <v>12</v>
      </c>
      <c r="E1258" t="s">
        <v>485</v>
      </c>
      <c r="F1258" s="12">
        <f>IFERROR(VLOOKUP(B1258,'INSUMOS  JULIO'!$B$6:$CJ$109,42,0),"")</f>
        <v>3</v>
      </c>
      <c r="G1258" s="8">
        <f>IFERROR(VLOOKUP($B1258,'INSUMOS  JULIO'!$B$6:$CJ$109,43,0),"")</f>
        <v>6507.7919999999995</v>
      </c>
      <c r="H1258" s="19">
        <f t="shared" si="76"/>
        <v>19523.375999999997</v>
      </c>
      <c r="I1258" s="1">
        <f t="shared" si="77"/>
        <v>1952.3375999999998</v>
      </c>
      <c r="J1258" s="1">
        <f t="shared" si="78"/>
        <v>370.94414399999999</v>
      </c>
      <c r="K1258" s="19">
        <f t="shared" si="79"/>
        <v>21846.657743999996</v>
      </c>
    </row>
    <row r="1259" spans="1:11" ht="15">
      <c r="A1259" s="3">
        <v>2024</v>
      </c>
      <c r="B1259" s="151">
        <v>17</v>
      </c>
      <c r="C1259" s="7" t="s">
        <v>13</v>
      </c>
      <c r="D1259" s="4" t="s">
        <v>14</v>
      </c>
      <c r="E1259" t="s">
        <v>485</v>
      </c>
      <c r="F1259" s="12">
        <f>IFERROR(VLOOKUP(B1259,'INSUMOS  JULIO'!$B$6:$CJ$109,42,0),"")</f>
        <v>0</v>
      </c>
      <c r="G1259" s="8">
        <f>IFERROR(VLOOKUP($B1259,'INSUMOS  JULIO'!$B$6:$CJ$109,43,0),"")</f>
        <v>5647.0229999999992</v>
      </c>
      <c r="H1259" s="19">
        <f t="shared" si="76"/>
        <v>0</v>
      </c>
      <c r="I1259" s="1">
        <f t="shared" si="77"/>
        <v>0</v>
      </c>
      <c r="J1259" s="1">
        <f t="shared" si="78"/>
        <v>0</v>
      </c>
      <c r="K1259" s="19">
        <f t="shared" si="79"/>
        <v>0</v>
      </c>
    </row>
    <row r="1260" spans="1:11" ht="15">
      <c r="A1260" s="3">
        <v>2025</v>
      </c>
      <c r="B1260" s="151">
        <v>20</v>
      </c>
      <c r="C1260" s="7" t="s">
        <v>13</v>
      </c>
      <c r="D1260" s="4" t="s">
        <v>15</v>
      </c>
      <c r="E1260" t="s">
        <v>485</v>
      </c>
      <c r="F1260" s="12">
        <f>IFERROR(VLOOKUP(B1260,'INSUMOS  JULIO'!$B$6:$CJ$109,42,0),"")</f>
        <v>0</v>
      </c>
      <c r="G1260" s="8">
        <f>IFERROR(VLOOKUP($B1260,'INSUMOS  JULIO'!$B$6:$CJ$109,43,0),"")</f>
        <v>0</v>
      </c>
      <c r="H1260" s="19">
        <f t="shared" si="76"/>
        <v>0</v>
      </c>
      <c r="I1260" s="1">
        <f t="shared" si="77"/>
        <v>0</v>
      </c>
      <c r="J1260" s="1">
        <f t="shared" si="78"/>
        <v>0</v>
      </c>
      <c r="K1260" s="19">
        <f t="shared" si="79"/>
        <v>0</v>
      </c>
    </row>
    <row r="1261" spans="1:11" ht="15">
      <c r="A1261" s="3">
        <v>2026</v>
      </c>
      <c r="B1261" s="151">
        <v>21</v>
      </c>
      <c r="C1261" s="7" t="s">
        <v>16</v>
      </c>
      <c r="D1261" s="4" t="s">
        <v>17</v>
      </c>
      <c r="E1261" t="s">
        <v>485</v>
      </c>
      <c r="F1261" s="12">
        <f>IFERROR(VLOOKUP(B1261,'INSUMOS  JULIO'!$B$6:$CJ$109,42,0),"")</f>
        <v>0</v>
      </c>
      <c r="G1261" s="8">
        <f>IFERROR(VLOOKUP($B1261,'INSUMOS  JULIO'!$B$6:$CJ$109,43,0),"")</f>
        <v>5932.8950000000013</v>
      </c>
      <c r="H1261" s="19">
        <f t="shared" si="76"/>
        <v>0</v>
      </c>
      <c r="I1261" s="1">
        <f t="shared" si="77"/>
        <v>0</v>
      </c>
      <c r="J1261" s="1">
        <f t="shared" si="78"/>
        <v>0</v>
      </c>
      <c r="K1261" s="19">
        <f t="shared" si="79"/>
        <v>0</v>
      </c>
    </row>
    <row r="1262" spans="1:11" ht="15">
      <c r="A1262" s="3">
        <v>2027</v>
      </c>
      <c r="B1262" s="151">
        <v>28</v>
      </c>
      <c r="C1262" s="7" t="s">
        <v>18</v>
      </c>
      <c r="D1262" s="4" t="s">
        <v>19</v>
      </c>
      <c r="E1262" t="s">
        <v>485</v>
      </c>
      <c r="F1262" s="12">
        <f>IFERROR(VLOOKUP(B1262,'INSUMOS  JULIO'!$B$6:$CJ$109,42,0),"")</f>
        <v>15</v>
      </c>
      <c r="G1262" s="8">
        <f>IFERROR(VLOOKUP($B1262,'INSUMOS  JULIO'!$B$6:$CJ$109,43,0),"")</f>
        <v>2764.13</v>
      </c>
      <c r="H1262" s="19">
        <f t="shared" si="76"/>
        <v>41461.950000000004</v>
      </c>
      <c r="I1262" s="1">
        <f t="shared" si="77"/>
        <v>4146.1950000000006</v>
      </c>
      <c r="J1262" s="1">
        <f t="shared" si="78"/>
        <v>787.77705000000014</v>
      </c>
      <c r="K1262" s="19">
        <f t="shared" si="79"/>
        <v>46395.922050000001</v>
      </c>
    </row>
    <row r="1263" spans="1:11" ht="15">
      <c r="A1263" s="3">
        <v>2028</v>
      </c>
      <c r="B1263" s="151">
        <v>29</v>
      </c>
      <c r="C1263" s="7" t="s">
        <v>20</v>
      </c>
      <c r="D1263" s="4" t="s">
        <v>21</v>
      </c>
      <c r="E1263" t="s">
        <v>485</v>
      </c>
      <c r="F1263" s="12" t="str">
        <f>IFERROR(VLOOKUP(B1263,'INSUMOS  JULIO'!$B$6:$CJ$109,42,0),"")</f>
        <v>0</v>
      </c>
      <c r="G1263" s="8">
        <f>IFERROR(VLOOKUP($B1263,'INSUMOS  JULIO'!$B$6:$CJ$109,43,0),"")</f>
        <v>4829.3450000000012</v>
      </c>
      <c r="H1263" s="19">
        <f t="shared" si="76"/>
        <v>0</v>
      </c>
      <c r="I1263" s="1">
        <f t="shared" si="77"/>
        <v>0</v>
      </c>
      <c r="J1263" s="1">
        <f t="shared" si="78"/>
        <v>0</v>
      </c>
      <c r="K1263" s="19">
        <f t="shared" si="79"/>
        <v>0</v>
      </c>
    </row>
    <row r="1264" spans="1:11" ht="15">
      <c r="A1264" s="3">
        <v>2029</v>
      </c>
      <c r="B1264" s="151">
        <v>32</v>
      </c>
      <c r="C1264" s="7" t="s">
        <v>22</v>
      </c>
      <c r="D1264" s="4" t="s">
        <v>23</v>
      </c>
      <c r="E1264" t="s">
        <v>485</v>
      </c>
      <c r="F1264" s="12">
        <f>IFERROR(VLOOKUP(B1264,'INSUMOS  JULIO'!$B$6:$CJ$109,42,0),"")</f>
        <v>0</v>
      </c>
      <c r="G1264" s="8">
        <f>IFERROR(VLOOKUP($B1264,'INSUMOS  JULIO'!$B$6:$CJ$109,43,0),"")</f>
        <v>4115.7160000000003</v>
      </c>
      <c r="H1264" s="19">
        <f t="shared" si="76"/>
        <v>0</v>
      </c>
      <c r="I1264" s="1">
        <f t="shared" si="77"/>
        <v>0</v>
      </c>
      <c r="J1264" s="1">
        <f t="shared" si="78"/>
        <v>0</v>
      </c>
      <c r="K1264" s="19">
        <f t="shared" si="79"/>
        <v>0</v>
      </c>
    </row>
    <row r="1265" spans="1:11" ht="15">
      <c r="A1265" s="3">
        <v>2030</v>
      </c>
      <c r="B1265" s="151">
        <v>38</v>
      </c>
      <c r="C1265" s="7" t="s">
        <v>18</v>
      </c>
      <c r="D1265" s="4" t="s">
        <v>24</v>
      </c>
      <c r="E1265" t="s">
        <v>485</v>
      </c>
      <c r="F1265" s="12" t="str">
        <f>IFERROR(VLOOKUP(B1265,'INSUMOS  JULIO'!$B$6:$CJ$109,42,0),"")</f>
        <v>0</v>
      </c>
      <c r="G1265" s="8">
        <f>IFERROR(VLOOKUP($B1265,'INSUMOS  JULIO'!$B$6:$CJ$109,43,0),"")</f>
        <v>11100.662</v>
      </c>
      <c r="H1265" s="19">
        <f t="shared" si="76"/>
        <v>0</v>
      </c>
      <c r="I1265" s="1">
        <f t="shared" si="77"/>
        <v>0</v>
      </c>
      <c r="J1265" s="1">
        <f t="shared" si="78"/>
        <v>0</v>
      </c>
      <c r="K1265" s="19">
        <f t="shared" si="79"/>
        <v>0</v>
      </c>
    </row>
    <row r="1266" spans="1:11" ht="15">
      <c r="A1266" s="3">
        <v>2031</v>
      </c>
      <c r="B1266" s="151">
        <v>41</v>
      </c>
      <c r="C1266" s="7" t="s">
        <v>155</v>
      </c>
      <c r="D1266" s="4" t="s">
        <v>25</v>
      </c>
      <c r="E1266" t="s">
        <v>485</v>
      </c>
      <c r="F1266" s="12" t="str">
        <f>IFERROR(VLOOKUP(B1266,'INSUMOS  JULIO'!$B$6:$CJ$109,42,0),"")</f>
        <v>0</v>
      </c>
      <c r="G1266" s="8">
        <f>IFERROR(VLOOKUP($B1266,'INSUMOS  JULIO'!$B$6:$CJ$109,43,0),"")</f>
        <v>7034.3429999999989</v>
      </c>
      <c r="H1266" s="19">
        <f t="shared" si="76"/>
        <v>0</v>
      </c>
      <c r="I1266" s="1">
        <f t="shared" si="77"/>
        <v>0</v>
      </c>
      <c r="J1266" s="1">
        <f t="shared" si="78"/>
        <v>0</v>
      </c>
      <c r="K1266" s="19">
        <f t="shared" si="79"/>
        <v>0</v>
      </c>
    </row>
    <row r="1267" spans="1:11" ht="15">
      <c r="A1267" s="3">
        <v>2032</v>
      </c>
      <c r="B1267" s="151">
        <v>44</v>
      </c>
      <c r="C1267" s="7" t="s">
        <v>16</v>
      </c>
      <c r="D1267" s="4" t="s">
        <v>26</v>
      </c>
      <c r="E1267" t="s">
        <v>485</v>
      </c>
      <c r="F1267" s="12">
        <f>IFERROR(VLOOKUP(B1267,'INSUMOS  JULIO'!$B$6:$CJ$109,42,0),"")</f>
        <v>0</v>
      </c>
      <c r="G1267" s="8">
        <f>IFERROR(VLOOKUP($B1267,'INSUMOS  JULIO'!$B$6:$CJ$109,43,0),"")</f>
        <v>2787.2520000000004</v>
      </c>
      <c r="H1267" s="19">
        <f t="shared" si="76"/>
        <v>0</v>
      </c>
      <c r="I1267" s="1">
        <f t="shared" si="77"/>
        <v>0</v>
      </c>
      <c r="J1267" s="1">
        <f t="shared" si="78"/>
        <v>0</v>
      </c>
      <c r="K1267" s="19">
        <f t="shared" si="79"/>
        <v>0</v>
      </c>
    </row>
    <row r="1268" spans="1:11" ht="15">
      <c r="A1268" s="3">
        <v>2033</v>
      </c>
      <c r="B1268" s="151">
        <v>46</v>
      </c>
      <c r="C1268" s="7" t="s">
        <v>27</v>
      </c>
      <c r="D1268" s="4" t="s">
        <v>28</v>
      </c>
      <c r="E1268" t="s">
        <v>485</v>
      </c>
      <c r="F1268" s="12" t="str">
        <f>IFERROR(VLOOKUP(B1268,'INSUMOS  JULIO'!$B$6:$CJ$109,42,0),"")</f>
        <v>0</v>
      </c>
      <c r="G1268" s="8">
        <f>IFERROR(VLOOKUP($B1268,'INSUMOS  JULIO'!$B$6:$CJ$109,43,0),"")</f>
        <v>7739.5640000000021</v>
      </c>
      <c r="H1268" s="19">
        <f t="shared" si="76"/>
        <v>0</v>
      </c>
      <c r="I1268" s="1">
        <f t="shared" si="77"/>
        <v>0</v>
      </c>
      <c r="J1268" s="1">
        <f t="shared" si="78"/>
        <v>0</v>
      </c>
      <c r="K1268" s="19">
        <f t="shared" si="79"/>
        <v>0</v>
      </c>
    </row>
    <row r="1269" spans="1:11" ht="15">
      <c r="A1269" s="3">
        <v>2034</v>
      </c>
      <c r="B1269" s="151">
        <v>50</v>
      </c>
      <c r="C1269" s="7" t="s">
        <v>13</v>
      </c>
      <c r="D1269" s="4" t="s">
        <v>29</v>
      </c>
      <c r="E1269" t="s">
        <v>485</v>
      </c>
      <c r="F1269" s="12">
        <f>IFERROR(VLOOKUP(B1269,'INSUMOS  JULIO'!$B$6:$CJ$109,42,0),"")</f>
        <v>0</v>
      </c>
      <c r="G1269" s="8">
        <f>IFERROR(VLOOKUP($B1269,'INSUMOS  JULIO'!$B$6:$CJ$109,43,0),"")</f>
        <v>38567.495999999999</v>
      </c>
      <c r="H1269" s="19">
        <f t="shared" si="76"/>
        <v>0</v>
      </c>
      <c r="I1269" s="1">
        <f t="shared" si="77"/>
        <v>0</v>
      </c>
      <c r="J1269" s="1">
        <f t="shared" si="78"/>
        <v>0</v>
      </c>
      <c r="K1269" s="19">
        <f t="shared" si="79"/>
        <v>0</v>
      </c>
    </row>
    <row r="1270" spans="1:11" ht="15">
      <c r="A1270" s="3">
        <v>2035</v>
      </c>
      <c r="B1270" s="151">
        <v>51</v>
      </c>
      <c r="C1270" s="7" t="s">
        <v>13</v>
      </c>
      <c r="D1270" s="4" t="s">
        <v>30</v>
      </c>
      <c r="E1270" t="s">
        <v>485</v>
      </c>
      <c r="F1270" s="12" t="str">
        <f>IFERROR(VLOOKUP(B1270,'INSUMOS  JULIO'!$B$6:$CJ$109,42,0),"")</f>
        <v>0</v>
      </c>
      <c r="G1270" s="8">
        <f>IFERROR(VLOOKUP($B1270,'INSUMOS  JULIO'!$B$6:$CJ$109,43,0),"")</f>
        <v>7739.5640000000021</v>
      </c>
      <c r="H1270" s="19">
        <f t="shared" si="76"/>
        <v>0</v>
      </c>
      <c r="I1270" s="1">
        <f t="shared" si="77"/>
        <v>0</v>
      </c>
      <c r="J1270" s="1">
        <f t="shared" si="78"/>
        <v>0</v>
      </c>
      <c r="K1270" s="19">
        <f t="shared" si="79"/>
        <v>0</v>
      </c>
    </row>
    <row r="1271" spans="1:11" ht="15">
      <c r="A1271" s="3">
        <v>2036</v>
      </c>
      <c r="B1271" s="151">
        <v>52</v>
      </c>
      <c r="C1271" s="7" t="s">
        <v>13</v>
      </c>
      <c r="D1271" s="4" t="s">
        <v>31</v>
      </c>
      <c r="E1271" t="s">
        <v>485</v>
      </c>
      <c r="F1271" s="12">
        <f>IFERROR(VLOOKUP(B1271,'INSUMOS  JULIO'!$B$6:$CJ$109,42,0),"")</f>
        <v>0</v>
      </c>
      <c r="G1271" s="8">
        <f>IFERROR(VLOOKUP($B1271,'INSUMOS  JULIO'!$B$6:$CJ$109,43,0),"")</f>
        <v>6412.1509999999998</v>
      </c>
      <c r="H1271" s="19">
        <f t="shared" si="76"/>
        <v>0</v>
      </c>
      <c r="I1271" s="1">
        <f t="shared" si="77"/>
        <v>0</v>
      </c>
      <c r="J1271" s="1">
        <f t="shared" si="78"/>
        <v>0</v>
      </c>
      <c r="K1271" s="19">
        <f t="shared" si="79"/>
        <v>0</v>
      </c>
    </row>
    <row r="1272" spans="1:11" ht="15">
      <c r="A1272" s="3">
        <v>2037</v>
      </c>
      <c r="B1272" s="151">
        <v>54</v>
      </c>
      <c r="C1272" s="7" t="s">
        <v>13</v>
      </c>
      <c r="D1272" s="4" t="s">
        <v>32</v>
      </c>
      <c r="E1272" t="s">
        <v>485</v>
      </c>
      <c r="F1272" s="12">
        <f>IFERROR(VLOOKUP(B1272,'INSUMOS  JULIO'!$B$6:$CJ$109,42,0),"")</f>
        <v>0</v>
      </c>
      <c r="G1272" s="8">
        <f>IFERROR(VLOOKUP($B1272,'INSUMOS  JULIO'!$B$6:$CJ$109,43,0),"")</f>
        <v>5359.049</v>
      </c>
      <c r="H1272" s="19">
        <f t="shared" si="76"/>
        <v>0</v>
      </c>
      <c r="I1272" s="1">
        <f t="shared" si="77"/>
        <v>0</v>
      </c>
      <c r="J1272" s="1">
        <f t="shared" si="78"/>
        <v>0</v>
      </c>
      <c r="K1272" s="19">
        <f t="shared" si="79"/>
        <v>0</v>
      </c>
    </row>
    <row r="1273" spans="1:11" ht="15">
      <c r="A1273" s="3">
        <v>2038</v>
      </c>
      <c r="B1273" s="151">
        <v>57</v>
      </c>
      <c r="C1273" s="7" t="s">
        <v>33</v>
      </c>
      <c r="D1273" s="4" t="s">
        <v>34</v>
      </c>
      <c r="E1273" t="s">
        <v>485</v>
      </c>
      <c r="F1273" s="12">
        <f>IFERROR(VLOOKUP(B1273,'INSUMOS  JULIO'!$B$6:$CJ$109,42,0),"")</f>
        <v>0</v>
      </c>
      <c r="G1273" s="8">
        <f>IFERROR(VLOOKUP($B1273,'INSUMOS  JULIO'!$B$6:$CJ$109,43,0),"")</f>
        <v>12823.251000000004</v>
      </c>
      <c r="H1273" s="19">
        <f t="shared" si="76"/>
        <v>0</v>
      </c>
      <c r="I1273" s="1">
        <f t="shared" si="77"/>
        <v>0</v>
      </c>
      <c r="J1273" s="1">
        <f t="shared" si="78"/>
        <v>0</v>
      </c>
      <c r="K1273" s="19">
        <f t="shared" si="79"/>
        <v>0</v>
      </c>
    </row>
    <row r="1274" spans="1:11" ht="15">
      <c r="A1274" s="3">
        <v>2039</v>
      </c>
      <c r="B1274" s="151">
        <v>59</v>
      </c>
      <c r="C1274" s="7" t="s">
        <v>16</v>
      </c>
      <c r="D1274" s="4" t="s">
        <v>35</v>
      </c>
      <c r="E1274" t="s">
        <v>485</v>
      </c>
      <c r="F1274" s="12" t="str">
        <f>IFERROR(VLOOKUP(B1274,'INSUMOS  JULIO'!$B$6:$CJ$109,42,0),"")</f>
        <v>0</v>
      </c>
      <c r="G1274" s="8">
        <f>IFERROR(VLOOKUP($B1274,'INSUMOS  JULIO'!$B$6:$CJ$109,43,0),"")</f>
        <v>5528.260000000002</v>
      </c>
      <c r="H1274" s="19">
        <f t="shared" si="76"/>
        <v>0</v>
      </c>
      <c r="I1274" s="1">
        <f t="shared" si="77"/>
        <v>0</v>
      </c>
      <c r="J1274" s="1">
        <f t="shared" si="78"/>
        <v>0</v>
      </c>
      <c r="K1274" s="19">
        <f t="shared" si="79"/>
        <v>0</v>
      </c>
    </row>
    <row r="1275" spans="1:11" ht="15">
      <c r="A1275" s="3">
        <v>2040</v>
      </c>
      <c r="B1275" s="151">
        <v>62</v>
      </c>
      <c r="C1275" s="7" t="s">
        <v>36</v>
      </c>
      <c r="D1275" s="4" t="s">
        <v>37</v>
      </c>
      <c r="E1275" t="s">
        <v>485</v>
      </c>
      <c r="F1275" s="12">
        <f>IFERROR(VLOOKUP(B1275,'INSUMOS  JULIO'!$B$6:$CJ$109,42,0),"")</f>
        <v>0</v>
      </c>
      <c r="G1275" s="8">
        <f>IFERROR(VLOOKUP($B1275,'INSUMOS  JULIO'!$B$6:$CJ$109,43,0),"")</f>
        <v>10100.3202</v>
      </c>
      <c r="H1275" s="19">
        <f t="shared" si="76"/>
        <v>0</v>
      </c>
      <c r="I1275" s="1">
        <f t="shared" si="77"/>
        <v>0</v>
      </c>
      <c r="J1275" s="1">
        <f t="shared" si="78"/>
        <v>0</v>
      </c>
      <c r="K1275" s="19">
        <f t="shared" si="79"/>
        <v>0</v>
      </c>
    </row>
    <row r="1276" spans="1:11" ht="15">
      <c r="A1276" s="3">
        <v>2041</v>
      </c>
      <c r="B1276" s="151">
        <v>63</v>
      </c>
      <c r="C1276" s="7" t="s">
        <v>36</v>
      </c>
      <c r="D1276" s="4" t="s">
        <v>38</v>
      </c>
      <c r="E1276" t="s">
        <v>485</v>
      </c>
      <c r="F1276" s="12">
        <f>IFERROR(VLOOKUP(B1276,'INSUMOS  JULIO'!$B$6:$CJ$109,42,0),"")</f>
        <v>10</v>
      </c>
      <c r="G1276" s="8">
        <f>IFERROR(VLOOKUP($B1276,'INSUMOS  JULIO'!$B$6:$CJ$109,43,0),"")</f>
        <v>11443.4982</v>
      </c>
      <c r="H1276" s="19">
        <f t="shared" si="76"/>
        <v>114434.982</v>
      </c>
      <c r="I1276" s="1">
        <f t="shared" si="77"/>
        <v>11443.498200000002</v>
      </c>
      <c r="J1276" s="1">
        <f t="shared" si="78"/>
        <v>2174.2646580000005</v>
      </c>
      <c r="K1276" s="19">
        <f t="shared" si="79"/>
        <v>128052.74485800001</v>
      </c>
    </row>
    <row r="1277" spans="1:11" ht="15">
      <c r="A1277" s="3">
        <v>2042</v>
      </c>
      <c r="B1277" s="151">
        <v>64</v>
      </c>
      <c r="C1277" s="7" t="s">
        <v>39</v>
      </c>
      <c r="D1277" s="4" t="s">
        <v>40</v>
      </c>
      <c r="E1277" t="s">
        <v>485</v>
      </c>
      <c r="F1277" s="12">
        <f>IFERROR(VLOOKUP(B1277,'INSUMOS  JULIO'!$B$6:$CJ$109,42,0),"")</f>
        <v>0</v>
      </c>
      <c r="G1277" s="8">
        <f>IFERROR(VLOOKUP($B1277,'INSUMOS  JULIO'!$B$6:$CJ$109,43,0),"")</f>
        <v>13820.650000000001</v>
      </c>
      <c r="H1277" s="19">
        <f t="shared" si="76"/>
        <v>0</v>
      </c>
      <c r="I1277" s="1">
        <f t="shared" si="77"/>
        <v>0</v>
      </c>
      <c r="J1277" s="1">
        <f t="shared" si="78"/>
        <v>0</v>
      </c>
      <c r="K1277" s="19">
        <f t="shared" si="79"/>
        <v>0</v>
      </c>
    </row>
    <row r="1278" spans="1:11" ht="15">
      <c r="A1278" s="3">
        <v>2043</v>
      </c>
      <c r="B1278" s="151">
        <v>65</v>
      </c>
      <c r="C1278" s="7" t="s">
        <v>39</v>
      </c>
      <c r="D1278" s="4" t="s">
        <v>41</v>
      </c>
      <c r="E1278" t="s">
        <v>485</v>
      </c>
      <c r="F1278" s="12">
        <f>IFERROR(VLOOKUP(B1278,'INSUMOS  JULIO'!$B$6:$CJ$109,42,0),"")</f>
        <v>0</v>
      </c>
      <c r="G1278" s="8">
        <f>IFERROR(VLOOKUP($B1278,'INSUMOS  JULIO'!$B$6:$CJ$109,43,0),"")</f>
        <v>13820.650000000001</v>
      </c>
      <c r="H1278" s="19">
        <f t="shared" si="76"/>
        <v>0</v>
      </c>
      <c r="I1278" s="1">
        <f t="shared" si="77"/>
        <v>0</v>
      </c>
      <c r="J1278" s="1">
        <f t="shared" si="78"/>
        <v>0</v>
      </c>
      <c r="K1278" s="19">
        <f t="shared" si="79"/>
        <v>0</v>
      </c>
    </row>
    <row r="1279" spans="1:11" ht="15">
      <c r="A1279" s="3">
        <v>2044</v>
      </c>
      <c r="B1279" s="151">
        <v>66</v>
      </c>
      <c r="C1279" s="7" t="s">
        <v>151</v>
      </c>
      <c r="D1279" s="4" t="s">
        <v>42</v>
      </c>
      <c r="E1279" t="s">
        <v>485</v>
      </c>
      <c r="F1279" s="12">
        <f>IFERROR(VLOOKUP(B1279,'INSUMOS  JULIO'!$B$6:$CJ$109,42,0),"")</f>
        <v>0</v>
      </c>
      <c r="G1279" s="8">
        <f>IFERROR(VLOOKUP($B1279,'INSUMOS  JULIO'!$B$6:$CJ$109,43,0),"")</f>
        <v>2887.0970000000002</v>
      </c>
      <c r="H1279" s="19">
        <f t="shared" si="76"/>
        <v>0</v>
      </c>
      <c r="I1279" s="1">
        <f t="shared" si="77"/>
        <v>0</v>
      </c>
      <c r="J1279" s="1">
        <f t="shared" si="78"/>
        <v>0</v>
      </c>
      <c r="K1279" s="19">
        <f t="shared" si="79"/>
        <v>0</v>
      </c>
    </row>
    <row r="1280" spans="1:11" ht="15">
      <c r="A1280" s="3">
        <v>2045</v>
      </c>
      <c r="B1280" s="151">
        <v>71</v>
      </c>
      <c r="C1280" s="7" t="s">
        <v>151</v>
      </c>
      <c r="D1280" s="4" t="s">
        <v>43</v>
      </c>
      <c r="E1280" t="s">
        <v>485</v>
      </c>
      <c r="F1280" s="12" t="str">
        <f>IFERROR(VLOOKUP(B1280,'INSUMOS  JULIO'!$B$6:$CJ$109,42,0),"")</f>
        <v>0</v>
      </c>
      <c r="G1280" s="8">
        <f>IFERROR(VLOOKUP($B1280,'INSUMOS  JULIO'!$B$6:$CJ$109,43,0),"")</f>
        <v>5196.1440000000002</v>
      </c>
      <c r="H1280" s="19">
        <f t="shared" si="76"/>
        <v>0</v>
      </c>
      <c r="I1280" s="1">
        <f t="shared" si="77"/>
        <v>0</v>
      </c>
      <c r="J1280" s="1">
        <f t="shared" si="78"/>
        <v>0</v>
      </c>
      <c r="K1280" s="19">
        <f t="shared" si="79"/>
        <v>0</v>
      </c>
    </row>
    <row r="1281" spans="1:11" ht="15">
      <c r="A1281" s="3">
        <v>2046</v>
      </c>
      <c r="B1281" s="151">
        <v>72</v>
      </c>
      <c r="C1281" s="7" t="s">
        <v>151</v>
      </c>
      <c r="D1281" s="4" t="s">
        <v>44</v>
      </c>
      <c r="E1281" t="s">
        <v>485</v>
      </c>
      <c r="F1281" s="12">
        <f>IFERROR(VLOOKUP(B1281,'INSUMOS  JULIO'!$B$6:$CJ$109,42,0),"")</f>
        <v>0</v>
      </c>
      <c r="G1281" s="8">
        <f>IFERROR(VLOOKUP($B1281,'INSUMOS  JULIO'!$B$6:$CJ$109,43,0),"")</f>
        <v>5196.1440000000002</v>
      </c>
      <c r="H1281" s="19">
        <f t="shared" si="76"/>
        <v>0</v>
      </c>
      <c r="I1281" s="1">
        <f t="shared" si="77"/>
        <v>0</v>
      </c>
      <c r="J1281" s="1">
        <f t="shared" si="78"/>
        <v>0</v>
      </c>
      <c r="K1281" s="19">
        <f t="shared" si="79"/>
        <v>0</v>
      </c>
    </row>
    <row r="1282" spans="1:11" ht="27">
      <c r="A1282" s="3">
        <v>2047</v>
      </c>
      <c r="B1282" s="151">
        <v>73</v>
      </c>
      <c r="C1282" s="7" t="s">
        <v>151</v>
      </c>
      <c r="D1282" s="4" t="s">
        <v>45</v>
      </c>
      <c r="E1282" t="s">
        <v>485</v>
      </c>
      <c r="F1282" s="12">
        <f>IFERROR(VLOOKUP(B1282,'INSUMOS  JULIO'!$B$6:$CJ$109,42,0),"")</f>
        <v>0</v>
      </c>
      <c r="G1282" s="8">
        <f>IFERROR(VLOOKUP($B1282,'INSUMOS  JULIO'!$B$6:$CJ$109,43,0),"")</f>
        <v>4975.4340000000011</v>
      </c>
      <c r="H1282" s="19">
        <f t="shared" si="76"/>
        <v>0</v>
      </c>
      <c r="I1282" s="1">
        <f t="shared" si="77"/>
        <v>0</v>
      </c>
      <c r="J1282" s="1">
        <f t="shared" si="78"/>
        <v>0</v>
      </c>
      <c r="K1282" s="19">
        <f t="shared" si="79"/>
        <v>0</v>
      </c>
    </row>
    <row r="1283" spans="1:11" ht="15">
      <c r="A1283" s="3">
        <v>2048</v>
      </c>
      <c r="B1283" s="151">
        <v>74</v>
      </c>
      <c r="C1283" s="7" t="s">
        <v>46</v>
      </c>
      <c r="D1283" s="4" t="s">
        <v>47</v>
      </c>
      <c r="E1283" t="s">
        <v>485</v>
      </c>
      <c r="F1283" s="12">
        <f>IFERROR(VLOOKUP(B1283,'INSUMOS  JULIO'!$B$6:$CJ$109,42,0),"")</f>
        <v>5</v>
      </c>
      <c r="G1283" s="8">
        <f>IFERROR(VLOOKUP($B1283,'INSUMOS  JULIO'!$B$6:$CJ$109,43,0),"")</f>
        <v>3261.2529999999997</v>
      </c>
      <c r="H1283" s="19">
        <f t="shared" si="76"/>
        <v>16306.264999999999</v>
      </c>
      <c r="I1283" s="1">
        <f t="shared" si="77"/>
        <v>1630.6265000000001</v>
      </c>
      <c r="J1283" s="1">
        <f t="shared" si="78"/>
        <v>309.81903500000004</v>
      </c>
      <c r="K1283" s="19">
        <f t="shared" si="79"/>
        <v>18246.710534999998</v>
      </c>
    </row>
    <row r="1284" spans="1:11" ht="15">
      <c r="A1284" s="3">
        <v>2049</v>
      </c>
      <c r="B1284" s="151">
        <v>79</v>
      </c>
      <c r="C1284" s="7" t="s">
        <v>159</v>
      </c>
      <c r="D1284" s="4" t="s">
        <v>48</v>
      </c>
      <c r="E1284" t="s">
        <v>485</v>
      </c>
      <c r="F1284" s="12">
        <f>IFERROR(VLOOKUP(B1284,'INSUMOS  JULIO'!$B$6:$CJ$109,42,0),"")</f>
        <v>0</v>
      </c>
      <c r="G1284" s="8">
        <f>IFERROR(VLOOKUP($B1284,'INSUMOS  JULIO'!$B$6:$CJ$109,43,0),"")</f>
        <v>541.2650000000001</v>
      </c>
      <c r="H1284" s="19">
        <f t="shared" si="76"/>
        <v>0</v>
      </c>
      <c r="I1284" s="1">
        <f t="shared" si="77"/>
        <v>0</v>
      </c>
      <c r="J1284" s="1">
        <f t="shared" si="78"/>
        <v>0</v>
      </c>
      <c r="K1284" s="19">
        <f t="shared" si="79"/>
        <v>0</v>
      </c>
    </row>
    <row r="1285" spans="1:11" ht="15">
      <c r="A1285" s="3">
        <v>2050</v>
      </c>
      <c r="B1285" s="151">
        <v>80</v>
      </c>
      <c r="C1285" s="7" t="s">
        <v>159</v>
      </c>
      <c r="D1285" s="4" t="s">
        <v>49</v>
      </c>
      <c r="E1285" t="s">
        <v>485</v>
      </c>
      <c r="F1285" s="12">
        <f>IFERROR(VLOOKUP(B1285,'INSUMOS  JULIO'!$B$6:$CJ$109,42,0),"")</f>
        <v>0</v>
      </c>
      <c r="G1285" s="8">
        <f>IFERROR(VLOOKUP($B1285,'INSUMOS  JULIO'!$B$6:$CJ$109,43,0),"")</f>
        <v>433.01199999999994</v>
      </c>
      <c r="H1285" s="19">
        <f t="shared" si="76"/>
        <v>0</v>
      </c>
      <c r="I1285" s="1">
        <f t="shared" si="77"/>
        <v>0</v>
      </c>
      <c r="J1285" s="1">
        <f t="shared" si="78"/>
        <v>0</v>
      </c>
      <c r="K1285" s="19">
        <f t="shared" si="79"/>
        <v>0</v>
      </c>
    </row>
    <row r="1286" spans="1:11" ht="15">
      <c r="A1286" s="3">
        <v>2051</v>
      </c>
      <c r="B1286" s="151">
        <v>81</v>
      </c>
      <c r="C1286" s="7" t="s">
        <v>159</v>
      </c>
      <c r="D1286" s="4" t="s">
        <v>50</v>
      </c>
      <c r="E1286" t="s">
        <v>485</v>
      </c>
      <c r="F1286" s="12">
        <f>IFERROR(VLOOKUP(B1286,'INSUMOS  JULIO'!$B$6:$CJ$109,42,0),"")</f>
        <v>0</v>
      </c>
      <c r="G1286" s="8">
        <f>IFERROR(VLOOKUP($B1286,'INSUMOS  JULIO'!$B$6:$CJ$109,43,0),"")</f>
        <v>211.251</v>
      </c>
      <c r="H1286" s="19">
        <f t="shared" ref="H1286:H1349" si="80">+F1286*G1286</f>
        <v>0</v>
      </c>
      <c r="I1286" s="1">
        <f t="shared" ref="I1286:I1349" si="81">+H1286*10%</f>
        <v>0</v>
      </c>
      <c r="J1286" s="1">
        <f t="shared" ref="J1286:J1349" si="82">+I1286*19%</f>
        <v>0</v>
      </c>
      <c r="K1286" s="19">
        <f t="shared" ref="K1286:K1349" si="83">SUM(H1286:J1286)</f>
        <v>0</v>
      </c>
    </row>
    <row r="1287" spans="1:11" ht="15">
      <c r="A1287" s="3">
        <v>2052</v>
      </c>
      <c r="B1287" s="151">
        <v>82</v>
      </c>
      <c r="C1287" s="7" t="s">
        <v>159</v>
      </c>
      <c r="D1287" s="4" t="s">
        <v>51</v>
      </c>
      <c r="E1287" t="s">
        <v>485</v>
      </c>
      <c r="F1287" s="12" t="str">
        <f>IFERROR(VLOOKUP(B1287,'INSUMOS  JULIO'!$B$6:$CJ$109,42,0),"")</f>
        <v>0</v>
      </c>
      <c r="G1287" s="8">
        <f>IFERROR(VLOOKUP($B1287,'INSUMOS  JULIO'!$B$6:$CJ$109,43,0),"")</f>
        <v>1003.7049999999999</v>
      </c>
      <c r="H1287" s="19">
        <f t="shared" si="80"/>
        <v>0</v>
      </c>
      <c r="I1287" s="1">
        <f t="shared" si="81"/>
        <v>0</v>
      </c>
      <c r="J1287" s="1">
        <f t="shared" si="82"/>
        <v>0</v>
      </c>
      <c r="K1287" s="19">
        <f t="shared" si="83"/>
        <v>0</v>
      </c>
    </row>
    <row r="1288" spans="1:11" ht="15">
      <c r="A1288" s="3">
        <v>2053</v>
      </c>
      <c r="B1288" s="151">
        <v>83</v>
      </c>
      <c r="C1288" s="7" t="s">
        <v>159</v>
      </c>
      <c r="D1288" s="4" t="s">
        <v>52</v>
      </c>
      <c r="E1288" t="s">
        <v>485</v>
      </c>
      <c r="F1288" s="12" t="str">
        <f>IFERROR(VLOOKUP(B1288,'INSUMOS  JULIO'!$B$6:$CJ$109,42,0),"")</f>
        <v>0</v>
      </c>
      <c r="G1288" s="8">
        <f>IFERROR(VLOOKUP($B1288,'INSUMOS  JULIO'!$B$6:$CJ$109,43,0),"")</f>
        <v>336.32</v>
      </c>
      <c r="H1288" s="19">
        <f t="shared" si="80"/>
        <v>0</v>
      </c>
      <c r="I1288" s="1">
        <f t="shared" si="81"/>
        <v>0</v>
      </c>
      <c r="J1288" s="1">
        <f t="shared" si="82"/>
        <v>0</v>
      </c>
      <c r="K1288" s="19">
        <f t="shared" si="83"/>
        <v>0</v>
      </c>
    </row>
    <row r="1289" spans="1:11" ht="15">
      <c r="A1289" s="3">
        <v>2054</v>
      </c>
      <c r="B1289" s="151">
        <v>86</v>
      </c>
      <c r="C1289" s="7" t="s">
        <v>53</v>
      </c>
      <c r="D1289" s="4" t="s">
        <v>54</v>
      </c>
      <c r="E1289" t="s">
        <v>485</v>
      </c>
      <c r="F1289" s="12" t="str">
        <f>IFERROR(VLOOKUP(B1289,'INSUMOS  JULIO'!$B$6:$CJ$109,42,0),"")</f>
        <v>0</v>
      </c>
      <c r="G1289" s="8">
        <f>IFERROR(VLOOKUP($B1289,'INSUMOS  JULIO'!$B$6:$CJ$109,43,0),"")</f>
        <v>2792.5070000000005</v>
      </c>
      <c r="H1289" s="19">
        <f t="shared" si="80"/>
        <v>0</v>
      </c>
      <c r="I1289" s="1">
        <f t="shared" si="81"/>
        <v>0</v>
      </c>
      <c r="J1289" s="1">
        <f t="shared" si="82"/>
        <v>0</v>
      </c>
      <c r="K1289" s="19">
        <f t="shared" si="83"/>
        <v>0</v>
      </c>
    </row>
    <row r="1290" spans="1:11" ht="15">
      <c r="A1290" s="3">
        <v>2055</v>
      </c>
      <c r="B1290" s="151">
        <v>87</v>
      </c>
      <c r="C1290" s="7" t="s">
        <v>53</v>
      </c>
      <c r="D1290" s="4" t="s">
        <v>55</v>
      </c>
      <c r="E1290" t="s">
        <v>485</v>
      </c>
      <c r="F1290" s="12" t="str">
        <f>IFERROR(VLOOKUP(B1290,'INSUMOS  JULIO'!$B$6:$CJ$109,42,0),"")</f>
        <v>0</v>
      </c>
      <c r="G1290" s="8">
        <f>IFERROR(VLOOKUP($B1290,'INSUMOS  JULIO'!$B$6:$CJ$109,43,0),"")</f>
        <v>0</v>
      </c>
      <c r="H1290" s="19">
        <f t="shared" si="80"/>
        <v>0</v>
      </c>
      <c r="I1290" s="1">
        <f t="shared" si="81"/>
        <v>0</v>
      </c>
      <c r="J1290" s="1">
        <f t="shared" si="82"/>
        <v>0</v>
      </c>
      <c r="K1290" s="19">
        <f t="shared" si="83"/>
        <v>0</v>
      </c>
    </row>
    <row r="1291" spans="1:11" ht="15">
      <c r="A1291" s="3">
        <v>2056</v>
      </c>
      <c r="B1291" s="151">
        <v>88</v>
      </c>
      <c r="C1291" s="7" t="s">
        <v>53</v>
      </c>
      <c r="D1291" s="4" t="s">
        <v>56</v>
      </c>
      <c r="E1291" t="s">
        <v>485</v>
      </c>
      <c r="F1291" s="12">
        <f>IFERROR(VLOOKUP(B1291,'INSUMOS  JULIO'!$B$6:$CJ$109,42,0),"")</f>
        <v>0</v>
      </c>
      <c r="G1291" s="8">
        <f>IFERROR(VLOOKUP($B1291,'INSUMOS  JULIO'!$B$6:$CJ$109,43,0),"")</f>
        <v>2717.886</v>
      </c>
      <c r="H1291" s="19">
        <f t="shared" si="80"/>
        <v>0</v>
      </c>
      <c r="I1291" s="1">
        <f t="shared" si="81"/>
        <v>0</v>
      </c>
      <c r="J1291" s="1">
        <f t="shared" si="82"/>
        <v>0</v>
      </c>
      <c r="K1291" s="19">
        <f t="shared" si="83"/>
        <v>0</v>
      </c>
    </row>
    <row r="1292" spans="1:11" ht="15">
      <c r="A1292" s="3">
        <v>2057</v>
      </c>
      <c r="B1292" s="151">
        <v>89</v>
      </c>
      <c r="C1292" s="7" t="s">
        <v>53</v>
      </c>
      <c r="D1292" s="4" t="s">
        <v>57</v>
      </c>
      <c r="E1292" t="s">
        <v>485</v>
      </c>
      <c r="F1292" s="12" t="str">
        <f>IFERROR(VLOOKUP(B1292,'INSUMOS  JULIO'!$B$6:$CJ$109,42,0),"")</f>
        <v>0</v>
      </c>
      <c r="G1292" s="8">
        <f>IFERROR(VLOOKUP($B1292,'INSUMOS  JULIO'!$B$6:$CJ$109,43,0),"")</f>
        <v>2650.6220000000003</v>
      </c>
      <c r="H1292" s="19">
        <f t="shared" si="80"/>
        <v>0</v>
      </c>
      <c r="I1292" s="1">
        <f t="shared" si="81"/>
        <v>0</v>
      </c>
      <c r="J1292" s="1">
        <f t="shared" si="82"/>
        <v>0</v>
      </c>
      <c r="K1292" s="19">
        <f t="shared" si="83"/>
        <v>0</v>
      </c>
    </row>
    <row r="1293" spans="1:11" ht="15">
      <c r="A1293" s="3">
        <v>2058</v>
      </c>
      <c r="B1293" s="151">
        <v>91</v>
      </c>
      <c r="C1293" s="7" t="s">
        <v>160</v>
      </c>
      <c r="D1293" s="4" t="s">
        <v>58</v>
      </c>
      <c r="E1293" t="s">
        <v>485</v>
      </c>
      <c r="F1293" s="12" t="str">
        <f>IFERROR(VLOOKUP(B1293,'INSUMOS  JULIO'!$B$6:$CJ$109,42,0),"")</f>
        <v>0</v>
      </c>
      <c r="G1293" s="8">
        <f>IFERROR(VLOOKUP($B1293,'INSUMOS  JULIO'!$B$6:$CJ$109,43,0),"")</f>
        <v>4364.8029999999999</v>
      </c>
      <c r="H1293" s="19">
        <f t="shared" si="80"/>
        <v>0</v>
      </c>
      <c r="I1293" s="1">
        <f t="shared" si="81"/>
        <v>0</v>
      </c>
      <c r="J1293" s="1">
        <f t="shared" si="82"/>
        <v>0</v>
      </c>
      <c r="K1293" s="19">
        <f t="shared" si="83"/>
        <v>0</v>
      </c>
    </row>
    <row r="1294" spans="1:11" ht="15">
      <c r="A1294" s="3">
        <v>2059</v>
      </c>
      <c r="B1294" s="151">
        <v>92</v>
      </c>
      <c r="C1294" s="7" t="s">
        <v>160</v>
      </c>
      <c r="D1294" s="4" t="s">
        <v>59</v>
      </c>
      <c r="E1294" t="s">
        <v>485</v>
      </c>
      <c r="F1294" s="12" t="str">
        <f>IFERROR(VLOOKUP(B1294,'INSUMOS  JULIO'!$B$6:$CJ$109,42,0),"")</f>
        <v>0</v>
      </c>
      <c r="G1294" s="8">
        <f>IFERROR(VLOOKUP($B1294,'INSUMOS  JULIO'!$B$6:$CJ$109,43,0),"")</f>
        <v>2380.5149999999999</v>
      </c>
      <c r="H1294" s="19">
        <f t="shared" si="80"/>
        <v>0</v>
      </c>
      <c r="I1294" s="1">
        <f t="shared" si="81"/>
        <v>0</v>
      </c>
      <c r="J1294" s="1">
        <f t="shared" si="82"/>
        <v>0</v>
      </c>
      <c r="K1294" s="19">
        <f t="shared" si="83"/>
        <v>0</v>
      </c>
    </row>
    <row r="1295" spans="1:11" ht="15">
      <c r="A1295" s="3">
        <v>2060</v>
      </c>
      <c r="B1295" s="151">
        <v>94</v>
      </c>
      <c r="C1295" s="7" t="s">
        <v>60</v>
      </c>
      <c r="D1295" s="4" t="s">
        <v>61</v>
      </c>
      <c r="E1295" t="s">
        <v>485</v>
      </c>
      <c r="F1295" s="12" t="str">
        <f>IFERROR(VLOOKUP(B1295,'INSUMOS  JULIO'!$B$6:$CJ$109,42,0),"")</f>
        <v>0</v>
      </c>
      <c r="G1295" s="8">
        <f>IFERROR(VLOOKUP($B1295,'INSUMOS  JULIO'!$B$6:$CJ$109,43,0),"")</f>
        <v>3316.9560000000001</v>
      </c>
      <c r="H1295" s="19">
        <f t="shared" si="80"/>
        <v>0</v>
      </c>
      <c r="I1295" s="1">
        <f t="shared" si="81"/>
        <v>0</v>
      </c>
      <c r="J1295" s="1">
        <f t="shared" si="82"/>
        <v>0</v>
      </c>
      <c r="K1295" s="19">
        <f t="shared" si="83"/>
        <v>0</v>
      </c>
    </row>
    <row r="1296" spans="1:11" ht="15">
      <c r="A1296" s="3">
        <v>2061</v>
      </c>
      <c r="B1296" s="151">
        <v>95</v>
      </c>
      <c r="C1296" s="7" t="s">
        <v>60</v>
      </c>
      <c r="D1296" s="4" t="s">
        <v>62</v>
      </c>
      <c r="E1296" t="s">
        <v>485</v>
      </c>
      <c r="F1296" s="12" t="str">
        <f>IFERROR(VLOOKUP(B1296,'INSUMOS  JULIO'!$B$6:$CJ$109,42,0),"")</f>
        <v>0</v>
      </c>
      <c r="G1296" s="8">
        <f>IFERROR(VLOOKUP($B1296,'INSUMOS  JULIO'!$B$6:$CJ$109,43,0),"")</f>
        <v>11056.52</v>
      </c>
      <c r="H1296" s="19">
        <f t="shared" si="80"/>
        <v>0</v>
      </c>
      <c r="I1296" s="1">
        <f t="shared" si="81"/>
        <v>0</v>
      </c>
      <c r="J1296" s="1">
        <f t="shared" si="82"/>
        <v>0</v>
      </c>
      <c r="K1296" s="19">
        <f t="shared" si="83"/>
        <v>0</v>
      </c>
    </row>
    <row r="1297" spans="1:11" ht="15">
      <c r="A1297" s="3">
        <v>2062</v>
      </c>
      <c r="B1297" s="151">
        <v>98</v>
      </c>
      <c r="C1297" s="7" t="s">
        <v>151</v>
      </c>
      <c r="D1297" s="4" t="s">
        <v>63</v>
      </c>
      <c r="E1297" t="s">
        <v>485</v>
      </c>
      <c r="F1297" s="12">
        <f>IFERROR(VLOOKUP(B1297,'INSUMOS  JULIO'!$B$6:$CJ$109,42,0),"")</f>
        <v>0</v>
      </c>
      <c r="G1297" s="8">
        <f>IFERROR(VLOOKUP($B1297,'INSUMOS  JULIO'!$B$6:$CJ$109,43,0),"")</f>
        <v>6633.9120000000003</v>
      </c>
      <c r="H1297" s="19">
        <f t="shared" si="80"/>
        <v>0</v>
      </c>
      <c r="I1297" s="1">
        <f t="shared" si="81"/>
        <v>0</v>
      </c>
      <c r="J1297" s="1">
        <f t="shared" si="82"/>
        <v>0</v>
      </c>
      <c r="K1297" s="19">
        <f t="shared" si="83"/>
        <v>0</v>
      </c>
    </row>
    <row r="1298" spans="1:11" ht="15">
      <c r="A1298" s="3">
        <v>2063</v>
      </c>
      <c r="B1298" s="151">
        <v>100</v>
      </c>
      <c r="C1298" s="7" t="s">
        <v>160</v>
      </c>
      <c r="D1298" s="4" t="s">
        <v>64</v>
      </c>
      <c r="E1298" t="s">
        <v>485</v>
      </c>
      <c r="F1298" s="12" t="str">
        <f>IFERROR(VLOOKUP(B1298,'INSUMOS  JULIO'!$B$6:$CJ$109,42,0),"")</f>
        <v>0</v>
      </c>
      <c r="G1298" s="8">
        <f>IFERROR(VLOOKUP($B1298,'INSUMOS  JULIO'!$B$6:$CJ$109,43,0),"")</f>
        <v>4364.8029999999999</v>
      </c>
      <c r="H1298" s="19">
        <f t="shared" si="80"/>
        <v>0</v>
      </c>
      <c r="I1298" s="1">
        <f t="shared" si="81"/>
        <v>0</v>
      </c>
      <c r="J1298" s="1">
        <f t="shared" si="82"/>
        <v>0</v>
      </c>
      <c r="K1298" s="19">
        <f t="shared" si="83"/>
        <v>0</v>
      </c>
    </row>
    <row r="1299" spans="1:11" ht="15">
      <c r="A1299" s="3">
        <v>2064</v>
      </c>
      <c r="B1299" s="151">
        <v>102</v>
      </c>
      <c r="C1299" s="7" t="s">
        <v>60</v>
      </c>
      <c r="D1299" s="4" t="s">
        <v>65</v>
      </c>
      <c r="E1299" t="s">
        <v>485</v>
      </c>
      <c r="F1299" s="12" t="str">
        <f>IFERROR(VLOOKUP(B1299,'INSUMOS  JULIO'!$B$6:$CJ$109,42,0),"")</f>
        <v>0</v>
      </c>
      <c r="G1299" s="8">
        <f>IFERROR(VLOOKUP($B1299,'INSUMOS  JULIO'!$B$6:$CJ$109,43,0),"")</f>
        <v>3811.9770000000003</v>
      </c>
      <c r="H1299" s="19">
        <f t="shared" si="80"/>
        <v>0</v>
      </c>
      <c r="I1299" s="1">
        <f t="shared" si="81"/>
        <v>0</v>
      </c>
      <c r="J1299" s="1">
        <f t="shared" si="82"/>
        <v>0</v>
      </c>
      <c r="K1299" s="19">
        <f t="shared" si="83"/>
        <v>0</v>
      </c>
    </row>
    <row r="1300" spans="1:11" ht="15">
      <c r="A1300" s="3">
        <v>2081</v>
      </c>
      <c r="B1300" s="151">
        <v>103</v>
      </c>
      <c r="C1300" s="7" t="s">
        <v>66</v>
      </c>
      <c r="D1300" s="4" t="s">
        <v>67</v>
      </c>
      <c r="E1300" t="s">
        <v>485</v>
      </c>
      <c r="F1300" s="12" t="str">
        <f>IFERROR(VLOOKUP(B1300,'INSUMOS  JULIO'!$B$6:$CJ$109,42,0),"")</f>
        <v>0</v>
      </c>
      <c r="G1300" s="8">
        <f>IFERROR(VLOOKUP($B1300,'INSUMOS  JULIO'!$B$6:$CJ$109,43,0),"")</f>
        <v>18022.547999999999</v>
      </c>
      <c r="H1300" s="19">
        <f t="shared" si="80"/>
        <v>0</v>
      </c>
      <c r="I1300" s="1">
        <f t="shared" si="81"/>
        <v>0</v>
      </c>
      <c r="J1300" s="1">
        <f t="shared" si="82"/>
        <v>0</v>
      </c>
      <c r="K1300" s="19">
        <f t="shared" si="83"/>
        <v>0</v>
      </c>
    </row>
    <row r="1301" spans="1:11" ht="15">
      <c r="A1301" s="3">
        <v>2082</v>
      </c>
      <c r="B1301" s="151">
        <v>104</v>
      </c>
      <c r="C1301" s="7" t="s">
        <v>66</v>
      </c>
      <c r="D1301" s="4" t="s">
        <v>68</v>
      </c>
      <c r="E1301" t="s">
        <v>485</v>
      </c>
      <c r="F1301" s="12" t="str">
        <f>IFERROR(VLOOKUP(B1301,'INSUMOS  JULIO'!$B$6:$CJ$109,42,0),"")</f>
        <v>0</v>
      </c>
      <c r="G1301" s="8">
        <f>IFERROR(VLOOKUP($B1301,'INSUMOS  JULIO'!$B$6:$CJ$109,43,0),"")</f>
        <v>18022.547999999999</v>
      </c>
      <c r="H1301" s="19">
        <f t="shared" si="80"/>
        <v>0</v>
      </c>
      <c r="I1301" s="1">
        <f t="shared" si="81"/>
        <v>0</v>
      </c>
      <c r="J1301" s="1">
        <f t="shared" si="82"/>
        <v>0</v>
      </c>
      <c r="K1301" s="19">
        <f t="shared" si="83"/>
        <v>0</v>
      </c>
    </row>
    <row r="1302" spans="1:11" ht="15">
      <c r="A1302" s="3">
        <v>2083</v>
      </c>
      <c r="B1302" s="151">
        <v>105</v>
      </c>
      <c r="C1302" s="7" t="s">
        <v>66</v>
      </c>
      <c r="D1302" s="4" t="s">
        <v>69</v>
      </c>
      <c r="E1302" t="s">
        <v>485</v>
      </c>
      <c r="F1302" s="12" t="str">
        <f>IFERROR(VLOOKUP(B1302,'INSUMOS  JULIO'!$B$6:$CJ$109,42,0),"")</f>
        <v>0</v>
      </c>
      <c r="G1302" s="8">
        <f>IFERROR(VLOOKUP($B1302,'INSUMOS  JULIO'!$B$6:$CJ$109,43,0),"")</f>
        <v>27641.3</v>
      </c>
      <c r="H1302" s="19">
        <f t="shared" si="80"/>
        <v>0</v>
      </c>
      <c r="I1302" s="1">
        <f t="shared" si="81"/>
        <v>0</v>
      </c>
      <c r="J1302" s="1">
        <f t="shared" si="82"/>
        <v>0</v>
      </c>
      <c r="K1302" s="19">
        <f t="shared" si="83"/>
        <v>0</v>
      </c>
    </row>
    <row r="1303" spans="1:11" ht="15">
      <c r="A1303" s="3">
        <v>2084</v>
      </c>
      <c r="B1303" s="151">
        <v>106</v>
      </c>
      <c r="C1303" s="7" t="s">
        <v>66</v>
      </c>
      <c r="D1303" s="4" t="s">
        <v>70</v>
      </c>
      <c r="E1303" t="s">
        <v>485</v>
      </c>
      <c r="F1303" s="12" t="str">
        <f>IFERROR(VLOOKUP(B1303,'INSUMOS  JULIO'!$B$6:$CJ$109,42,0),"")</f>
        <v>0</v>
      </c>
      <c r="G1303" s="8">
        <f>IFERROR(VLOOKUP($B1303,'INSUMOS  JULIO'!$B$6:$CJ$109,43,0),"")</f>
        <v>0</v>
      </c>
      <c r="H1303" s="19">
        <f t="shared" si="80"/>
        <v>0</v>
      </c>
      <c r="I1303" s="1">
        <f t="shared" si="81"/>
        <v>0</v>
      </c>
      <c r="J1303" s="1">
        <f t="shared" si="82"/>
        <v>0</v>
      </c>
      <c r="K1303" s="19">
        <f t="shared" si="83"/>
        <v>0</v>
      </c>
    </row>
    <row r="1304" spans="1:11" ht="15">
      <c r="A1304" s="3">
        <v>2085</v>
      </c>
      <c r="B1304" s="151">
        <v>108</v>
      </c>
      <c r="C1304" s="7" t="s">
        <v>66</v>
      </c>
      <c r="D1304" s="4" t="s">
        <v>71</v>
      </c>
      <c r="E1304" t="s">
        <v>485</v>
      </c>
      <c r="F1304" s="12" t="str">
        <f>IFERROR(VLOOKUP(B1304,'INSUMOS  JULIO'!$B$6:$CJ$109,42,0),"")</f>
        <v>0</v>
      </c>
      <c r="G1304" s="8">
        <f>IFERROR(VLOOKUP($B1304,'INSUMOS  JULIO'!$B$6:$CJ$109,43,0),"")</f>
        <v>38697.82</v>
      </c>
      <c r="H1304" s="19">
        <f t="shared" si="80"/>
        <v>0</v>
      </c>
      <c r="I1304" s="1">
        <f t="shared" si="81"/>
        <v>0</v>
      </c>
      <c r="J1304" s="1">
        <f t="shared" si="82"/>
        <v>0</v>
      </c>
      <c r="K1304" s="19">
        <f t="shared" si="83"/>
        <v>0</v>
      </c>
    </row>
    <row r="1305" spans="1:11" ht="15">
      <c r="A1305" s="3">
        <v>2086</v>
      </c>
      <c r="B1305" s="151">
        <v>109</v>
      </c>
      <c r="C1305" s="7" t="s">
        <v>66</v>
      </c>
      <c r="D1305" s="4" t="s">
        <v>72</v>
      </c>
      <c r="E1305" t="s">
        <v>485</v>
      </c>
      <c r="F1305" s="12" t="str">
        <f>IFERROR(VLOOKUP(B1305,'INSUMOS  JULIO'!$B$6:$CJ$109,42,0),"")</f>
        <v>0</v>
      </c>
      <c r="G1305" s="8">
        <f>IFERROR(VLOOKUP($B1305,'INSUMOS  JULIO'!$B$6:$CJ$109,43,0),"")</f>
        <v>49754.340000000004</v>
      </c>
      <c r="H1305" s="19">
        <f t="shared" si="80"/>
        <v>0</v>
      </c>
      <c r="I1305" s="1">
        <f t="shared" si="81"/>
        <v>0</v>
      </c>
      <c r="J1305" s="1">
        <f t="shared" si="82"/>
        <v>0</v>
      </c>
      <c r="K1305" s="19">
        <f t="shared" si="83"/>
        <v>0</v>
      </c>
    </row>
    <row r="1306" spans="1:11" ht="15">
      <c r="A1306" s="3">
        <v>2087</v>
      </c>
      <c r="B1306" s="151">
        <v>110</v>
      </c>
      <c r="C1306" s="7" t="s">
        <v>158</v>
      </c>
      <c r="D1306" s="4" t="s">
        <v>73</v>
      </c>
      <c r="E1306" t="s">
        <v>485</v>
      </c>
      <c r="F1306" s="12">
        <f>IFERROR(VLOOKUP(B1306,'INSUMOS  JULIO'!$B$6:$CJ$109,42,0),"")</f>
        <v>30</v>
      </c>
      <c r="G1306" s="8">
        <f>IFERROR(VLOOKUP($B1306,'INSUMOS  JULIO'!$B$6:$CJ$109,43,0),"")</f>
        <v>470.84799999999996</v>
      </c>
      <c r="H1306" s="19">
        <f t="shared" si="80"/>
        <v>14125.439999999999</v>
      </c>
      <c r="I1306" s="1">
        <f t="shared" si="81"/>
        <v>1412.5439999999999</v>
      </c>
      <c r="J1306" s="1">
        <f t="shared" si="82"/>
        <v>268.38335999999998</v>
      </c>
      <c r="K1306" s="19">
        <f t="shared" si="83"/>
        <v>15806.367359999998</v>
      </c>
    </row>
    <row r="1307" spans="1:11" ht="15">
      <c r="A1307" s="3">
        <v>2088</v>
      </c>
      <c r="B1307" s="151">
        <v>118</v>
      </c>
      <c r="C1307" s="7" t="s">
        <v>158</v>
      </c>
      <c r="D1307" s="4" t="s">
        <v>74</v>
      </c>
      <c r="E1307" t="s">
        <v>485</v>
      </c>
      <c r="F1307" s="12">
        <f>IFERROR(VLOOKUP(B1307,'INSUMOS  JULIO'!$B$6:$CJ$109,42,0),"")</f>
        <v>0</v>
      </c>
      <c r="G1307" s="8">
        <f>IFERROR(VLOOKUP($B1307,'INSUMOS  JULIO'!$B$6:$CJ$109,43,0),"")</f>
        <v>2455.136</v>
      </c>
      <c r="H1307" s="19">
        <f t="shared" si="80"/>
        <v>0</v>
      </c>
      <c r="I1307" s="1">
        <f t="shared" si="81"/>
        <v>0</v>
      </c>
      <c r="J1307" s="1">
        <f t="shared" si="82"/>
        <v>0</v>
      </c>
      <c r="K1307" s="19">
        <f t="shared" si="83"/>
        <v>0</v>
      </c>
    </row>
    <row r="1308" spans="1:11" ht="15">
      <c r="A1308" s="3">
        <v>2089</v>
      </c>
      <c r="B1308" s="151">
        <v>119</v>
      </c>
      <c r="C1308" s="7" t="s">
        <v>158</v>
      </c>
      <c r="D1308" s="4" t="s">
        <v>75</v>
      </c>
      <c r="E1308" t="s">
        <v>485</v>
      </c>
      <c r="F1308" s="12" t="str">
        <f>IFERROR(VLOOKUP(B1308,'INSUMOS  JULIO'!$B$6:$CJ$109,42,0),"")</f>
        <v>0</v>
      </c>
      <c r="G1308" s="8">
        <f>IFERROR(VLOOKUP($B1308,'INSUMOS  JULIO'!$B$6:$CJ$109,43,0),"")</f>
        <v>2821.9350000000004</v>
      </c>
      <c r="H1308" s="19">
        <f t="shared" si="80"/>
        <v>0</v>
      </c>
      <c r="I1308" s="1">
        <f t="shared" si="81"/>
        <v>0</v>
      </c>
      <c r="J1308" s="1">
        <f t="shared" si="82"/>
        <v>0</v>
      </c>
      <c r="K1308" s="19">
        <f t="shared" si="83"/>
        <v>0</v>
      </c>
    </row>
    <row r="1309" spans="1:11" ht="15">
      <c r="A1309" s="3">
        <v>2090</v>
      </c>
      <c r="B1309" s="151">
        <v>120</v>
      </c>
      <c r="C1309" s="7" t="s">
        <v>158</v>
      </c>
      <c r="D1309" s="4" t="s">
        <v>76</v>
      </c>
      <c r="E1309" t="s">
        <v>485</v>
      </c>
      <c r="F1309" s="12" t="str">
        <f>IFERROR(VLOOKUP(B1309,'INSUMOS  JULIO'!$B$6:$CJ$109,42,0),"")</f>
        <v>0</v>
      </c>
      <c r="G1309" s="8">
        <f>IFERROR(VLOOKUP($B1309,'INSUMOS  JULIO'!$B$6:$CJ$109,43,0),"")</f>
        <v>2821.9350000000004</v>
      </c>
      <c r="H1309" s="19">
        <f t="shared" si="80"/>
        <v>0</v>
      </c>
      <c r="I1309" s="1">
        <f t="shared" si="81"/>
        <v>0</v>
      </c>
      <c r="J1309" s="1">
        <f t="shared" si="82"/>
        <v>0</v>
      </c>
      <c r="K1309" s="19">
        <f t="shared" si="83"/>
        <v>0</v>
      </c>
    </row>
    <row r="1310" spans="1:11" ht="15">
      <c r="A1310" s="3">
        <v>2091</v>
      </c>
      <c r="B1310" s="151">
        <v>122</v>
      </c>
      <c r="C1310" s="7" t="s">
        <v>158</v>
      </c>
      <c r="D1310" s="4" t="s">
        <v>77</v>
      </c>
      <c r="E1310" t="s">
        <v>485</v>
      </c>
      <c r="F1310" s="12" t="str">
        <f>IFERROR(VLOOKUP(B1310,'INSUMOS  JULIO'!$B$6:$CJ$109,42,0),"")</f>
        <v>0</v>
      </c>
      <c r="G1310" s="8">
        <f>IFERROR(VLOOKUP($B1310,'INSUMOS  JULIO'!$B$6:$CJ$109,43,0),"")</f>
        <v>5223.4699999999993</v>
      </c>
      <c r="H1310" s="19">
        <f t="shared" si="80"/>
        <v>0</v>
      </c>
      <c r="I1310" s="1">
        <f t="shared" si="81"/>
        <v>0</v>
      </c>
      <c r="J1310" s="1">
        <f t="shared" si="82"/>
        <v>0</v>
      </c>
      <c r="K1310" s="19">
        <f t="shared" si="83"/>
        <v>0</v>
      </c>
    </row>
    <row r="1311" spans="1:11" ht="15">
      <c r="A1311" s="3">
        <v>2092</v>
      </c>
      <c r="B1311" s="151">
        <v>123</v>
      </c>
      <c r="C1311" s="7" t="s">
        <v>158</v>
      </c>
      <c r="D1311" s="4" t="s">
        <v>78</v>
      </c>
      <c r="E1311" t="s">
        <v>485</v>
      </c>
      <c r="F1311" s="12" t="str">
        <f>IFERROR(VLOOKUP(B1311,'INSUMOS  JULIO'!$B$6:$CJ$109,42,0),"")</f>
        <v>0</v>
      </c>
      <c r="G1311" s="8">
        <f>IFERROR(VLOOKUP($B1311,'INSUMOS  JULIO'!$B$6:$CJ$109,43,0),"")</f>
        <v>5765.7860000000001</v>
      </c>
      <c r="H1311" s="19">
        <f t="shared" si="80"/>
        <v>0</v>
      </c>
      <c r="I1311" s="1">
        <f t="shared" si="81"/>
        <v>0</v>
      </c>
      <c r="J1311" s="1">
        <f t="shared" si="82"/>
        <v>0</v>
      </c>
      <c r="K1311" s="19">
        <f t="shared" si="83"/>
        <v>0</v>
      </c>
    </row>
    <row r="1312" spans="1:11" ht="15">
      <c r="A1312" s="3">
        <v>2093</v>
      </c>
      <c r="B1312" s="151">
        <v>124</v>
      </c>
      <c r="C1312" s="7" t="s">
        <v>158</v>
      </c>
      <c r="D1312" s="4" t="s">
        <v>79</v>
      </c>
      <c r="E1312" t="s">
        <v>485</v>
      </c>
      <c r="F1312" s="12" t="str">
        <f>IFERROR(VLOOKUP(B1312,'INSUMOS  JULIO'!$B$6:$CJ$109,42,0),"")</f>
        <v>0</v>
      </c>
      <c r="G1312" s="8">
        <f>IFERROR(VLOOKUP($B1312,'INSUMOS  JULIO'!$B$6:$CJ$109,43,0),"")</f>
        <v>5765.7860000000001</v>
      </c>
      <c r="H1312" s="19">
        <f t="shared" si="80"/>
        <v>0</v>
      </c>
      <c r="I1312" s="1">
        <f t="shared" si="81"/>
        <v>0</v>
      </c>
      <c r="J1312" s="1">
        <f t="shared" si="82"/>
        <v>0</v>
      </c>
      <c r="K1312" s="19">
        <f t="shared" si="83"/>
        <v>0</v>
      </c>
    </row>
    <row r="1313" spans="1:11" ht="15">
      <c r="A1313" s="3">
        <v>2094</v>
      </c>
      <c r="B1313" s="151">
        <v>126</v>
      </c>
      <c r="C1313" s="7" t="s">
        <v>9</v>
      </c>
      <c r="D1313" s="4" t="s">
        <v>80</v>
      </c>
      <c r="E1313" t="s">
        <v>485</v>
      </c>
      <c r="F1313" s="12" t="str">
        <f>IFERROR(VLOOKUP(B1313,'INSUMOS  JULIO'!$B$6:$CJ$109,42,0),"")</f>
        <v>0</v>
      </c>
      <c r="G1313" s="8">
        <f>IFERROR(VLOOKUP($B1313,'INSUMOS  JULIO'!$B$6:$CJ$109,43,0),"")</f>
        <v>3316.9560000000001</v>
      </c>
      <c r="H1313" s="19">
        <f t="shared" si="80"/>
        <v>0</v>
      </c>
      <c r="I1313" s="1">
        <f t="shared" si="81"/>
        <v>0</v>
      </c>
      <c r="J1313" s="1">
        <f t="shared" si="82"/>
        <v>0</v>
      </c>
      <c r="K1313" s="19">
        <f t="shared" si="83"/>
        <v>0</v>
      </c>
    </row>
    <row r="1314" spans="1:11" ht="15">
      <c r="A1314" s="3">
        <v>2095</v>
      </c>
      <c r="B1314" s="151">
        <v>127</v>
      </c>
      <c r="C1314" s="7" t="s">
        <v>156</v>
      </c>
      <c r="D1314" s="4" t="s">
        <v>81</v>
      </c>
      <c r="E1314" t="s">
        <v>485</v>
      </c>
      <c r="F1314" s="12" t="str">
        <f>IFERROR(VLOOKUP(B1314,'INSUMOS  JULIO'!$B$6:$CJ$109,42,0),"")</f>
        <v>0</v>
      </c>
      <c r="G1314" s="8">
        <f>IFERROR(VLOOKUP($B1314,'INSUMOS  JULIO'!$B$6:$CJ$109,43,0),"")</f>
        <v>3316.9560000000001</v>
      </c>
      <c r="H1314" s="19">
        <f t="shared" si="80"/>
        <v>0</v>
      </c>
      <c r="I1314" s="1">
        <f t="shared" si="81"/>
        <v>0</v>
      </c>
      <c r="J1314" s="1">
        <f t="shared" si="82"/>
        <v>0</v>
      </c>
      <c r="K1314" s="19">
        <f t="shared" si="83"/>
        <v>0</v>
      </c>
    </row>
    <row r="1315" spans="1:11" ht="15">
      <c r="A1315" s="3">
        <v>2096</v>
      </c>
      <c r="B1315" s="151">
        <v>129</v>
      </c>
      <c r="C1315" s="7" t="s">
        <v>157</v>
      </c>
      <c r="D1315" s="4" t="s">
        <v>82</v>
      </c>
      <c r="E1315" t="s">
        <v>485</v>
      </c>
      <c r="F1315" s="12" t="str">
        <f>IFERROR(VLOOKUP(B1315,'INSUMOS  JULIO'!$B$6:$CJ$109,42,0),"")</f>
        <v>0</v>
      </c>
      <c r="G1315" s="8">
        <f>IFERROR(VLOOKUP($B1315,'INSUMOS  JULIO'!$B$6:$CJ$109,43,0),"")</f>
        <v>3787.8040000000001</v>
      </c>
      <c r="H1315" s="19">
        <f t="shared" si="80"/>
        <v>0</v>
      </c>
      <c r="I1315" s="1">
        <f t="shared" si="81"/>
        <v>0</v>
      </c>
      <c r="J1315" s="1">
        <f t="shared" si="82"/>
        <v>0</v>
      </c>
      <c r="K1315" s="19">
        <f t="shared" si="83"/>
        <v>0</v>
      </c>
    </row>
    <row r="1316" spans="1:11" ht="15">
      <c r="A1316" s="3">
        <v>2097</v>
      </c>
      <c r="B1316" s="151">
        <v>131</v>
      </c>
      <c r="C1316" s="7" t="s">
        <v>13</v>
      </c>
      <c r="D1316" s="4" t="s">
        <v>83</v>
      </c>
      <c r="E1316" t="s">
        <v>485</v>
      </c>
      <c r="F1316" s="12" t="str">
        <f>IFERROR(VLOOKUP(B1316,'INSUMOS  JULIO'!$B$6:$CJ$109,42,0),"")</f>
        <v>0</v>
      </c>
      <c r="G1316" s="8">
        <f>IFERROR(VLOOKUP($B1316,'INSUMOS  JULIO'!$B$6:$CJ$109,43,0),"")</f>
        <v>0</v>
      </c>
      <c r="H1316" s="19">
        <f t="shared" si="80"/>
        <v>0</v>
      </c>
      <c r="I1316" s="1">
        <f t="shared" si="81"/>
        <v>0</v>
      </c>
      <c r="J1316" s="1">
        <f t="shared" si="82"/>
        <v>0</v>
      </c>
      <c r="K1316" s="19">
        <f t="shared" si="83"/>
        <v>0</v>
      </c>
    </row>
    <row r="1317" spans="1:11" ht="15">
      <c r="A1317" s="3">
        <v>2098</v>
      </c>
      <c r="B1317" s="151">
        <v>132</v>
      </c>
      <c r="C1317" s="7" t="s">
        <v>13</v>
      </c>
      <c r="D1317" s="4" t="s">
        <v>84</v>
      </c>
      <c r="E1317" t="s">
        <v>485</v>
      </c>
      <c r="F1317" s="12" t="str">
        <f>IFERROR(VLOOKUP(B1317,'INSUMOS  JULIO'!$B$6:$CJ$109,42,0),"")</f>
        <v>0</v>
      </c>
      <c r="G1317" s="8">
        <f>IFERROR(VLOOKUP($B1317,'INSUMOS  JULIO'!$B$6:$CJ$109,43,0),"")</f>
        <v>0</v>
      </c>
      <c r="H1317" s="19">
        <f t="shared" si="80"/>
        <v>0</v>
      </c>
      <c r="I1317" s="1">
        <f t="shared" si="81"/>
        <v>0</v>
      </c>
      <c r="J1317" s="1">
        <f t="shared" si="82"/>
        <v>0</v>
      </c>
      <c r="K1317" s="19">
        <f t="shared" si="83"/>
        <v>0</v>
      </c>
    </row>
    <row r="1318" spans="1:11" ht="15">
      <c r="A1318" s="3">
        <v>2099</v>
      </c>
      <c r="B1318" s="151">
        <v>134</v>
      </c>
      <c r="C1318" s="7" t="s">
        <v>16</v>
      </c>
      <c r="D1318" s="4" t="s">
        <v>85</v>
      </c>
      <c r="E1318" t="s">
        <v>485</v>
      </c>
      <c r="F1318" s="12" t="str">
        <f>IFERROR(VLOOKUP(B1318,'INSUMOS  JULIO'!$B$6:$CJ$109,42,0),"")</f>
        <v>0</v>
      </c>
      <c r="G1318" s="8">
        <f>IFERROR(VLOOKUP($B1318,'INSUMOS  JULIO'!$B$6:$CJ$109,43,0),"")</f>
        <v>0</v>
      </c>
      <c r="H1318" s="19">
        <f t="shared" si="80"/>
        <v>0</v>
      </c>
      <c r="I1318" s="1">
        <f t="shared" si="81"/>
        <v>0</v>
      </c>
      <c r="J1318" s="1">
        <f t="shared" si="82"/>
        <v>0</v>
      </c>
      <c r="K1318" s="19">
        <f t="shared" si="83"/>
        <v>0</v>
      </c>
    </row>
    <row r="1319" spans="1:11" ht="15">
      <c r="A1319" s="3">
        <v>2100</v>
      </c>
      <c r="B1319" s="151">
        <v>135</v>
      </c>
      <c r="C1319" s="7" t="s">
        <v>18</v>
      </c>
      <c r="D1319" s="4" t="s">
        <v>86</v>
      </c>
      <c r="E1319" t="s">
        <v>485</v>
      </c>
      <c r="F1319" s="12">
        <f>IFERROR(VLOOKUP(B1319,'INSUMOS  JULIO'!$B$6:$CJ$109,42,0),"")</f>
        <v>0</v>
      </c>
      <c r="G1319" s="8">
        <f>IFERROR(VLOOKUP($B1319,'INSUMOS  JULIO'!$B$6:$CJ$109,43,0),"")</f>
        <v>6229.277</v>
      </c>
      <c r="H1319" s="19">
        <f t="shared" si="80"/>
        <v>0</v>
      </c>
      <c r="I1319" s="1">
        <f t="shared" si="81"/>
        <v>0</v>
      </c>
      <c r="J1319" s="1">
        <f t="shared" si="82"/>
        <v>0</v>
      </c>
      <c r="K1319" s="19">
        <f t="shared" si="83"/>
        <v>0</v>
      </c>
    </row>
    <row r="1320" spans="1:11" ht="15">
      <c r="A1320" s="3">
        <v>2101</v>
      </c>
      <c r="B1320" s="151">
        <v>137</v>
      </c>
      <c r="C1320" s="7" t="s">
        <v>20</v>
      </c>
      <c r="D1320" s="4" t="s">
        <v>88</v>
      </c>
      <c r="E1320" t="s">
        <v>485</v>
      </c>
      <c r="F1320" s="12" t="str">
        <f>IFERROR(VLOOKUP(B1320,'INSUMOS  JULIO'!$B$6:$CJ$109,42,0),"")</f>
        <v>0</v>
      </c>
      <c r="G1320" s="8">
        <f>IFERROR(VLOOKUP($B1320,'INSUMOS  JULIO'!$B$6:$CJ$109,43,0),"")</f>
        <v>1245.4349999999999</v>
      </c>
      <c r="H1320" s="19">
        <f t="shared" si="80"/>
        <v>0</v>
      </c>
      <c r="I1320" s="1">
        <f t="shared" si="81"/>
        <v>0</v>
      </c>
      <c r="J1320" s="1">
        <f t="shared" si="82"/>
        <v>0</v>
      </c>
      <c r="K1320" s="19">
        <f t="shared" si="83"/>
        <v>0</v>
      </c>
    </row>
    <row r="1321" spans="1:11" ht="15">
      <c r="A1321" s="3">
        <v>2102</v>
      </c>
      <c r="B1321" s="151">
        <v>139</v>
      </c>
      <c r="C1321" s="7" t="s">
        <v>22</v>
      </c>
      <c r="D1321" s="4" t="s">
        <v>89</v>
      </c>
      <c r="E1321" t="s">
        <v>485</v>
      </c>
      <c r="F1321" s="12">
        <f>IFERROR(VLOOKUP(B1321,'INSUMOS  JULIO'!$B$6:$CJ$109,42,0),"")</f>
        <v>0</v>
      </c>
      <c r="G1321" s="8">
        <f>IFERROR(VLOOKUP($B1321,'INSUMOS  JULIO'!$B$6:$CJ$109,43,0),"")</f>
        <v>25429.996000000003</v>
      </c>
      <c r="H1321" s="19">
        <f t="shared" si="80"/>
        <v>0</v>
      </c>
      <c r="I1321" s="1">
        <f t="shared" si="81"/>
        <v>0</v>
      </c>
      <c r="J1321" s="1">
        <f t="shared" si="82"/>
        <v>0</v>
      </c>
      <c r="K1321" s="19">
        <f t="shared" si="83"/>
        <v>0</v>
      </c>
    </row>
    <row r="1322" spans="1:11" ht="15">
      <c r="A1322" s="3">
        <v>2103</v>
      </c>
      <c r="B1322" s="151">
        <v>151</v>
      </c>
      <c r="C1322" s="7" t="s">
        <v>18</v>
      </c>
      <c r="D1322" s="4" t="s">
        <v>91</v>
      </c>
      <c r="E1322" t="s">
        <v>485</v>
      </c>
      <c r="F1322" s="12">
        <f>IFERROR(VLOOKUP(B1322,'INSUMOS  JULIO'!$B$6:$CJ$109,42,0),"")</f>
        <v>15</v>
      </c>
      <c r="G1322" s="8">
        <f>IFERROR(VLOOKUP($B1322,'INSUMOS  JULIO'!$B$6:$CJ$109,43,0),"")</f>
        <v>4422.6080000000002</v>
      </c>
      <c r="H1322" s="19">
        <f t="shared" si="80"/>
        <v>66339.12</v>
      </c>
      <c r="I1322" s="1">
        <f t="shared" si="81"/>
        <v>6633.9120000000003</v>
      </c>
      <c r="J1322" s="1">
        <f t="shared" si="82"/>
        <v>1260.44328</v>
      </c>
      <c r="K1322" s="19">
        <f t="shared" si="83"/>
        <v>74233.475279999999</v>
      </c>
    </row>
    <row r="1323" spans="1:11" ht="15">
      <c r="A1323" s="3">
        <v>2104</v>
      </c>
      <c r="B1323" s="151">
        <v>152</v>
      </c>
      <c r="C1323" s="7" t="s">
        <v>155</v>
      </c>
      <c r="D1323" s="4" t="s">
        <v>92</v>
      </c>
      <c r="E1323" t="s">
        <v>485</v>
      </c>
      <c r="F1323" s="12" t="str">
        <f>IFERROR(VLOOKUP(B1323,'INSUMOS  JULIO'!$B$6:$CJ$109,42,0),"")</f>
        <v>0</v>
      </c>
      <c r="G1323" s="8">
        <f>IFERROR(VLOOKUP($B1323,'INSUMOS  JULIO'!$B$6:$CJ$109,43,0),"")</f>
        <v>0</v>
      </c>
      <c r="H1323" s="19">
        <f t="shared" si="80"/>
        <v>0</v>
      </c>
      <c r="I1323" s="1">
        <f t="shared" si="81"/>
        <v>0</v>
      </c>
      <c r="J1323" s="1">
        <f t="shared" si="82"/>
        <v>0</v>
      </c>
      <c r="K1323" s="19">
        <f t="shared" si="83"/>
        <v>0</v>
      </c>
    </row>
    <row r="1324" spans="1:11" ht="15">
      <c r="A1324" s="3">
        <v>2105</v>
      </c>
      <c r="B1324" s="151">
        <v>154</v>
      </c>
      <c r="C1324" s="7" t="s">
        <v>16</v>
      </c>
      <c r="D1324" s="4" t="s">
        <v>94</v>
      </c>
      <c r="E1324" t="s">
        <v>485</v>
      </c>
      <c r="F1324" s="12" t="str">
        <f>IFERROR(VLOOKUP(B1324,'INSUMOS  JULIO'!$B$6:$CJ$109,42,0),"")</f>
        <v>0</v>
      </c>
      <c r="G1324" s="8">
        <f>IFERROR(VLOOKUP($B1324,'INSUMOS  JULIO'!$B$6:$CJ$109,43,0),"")</f>
        <v>0</v>
      </c>
      <c r="H1324" s="19">
        <f t="shared" si="80"/>
        <v>0</v>
      </c>
      <c r="I1324" s="1">
        <f t="shared" si="81"/>
        <v>0</v>
      </c>
      <c r="J1324" s="1">
        <f t="shared" si="82"/>
        <v>0</v>
      </c>
      <c r="K1324" s="19">
        <f t="shared" si="83"/>
        <v>0</v>
      </c>
    </row>
    <row r="1325" spans="1:11" ht="15">
      <c r="A1325" s="3">
        <v>2106</v>
      </c>
      <c r="B1325" s="151">
        <v>155</v>
      </c>
      <c r="C1325" s="7" t="s">
        <v>27</v>
      </c>
      <c r="D1325" s="4" t="s">
        <v>95</v>
      </c>
      <c r="E1325" t="s">
        <v>485</v>
      </c>
      <c r="F1325" s="12">
        <f>IFERROR(VLOOKUP(B1325,'INSUMOS  JULIO'!$B$6:$CJ$109,42,0),"")</f>
        <v>0</v>
      </c>
      <c r="G1325" s="8">
        <f>IFERROR(VLOOKUP($B1325,'INSUMOS  JULIO'!$B$6:$CJ$109,43,0),"")</f>
        <v>3703.7239999999997</v>
      </c>
      <c r="H1325" s="19">
        <f t="shared" si="80"/>
        <v>0</v>
      </c>
      <c r="I1325" s="1">
        <f t="shared" si="81"/>
        <v>0</v>
      </c>
      <c r="J1325" s="1">
        <f t="shared" si="82"/>
        <v>0</v>
      </c>
      <c r="K1325" s="19">
        <f t="shared" si="83"/>
        <v>0</v>
      </c>
    </row>
    <row r="1326" spans="1:11" ht="15">
      <c r="A1326" s="3">
        <v>2107</v>
      </c>
      <c r="B1326" s="151">
        <v>156</v>
      </c>
      <c r="C1326" s="7" t="s">
        <v>13</v>
      </c>
      <c r="D1326" s="4" t="s">
        <v>96</v>
      </c>
      <c r="E1326" t="s">
        <v>485</v>
      </c>
      <c r="F1326" s="12" t="str">
        <f>IFERROR(VLOOKUP(B1326,'INSUMOS  JULIO'!$B$6:$CJ$109,42,0),"")</f>
        <v>0</v>
      </c>
      <c r="G1326" s="8">
        <f>IFERROR(VLOOKUP($B1326,'INSUMOS  JULIO'!$B$6:$CJ$109,43,0),"")</f>
        <v>4422.6080000000002</v>
      </c>
      <c r="H1326" s="19">
        <f t="shared" si="80"/>
        <v>0</v>
      </c>
      <c r="I1326" s="1">
        <f t="shared" si="81"/>
        <v>0</v>
      </c>
      <c r="J1326" s="1">
        <f t="shared" si="82"/>
        <v>0</v>
      </c>
      <c r="K1326" s="19">
        <f t="shared" si="83"/>
        <v>0</v>
      </c>
    </row>
    <row r="1327" spans="1:11" ht="15">
      <c r="A1327" s="3">
        <v>2108</v>
      </c>
      <c r="B1327" s="151">
        <v>157</v>
      </c>
      <c r="C1327" s="7" t="s">
        <v>13</v>
      </c>
      <c r="D1327" s="4" t="s">
        <v>97</v>
      </c>
      <c r="E1327" t="s">
        <v>485</v>
      </c>
      <c r="F1327" s="12">
        <f>IFERROR(VLOOKUP(B1327,'INSUMOS  JULIO'!$B$6:$CJ$109,42,0),"")</f>
        <v>0</v>
      </c>
      <c r="G1327" s="8">
        <f>IFERROR(VLOOKUP($B1327,'INSUMOS  JULIO'!$B$6:$CJ$109,43,0),"")</f>
        <v>5970.7309999999998</v>
      </c>
      <c r="H1327" s="19">
        <f t="shared" si="80"/>
        <v>0</v>
      </c>
      <c r="I1327" s="1">
        <f t="shared" si="81"/>
        <v>0</v>
      </c>
      <c r="J1327" s="1">
        <f t="shared" si="82"/>
        <v>0</v>
      </c>
      <c r="K1327" s="19">
        <f t="shared" si="83"/>
        <v>0</v>
      </c>
    </row>
    <row r="1328" spans="1:11" ht="15">
      <c r="A1328" s="3">
        <v>2109</v>
      </c>
      <c r="B1328" s="151">
        <v>159</v>
      </c>
      <c r="C1328" s="7" t="s">
        <v>13</v>
      </c>
      <c r="D1328" s="4" t="s">
        <v>98</v>
      </c>
      <c r="E1328" t="s">
        <v>485</v>
      </c>
      <c r="F1328" s="12" t="str">
        <f>IFERROR(VLOOKUP(B1328,'INSUMOS  JULIO'!$B$6:$CJ$109,42,0),"")</f>
        <v>0</v>
      </c>
      <c r="G1328" s="8">
        <f>IFERROR(VLOOKUP($B1328,'INSUMOS  JULIO'!$B$6:$CJ$109,43,0),"")</f>
        <v>0</v>
      </c>
      <c r="H1328" s="19">
        <f t="shared" si="80"/>
        <v>0</v>
      </c>
      <c r="I1328" s="1">
        <f t="shared" si="81"/>
        <v>0</v>
      </c>
      <c r="J1328" s="1">
        <f t="shared" si="82"/>
        <v>0</v>
      </c>
      <c r="K1328" s="19">
        <f t="shared" si="83"/>
        <v>0</v>
      </c>
    </row>
    <row r="1329" spans="1:11" ht="15">
      <c r="A1329" s="3">
        <v>2110</v>
      </c>
      <c r="B1329" s="151">
        <v>160</v>
      </c>
      <c r="C1329" s="7" t="s">
        <v>13</v>
      </c>
      <c r="D1329" s="4" t="s">
        <v>99</v>
      </c>
      <c r="E1329" t="s">
        <v>485</v>
      </c>
      <c r="F1329" s="12" t="str">
        <f>IFERROR(VLOOKUP(B1329,'INSUMOS  JULIO'!$B$6:$CJ$109,42,0),"")</f>
        <v>0</v>
      </c>
      <c r="G1329" s="8">
        <f>IFERROR(VLOOKUP($B1329,'INSUMOS  JULIO'!$B$6:$CJ$109,43,0),"")</f>
        <v>2276.4660000000003</v>
      </c>
      <c r="H1329" s="19">
        <f t="shared" si="80"/>
        <v>0</v>
      </c>
      <c r="I1329" s="1">
        <f t="shared" si="81"/>
        <v>0</v>
      </c>
      <c r="J1329" s="1">
        <f t="shared" si="82"/>
        <v>0</v>
      </c>
      <c r="K1329" s="19">
        <f t="shared" si="83"/>
        <v>0</v>
      </c>
    </row>
    <row r="1330" spans="1:11" ht="15">
      <c r="A1330" s="3">
        <v>2111</v>
      </c>
      <c r="B1330" s="151">
        <v>161</v>
      </c>
      <c r="C1330" s="7" t="s">
        <v>33</v>
      </c>
      <c r="D1330" s="4" t="s">
        <v>100</v>
      </c>
      <c r="E1330" t="s">
        <v>485</v>
      </c>
      <c r="F1330" s="12" t="str">
        <f>IFERROR(VLOOKUP(B1330,'INSUMOS  JULIO'!$B$6:$CJ$109,42,0),"")</f>
        <v>0</v>
      </c>
      <c r="G1330" s="8">
        <f>IFERROR(VLOOKUP($B1330,'INSUMOS  JULIO'!$B$6:$CJ$109,43,0),"")</f>
        <v>2236.5280000000002</v>
      </c>
      <c r="H1330" s="19">
        <f t="shared" si="80"/>
        <v>0</v>
      </c>
      <c r="I1330" s="1">
        <f t="shared" si="81"/>
        <v>0</v>
      </c>
      <c r="J1330" s="1">
        <f t="shared" si="82"/>
        <v>0</v>
      </c>
      <c r="K1330" s="19">
        <f t="shared" si="83"/>
        <v>0</v>
      </c>
    </row>
    <row r="1331" spans="1:11" ht="15">
      <c r="A1331" s="3">
        <v>2112</v>
      </c>
      <c r="B1331" s="151">
        <v>162</v>
      </c>
      <c r="C1331" s="7" t="s">
        <v>16</v>
      </c>
      <c r="D1331" s="4" t="s">
        <v>101</v>
      </c>
      <c r="E1331" t="s">
        <v>485</v>
      </c>
      <c r="F1331" s="12">
        <f>IFERROR(VLOOKUP(B1331,'INSUMOS  JULIO'!$B$6:$CJ$109,42,0),"")</f>
        <v>0</v>
      </c>
      <c r="G1331" s="8">
        <f>IFERROR(VLOOKUP($B1331,'INSUMOS  JULIO'!$B$6:$CJ$109,43,0),"")</f>
        <v>2684.2539999999999</v>
      </c>
      <c r="H1331" s="19">
        <f t="shared" si="80"/>
        <v>0</v>
      </c>
      <c r="I1331" s="1">
        <f t="shared" si="81"/>
        <v>0</v>
      </c>
      <c r="J1331" s="1">
        <f t="shared" si="82"/>
        <v>0</v>
      </c>
      <c r="K1331" s="19">
        <f t="shared" si="83"/>
        <v>0</v>
      </c>
    </row>
    <row r="1332" spans="1:11" ht="15">
      <c r="A1332" s="3">
        <v>2113</v>
      </c>
      <c r="B1332" s="151">
        <v>164</v>
      </c>
      <c r="C1332" s="7" t="s">
        <v>36</v>
      </c>
      <c r="D1332" s="4" t="s">
        <v>102</v>
      </c>
      <c r="E1332" t="s">
        <v>485</v>
      </c>
      <c r="F1332" s="12" t="str">
        <f>IFERROR(VLOOKUP(B1332,'INSUMOS  JULIO'!$B$6:$CJ$109,42,0),"")</f>
        <v>0</v>
      </c>
      <c r="G1332" s="8">
        <f>IFERROR(VLOOKUP($B1332,'INSUMOS  JULIO'!$B$6:$CJ$109,43,0),"")</f>
        <v>1658.4780000000001</v>
      </c>
      <c r="H1332" s="19">
        <f t="shared" si="80"/>
        <v>0</v>
      </c>
      <c r="I1332" s="1">
        <f t="shared" si="81"/>
        <v>0</v>
      </c>
      <c r="J1332" s="1">
        <f t="shared" si="82"/>
        <v>0</v>
      </c>
      <c r="K1332" s="19">
        <f t="shared" si="83"/>
        <v>0</v>
      </c>
    </row>
    <row r="1333" spans="1:11" ht="15">
      <c r="A1333" s="3">
        <v>2114</v>
      </c>
      <c r="B1333" s="151">
        <v>169</v>
      </c>
      <c r="C1333" s="7" t="s">
        <v>36</v>
      </c>
      <c r="D1333" s="4" t="s">
        <v>104</v>
      </c>
      <c r="E1333" t="s">
        <v>485</v>
      </c>
      <c r="F1333" s="12" t="str">
        <f>IFERROR(VLOOKUP(B1333,'INSUMOS  JULIO'!$B$6:$CJ$109,42,0),"")</f>
        <v>0</v>
      </c>
      <c r="G1333" s="8">
        <f>IFERROR(VLOOKUP($B1333,'INSUMOS  JULIO'!$B$6:$CJ$109,43,0),"")</f>
        <v>85897.178999999989</v>
      </c>
      <c r="H1333" s="19">
        <f t="shared" si="80"/>
        <v>0</v>
      </c>
      <c r="I1333" s="1">
        <f t="shared" si="81"/>
        <v>0</v>
      </c>
      <c r="J1333" s="1">
        <f t="shared" si="82"/>
        <v>0</v>
      </c>
      <c r="K1333" s="19">
        <f t="shared" si="83"/>
        <v>0</v>
      </c>
    </row>
    <row r="1334" spans="1:11" ht="15">
      <c r="A1334" s="3">
        <v>2115</v>
      </c>
      <c r="B1334" s="151">
        <v>170</v>
      </c>
      <c r="C1334" s="7" t="s">
        <v>39</v>
      </c>
      <c r="D1334" s="4" t="s">
        <v>106</v>
      </c>
      <c r="E1334" t="s">
        <v>485</v>
      </c>
      <c r="F1334" s="12">
        <f>IFERROR(VLOOKUP(B1334,'INSUMOS  JULIO'!$B$6:$CJ$109,42,0),"")</f>
        <v>0</v>
      </c>
      <c r="G1334" s="8">
        <f>IFERROR(VLOOKUP($B1334,'INSUMOS  JULIO'!$B$6:$CJ$109,43,0),"")</f>
        <v>19405.664000000001</v>
      </c>
      <c r="H1334" s="19">
        <f t="shared" si="80"/>
        <v>0</v>
      </c>
      <c r="I1334" s="1">
        <f t="shared" si="81"/>
        <v>0</v>
      </c>
      <c r="J1334" s="1">
        <f t="shared" si="82"/>
        <v>0</v>
      </c>
      <c r="K1334" s="19">
        <f t="shared" si="83"/>
        <v>0</v>
      </c>
    </row>
    <row r="1335" spans="1:11" ht="15">
      <c r="A1335" s="3">
        <v>2116</v>
      </c>
      <c r="B1335" s="151">
        <v>173</v>
      </c>
      <c r="C1335" s="7" t="s">
        <v>39</v>
      </c>
      <c r="D1335" s="4" t="s">
        <v>107</v>
      </c>
      <c r="E1335" t="s">
        <v>485</v>
      </c>
      <c r="F1335" s="12" t="str">
        <f>IFERROR(VLOOKUP(B1335,'INSUMOS  JULIO'!$B$6:$CJ$109,42,0),"")</f>
        <v>0</v>
      </c>
      <c r="G1335" s="8">
        <f>IFERROR(VLOOKUP($B1335,'INSUMOS  JULIO'!$B$6:$CJ$109,43,0),"")</f>
        <v>0</v>
      </c>
      <c r="H1335" s="19">
        <f t="shared" si="80"/>
        <v>0</v>
      </c>
      <c r="I1335" s="1">
        <f t="shared" si="81"/>
        <v>0</v>
      </c>
      <c r="J1335" s="1">
        <f t="shared" si="82"/>
        <v>0</v>
      </c>
      <c r="K1335" s="19">
        <f t="shared" si="83"/>
        <v>0</v>
      </c>
    </row>
    <row r="1336" spans="1:11" ht="15">
      <c r="A1336" s="3">
        <v>2117</v>
      </c>
      <c r="B1336" s="151">
        <v>174</v>
      </c>
      <c r="C1336" s="7" t="s">
        <v>108</v>
      </c>
      <c r="D1336" s="4" t="s">
        <v>109</v>
      </c>
      <c r="E1336" t="s">
        <v>485</v>
      </c>
      <c r="F1336" s="12" t="str">
        <f>IFERROR(VLOOKUP(B1336,'INSUMOS  JULIO'!$B$6:$CJ$109,42,0),"")</f>
        <v>0</v>
      </c>
      <c r="G1336" s="8">
        <f>IFERROR(VLOOKUP($B1336,'INSUMOS  JULIO'!$B$6:$CJ$109,43,0),"")</f>
        <v>6081.0860000000002</v>
      </c>
      <c r="H1336" s="19">
        <f t="shared" si="80"/>
        <v>0</v>
      </c>
      <c r="I1336" s="1">
        <f t="shared" si="81"/>
        <v>0</v>
      </c>
      <c r="J1336" s="1">
        <f t="shared" si="82"/>
        <v>0</v>
      </c>
      <c r="K1336" s="19">
        <f t="shared" si="83"/>
        <v>0</v>
      </c>
    </row>
    <row r="1337" spans="1:11" ht="15">
      <c r="A1337" s="3">
        <v>2118</v>
      </c>
      <c r="B1337" s="151">
        <v>176</v>
      </c>
      <c r="C1337" s="7" t="s">
        <v>108</v>
      </c>
      <c r="D1337" s="4" t="s">
        <v>110</v>
      </c>
      <c r="E1337" t="s">
        <v>485</v>
      </c>
      <c r="F1337" s="12" t="str">
        <f>IFERROR(VLOOKUP(B1337,'INSUMOS  JULIO'!$B$6:$CJ$109,42,0),"")</f>
        <v>0</v>
      </c>
      <c r="G1337" s="8">
        <f>IFERROR(VLOOKUP($B1337,'INSUMOS  JULIO'!$B$6:$CJ$109,43,0),"")</f>
        <v>2749.4160000000002</v>
      </c>
      <c r="H1337" s="19">
        <f t="shared" si="80"/>
        <v>0</v>
      </c>
      <c r="I1337" s="1">
        <f t="shared" si="81"/>
        <v>0</v>
      </c>
      <c r="J1337" s="1">
        <f t="shared" si="82"/>
        <v>0</v>
      </c>
      <c r="K1337" s="19">
        <f t="shared" si="83"/>
        <v>0</v>
      </c>
    </row>
    <row r="1338" spans="1:11" ht="15">
      <c r="A1338" s="3">
        <v>2119</v>
      </c>
      <c r="B1338" s="151">
        <v>192</v>
      </c>
      <c r="C1338" s="7" t="s">
        <v>149</v>
      </c>
      <c r="D1338" s="4" t="s">
        <v>111</v>
      </c>
      <c r="E1338" t="s">
        <v>485</v>
      </c>
      <c r="F1338" s="12">
        <f>IFERROR(VLOOKUP(B1338,'INSUMOS  JULIO'!$B$6:$CJ$109,42,0),"")</f>
        <v>10</v>
      </c>
      <c r="G1338" s="8">
        <f>IFERROR(VLOOKUP($B1338,'INSUMOS  JULIO'!$B$6:$CJ$109,43,0),"")</f>
        <v>6866.2880999999998</v>
      </c>
      <c r="H1338" s="19">
        <f t="shared" si="80"/>
        <v>68662.880999999994</v>
      </c>
      <c r="I1338" s="1">
        <f t="shared" si="81"/>
        <v>6866.2880999999998</v>
      </c>
      <c r="J1338" s="1">
        <f t="shared" si="82"/>
        <v>1304.5947389999999</v>
      </c>
      <c r="K1338" s="19">
        <f t="shared" si="83"/>
        <v>76833.763838999992</v>
      </c>
    </row>
    <row r="1339" spans="1:11" ht="15">
      <c r="A1339" s="3">
        <v>2120</v>
      </c>
      <c r="B1339" s="151">
        <v>195</v>
      </c>
      <c r="C1339" s="7" t="s">
        <v>151</v>
      </c>
      <c r="D1339" s="4" t="s">
        <v>112</v>
      </c>
      <c r="E1339" t="s">
        <v>485</v>
      </c>
      <c r="F1339" s="12">
        <f>IFERROR(VLOOKUP(B1339,'INSUMOS  JULIO'!$B$6:$CJ$109,42,0),"")</f>
        <v>0</v>
      </c>
      <c r="G1339" s="8">
        <f>IFERROR(VLOOKUP($B1339,'INSUMOS  JULIO'!$B$6:$CJ$109,43,0),"")</f>
        <v>6431.0690000000004</v>
      </c>
      <c r="H1339" s="19">
        <f t="shared" si="80"/>
        <v>0</v>
      </c>
      <c r="I1339" s="1">
        <f t="shared" si="81"/>
        <v>0</v>
      </c>
      <c r="J1339" s="1">
        <f t="shared" si="82"/>
        <v>0</v>
      </c>
      <c r="K1339" s="19">
        <f t="shared" si="83"/>
        <v>0</v>
      </c>
    </row>
    <row r="1340" spans="1:11" ht="15">
      <c r="A1340" s="3">
        <v>2121</v>
      </c>
      <c r="B1340" s="151">
        <v>204</v>
      </c>
      <c r="C1340" s="7" t="s">
        <v>46</v>
      </c>
      <c r="D1340" s="4" t="s">
        <v>113</v>
      </c>
      <c r="E1340" t="s">
        <v>485</v>
      </c>
      <c r="F1340" s="12">
        <f>IFERROR(VLOOKUP(B1340,'INSUMOS  JULIO'!$B$6:$CJ$109,42,0),"")</f>
        <v>5</v>
      </c>
      <c r="G1340" s="8">
        <f>IFERROR(VLOOKUP($B1340,'INSUMOS  JULIO'!$B$6:$CJ$109,43,0),"")</f>
        <v>25673.6178</v>
      </c>
      <c r="H1340" s="19">
        <f t="shared" si="80"/>
        <v>128368.08900000001</v>
      </c>
      <c r="I1340" s="1">
        <f t="shared" si="81"/>
        <v>12836.808900000002</v>
      </c>
      <c r="J1340" s="1">
        <f t="shared" si="82"/>
        <v>2438.9936910000006</v>
      </c>
      <c r="K1340" s="19">
        <f t="shared" si="83"/>
        <v>143643.89159100002</v>
      </c>
    </row>
    <row r="1341" spans="1:11" ht="27">
      <c r="A1341" s="3">
        <v>2122</v>
      </c>
      <c r="B1341" s="151">
        <v>205</v>
      </c>
      <c r="C1341" s="7" t="s">
        <v>159</v>
      </c>
      <c r="D1341" s="4" t="s">
        <v>114</v>
      </c>
      <c r="E1341" t="s">
        <v>485</v>
      </c>
      <c r="F1341" s="12" t="str">
        <f>IFERROR(VLOOKUP(B1341,'INSUMOS  JULIO'!$B$6:$CJ$109,42,0),"")</f>
        <v>0</v>
      </c>
      <c r="G1341" s="8">
        <f>IFERROR(VLOOKUP($B1341,'INSUMOS  JULIO'!$B$6:$CJ$109,43,0),"")</f>
        <v>17690.432000000001</v>
      </c>
      <c r="H1341" s="19">
        <f t="shared" si="80"/>
        <v>0</v>
      </c>
      <c r="I1341" s="1">
        <f t="shared" si="81"/>
        <v>0</v>
      </c>
      <c r="J1341" s="1">
        <f t="shared" si="82"/>
        <v>0</v>
      </c>
      <c r="K1341" s="19">
        <f t="shared" si="83"/>
        <v>0</v>
      </c>
    </row>
    <row r="1342" spans="1:11" ht="15">
      <c r="A1342" s="3">
        <v>2123</v>
      </c>
      <c r="B1342" s="151">
        <v>207</v>
      </c>
      <c r="C1342" s="7" t="s">
        <v>159</v>
      </c>
      <c r="D1342" s="4" t="s">
        <v>115</v>
      </c>
      <c r="E1342" t="s">
        <v>485</v>
      </c>
      <c r="F1342" s="12" t="str">
        <f>IFERROR(VLOOKUP(B1342,'INSUMOS  JULIO'!$B$6:$CJ$109,42,0),"")</f>
        <v>0</v>
      </c>
      <c r="G1342" s="8">
        <f>IFERROR(VLOOKUP($B1342,'INSUMOS  JULIO'!$B$6:$CJ$109,43,0),"")</f>
        <v>7186.7380000000003</v>
      </c>
      <c r="H1342" s="19">
        <f t="shared" si="80"/>
        <v>0</v>
      </c>
      <c r="I1342" s="1">
        <f t="shared" si="81"/>
        <v>0</v>
      </c>
      <c r="J1342" s="1">
        <f t="shared" si="82"/>
        <v>0</v>
      </c>
      <c r="K1342" s="19">
        <f t="shared" si="83"/>
        <v>0</v>
      </c>
    </row>
    <row r="1343" spans="1:11" ht="15">
      <c r="A1343" s="3">
        <v>2124</v>
      </c>
      <c r="B1343" s="151">
        <v>208</v>
      </c>
      <c r="C1343" s="7" t="s">
        <v>159</v>
      </c>
      <c r="D1343" s="4" t="s">
        <v>634</v>
      </c>
      <c r="E1343" t="s">
        <v>485</v>
      </c>
      <c r="F1343" s="12" t="str">
        <f>IFERROR(VLOOKUP(B1343,'INSUMOS  JULIO'!$B$6:$CJ$109,42,0),"")</f>
        <v>0</v>
      </c>
      <c r="G1343" s="8">
        <f>IFERROR(VLOOKUP($B1343,'INSUMOS  JULIO'!$B$6:$CJ$109,43,0),"")</f>
        <v>50779.065000000002</v>
      </c>
      <c r="H1343" s="19">
        <f t="shared" si="80"/>
        <v>0</v>
      </c>
      <c r="I1343" s="1">
        <f t="shared" si="81"/>
        <v>0</v>
      </c>
      <c r="J1343" s="1">
        <f t="shared" si="82"/>
        <v>0</v>
      </c>
      <c r="K1343" s="19">
        <f t="shared" si="83"/>
        <v>0</v>
      </c>
    </row>
    <row r="1344" spans="1:11" ht="15">
      <c r="A1344" s="3">
        <v>2125</v>
      </c>
      <c r="B1344" s="151">
        <v>209</v>
      </c>
      <c r="C1344" s="7" t="s">
        <v>159</v>
      </c>
      <c r="D1344" s="4" t="s">
        <v>635</v>
      </c>
      <c r="E1344" t="s">
        <v>485</v>
      </c>
      <c r="F1344" s="12" t="str">
        <f>IFERROR(VLOOKUP(B1344,'INSUMOS  JULIO'!$B$6:$CJ$109,42,0),"")</f>
        <v>0</v>
      </c>
      <c r="G1344" s="8">
        <f>IFERROR(VLOOKUP($B1344,'INSUMOS  JULIO'!$B$6:$CJ$109,43,0),"")</f>
        <v>37357.794999999998</v>
      </c>
      <c r="H1344" s="19">
        <f t="shared" si="80"/>
        <v>0</v>
      </c>
      <c r="I1344" s="1">
        <f t="shared" si="81"/>
        <v>0</v>
      </c>
      <c r="J1344" s="1">
        <f t="shared" si="82"/>
        <v>0</v>
      </c>
      <c r="K1344" s="19">
        <f t="shared" si="83"/>
        <v>0</v>
      </c>
    </row>
    <row r="1345" spans="1:11" ht="15">
      <c r="A1345" s="3">
        <v>2126</v>
      </c>
      <c r="B1345" s="151">
        <v>210</v>
      </c>
      <c r="C1345" s="7" t="s">
        <v>159</v>
      </c>
      <c r="D1345" s="4" t="s">
        <v>636</v>
      </c>
      <c r="E1345" t="s">
        <v>485</v>
      </c>
      <c r="F1345" s="12" t="str">
        <f>IFERROR(VLOOKUP(B1345,'INSUMOS  JULIO'!$B$6:$CJ$109,42,0),"")</f>
        <v>0</v>
      </c>
      <c r="G1345" s="8">
        <f>IFERROR(VLOOKUP($B1345,'INSUMOS  JULIO'!$B$6:$CJ$109,43,0),"")</f>
        <v>22537.643999999997</v>
      </c>
      <c r="H1345" s="19">
        <f t="shared" si="80"/>
        <v>0</v>
      </c>
      <c r="I1345" s="1">
        <f t="shared" si="81"/>
        <v>0</v>
      </c>
      <c r="J1345" s="1">
        <f t="shared" si="82"/>
        <v>0</v>
      </c>
      <c r="K1345" s="19">
        <f t="shared" si="83"/>
        <v>0</v>
      </c>
    </row>
    <row r="1346" spans="1:11" ht="15">
      <c r="A1346" s="3">
        <v>2127</v>
      </c>
      <c r="B1346" s="151">
        <v>211</v>
      </c>
      <c r="C1346" s="7" t="s">
        <v>53</v>
      </c>
      <c r="D1346" s="4" t="s">
        <v>637</v>
      </c>
      <c r="E1346" t="s">
        <v>485</v>
      </c>
      <c r="F1346" s="12" t="str">
        <f>IFERROR(VLOOKUP(B1346,'INSUMOS  JULIO'!$B$6:$CJ$109,42,0),"")</f>
        <v>0</v>
      </c>
      <c r="G1346" s="8">
        <f>IFERROR(VLOOKUP($B1346,'INSUMOS  JULIO'!$B$6:$CJ$109,43,0),"")</f>
        <v>15992.016</v>
      </c>
      <c r="H1346" s="19">
        <f t="shared" si="80"/>
        <v>0</v>
      </c>
      <c r="I1346" s="1">
        <f t="shared" si="81"/>
        <v>0</v>
      </c>
      <c r="J1346" s="1">
        <f t="shared" si="82"/>
        <v>0</v>
      </c>
      <c r="K1346" s="19">
        <f t="shared" si="83"/>
        <v>0</v>
      </c>
    </row>
    <row r="1347" spans="1:11" ht="15">
      <c r="A1347" s="3">
        <v>2128</v>
      </c>
      <c r="B1347" s="151">
        <v>212</v>
      </c>
      <c r="C1347" s="7" t="s">
        <v>53</v>
      </c>
      <c r="D1347" s="4" t="s">
        <v>116</v>
      </c>
      <c r="E1347" t="s">
        <v>485</v>
      </c>
      <c r="F1347" s="12" t="str">
        <f>IFERROR(VLOOKUP(B1347,'INSUMOS  JULIO'!$B$6:$CJ$109,42,0),"")</f>
        <v>0</v>
      </c>
      <c r="G1347" s="8">
        <f>IFERROR(VLOOKUP($B1347,'INSUMOS  JULIO'!$B$6:$CJ$109,43,0),"")</f>
        <v>2505.5839999999998</v>
      </c>
      <c r="H1347" s="19">
        <f t="shared" si="80"/>
        <v>0</v>
      </c>
      <c r="I1347" s="1">
        <f t="shared" si="81"/>
        <v>0</v>
      </c>
      <c r="J1347" s="1">
        <f t="shared" si="82"/>
        <v>0</v>
      </c>
      <c r="K1347" s="19">
        <f t="shared" si="83"/>
        <v>0</v>
      </c>
    </row>
    <row r="1348" spans="1:11" ht="15">
      <c r="A1348" s="3">
        <v>2129</v>
      </c>
      <c r="B1348" s="151">
        <v>213</v>
      </c>
      <c r="C1348" s="7" t="s">
        <v>53</v>
      </c>
      <c r="D1348" s="4" t="s">
        <v>638</v>
      </c>
      <c r="E1348" t="s">
        <v>485</v>
      </c>
      <c r="F1348" s="12" t="str">
        <f>IFERROR(VLOOKUP(B1348,'INSUMOS  JULIO'!$B$6:$CJ$109,42,0),"")</f>
        <v>0</v>
      </c>
      <c r="G1348" s="8">
        <f>IFERROR(VLOOKUP($B1348,'INSUMOS  JULIO'!$B$6:$CJ$109,43,0),"")</f>
        <v>0</v>
      </c>
      <c r="H1348" s="19">
        <f t="shared" si="80"/>
        <v>0</v>
      </c>
      <c r="I1348" s="1">
        <f t="shared" si="81"/>
        <v>0</v>
      </c>
      <c r="J1348" s="1">
        <f t="shared" si="82"/>
        <v>0</v>
      </c>
      <c r="K1348" s="19">
        <f t="shared" si="83"/>
        <v>0</v>
      </c>
    </row>
    <row r="1349" spans="1:11" ht="15">
      <c r="A1349" s="3">
        <v>2130</v>
      </c>
      <c r="B1349" s="151">
        <v>215</v>
      </c>
      <c r="C1349" s="7" t="s">
        <v>53</v>
      </c>
      <c r="D1349" s="4" t="s">
        <v>639</v>
      </c>
      <c r="E1349" t="s">
        <v>485</v>
      </c>
      <c r="F1349" s="12" t="str">
        <f>IFERROR(VLOOKUP(B1349,'INSUMOS  JULIO'!$B$6:$CJ$109,42,0),"")</f>
        <v>0</v>
      </c>
      <c r="G1349" s="8">
        <f>IFERROR(VLOOKUP($B1349,'INSUMOS  JULIO'!$B$6:$CJ$109,43,0),"")</f>
        <v>10476.367999999999</v>
      </c>
      <c r="H1349" s="19">
        <f t="shared" si="80"/>
        <v>0</v>
      </c>
      <c r="I1349" s="1">
        <f t="shared" si="81"/>
        <v>0</v>
      </c>
      <c r="J1349" s="1">
        <f t="shared" si="82"/>
        <v>0</v>
      </c>
      <c r="K1349" s="19">
        <f t="shared" si="83"/>
        <v>0</v>
      </c>
    </row>
    <row r="1350" spans="1:11" ht="15">
      <c r="A1350" s="3">
        <v>2131</v>
      </c>
      <c r="B1350" s="151">
        <v>216</v>
      </c>
      <c r="C1350" s="7" t="s">
        <v>160</v>
      </c>
      <c r="D1350" s="4" t="s">
        <v>640</v>
      </c>
      <c r="E1350" t="s">
        <v>485</v>
      </c>
      <c r="F1350" s="12" t="str">
        <f>IFERROR(VLOOKUP(B1350,'INSUMOS  JULIO'!$B$6:$CJ$109,42,0),"")</f>
        <v>0</v>
      </c>
      <c r="G1350" s="8">
        <f>IFERROR(VLOOKUP($B1350,'INSUMOS  JULIO'!$B$6:$CJ$109,43,0),"")</f>
        <v>3954.9129999999996</v>
      </c>
      <c r="H1350" s="19">
        <f t="shared" ref="H1350:H1413" si="84">+F1350*G1350</f>
        <v>0</v>
      </c>
      <c r="I1350" s="1">
        <f t="shared" ref="I1350:I1413" si="85">+H1350*10%</f>
        <v>0</v>
      </c>
      <c r="J1350" s="1">
        <f t="shared" ref="J1350:J1413" si="86">+I1350*19%</f>
        <v>0</v>
      </c>
      <c r="K1350" s="19">
        <f t="shared" ref="K1350:K1413" si="87">SUM(H1350:J1350)</f>
        <v>0</v>
      </c>
    </row>
    <row r="1351" spans="1:11" ht="15">
      <c r="A1351" s="3">
        <v>2132</v>
      </c>
      <c r="B1351" s="151">
        <v>218</v>
      </c>
      <c r="C1351" s="7" t="s">
        <v>160</v>
      </c>
      <c r="D1351" s="4" t="s">
        <v>117</v>
      </c>
      <c r="E1351" t="s">
        <v>485</v>
      </c>
      <c r="F1351" s="12" t="str">
        <f>IFERROR(VLOOKUP(B1351,'INSUMOS  JULIO'!$B$6:$CJ$109,42,0),"")</f>
        <v>0</v>
      </c>
      <c r="G1351" s="8">
        <f>IFERROR(VLOOKUP($B1351,'INSUMOS  JULIO'!$B$6:$CJ$109,43,0),"")</f>
        <v>1437.768</v>
      </c>
      <c r="H1351" s="19">
        <f t="shared" si="84"/>
        <v>0</v>
      </c>
      <c r="I1351" s="1">
        <f t="shared" si="85"/>
        <v>0</v>
      </c>
      <c r="J1351" s="1">
        <f t="shared" si="86"/>
        <v>0</v>
      </c>
      <c r="K1351" s="19">
        <f t="shared" si="87"/>
        <v>0</v>
      </c>
    </row>
    <row r="1352" spans="1:11" ht="15">
      <c r="A1352" s="3">
        <v>2133</v>
      </c>
      <c r="B1352" s="151">
        <v>251</v>
      </c>
      <c r="C1352" s="7" t="s">
        <v>60</v>
      </c>
      <c r="D1352" s="4" t="s">
        <v>118</v>
      </c>
      <c r="E1352" t="s">
        <v>485</v>
      </c>
      <c r="F1352" s="12" t="str">
        <f>IFERROR(VLOOKUP(B1352,'INSUMOS  JULIO'!$B$6:$CJ$109,42,0),"")</f>
        <v>0</v>
      </c>
      <c r="G1352" s="8">
        <f>IFERROR(VLOOKUP($B1352,'INSUMOS  JULIO'!$B$6:$CJ$109,43,0),"")</f>
        <v>16031.954000000002</v>
      </c>
      <c r="H1352" s="19">
        <f t="shared" si="84"/>
        <v>0</v>
      </c>
      <c r="I1352" s="1">
        <f t="shared" si="85"/>
        <v>0</v>
      </c>
      <c r="J1352" s="1">
        <f t="shared" si="86"/>
        <v>0</v>
      </c>
      <c r="K1352" s="19">
        <f t="shared" si="87"/>
        <v>0</v>
      </c>
    </row>
    <row r="1353" spans="1:11" ht="15">
      <c r="A1353" s="3">
        <v>2134</v>
      </c>
      <c r="B1353" s="151">
        <v>255</v>
      </c>
      <c r="C1353" s="7" t="s">
        <v>60</v>
      </c>
      <c r="D1353" s="4" t="s">
        <v>641</v>
      </c>
      <c r="E1353" t="s">
        <v>485</v>
      </c>
      <c r="F1353" s="12" t="str">
        <f>IFERROR(VLOOKUP(B1353,'INSUMOS  JULIO'!$B$6:$CJ$109,42,0),"")</f>
        <v>0</v>
      </c>
      <c r="G1353" s="8">
        <f>IFERROR(VLOOKUP($B1353,'INSUMOS  JULIO'!$B$6:$CJ$109,43,0),"")</f>
        <v>29299.777999999998</v>
      </c>
      <c r="H1353" s="19">
        <f t="shared" si="84"/>
        <v>0</v>
      </c>
      <c r="I1353" s="1">
        <f t="shared" si="85"/>
        <v>0</v>
      </c>
      <c r="J1353" s="1">
        <f t="shared" si="86"/>
        <v>0</v>
      </c>
      <c r="K1353" s="19">
        <f t="shared" si="87"/>
        <v>0</v>
      </c>
    </row>
    <row r="1354" spans="1:11" ht="15">
      <c r="A1354" s="3">
        <v>2135</v>
      </c>
      <c r="B1354" s="151">
        <v>257</v>
      </c>
      <c r="C1354" s="7" t="s">
        <v>151</v>
      </c>
      <c r="D1354" s="4" t="s">
        <v>642</v>
      </c>
      <c r="E1354" t="s">
        <v>485</v>
      </c>
      <c r="F1354" s="12" t="str">
        <f>IFERROR(VLOOKUP(B1354,'INSUMOS  JULIO'!$B$6:$CJ$109,42,0),"")</f>
        <v>0</v>
      </c>
      <c r="G1354" s="8">
        <f>IFERROR(VLOOKUP($B1354,'INSUMOS  JULIO'!$B$6:$CJ$109,43,0),"")</f>
        <v>18796.084000000003</v>
      </c>
      <c r="H1354" s="19">
        <f t="shared" si="84"/>
        <v>0</v>
      </c>
      <c r="I1354" s="1">
        <f t="shared" si="85"/>
        <v>0</v>
      </c>
      <c r="J1354" s="1">
        <f t="shared" si="86"/>
        <v>0</v>
      </c>
      <c r="K1354" s="19">
        <f t="shared" si="87"/>
        <v>0</v>
      </c>
    </row>
    <row r="1355" spans="1:11" ht="15">
      <c r="A1355" s="3">
        <v>2136</v>
      </c>
      <c r="B1355" s="151">
        <v>260</v>
      </c>
      <c r="C1355" s="7" t="s">
        <v>160</v>
      </c>
      <c r="D1355" s="4" t="s">
        <v>643</v>
      </c>
      <c r="E1355" t="s">
        <v>485</v>
      </c>
      <c r="F1355" s="12" t="str">
        <f>IFERROR(VLOOKUP(B1355,'INSUMOS  JULIO'!$B$6:$CJ$109,42,0),"")</f>
        <v>0</v>
      </c>
      <c r="G1355" s="8">
        <f>IFERROR(VLOOKUP($B1355,'INSUMOS  JULIO'!$B$6:$CJ$109,43,0),"")</f>
        <v>3417.8520000000008</v>
      </c>
      <c r="H1355" s="19">
        <f t="shared" si="84"/>
        <v>0</v>
      </c>
      <c r="I1355" s="1">
        <f t="shared" si="85"/>
        <v>0</v>
      </c>
      <c r="J1355" s="1">
        <f t="shared" si="86"/>
        <v>0</v>
      </c>
      <c r="K1355" s="19">
        <f t="shared" si="87"/>
        <v>0</v>
      </c>
    </row>
    <row r="1356" spans="1:11" ht="15">
      <c r="A1356" s="3">
        <v>2137</v>
      </c>
      <c r="B1356" s="151">
        <v>291</v>
      </c>
      <c r="C1356" s="7" t="s">
        <v>60</v>
      </c>
      <c r="D1356" s="4" t="s">
        <v>644</v>
      </c>
      <c r="E1356" t="s">
        <v>485</v>
      </c>
      <c r="F1356" s="12" t="str">
        <f>IFERROR(VLOOKUP(B1356,'INSUMOS  JULIO'!$B$6:$CJ$109,42,0),"")</f>
        <v>0</v>
      </c>
      <c r="G1356" s="8">
        <f>IFERROR(VLOOKUP($B1356,'INSUMOS  JULIO'!$B$6:$CJ$109,43,0),"")</f>
        <v>20454.562000000005</v>
      </c>
      <c r="H1356" s="19">
        <f t="shared" si="84"/>
        <v>0</v>
      </c>
      <c r="I1356" s="1">
        <f t="shared" si="85"/>
        <v>0</v>
      </c>
      <c r="J1356" s="1">
        <f t="shared" si="86"/>
        <v>0</v>
      </c>
      <c r="K1356" s="19">
        <f t="shared" si="87"/>
        <v>0</v>
      </c>
    </row>
    <row r="1357" spans="1:11" ht="15">
      <c r="A1357" s="3">
        <v>2138</v>
      </c>
      <c r="B1357" s="151">
        <v>3</v>
      </c>
      <c r="C1357" s="7" t="s">
        <v>155</v>
      </c>
      <c r="D1357" s="4" t="s">
        <v>5</v>
      </c>
      <c r="E1357" t="s">
        <v>486</v>
      </c>
      <c r="F1357" s="12" t="str">
        <f>IFERROR(VLOOKUP($B1357,'INSUMOS  JULIO'!$B$6:$CJ$109,45,0),"")</f>
        <v>0</v>
      </c>
      <c r="G1357" s="8">
        <f>IFERROR(VLOOKUP($B1357,'INSUMOS  JULIO'!$B$6:$CJ$109,46,0),"")</f>
        <v>14727.663</v>
      </c>
      <c r="H1357" s="19">
        <f t="shared" si="84"/>
        <v>0</v>
      </c>
      <c r="I1357" s="1">
        <f t="shared" si="85"/>
        <v>0</v>
      </c>
      <c r="J1357" s="1">
        <f t="shared" si="86"/>
        <v>0</v>
      </c>
      <c r="K1357" s="19">
        <f t="shared" si="87"/>
        <v>0</v>
      </c>
    </row>
    <row r="1358" spans="1:11" ht="15">
      <c r="A1358" s="3">
        <v>2139</v>
      </c>
      <c r="B1358" s="151">
        <v>5</v>
      </c>
      <c r="C1358" s="7" t="s">
        <v>6</v>
      </c>
      <c r="D1358" s="4" t="s">
        <v>7</v>
      </c>
      <c r="E1358" t="s">
        <v>486</v>
      </c>
      <c r="F1358" s="12" t="str">
        <f>IFERROR(VLOOKUP(B1358,'INSUMOS  JULIO'!$B$6:$CJ$109,45,0),"")</f>
        <v>0</v>
      </c>
      <c r="G1358" s="8">
        <f>IFERROR(VLOOKUP($B1358,'INSUMOS  JULIO'!$B$6:$CJ$109,46,0),"")</f>
        <v>10001.000700000001</v>
      </c>
      <c r="H1358" s="19">
        <f t="shared" si="84"/>
        <v>0</v>
      </c>
      <c r="I1358" s="1">
        <f t="shared" si="85"/>
        <v>0</v>
      </c>
      <c r="J1358" s="1">
        <f t="shared" si="86"/>
        <v>0</v>
      </c>
      <c r="K1358" s="19">
        <f t="shared" si="87"/>
        <v>0</v>
      </c>
    </row>
    <row r="1359" spans="1:11" ht="15">
      <c r="A1359" s="3">
        <v>2140</v>
      </c>
      <c r="B1359" s="151">
        <v>8</v>
      </c>
      <c r="C1359" s="7" t="s">
        <v>6</v>
      </c>
      <c r="D1359" s="4" t="s">
        <v>8</v>
      </c>
      <c r="E1359" t="s">
        <v>486</v>
      </c>
      <c r="F1359" s="12">
        <f>IFERROR(VLOOKUP(B1359,'INSUMOS  JULIO'!$B$6:$CJ$109,45,0),"")</f>
        <v>0</v>
      </c>
      <c r="G1359" s="8">
        <f>IFERROR(VLOOKUP($B1359,'INSUMOS  JULIO'!$B$6:$CJ$109,46,0),"")</f>
        <v>2211.3040000000001</v>
      </c>
      <c r="H1359" s="19">
        <f t="shared" si="84"/>
        <v>0</v>
      </c>
      <c r="I1359" s="1">
        <f t="shared" si="85"/>
        <v>0</v>
      </c>
      <c r="J1359" s="1">
        <f t="shared" si="86"/>
        <v>0</v>
      </c>
      <c r="K1359" s="19">
        <f t="shared" si="87"/>
        <v>0</v>
      </c>
    </row>
    <row r="1360" spans="1:11" ht="15">
      <c r="A1360" s="3">
        <v>2141</v>
      </c>
      <c r="B1360" s="151">
        <v>9</v>
      </c>
      <c r="C1360" s="7" t="s">
        <v>9</v>
      </c>
      <c r="D1360" s="4" t="s">
        <v>10</v>
      </c>
      <c r="E1360" t="s">
        <v>486</v>
      </c>
      <c r="F1360" s="12">
        <f>IFERROR(VLOOKUP(B1360,'INSUMOS  JULIO'!$B$6:$CJ$109,45,0),"")</f>
        <v>2</v>
      </c>
      <c r="G1360" s="8">
        <f>IFERROR(VLOOKUP($B1360,'INSUMOS  JULIO'!$B$6:$CJ$109,46,0),"")</f>
        <v>3298.0379999999996</v>
      </c>
      <c r="H1360" s="19">
        <f t="shared" si="84"/>
        <v>6596.0759999999991</v>
      </c>
      <c r="I1360" s="1">
        <f t="shared" si="85"/>
        <v>659.60759999999993</v>
      </c>
      <c r="J1360" s="1">
        <f t="shared" si="86"/>
        <v>125.32544399999999</v>
      </c>
      <c r="K1360" s="19">
        <f t="shared" si="87"/>
        <v>7381.0090439999994</v>
      </c>
    </row>
    <row r="1361" spans="1:11" ht="15">
      <c r="A1361" s="3">
        <v>2142</v>
      </c>
      <c r="B1361" s="151">
        <v>11</v>
      </c>
      <c r="C1361" s="7" t="s">
        <v>156</v>
      </c>
      <c r="D1361" s="4" t="s">
        <v>11</v>
      </c>
      <c r="E1361" t="s">
        <v>486</v>
      </c>
      <c r="F1361" s="12" t="str">
        <f>IFERROR(VLOOKUP(B1361,'INSUMOS  JULIO'!$B$6:$CJ$109,45,0),"")</f>
        <v>0</v>
      </c>
      <c r="G1361" s="8">
        <f>IFERROR(VLOOKUP($B1361,'INSUMOS  JULIO'!$B$6:$CJ$109,46,0),"")</f>
        <v>96324.780599999998</v>
      </c>
      <c r="H1361" s="19">
        <f t="shared" si="84"/>
        <v>0</v>
      </c>
      <c r="I1361" s="1">
        <f t="shared" si="85"/>
        <v>0</v>
      </c>
      <c r="J1361" s="1">
        <f t="shared" si="86"/>
        <v>0</v>
      </c>
      <c r="K1361" s="19">
        <f t="shared" si="87"/>
        <v>0</v>
      </c>
    </row>
    <row r="1362" spans="1:11" ht="15">
      <c r="A1362" s="3">
        <v>2143</v>
      </c>
      <c r="B1362" s="151">
        <v>13</v>
      </c>
      <c r="C1362" s="7" t="s">
        <v>157</v>
      </c>
      <c r="D1362" s="4" t="s">
        <v>12</v>
      </c>
      <c r="E1362" t="s">
        <v>486</v>
      </c>
      <c r="F1362" s="12">
        <f>IFERROR(VLOOKUP(B1362,'INSUMOS  JULIO'!$B$6:$CJ$109,45,0),"")</f>
        <v>0</v>
      </c>
      <c r="G1362" s="8">
        <f>IFERROR(VLOOKUP($B1362,'INSUMOS  JULIO'!$B$6:$CJ$109,46,0),"")</f>
        <v>6507.7919999999995</v>
      </c>
      <c r="H1362" s="19">
        <f t="shared" si="84"/>
        <v>0</v>
      </c>
      <c r="I1362" s="1">
        <f t="shared" si="85"/>
        <v>0</v>
      </c>
      <c r="J1362" s="1">
        <f t="shared" si="86"/>
        <v>0</v>
      </c>
      <c r="K1362" s="19">
        <f t="shared" si="87"/>
        <v>0</v>
      </c>
    </row>
    <row r="1363" spans="1:11" ht="15">
      <c r="A1363" s="3">
        <v>2144</v>
      </c>
      <c r="B1363" s="151">
        <v>17</v>
      </c>
      <c r="C1363" s="7" t="s">
        <v>13</v>
      </c>
      <c r="D1363" s="4" t="s">
        <v>14</v>
      </c>
      <c r="E1363" t="s">
        <v>486</v>
      </c>
      <c r="F1363" s="12">
        <f>IFERROR(VLOOKUP(B1363,'INSUMOS  JULIO'!$B$6:$CJ$109,45,0),"")</f>
        <v>0</v>
      </c>
      <c r="G1363" s="8">
        <f>IFERROR(VLOOKUP($B1363,'INSUMOS  JULIO'!$B$6:$CJ$109,46,0),"")</f>
        <v>5647.0229999999992</v>
      </c>
      <c r="H1363" s="19">
        <f t="shared" si="84"/>
        <v>0</v>
      </c>
      <c r="I1363" s="1">
        <f t="shared" si="85"/>
        <v>0</v>
      </c>
      <c r="J1363" s="1">
        <f t="shared" si="86"/>
        <v>0</v>
      </c>
      <c r="K1363" s="19">
        <f t="shared" si="87"/>
        <v>0</v>
      </c>
    </row>
    <row r="1364" spans="1:11" ht="15">
      <c r="A1364" s="3">
        <v>2145</v>
      </c>
      <c r="B1364" s="151">
        <v>20</v>
      </c>
      <c r="C1364" s="7" t="s">
        <v>13</v>
      </c>
      <c r="D1364" s="4" t="s">
        <v>15</v>
      </c>
      <c r="E1364" t="s">
        <v>486</v>
      </c>
      <c r="F1364" s="12">
        <f>IFERROR(VLOOKUP(B1364,'INSUMOS  JULIO'!$B$6:$CJ$109,45,0),"")</f>
        <v>0</v>
      </c>
      <c r="G1364" s="8">
        <f>IFERROR(VLOOKUP($B1364,'INSUMOS  JULIO'!$B$6:$CJ$109,46,0),"")</f>
        <v>9851.5485000000008</v>
      </c>
      <c r="H1364" s="19">
        <f t="shared" si="84"/>
        <v>0</v>
      </c>
      <c r="I1364" s="1">
        <f t="shared" si="85"/>
        <v>0</v>
      </c>
      <c r="J1364" s="1">
        <f t="shared" si="86"/>
        <v>0</v>
      </c>
      <c r="K1364" s="19">
        <f t="shared" si="87"/>
        <v>0</v>
      </c>
    </row>
    <row r="1365" spans="1:11" ht="15">
      <c r="A1365" s="3">
        <v>2198</v>
      </c>
      <c r="B1365" s="151">
        <v>21</v>
      </c>
      <c r="C1365" s="7" t="s">
        <v>16</v>
      </c>
      <c r="D1365" s="4" t="s">
        <v>17</v>
      </c>
      <c r="E1365" t="s">
        <v>486</v>
      </c>
      <c r="F1365" s="12">
        <f>IFERROR(VLOOKUP(B1365,'INSUMOS  JULIO'!$B$6:$CJ$109,45,0),"")</f>
        <v>0</v>
      </c>
      <c r="G1365" s="8">
        <f>IFERROR(VLOOKUP($B1365,'INSUMOS  JULIO'!$B$6:$CJ$109,46,0),"")</f>
        <v>10945.9548</v>
      </c>
      <c r="H1365" s="19">
        <f t="shared" si="84"/>
        <v>0</v>
      </c>
      <c r="I1365" s="1">
        <f t="shared" si="85"/>
        <v>0</v>
      </c>
      <c r="J1365" s="1">
        <f t="shared" si="86"/>
        <v>0</v>
      </c>
      <c r="K1365" s="19">
        <f t="shared" si="87"/>
        <v>0</v>
      </c>
    </row>
    <row r="1366" spans="1:11" ht="15">
      <c r="A1366" s="3">
        <v>2199</v>
      </c>
      <c r="B1366" s="151">
        <v>28</v>
      </c>
      <c r="C1366" s="7" t="s">
        <v>18</v>
      </c>
      <c r="D1366" s="4" t="s">
        <v>19</v>
      </c>
      <c r="E1366" t="s">
        <v>486</v>
      </c>
      <c r="F1366" s="12">
        <f>IFERROR(VLOOKUP(B1366,'INSUMOS  JULIO'!$B$6:$CJ$109,45,0),"")</f>
        <v>0</v>
      </c>
      <c r="G1366" s="8">
        <f>IFERROR(VLOOKUP($B1366,'INSUMOS  JULIO'!$B$6:$CJ$109,46,0),"")</f>
        <v>2764.13</v>
      </c>
      <c r="H1366" s="19">
        <f t="shared" si="84"/>
        <v>0</v>
      </c>
      <c r="I1366" s="1">
        <f t="shared" si="85"/>
        <v>0</v>
      </c>
      <c r="J1366" s="1">
        <f t="shared" si="86"/>
        <v>0</v>
      </c>
      <c r="K1366" s="19">
        <f t="shared" si="87"/>
        <v>0</v>
      </c>
    </row>
    <row r="1367" spans="1:11" ht="15">
      <c r="A1367" s="3">
        <v>2200</v>
      </c>
      <c r="B1367" s="151">
        <v>29</v>
      </c>
      <c r="C1367" s="7" t="s">
        <v>20</v>
      </c>
      <c r="D1367" s="4" t="s">
        <v>21</v>
      </c>
      <c r="E1367" t="s">
        <v>486</v>
      </c>
      <c r="F1367" s="12" t="str">
        <f>IFERROR(VLOOKUP(B1367,'INSUMOS  JULIO'!$B$6:$CJ$109,45,0),"")</f>
        <v>0</v>
      </c>
      <c r="G1367" s="8">
        <f>IFERROR(VLOOKUP($B1367,'INSUMOS  JULIO'!$B$6:$CJ$109,46,0),"")</f>
        <v>7562.4705000000004</v>
      </c>
      <c r="H1367" s="19">
        <f t="shared" si="84"/>
        <v>0</v>
      </c>
      <c r="I1367" s="1">
        <f t="shared" si="85"/>
        <v>0</v>
      </c>
      <c r="J1367" s="1">
        <f t="shared" si="86"/>
        <v>0</v>
      </c>
      <c r="K1367" s="19">
        <f t="shared" si="87"/>
        <v>0</v>
      </c>
    </row>
    <row r="1368" spans="1:11" ht="15">
      <c r="A1368" s="3">
        <v>2201</v>
      </c>
      <c r="B1368" s="151">
        <v>32</v>
      </c>
      <c r="C1368" s="7" t="s">
        <v>22</v>
      </c>
      <c r="D1368" s="4" t="s">
        <v>23</v>
      </c>
      <c r="E1368" t="s">
        <v>486</v>
      </c>
      <c r="F1368" s="12">
        <f>IFERROR(VLOOKUP(B1368,'INSUMOS  JULIO'!$B$6:$CJ$109,45,0),"")</f>
        <v>0</v>
      </c>
      <c r="G1368" s="8">
        <f>IFERROR(VLOOKUP($B1368,'INSUMOS  JULIO'!$B$6:$CJ$109,46,0),"")</f>
        <v>4115.7160000000003</v>
      </c>
      <c r="H1368" s="19">
        <f t="shared" si="84"/>
        <v>0</v>
      </c>
      <c r="I1368" s="1">
        <f t="shared" si="85"/>
        <v>0</v>
      </c>
      <c r="J1368" s="1">
        <f t="shared" si="86"/>
        <v>0</v>
      </c>
      <c r="K1368" s="19">
        <f t="shared" si="87"/>
        <v>0</v>
      </c>
    </row>
    <row r="1369" spans="1:11" ht="15">
      <c r="A1369" s="3">
        <v>2202</v>
      </c>
      <c r="B1369" s="151">
        <v>38</v>
      </c>
      <c r="C1369" s="7" t="s">
        <v>18</v>
      </c>
      <c r="D1369" s="4" t="s">
        <v>24</v>
      </c>
      <c r="E1369" t="s">
        <v>486</v>
      </c>
      <c r="F1369" s="12" t="str">
        <f>IFERROR(VLOOKUP(B1369,'INSUMOS  JULIO'!$B$6:$CJ$109,45,0),"")</f>
        <v>0</v>
      </c>
      <c r="G1369" s="8">
        <f>IFERROR(VLOOKUP($B1369,'INSUMOS  JULIO'!$B$6:$CJ$109,46,0),"")</f>
        <v>15622.484399999999</v>
      </c>
      <c r="H1369" s="19">
        <f t="shared" si="84"/>
        <v>0</v>
      </c>
      <c r="I1369" s="1">
        <f t="shared" si="85"/>
        <v>0</v>
      </c>
      <c r="J1369" s="1">
        <f t="shared" si="86"/>
        <v>0</v>
      </c>
      <c r="K1369" s="19">
        <f t="shared" si="87"/>
        <v>0</v>
      </c>
    </row>
    <row r="1370" spans="1:11" ht="15">
      <c r="A1370" s="3">
        <v>2203</v>
      </c>
      <c r="B1370" s="151">
        <v>41</v>
      </c>
      <c r="C1370" s="7" t="s">
        <v>155</v>
      </c>
      <c r="D1370" s="4" t="s">
        <v>25</v>
      </c>
      <c r="E1370" t="s">
        <v>486</v>
      </c>
      <c r="F1370" s="12" t="str">
        <f>IFERROR(VLOOKUP(B1370,'INSUMOS  JULIO'!$B$6:$CJ$109,45,0),"")</f>
        <v>0</v>
      </c>
      <c r="G1370" s="8">
        <f>IFERROR(VLOOKUP($B1370,'INSUMOS  JULIO'!$B$6:$CJ$109,46,0),"")</f>
        <v>12537.904499999999</v>
      </c>
      <c r="H1370" s="19">
        <f t="shared" si="84"/>
        <v>0</v>
      </c>
      <c r="I1370" s="1">
        <f t="shared" si="85"/>
        <v>0</v>
      </c>
      <c r="J1370" s="1">
        <f t="shared" si="86"/>
        <v>0</v>
      </c>
      <c r="K1370" s="19">
        <f t="shared" si="87"/>
        <v>0</v>
      </c>
    </row>
    <row r="1371" spans="1:11" ht="15">
      <c r="A1371" s="3">
        <v>2204</v>
      </c>
      <c r="B1371" s="151">
        <v>44</v>
      </c>
      <c r="C1371" s="7" t="s">
        <v>16</v>
      </c>
      <c r="D1371" s="4" t="s">
        <v>26</v>
      </c>
      <c r="E1371" t="s">
        <v>486</v>
      </c>
      <c r="F1371" s="12">
        <f>IFERROR(VLOOKUP(B1371,'INSUMOS  JULIO'!$B$6:$CJ$109,45,0),"")</f>
        <v>0</v>
      </c>
      <c r="G1371" s="8">
        <f>IFERROR(VLOOKUP($B1371,'INSUMOS  JULIO'!$B$6:$CJ$109,46,0),"")</f>
        <v>5373.6579000000002</v>
      </c>
      <c r="H1371" s="19">
        <f t="shared" si="84"/>
        <v>0</v>
      </c>
      <c r="I1371" s="1">
        <f t="shared" si="85"/>
        <v>0</v>
      </c>
      <c r="J1371" s="1">
        <f t="shared" si="86"/>
        <v>0</v>
      </c>
      <c r="K1371" s="19">
        <f t="shared" si="87"/>
        <v>0</v>
      </c>
    </row>
    <row r="1372" spans="1:11" ht="15">
      <c r="A1372" s="3">
        <v>2205</v>
      </c>
      <c r="B1372" s="151">
        <v>46</v>
      </c>
      <c r="C1372" s="7" t="s">
        <v>27</v>
      </c>
      <c r="D1372" s="4" t="s">
        <v>28</v>
      </c>
      <c r="E1372" t="s">
        <v>486</v>
      </c>
      <c r="F1372" s="12" t="str">
        <f>IFERROR(VLOOKUP(B1372,'INSUMOS  JULIO'!$B$6:$CJ$109,45,0),"")</f>
        <v>0</v>
      </c>
      <c r="G1372" s="8">
        <f>IFERROR(VLOOKUP($B1372,'INSUMOS  JULIO'!$B$6:$CJ$109,46,0),"")</f>
        <v>26568.439200000001</v>
      </c>
      <c r="H1372" s="19">
        <f t="shared" si="84"/>
        <v>0</v>
      </c>
      <c r="I1372" s="1">
        <f t="shared" si="85"/>
        <v>0</v>
      </c>
      <c r="J1372" s="1">
        <f t="shared" si="86"/>
        <v>0</v>
      </c>
      <c r="K1372" s="19">
        <f t="shared" si="87"/>
        <v>0</v>
      </c>
    </row>
    <row r="1373" spans="1:11" ht="15">
      <c r="A1373" s="3">
        <v>2206</v>
      </c>
      <c r="B1373" s="151">
        <v>50</v>
      </c>
      <c r="C1373" s="7" t="s">
        <v>13</v>
      </c>
      <c r="D1373" s="4" t="s">
        <v>29</v>
      </c>
      <c r="E1373" t="s">
        <v>486</v>
      </c>
      <c r="F1373" s="12">
        <f>IFERROR(VLOOKUP(B1373,'INSUMOS  JULIO'!$B$6:$CJ$109,45,0),"")</f>
        <v>0</v>
      </c>
      <c r="G1373" s="8">
        <f>IFERROR(VLOOKUP($B1373,'INSUMOS  JULIO'!$B$6:$CJ$109,46,0),"")</f>
        <v>48162.390299999999</v>
      </c>
      <c r="H1373" s="19">
        <f t="shared" si="84"/>
        <v>0</v>
      </c>
      <c r="I1373" s="1">
        <f t="shared" si="85"/>
        <v>0</v>
      </c>
      <c r="J1373" s="1">
        <f t="shared" si="86"/>
        <v>0</v>
      </c>
      <c r="K1373" s="19">
        <f t="shared" si="87"/>
        <v>0</v>
      </c>
    </row>
    <row r="1374" spans="1:11" ht="15">
      <c r="A1374" s="3">
        <v>2207</v>
      </c>
      <c r="B1374" s="151">
        <v>51</v>
      </c>
      <c r="C1374" s="7" t="s">
        <v>13</v>
      </c>
      <c r="D1374" s="4" t="s">
        <v>30</v>
      </c>
      <c r="E1374" t="s">
        <v>486</v>
      </c>
      <c r="F1374" s="12" t="str">
        <f>IFERROR(VLOOKUP(B1374,'INSUMOS  JULIO'!$B$6:$CJ$109,45,0),"")</f>
        <v>0</v>
      </c>
      <c r="G1374" s="8">
        <f>IFERROR(VLOOKUP($B1374,'INSUMOS  JULIO'!$B$6:$CJ$109,46,0),"")</f>
        <v>22488.772499999999</v>
      </c>
      <c r="H1374" s="19">
        <f t="shared" si="84"/>
        <v>0</v>
      </c>
      <c r="I1374" s="1">
        <f t="shared" si="85"/>
        <v>0</v>
      </c>
      <c r="J1374" s="1">
        <f t="shared" si="86"/>
        <v>0</v>
      </c>
      <c r="K1374" s="19">
        <f t="shared" si="87"/>
        <v>0</v>
      </c>
    </row>
    <row r="1375" spans="1:11" ht="15">
      <c r="A1375" s="3">
        <v>2208</v>
      </c>
      <c r="B1375" s="151">
        <v>52</v>
      </c>
      <c r="C1375" s="7" t="s">
        <v>13</v>
      </c>
      <c r="D1375" s="4" t="s">
        <v>31</v>
      </c>
      <c r="E1375" t="s">
        <v>486</v>
      </c>
      <c r="F1375" s="12">
        <f>IFERROR(VLOOKUP(B1375,'INSUMOS  JULIO'!$B$6:$CJ$109,45,0),"")</f>
        <v>0</v>
      </c>
      <c r="G1375" s="8">
        <f>IFERROR(VLOOKUP($B1375,'INSUMOS  JULIO'!$B$6:$CJ$109,46,0),"")</f>
        <v>6412.1509999999998</v>
      </c>
      <c r="H1375" s="19">
        <f t="shared" si="84"/>
        <v>0</v>
      </c>
      <c r="I1375" s="1">
        <f t="shared" si="85"/>
        <v>0</v>
      </c>
      <c r="J1375" s="1">
        <f t="shared" si="86"/>
        <v>0</v>
      </c>
      <c r="K1375" s="19">
        <f t="shared" si="87"/>
        <v>0</v>
      </c>
    </row>
    <row r="1376" spans="1:11" ht="15">
      <c r="A1376" s="3">
        <v>2209</v>
      </c>
      <c r="B1376" s="151">
        <v>54</v>
      </c>
      <c r="C1376" s="7" t="s">
        <v>13</v>
      </c>
      <c r="D1376" s="4" t="s">
        <v>32</v>
      </c>
      <c r="E1376" t="s">
        <v>486</v>
      </c>
      <c r="F1376" s="12">
        <f>IFERROR(VLOOKUP(B1376,'INSUMOS  JULIO'!$B$6:$CJ$109,45,0),"")</f>
        <v>0</v>
      </c>
      <c r="G1376" s="8">
        <f>IFERROR(VLOOKUP($B1376,'INSUMOS  JULIO'!$B$6:$CJ$109,46,0),"")</f>
        <v>10149.507</v>
      </c>
      <c r="H1376" s="19">
        <f t="shared" si="84"/>
        <v>0</v>
      </c>
      <c r="I1376" s="1">
        <f t="shared" si="85"/>
        <v>0</v>
      </c>
      <c r="J1376" s="1">
        <f t="shared" si="86"/>
        <v>0</v>
      </c>
      <c r="K1376" s="19">
        <f t="shared" si="87"/>
        <v>0</v>
      </c>
    </row>
    <row r="1377" spans="1:11" ht="15">
      <c r="A1377" s="3">
        <v>2210</v>
      </c>
      <c r="B1377" s="151">
        <v>57</v>
      </c>
      <c r="C1377" s="7" t="s">
        <v>33</v>
      </c>
      <c r="D1377" s="4" t="s">
        <v>34</v>
      </c>
      <c r="E1377" t="s">
        <v>486</v>
      </c>
      <c r="F1377" s="12">
        <f>IFERROR(VLOOKUP(B1377,'INSUMOS  JULIO'!$B$6:$CJ$109,45,0),"")</f>
        <v>0</v>
      </c>
      <c r="G1377" s="8">
        <f>IFERROR(VLOOKUP($B1377,'INSUMOS  JULIO'!$B$6:$CJ$109,46,0),"")</f>
        <v>27464.2065</v>
      </c>
      <c r="H1377" s="19">
        <f t="shared" si="84"/>
        <v>0</v>
      </c>
      <c r="I1377" s="1">
        <f t="shared" si="85"/>
        <v>0</v>
      </c>
      <c r="J1377" s="1">
        <f t="shared" si="86"/>
        <v>0</v>
      </c>
      <c r="K1377" s="19">
        <f t="shared" si="87"/>
        <v>0</v>
      </c>
    </row>
    <row r="1378" spans="1:11" ht="15">
      <c r="A1378" s="3">
        <v>2211</v>
      </c>
      <c r="B1378" s="151">
        <v>59</v>
      </c>
      <c r="C1378" s="7" t="s">
        <v>16</v>
      </c>
      <c r="D1378" s="4" t="s">
        <v>35</v>
      </c>
      <c r="E1378" t="s">
        <v>486</v>
      </c>
      <c r="F1378" s="12" t="str">
        <f>IFERROR(VLOOKUP(B1378,'INSUMOS  JULIO'!$B$6:$CJ$109,45,0),"")</f>
        <v>0</v>
      </c>
      <c r="G1378" s="8">
        <f>IFERROR(VLOOKUP($B1378,'INSUMOS  JULIO'!$B$6:$CJ$109,46,0),"")</f>
        <v>13931.215200000001</v>
      </c>
      <c r="H1378" s="19">
        <f t="shared" si="84"/>
        <v>0</v>
      </c>
      <c r="I1378" s="1">
        <f t="shared" si="85"/>
        <v>0</v>
      </c>
      <c r="J1378" s="1">
        <f t="shared" si="86"/>
        <v>0</v>
      </c>
      <c r="K1378" s="19">
        <f t="shared" si="87"/>
        <v>0</v>
      </c>
    </row>
    <row r="1379" spans="1:11" ht="15">
      <c r="A1379" s="3">
        <v>2212</v>
      </c>
      <c r="B1379" s="151">
        <v>62</v>
      </c>
      <c r="C1379" s="7" t="s">
        <v>36</v>
      </c>
      <c r="D1379" s="4" t="s">
        <v>37</v>
      </c>
      <c r="E1379" t="s">
        <v>486</v>
      </c>
      <c r="F1379" s="12">
        <f>IFERROR(VLOOKUP(B1379,'INSUMOS  JULIO'!$B$6:$CJ$109,45,0),"")</f>
        <v>2</v>
      </c>
      <c r="G1379" s="8">
        <f>IFERROR(VLOOKUP($B1379,'INSUMOS  JULIO'!$B$6:$CJ$109,46,0),"")</f>
        <v>10100.3202</v>
      </c>
      <c r="H1379" s="19">
        <f t="shared" si="84"/>
        <v>20200.6404</v>
      </c>
      <c r="I1379" s="1">
        <f t="shared" si="85"/>
        <v>2020.0640400000002</v>
      </c>
      <c r="J1379" s="1">
        <f t="shared" si="86"/>
        <v>383.81216760000007</v>
      </c>
      <c r="K1379" s="19">
        <f t="shared" si="87"/>
        <v>22604.516607600002</v>
      </c>
    </row>
    <row r="1380" spans="1:11" ht="15">
      <c r="A1380" s="3">
        <v>2213</v>
      </c>
      <c r="B1380" s="151">
        <v>63</v>
      </c>
      <c r="C1380" s="7" t="s">
        <v>36</v>
      </c>
      <c r="D1380" s="4" t="s">
        <v>38</v>
      </c>
      <c r="E1380" t="s">
        <v>486</v>
      </c>
      <c r="F1380" s="12">
        <f>IFERROR(VLOOKUP(B1380,'INSUMOS  JULIO'!$B$6:$CJ$109,45,0),"")</f>
        <v>3</v>
      </c>
      <c r="G1380" s="8">
        <f>IFERROR(VLOOKUP($B1380,'INSUMOS  JULIO'!$B$6:$CJ$109,46,0),"")</f>
        <v>8292.39</v>
      </c>
      <c r="H1380" s="19">
        <f t="shared" si="84"/>
        <v>24877.17</v>
      </c>
      <c r="I1380" s="1">
        <f t="shared" si="85"/>
        <v>2487.7170000000001</v>
      </c>
      <c r="J1380" s="1">
        <f t="shared" si="86"/>
        <v>472.66623000000004</v>
      </c>
      <c r="K1380" s="19">
        <f t="shared" si="87"/>
        <v>27837.553229999998</v>
      </c>
    </row>
    <row r="1381" spans="1:11" ht="15">
      <c r="A1381" s="3">
        <v>2214</v>
      </c>
      <c r="B1381" s="151">
        <v>64</v>
      </c>
      <c r="C1381" s="7" t="s">
        <v>39</v>
      </c>
      <c r="D1381" s="4" t="s">
        <v>40</v>
      </c>
      <c r="E1381" t="s">
        <v>486</v>
      </c>
      <c r="F1381" s="12">
        <f>IFERROR(VLOOKUP(B1381,'INSUMOS  JULIO'!$B$6:$CJ$109,45,0),"")</f>
        <v>2</v>
      </c>
      <c r="G1381" s="8">
        <f>IFERROR(VLOOKUP($B1381,'INSUMOS  JULIO'!$B$6:$CJ$109,46,0),"")</f>
        <v>13820.650000000001</v>
      </c>
      <c r="H1381" s="19">
        <f t="shared" si="84"/>
        <v>27641.300000000003</v>
      </c>
      <c r="I1381" s="1">
        <f t="shared" si="85"/>
        <v>2764.1300000000006</v>
      </c>
      <c r="J1381" s="1">
        <f t="shared" si="86"/>
        <v>525.18470000000013</v>
      </c>
      <c r="K1381" s="19">
        <f t="shared" si="87"/>
        <v>30930.614700000006</v>
      </c>
    </row>
    <row r="1382" spans="1:11" ht="15">
      <c r="A1382" s="3">
        <v>2215</v>
      </c>
      <c r="B1382" s="151">
        <v>65</v>
      </c>
      <c r="C1382" s="7" t="s">
        <v>39</v>
      </c>
      <c r="D1382" s="4" t="s">
        <v>41</v>
      </c>
      <c r="E1382" t="s">
        <v>486</v>
      </c>
      <c r="F1382" s="12">
        <f>IFERROR(VLOOKUP(B1382,'INSUMOS  JULIO'!$B$6:$CJ$109,45,0),"")</f>
        <v>2</v>
      </c>
      <c r="G1382" s="8">
        <f>IFERROR(VLOOKUP($B1382,'INSUMOS  JULIO'!$B$6:$CJ$109,46,0),"")</f>
        <v>13820.650000000001</v>
      </c>
      <c r="H1382" s="19">
        <f t="shared" si="84"/>
        <v>27641.300000000003</v>
      </c>
      <c r="I1382" s="1">
        <f t="shared" si="85"/>
        <v>2764.1300000000006</v>
      </c>
      <c r="J1382" s="1">
        <f t="shared" si="86"/>
        <v>525.18470000000013</v>
      </c>
      <c r="K1382" s="19">
        <f t="shared" si="87"/>
        <v>30930.614700000006</v>
      </c>
    </row>
    <row r="1383" spans="1:11" ht="15">
      <c r="A1383" s="3">
        <v>2216</v>
      </c>
      <c r="B1383" s="151">
        <v>66</v>
      </c>
      <c r="C1383" s="7" t="s">
        <v>151</v>
      </c>
      <c r="D1383" s="4" t="s">
        <v>42</v>
      </c>
      <c r="E1383" t="s">
        <v>486</v>
      </c>
      <c r="F1383" s="12">
        <f>IFERROR(VLOOKUP(B1383,'INSUMOS  JULIO'!$B$6:$CJ$109,45,0),"")</f>
        <v>0</v>
      </c>
      <c r="G1383" s="8">
        <f>IFERROR(VLOOKUP($B1383,'INSUMOS  JULIO'!$B$6:$CJ$109,46,0),"")</f>
        <v>4178.9862000000003</v>
      </c>
      <c r="H1383" s="19">
        <f t="shared" si="84"/>
        <v>0</v>
      </c>
      <c r="I1383" s="1">
        <f t="shared" si="85"/>
        <v>0</v>
      </c>
      <c r="J1383" s="1">
        <f t="shared" si="86"/>
        <v>0</v>
      </c>
      <c r="K1383" s="19">
        <f t="shared" si="87"/>
        <v>0</v>
      </c>
    </row>
    <row r="1384" spans="1:11" ht="15">
      <c r="A1384" s="3">
        <v>2217</v>
      </c>
      <c r="B1384" s="151">
        <v>71</v>
      </c>
      <c r="C1384" s="7" t="s">
        <v>151</v>
      </c>
      <c r="D1384" s="4" t="s">
        <v>43</v>
      </c>
      <c r="E1384" t="s">
        <v>486</v>
      </c>
      <c r="F1384" s="12" t="str">
        <f>IFERROR(VLOOKUP(B1384,'INSUMOS  JULIO'!$B$6:$CJ$109,45,0),"")</f>
        <v>0</v>
      </c>
      <c r="G1384" s="8">
        <f>IFERROR(VLOOKUP($B1384,'INSUMOS  JULIO'!$B$6:$CJ$109,46,0),"")</f>
        <v>7960.6944000000003</v>
      </c>
      <c r="H1384" s="19">
        <f t="shared" si="84"/>
        <v>0</v>
      </c>
      <c r="I1384" s="1">
        <f t="shared" si="85"/>
        <v>0</v>
      </c>
      <c r="J1384" s="1">
        <f t="shared" si="86"/>
        <v>0</v>
      </c>
      <c r="K1384" s="19">
        <f t="shared" si="87"/>
        <v>0</v>
      </c>
    </row>
    <row r="1385" spans="1:11" ht="15">
      <c r="A1385" s="3">
        <v>2218</v>
      </c>
      <c r="B1385" s="151">
        <v>72</v>
      </c>
      <c r="C1385" s="7" t="s">
        <v>151</v>
      </c>
      <c r="D1385" s="4" t="s">
        <v>44</v>
      </c>
      <c r="E1385" t="s">
        <v>486</v>
      </c>
      <c r="F1385" s="12">
        <f>IFERROR(VLOOKUP(B1385,'INSUMOS  JULIO'!$B$6:$CJ$109,45,0),"")</f>
        <v>0</v>
      </c>
      <c r="G1385" s="8">
        <f>IFERROR(VLOOKUP($B1385,'INSUMOS  JULIO'!$B$6:$CJ$109,46,0),"")</f>
        <v>7861.3749000000007</v>
      </c>
      <c r="H1385" s="19">
        <f t="shared" si="84"/>
        <v>0</v>
      </c>
      <c r="I1385" s="1">
        <f t="shared" si="85"/>
        <v>0</v>
      </c>
      <c r="J1385" s="1">
        <f t="shared" si="86"/>
        <v>0</v>
      </c>
      <c r="K1385" s="19">
        <f t="shared" si="87"/>
        <v>0</v>
      </c>
    </row>
    <row r="1386" spans="1:11" ht="27">
      <c r="A1386" s="3">
        <v>2219</v>
      </c>
      <c r="B1386" s="151">
        <v>73</v>
      </c>
      <c r="C1386" s="7" t="s">
        <v>151</v>
      </c>
      <c r="D1386" s="4" t="s">
        <v>45</v>
      </c>
      <c r="E1386" t="s">
        <v>486</v>
      </c>
      <c r="F1386" s="12">
        <f>IFERROR(VLOOKUP(B1386,'INSUMOS  JULIO'!$B$6:$CJ$109,45,0),"")</f>
        <v>0</v>
      </c>
      <c r="G1386" s="8">
        <f>IFERROR(VLOOKUP($B1386,'INSUMOS  JULIO'!$B$6:$CJ$109,46,0),"")</f>
        <v>21493.685699999998</v>
      </c>
      <c r="H1386" s="19">
        <f t="shared" si="84"/>
        <v>0</v>
      </c>
      <c r="I1386" s="1">
        <f t="shared" si="85"/>
        <v>0</v>
      </c>
      <c r="J1386" s="1">
        <f t="shared" si="86"/>
        <v>0</v>
      </c>
      <c r="K1386" s="19">
        <f t="shared" si="87"/>
        <v>0</v>
      </c>
    </row>
    <row r="1387" spans="1:11" ht="15">
      <c r="A1387" s="3">
        <v>2220</v>
      </c>
      <c r="B1387" s="151">
        <v>74</v>
      </c>
      <c r="C1387" s="7" t="s">
        <v>46</v>
      </c>
      <c r="D1387" s="4" t="s">
        <v>47</v>
      </c>
      <c r="E1387" t="s">
        <v>486</v>
      </c>
      <c r="F1387" s="12">
        <f>IFERROR(VLOOKUP(B1387,'INSUMOS  JULIO'!$B$6:$CJ$109,45,0),"")</f>
        <v>0</v>
      </c>
      <c r="G1387" s="8">
        <f>IFERROR(VLOOKUP($B1387,'INSUMOS  JULIO'!$B$6:$CJ$109,46,0),"")</f>
        <v>6915.4749000000002</v>
      </c>
      <c r="H1387" s="19">
        <f t="shared" si="84"/>
        <v>0</v>
      </c>
      <c r="I1387" s="1">
        <f t="shared" si="85"/>
        <v>0</v>
      </c>
      <c r="J1387" s="1">
        <f t="shared" si="86"/>
        <v>0</v>
      </c>
      <c r="K1387" s="19">
        <f t="shared" si="87"/>
        <v>0</v>
      </c>
    </row>
    <row r="1388" spans="1:11" ht="15">
      <c r="A1388" s="3">
        <v>2221</v>
      </c>
      <c r="B1388" s="151">
        <v>79</v>
      </c>
      <c r="C1388" s="7" t="s">
        <v>159</v>
      </c>
      <c r="D1388" s="4" t="s">
        <v>48</v>
      </c>
      <c r="E1388" t="s">
        <v>486</v>
      </c>
      <c r="F1388" s="12">
        <f>IFERROR(VLOOKUP(B1388,'INSUMOS  JULIO'!$B$6:$CJ$109,45,0),"")</f>
        <v>4</v>
      </c>
      <c r="G1388" s="8">
        <f>IFERROR(VLOOKUP($B1388,'INSUMOS  JULIO'!$B$6:$CJ$109,46,0),"")</f>
        <v>541.2650000000001</v>
      </c>
      <c r="H1388" s="19">
        <f t="shared" si="84"/>
        <v>2165.0600000000004</v>
      </c>
      <c r="I1388" s="1">
        <f t="shared" si="85"/>
        <v>216.50600000000006</v>
      </c>
      <c r="J1388" s="1">
        <f t="shared" si="86"/>
        <v>41.136140000000012</v>
      </c>
      <c r="K1388" s="19">
        <f t="shared" si="87"/>
        <v>2422.7021400000003</v>
      </c>
    </row>
    <row r="1389" spans="1:11" ht="15">
      <c r="A1389" s="3">
        <v>2222</v>
      </c>
      <c r="B1389" s="151">
        <v>80</v>
      </c>
      <c r="C1389" s="7" t="s">
        <v>159</v>
      </c>
      <c r="D1389" s="4" t="s">
        <v>49</v>
      </c>
      <c r="E1389" t="s">
        <v>486</v>
      </c>
      <c r="F1389" s="12">
        <f>IFERROR(VLOOKUP(B1389,'INSUMOS  JULIO'!$B$6:$CJ$109,45,0),"")</f>
        <v>0</v>
      </c>
      <c r="G1389" s="8">
        <f>IFERROR(VLOOKUP($B1389,'INSUMOS  JULIO'!$B$6:$CJ$109,46,0),"")</f>
        <v>607.26779999999997</v>
      </c>
      <c r="H1389" s="19">
        <f t="shared" si="84"/>
        <v>0</v>
      </c>
      <c r="I1389" s="1">
        <f t="shared" si="85"/>
        <v>0</v>
      </c>
      <c r="J1389" s="1">
        <f t="shared" si="86"/>
        <v>0</v>
      </c>
      <c r="K1389" s="19">
        <f t="shared" si="87"/>
        <v>0</v>
      </c>
    </row>
    <row r="1390" spans="1:11" ht="15">
      <c r="A1390" s="3">
        <v>2223</v>
      </c>
      <c r="B1390" s="151">
        <v>81</v>
      </c>
      <c r="C1390" s="7" t="s">
        <v>159</v>
      </c>
      <c r="D1390" s="4" t="s">
        <v>50</v>
      </c>
      <c r="E1390" t="s">
        <v>486</v>
      </c>
      <c r="F1390" s="12">
        <f>IFERROR(VLOOKUP(B1390,'INSUMOS  JULIO'!$B$6:$CJ$109,45,0),"")</f>
        <v>5</v>
      </c>
      <c r="G1390" s="8">
        <f>IFERROR(VLOOKUP($B1390,'INSUMOS  JULIO'!$B$6:$CJ$109,46,0),"")</f>
        <v>211.251</v>
      </c>
      <c r="H1390" s="19">
        <f t="shared" si="84"/>
        <v>1056.2550000000001</v>
      </c>
      <c r="I1390" s="1">
        <f t="shared" si="85"/>
        <v>105.62550000000002</v>
      </c>
      <c r="J1390" s="1">
        <f t="shared" si="86"/>
        <v>20.068845000000003</v>
      </c>
      <c r="K1390" s="19">
        <f t="shared" si="87"/>
        <v>1181.9493450000002</v>
      </c>
    </row>
    <row r="1391" spans="1:11" ht="15">
      <c r="A1391" s="3">
        <v>2224</v>
      </c>
      <c r="B1391" s="151">
        <v>82</v>
      </c>
      <c r="C1391" s="7" t="s">
        <v>159</v>
      </c>
      <c r="D1391" s="4" t="s">
        <v>51</v>
      </c>
      <c r="E1391" t="s">
        <v>486</v>
      </c>
      <c r="F1391" s="12" t="str">
        <f>IFERROR(VLOOKUP(B1391,'INSUMOS  JULIO'!$B$6:$CJ$109,45,0),"")</f>
        <v>0</v>
      </c>
      <c r="G1391" s="8">
        <f>IFERROR(VLOOKUP($B1391,'INSUMOS  JULIO'!$B$6:$CJ$109,46,0),"")</f>
        <v>1959.9048</v>
      </c>
      <c r="H1391" s="19">
        <f t="shared" si="84"/>
        <v>0</v>
      </c>
      <c r="I1391" s="1">
        <f t="shared" si="85"/>
        <v>0</v>
      </c>
      <c r="J1391" s="1">
        <f t="shared" si="86"/>
        <v>0</v>
      </c>
      <c r="K1391" s="19">
        <f t="shared" si="87"/>
        <v>0</v>
      </c>
    </row>
    <row r="1392" spans="1:11" ht="15">
      <c r="A1392" s="3">
        <v>2225</v>
      </c>
      <c r="B1392" s="151">
        <v>83</v>
      </c>
      <c r="C1392" s="7" t="s">
        <v>159</v>
      </c>
      <c r="D1392" s="4" t="s">
        <v>52</v>
      </c>
      <c r="E1392" t="s">
        <v>486</v>
      </c>
      <c r="F1392" s="12" t="str">
        <f>IFERROR(VLOOKUP(B1392,'INSUMOS  JULIO'!$B$6:$CJ$109,45,0),"")</f>
        <v>0</v>
      </c>
      <c r="G1392" s="8">
        <f>IFERROR(VLOOKUP($B1392,'INSUMOS  JULIO'!$B$6:$CJ$109,46,0),"")</f>
        <v>367.95510000000002</v>
      </c>
      <c r="H1392" s="19">
        <f t="shared" si="84"/>
        <v>0</v>
      </c>
      <c r="I1392" s="1">
        <f t="shared" si="85"/>
        <v>0</v>
      </c>
      <c r="J1392" s="1">
        <f t="shared" si="86"/>
        <v>0</v>
      </c>
      <c r="K1392" s="19">
        <f t="shared" si="87"/>
        <v>0</v>
      </c>
    </row>
    <row r="1393" spans="1:11" ht="15">
      <c r="A1393" s="3">
        <v>2226</v>
      </c>
      <c r="B1393" s="151">
        <v>86</v>
      </c>
      <c r="C1393" s="7" t="s">
        <v>53</v>
      </c>
      <c r="D1393" s="4" t="s">
        <v>54</v>
      </c>
      <c r="E1393" t="s">
        <v>486</v>
      </c>
      <c r="F1393" s="12" t="str">
        <f>IFERROR(VLOOKUP(B1393,'INSUMOS  JULIO'!$B$6:$CJ$109,45,0),"")</f>
        <v>0</v>
      </c>
      <c r="G1393" s="8">
        <f>IFERROR(VLOOKUP($B1393,'INSUMOS  JULIO'!$B$6:$CJ$109,46,0),"")</f>
        <v>3830.895</v>
      </c>
      <c r="H1393" s="19">
        <f t="shared" si="84"/>
        <v>0</v>
      </c>
      <c r="I1393" s="1">
        <f t="shared" si="85"/>
        <v>0</v>
      </c>
      <c r="J1393" s="1">
        <f t="shared" si="86"/>
        <v>0</v>
      </c>
      <c r="K1393" s="19">
        <f t="shared" si="87"/>
        <v>0</v>
      </c>
    </row>
    <row r="1394" spans="1:11" ht="15">
      <c r="A1394" s="3">
        <v>2227</v>
      </c>
      <c r="B1394" s="151">
        <v>87</v>
      </c>
      <c r="C1394" s="7" t="s">
        <v>53</v>
      </c>
      <c r="D1394" s="4" t="s">
        <v>55</v>
      </c>
      <c r="E1394" t="s">
        <v>486</v>
      </c>
      <c r="F1394" s="12" t="str">
        <f>IFERROR(VLOOKUP(B1394,'INSUMOS  JULIO'!$B$6:$CJ$109,45,0),"")</f>
        <v>0</v>
      </c>
      <c r="G1394" s="8">
        <f>IFERROR(VLOOKUP($B1394,'INSUMOS  JULIO'!$B$6:$CJ$109,46,0),"")</f>
        <v>3830.895</v>
      </c>
      <c r="H1394" s="19">
        <f t="shared" si="84"/>
        <v>0</v>
      </c>
      <c r="I1394" s="1">
        <f t="shared" si="85"/>
        <v>0</v>
      </c>
      <c r="J1394" s="1">
        <f t="shared" si="86"/>
        <v>0</v>
      </c>
      <c r="K1394" s="19">
        <f t="shared" si="87"/>
        <v>0</v>
      </c>
    </row>
    <row r="1395" spans="1:11" ht="15">
      <c r="A1395" s="3">
        <v>2228</v>
      </c>
      <c r="B1395" s="151">
        <v>88</v>
      </c>
      <c r="C1395" s="7" t="s">
        <v>53</v>
      </c>
      <c r="D1395" s="4" t="s">
        <v>56</v>
      </c>
      <c r="E1395" t="s">
        <v>486</v>
      </c>
      <c r="F1395" s="12">
        <f>IFERROR(VLOOKUP(B1395,'INSUMOS  JULIO'!$B$6:$CJ$109,45,0),"")</f>
        <v>0</v>
      </c>
      <c r="G1395" s="8">
        <f>IFERROR(VLOOKUP($B1395,'INSUMOS  JULIO'!$B$6:$CJ$109,46,0),"")</f>
        <v>4756.9310999999998</v>
      </c>
      <c r="H1395" s="19">
        <f t="shared" si="84"/>
        <v>0</v>
      </c>
      <c r="I1395" s="1">
        <f t="shared" si="85"/>
        <v>0</v>
      </c>
      <c r="J1395" s="1">
        <f t="shared" si="86"/>
        <v>0</v>
      </c>
      <c r="K1395" s="19">
        <f t="shared" si="87"/>
        <v>0</v>
      </c>
    </row>
    <row r="1396" spans="1:11" ht="15">
      <c r="A1396" s="3">
        <v>2229</v>
      </c>
      <c r="B1396" s="151">
        <v>89</v>
      </c>
      <c r="C1396" s="7" t="s">
        <v>53</v>
      </c>
      <c r="D1396" s="4" t="s">
        <v>57</v>
      </c>
      <c r="E1396" t="s">
        <v>486</v>
      </c>
      <c r="F1396" s="12" t="str">
        <f>IFERROR(VLOOKUP(B1396,'INSUMOS  JULIO'!$B$6:$CJ$109,45,0),"")</f>
        <v>0</v>
      </c>
      <c r="G1396" s="8">
        <f>IFERROR(VLOOKUP($B1396,'INSUMOS  JULIO'!$B$6:$CJ$109,46,0),"")</f>
        <v>4756.9310999999998</v>
      </c>
      <c r="H1396" s="19">
        <f t="shared" si="84"/>
        <v>0</v>
      </c>
      <c r="I1396" s="1">
        <f t="shared" si="85"/>
        <v>0</v>
      </c>
      <c r="J1396" s="1">
        <f t="shared" si="86"/>
        <v>0</v>
      </c>
      <c r="K1396" s="19">
        <f t="shared" si="87"/>
        <v>0</v>
      </c>
    </row>
    <row r="1397" spans="1:11" ht="15">
      <c r="A1397" s="3">
        <v>2230</v>
      </c>
      <c r="B1397" s="151">
        <v>91</v>
      </c>
      <c r="C1397" s="7" t="s">
        <v>160</v>
      </c>
      <c r="D1397" s="4" t="s">
        <v>58</v>
      </c>
      <c r="E1397" t="s">
        <v>486</v>
      </c>
      <c r="F1397" s="12" t="str">
        <f>IFERROR(VLOOKUP(B1397,'INSUMOS  JULIO'!$B$6:$CJ$109,45,0),"")</f>
        <v>0</v>
      </c>
      <c r="G1397" s="8">
        <f>IFERROR(VLOOKUP($B1397,'INSUMOS  JULIO'!$B$6:$CJ$109,46,0),"")</f>
        <v>8408.1051000000007</v>
      </c>
      <c r="H1397" s="19">
        <f t="shared" si="84"/>
        <v>0</v>
      </c>
      <c r="I1397" s="1">
        <f t="shared" si="85"/>
        <v>0</v>
      </c>
      <c r="J1397" s="1">
        <f t="shared" si="86"/>
        <v>0</v>
      </c>
      <c r="K1397" s="19">
        <f t="shared" si="87"/>
        <v>0</v>
      </c>
    </row>
    <row r="1398" spans="1:11" ht="15">
      <c r="A1398" s="3">
        <v>2231</v>
      </c>
      <c r="B1398" s="151">
        <v>92</v>
      </c>
      <c r="C1398" s="7" t="s">
        <v>160</v>
      </c>
      <c r="D1398" s="4" t="s">
        <v>59</v>
      </c>
      <c r="E1398" t="s">
        <v>486</v>
      </c>
      <c r="F1398" s="12" t="str">
        <f>IFERROR(VLOOKUP(B1398,'INSUMOS  JULIO'!$B$6:$CJ$109,45,0),"")</f>
        <v>0</v>
      </c>
      <c r="G1398" s="8">
        <f>IFERROR(VLOOKUP($B1398,'INSUMOS  JULIO'!$B$6:$CJ$109,46,0),"")</f>
        <v>3482.8038000000001</v>
      </c>
      <c r="H1398" s="19">
        <f t="shared" si="84"/>
        <v>0</v>
      </c>
      <c r="I1398" s="1">
        <f t="shared" si="85"/>
        <v>0</v>
      </c>
      <c r="J1398" s="1">
        <f t="shared" si="86"/>
        <v>0</v>
      </c>
      <c r="K1398" s="19">
        <f t="shared" si="87"/>
        <v>0</v>
      </c>
    </row>
    <row r="1399" spans="1:11" ht="15">
      <c r="A1399" s="3">
        <v>2232</v>
      </c>
      <c r="B1399" s="151">
        <v>94</v>
      </c>
      <c r="C1399" s="7" t="s">
        <v>60</v>
      </c>
      <c r="D1399" s="4" t="s">
        <v>61</v>
      </c>
      <c r="E1399" t="s">
        <v>486</v>
      </c>
      <c r="F1399" s="12" t="str">
        <f>IFERROR(VLOOKUP(B1399,'INSUMOS  JULIO'!$B$6:$CJ$109,45,0),"")</f>
        <v>0</v>
      </c>
      <c r="G1399" s="8">
        <f>IFERROR(VLOOKUP($B1399,'INSUMOS  JULIO'!$B$6:$CJ$109,46,0),"")</f>
        <v>14826.982499999998</v>
      </c>
      <c r="H1399" s="19">
        <f t="shared" si="84"/>
        <v>0</v>
      </c>
      <c r="I1399" s="1">
        <f t="shared" si="85"/>
        <v>0</v>
      </c>
      <c r="J1399" s="1">
        <f t="shared" si="86"/>
        <v>0</v>
      </c>
      <c r="K1399" s="19">
        <f t="shared" si="87"/>
        <v>0</v>
      </c>
    </row>
    <row r="1400" spans="1:11" ht="15">
      <c r="A1400" s="3">
        <v>2233</v>
      </c>
      <c r="B1400" s="151">
        <v>95</v>
      </c>
      <c r="C1400" s="7" t="s">
        <v>60</v>
      </c>
      <c r="D1400" s="4" t="s">
        <v>62</v>
      </c>
      <c r="E1400" t="s">
        <v>486</v>
      </c>
      <c r="F1400" s="12" t="str">
        <f>IFERROR(VLOOKUP(B1400,'INSUMOS  JULIO'!$B$6:$CJ$109,45,0),"")</f>
        <v>0</v>
      </c>
      <c r="G1400" s="8">
        <f>IFERROR(VLOOKUP($B1400,'INSUMOS  JULIO'!$B$6:$CJ$109,46,0),"")</f>
        <v>25075.808999999997</v>
      </c>
      <c r="H1400" s="19">
        <f t="shared" si="84"/>
        <v>0</v>
      </c>
      <c r="I1400" s="1">
        <f t="shared" si="85"/>
        <v>0</v>
      </c>
      <c r="J1400" s="1">
        <f t="shared" si="86"/>
        <v>0</v>
      </c>
      <c r="K1400" s="19">
        <f t="shared" si="87"/>
        <v>0</v>
      </c>
    </row>
    <row r="1401" spans="1:11" ht="15">
      <c r="A1401" s="3">
        <v>2234</v>
      </c>
      <c r="B1401" s="151">
        <v>98</v>
      </c>
      <c r="C1401" s="7" t="s">
        <v>151</v>
      </c>
      <c r="D1401" s="4" t="s">
        <v>63</v>
      </c>
      <c r="E1401" t="s">
        <v>486</v>
      </c>
      <c r="F1401" s="12">
        <f>IFERROR(VLOOKUP(B1401,'INSUMOS  JULIO'!$B$6:$CJ$109,45,0),"")</f>
        <v>0</v>
      </c>
      <c r="G1401" s="8">
        <f>IFERROR(VLOOKUP($B1401,'INSUMOS  JULIO'!$B$6:$CJ$109,46,0),"")</f>
        <v>9503.4573</v>
      </c>
      <c r="H1401" s="19">
        <f t="shared" si="84"/>
        <v>0</v>
      </c>
      <c r="I1401" s="1">
        <f t="shared" si="85"/>
        <v>0</v>
      </c>
      <c r="J1401" s="1">
        <f t="shared" si="86"/>
        <v>0</v>
      </c>
      <c r="K1401" s="19">
        <f t="shared" si="87"/>
        <v>0</v>
      </c>
    </row>
    <row r="1402" spans="1:11" ht="15">
      <c r="A1402" s="3">
        <v>2235</v>
      </c>
      <c r="B1402" s="151">
        <v>100</v>
      </c>
      <c r="C1402" s="7" t="s">
        <v>160</v>
      </c>
      <c r="D1402" s="4" t="s">
        <v>64</v>
      </c>
      <c r="E1402" t="s">
        <v>486</v>
      </c>
      <c r="F1402" s="12" t="str">
        <f>IFERROR(VLOOKUP(B1402,'INSUMOS  JULIO'!$B$6:$CJ$109,45,0),"")</f>
        <v>0</v>
      </c>
      <c r="G1402" s="8">
        <f>IFERROR(VLOOKUP($B1402,'INSUMOS  JULIO'!$B$6:$CJ$109,46,0),"")</f>
        <v>8408.1051000000007</v>
      </c>
      <c r="H1402" s="19">
        <f t="shared" si="84"/>
        <v>0</v>
      </c>
      <c r="I1402" s="1">
        <f t="shared" si="85"/>
        <v>0</v>
      </c>
      <c r="J1402" s="1">
        <f t="shared" si="86"/>
        <v>0</v>
      </c>
      <c r="K1402" s="19">
        <f t="shared" si="87"/>
        <v>0</v>
      </c>
    </row>
    <row r="1403" spans="1:11" ht="15">
      <c r="A1403" s="3">
        <v>2236</v>
      </c>
      <c r="B1403" s="151">
        <v>102</v>
      </c>
      <c r="C1403" s="7" t="s">
        <v>60</v>
      </c>
      <c r="D1403" s="4" t="s">
        <v>65</v>
      </c>
      <c r="E1403" t="s">
        <v>486</v>
      </c>
      <c r="F1403" s="12" t="str">
        <f>IFERROR(VLOOKUP(B1403,'INSUMOS  JULIO'!$B$6:$CJ$109,45,0),"")</f>
        <v>0</v>
      </c>
      <c r="G1403" s="8">
        <f>IFERROR(VLOOKUP($B1403,'INSUMOS  JULIO'!$B$6:$CJ$109,46,0),"")</f>
        <v>5422.8446999999996</v>
      </c>
      <c r="H1403" s="19">
        <f t="shared" si="84"/>
        <v>0</v>
      </c>
      <c r="I1403" s="1">
        <f t="shared" si="85"/>
        <v>0</v>
      </c>
      <c r="J1403" s="1">
        <f t="shared" si="86"/>
        <v>0</v>
      </c>
      <c r="K1403" s="19">
        <f t="shared" si="87"/>
        <v>0</v>
      </c>
    </row>
    <row r="1404" spans="1:11" ht="15">
      <c r="A1404" s="3">
        <v>2237</v>
      </c>
      <c r="B1404" s="151">
        <v>103</v>
      </c>
      <c r="C1404" s="7" t="s">
        <v>66</v>
      </c>
      <c r="D1404" s="4" t="s">
        <v>67</v>
      </c>
      <c r="E1404" t="s">
        <v>486</v>
      </c>
      <c r="F1404" s="12" t="str">
        <f>IFERROR(VLOOKUP(B1404,'INSUMOS  JULIO'!$B$6:$CJ$109,45,0),"")</f>
        <v>0</v>
      </c>
      <c r="G1404" s="8">
        <f>IFERROR(VLOOKUP($B1404,'INSUMOS  JULIO'!$B$6:$CJ$109,46,0),"")</f>
        <v>16220.293199999998</v>
      </c>
      <c r="H1404" s="19">
        <f t="shared" si="84"/>
        <v>0</v>
      </c>
      <c r="I1404" s="1">
        <f t="shared" si="85"/>
        <v>0</v>
      </c>
      <c r="J1404" s="1">
        <f t="shared" si="86"/>
        <v>0</v>
      </c>
      <c r="K1404" s="19">
        <f t="shared" si="87"/>
        <v>0</v>
      </c>
    </row>
    <row r="1405" spans="1:11" ht="15">
      <c r="A1405" s="3">
        <v>2238</v>
      </c>
      <c r="B1405" s="151">
        <v>104</v>
      </c>
      <c r="C1405" s="7" t="s">
        <v>66</v>
      </c>
      <c r="D1405" s="4" t="s">
        <v>68</v>
      </c>
      <c r="E1405" t="s">
        <v>486</v>
      </c>
      <c r="F1405" s="12" t="str">
        <f>IFERROR(VLOOKUP(B1405,'INSUMOS  JULIO'!$B$6:$CJ$109,45,0),"")</f>
        <v>0</v>
      </c>
      <c r="G1405" s="8">
        <f>IFERROR(VLOOKUP($B1405,'INSUMOS  JULIO'!$B$6:$CJ$109,46,0),"")</f>
        <v>16220.293199999998</v>
      </c>
      <c r="H1405" s="19">
        <f t="shared" si="84"/>
        <v>0</v>
      </c>
      <c r="I1405" s="1">
        <f t="shared" si="85"/>
        <v>0</v>
      </c>
      <c r="J1405" s="1">
        <f t="shared" si="86"/>
        <v>0</v>
      </c>
      <c r="K1405" s="19">
        <f t="shared" si="87"/>
        <v>0</v>
      </c>
    </row>
    <row r="1406" spans="1:11" ht="15">
      <c r="A1406" s="3">
        <v>2239</v>
      </c>
      <c r="B1406" s="151">
        <v>105</v>
      </c>
      <c r="C1406" s="7" t="s">
        <v>66</v>
      </c>
      <c r="D1406" s="4" t="s">
        <v>69</v>
      </c>
      <c r="E1406" t="s">
        <v>486</v>
      </c>
      <c r="F1406" s="12" t="str">
        <f>IFERROR(VLOOKUP(B1406,'INSUMOS  JULIO'!$B$6:$CJ$109,45,0),"")</f>
        <v>0</v>
      </c>
      <c r="G1406" s="8">
        <f>IFERROR(VLOOKUP($B1406,'INSUMOS  JULIO'!$B$6:$CJ$109,46,0),"")</f>
        <v>27265.567500000001</v>
      </c>
      <c r="H1406" s="19">
        <f t="shared" si="84"/>
        <v>0</v>
      </c>
      <c r="I1406" s="1">
        <f t="shared" si="85"/>
        <v>0</v>
      </c>
      <c r="J1406" s="1">
        <f t="shared" si="86"/>
        <v>0</v>
      </c>
      <c r="K1406" s="19">
        <f t="shared" si="87"/>
        <v>0</v>
      </c>
    </row>
    <row r="1407" spans="1:11" ht="15">
      <c r="A1407" s="3">
        <v>2240</v>
      </c>
      <c r="B1407" s="151">
        <v>106</v>
      </c>
      <c r="C1407" s="7" t="s">
        <v>66</v>
      </c>
      <c r="D1407" s="4" t="s">
        <v>70</v>
      </c>
      <c r="E1407" t="s">
        <v>486</v>
      </c>
      <c r="F1407" s="12" t="str">
        <f>IFERROR(VLOOKUP(B1407,'INSUMOS  JULIO'!$B$6:$CJ$109,45,0),"")</f>
        <v>0</v>
      </c>
      <c r="G1407" s="8">
        <f>IFERROR(VLOOKUP($B1407,'INSUMOS  JULIO'!$B$6:$CJ$109,46,0),"")</f>
        <v>27265.567500000001</v>
      </c>
      <c r="H1407" s="19">
        <f t="shared" si="84"/>
        <v>0</v>
      </c>
      <c r="I1407" s="1">
        <f t="shared" si="85"/>
        <v>0</v>
      </c>
      <c r="J1407" s="1">
        <f t="shared" si="86"/>
        <v>0</v>
      </c>
      <c r="K1407" s="19">
        <f t="shared" si="87"/>
        <v>0</v>
      </c>
    </row>
    <row r="1408" spans="1:11" ht="15">
      <c r="A1408" s="3">
        <v>2241</v>
      </c>
      <c r="B1408" s="151">
        <v>108</v>
      </c>
      <c r="C1408" s="7" t="s">
        <v>66</v>
      </c>
      <c r="D1408" s="4" t="s">
        <v>71</v>
      </c>
      <c r="E1408" t="s">
        <v>486</v>
      </c>
      <c r="F1408" s="12" t="str">
        <f>IFERROR(VLOOKUP(B1408,'INSUMOS  JULIO'!$B$6:$CJ$109,45,0),"")</f>
        <v>0</v>
      </c>
      <c r="G1408" s="8">
        <f>IFERROR(VLOOKUP($B1408,'INSUMOS  JULIO'!$B$6:$CJ$109,46,0),"")</f>
        <v>79606.944000000003</v>
      </c>
      <c r="H1408" s="19">
        <f t="shared" si="84"/>
        <v>0</v>
      </c>
      <c r="I1408" s="1">
        <f t="shared" si="85"/>
        <v>0</v>
      </c>
      <c r="J1408" s="1">
        <f t="shared" si="86"/>
        <v>0</v>
      </c>
      <c r="K1408" s="19">
        <f t="shared" si="87"/>
        <v>0</v>
      </c>
    </row>
    <row r="1409" spans="1:11" ht="15">
      <c r="A1409" s="3">
        <v>2242</v>
      </c>
      <c r="B1409" s="151">
        <v>109</v>
      </c>
      <c r="C1409" s="7" t="s">
        <v>66</v>
      </c>
      <c r="D1409" s="4" t="s">
        <v>72</v>
      </c>
      <c r="E1409" t="s">
        <v>486</v>
      </c>
      <c r="F1409" s="12" t="str">
        <f>IFERROR(VLOOKUP(B1409,'INSUMOS  JULIO'!$B$6:$CJ$109,45,0),"")</f>
        <v>0</v>
      </c>
      <c r="G1409" s="8">
        <f>IFERROR(VLOOKUP($B1409,'INSUMOS  JULIO'!$B$6:$CJ$109,46,0),"")</f>
        <v>88761.364199999996</v>
      </c>
      <c r="H1409" s="19">
        <f t="shared" si="84"/>
        <v>0</v>
      </c>
      <c r="I1409" s="1">
        <f t="shared" si="85"/>
        <v>0</v>
      </c>
      <c r="J1409" s="1">
        <f t="shared" si="86"/>
        <v>0</v>
      </c>
      <c r="K1409" s="19">
        <f t="shared" si="87"/>
        <v>0</v>
      </c>
    </row>
    <row r="1410" spans="1:11" ht="15">
      <c r="A1410" s="3">
        <v>2243</v>
      </c>
      <c r="B1410" s="151">
        <v>110</v>
      </c>
      <c r="C1410" s="7" t="s">
        <v>158</v>
      </c>
      <c r="D1410" s="4" t="s">
        <v>73</v>
      </c>
      <c r="E1410" t="s">
        <v>486</v>
      </c>
      <c r="F1410" s="12">
        <f>IFERROR(VLOOKUP(B1410,'INSUMOS  JULIO'!$B$6:$CJ$109,45,0),"")</f>
        <v>4</v>
      </c>
      <c r="G1410" s="8">
        <f>IFERROR(VLOOKUP($B1410,'INSUMOS  JULIO'!$B$6:$CJ$109,46,0),"")</f>
        <v>470.84799999999996</v>
      </c>
      <c r="H1410" s="19">
        <f t="shared" si="84"/>
        <v>1883.3919999999998</v>
      </c>
      <c r="I1410" s="1">
        <f t="shared" si="85"/>
        <v>188.33920000000001</v>
      </c>
      <c r="J1410" s="1">
        <f t="shared" si="86"/>
        <v>35.784448000000005</v>
      </c>
      <c r="K1410" s="19">
        <f t="shared" si="87"/>
        <v>2107.5156479999996</v>
      </c>
    </row>
    <row r="1411" spans="1:11" ht="15">
      <c r="A1411" s="3">
        <v>2244</v>
      </c>
      <c r="B1411" s="151">
        <v>118</v>
      </c>
      <c r="C1411" s="7" t="s">
        <v>158</v>
      </c>
      <c r="D1411" s="4" t="s">
        <v>74</v>
      </c>
      <c r="E1411" t="s">
        <v>486</v>
      </c>
      <c r="F1411" s="12">
        <f>IFERROR(VLOOKUP(B1411,'INSUMOS  JULIO'!$B$6:$CJ$109,45,0),"")</f>
        <v>0</v>
      </c>
      <c r="G1411" s="8">
        <f>IFERROR(VLOOKUP($B1411,'INSUMOS  JULIO'!$B$6:$CJ$109,46,0),"")</f>
        <v>2455.136</v>
      </c>
      <c r="H1411" s="19">
        <f t="shared" si="84"/>
        <v>0</v>
      </c>
      <c r="I1411" s="1">
        <f t="shared" si="85"/>
        <v>0</v>
      </c>
      <c r="J1411" s="1">
        <f t="shared" si="86"/>
        <v>0</v>
      </c>
      <c r="K1411" s="19">
        <f t="shared" si="87"/>
        <v>0</v>
      </c>
    </row>
    <row r="1412" spans="1:11" ht="15">
      <c r="A1412" s="3">
        <v>2245</v>
      </c>
      <c r="B1412" s="151">
        <v>119</v>
      </c>
      <c r="C1412" s="7" t="s">
        <v>158</v>
      </c>
      <c r="D1412" s="4" t="s">
        <v>75</v>
      </c>
      <c r="E1412" t="s">
        <v>486</v>
      </c>
      <c r="F1412" s="12" t="str">
        <f>IFERROR(VLOOKUP(B1412,'INSUMOS  JULIO'!$B$6:$CJ$109,45,0),"")</f>
        <v>0</v>
      </c>
      <c r="G1412" s="8">
        <f>IFERROR(VLOOKUP($B1412,'INSUMOS  JULIO'!$B$6:$CJ$109,46,0),"")</f>
        <v>2821.9350000000004</v>
      </c>
      <c r="H1412" s="19">
        <f t="shared" si="84"/>
        <v>0</v>
      </c>
      <c r="I1412" s="1">
        <f t="shared" si="85"/>
        <v>0</v>
      </c>
      <c r="J1412" s="1">
        <f t="shared" si="86"/>
        <v>0</v>
      </c>
      <c r="K1412" s="19">
        <f t="shared" si="87"/>
        <v>0</v>
      </c>
    </row>
    <row r="1413" spans="1:11" ht="15">
      <c r="A1413" s="3">
        <v>2246</v>
      </c>
      <c r="B1413" s="151">
        <v>120</v>
      </c>
      <c r="C1413" s="7" t="s">
        <v>158</v>
      </c>
      <c r="D1413" s="4" t="s">
        <v>76</v>
      </c>
      <c r="E1413" t="s">
        <v>486</v>
      </c>
      <c r="F1413" s="12" t="str">
        <f>IFERROR(VLOOKUP(B1413,'INSUMOS  JULIO'!$B$6:$CJ$109,45,0),"")</f>
        <v>0</v>
      </c>
      <c r="G1413" s="8">
        <f>IFERROR(VLOOKUP($B1413,'INSUMOS  JULIO'!$B$6:$CJ$109,46,0),"")</f>
        <v>4259.3877000000002</v>
      </c>
      <c r="H1413" s="19">
        <f t="shared" si="84"/>
        <v>0</v>
      </c>
      <c r="I1413" s="1">
        <f t="shared" si="85"/>
        <v>0</v>
      </c>
      <c r="J1413" s="1">
        <f t="shared" si="86"/>
        <v>0</v>
      </c>
      <c r="K1413" s="19">
        <f t="shared" si="87"/>
        <v>0</v>
      </c>
    </row>
    <row r="1414" spans="1:11" ht="15">
      <c r="A1414" s="3">
        <v>2247</v>
      </c>
      <c r="B1414" s="151">
        <v>122</v>
      </c>
      <c r="C1414" s="7" t="s">
        <v>158</v>
      </c>
      <c r="D1414" s="4" t="s">
        <v>77</v>
      </c>
      <c r="E1414" t="s">
        <v>486</v>
      </c>
      <c r="F1414" s="12" t="str">
        <f>IFERROR(VLOOKUP(B1414,'INSUMOS  JULIO'!$B$6:$CJ$109,45,0),"")</f>
        <v>0</v>
      </c>
      <c r="G1414" s="8">
        <f>IFERROR(VLOOKUP($B1414,'INSUMOS  JULIO'!$B$6:$CJ$109,46,0),"")</f>
        <v>5223.4699999999993</v>
      </c>
      <c r="H1414" s="19">
        <f t="shared" ref="H1414:H1477" si="88">+F1414*G1414</f>
        <v>0</v>
      </c>
      <c r="I1414" s="1">
        <f t="shared" ref="I1414:I1477" si="89">+H1414*10%</f>
        <v>0</v>
      </c>
      <c r="J1414" s="1">
        <f t="shared" ref="J1414:J1477" si="90">+I1414*19%</f>
        <v>0</v>
      </c>
      <c r="K1414" s="19">
        <f t="shared" ref="K1414:K1477" si="91">SUM(H1414:J1414)</f>
        <v>0</v>
      </c>
    </row>
    <row r="1415" spans="1:11" ht="15">
      <c r="A1415" s="3">
        <v>2248</v>
      </c>
      <c r="B1415" s="151">
        <v>123</v>
      </c>
      <c r="C1415" s="7" t="s">
        <v>158</v>
      </c>
      <c r="D1415" s="4" t="s">
        <v>78</v>
      </c>
      <c r="E1415" t="s">
        <v>486</v>
      </c>
      <c r="F1415" s="12" t="str">
        <f>IFERROR(VLOOKUP(B1415,'INSUMOS  JULIO'!$B$6:$CJ$109,45,0),"")</f>
        <v>0</v>
      </c>
      <c r="G1415" s="8">
        <f>IFERROR(VLOOKUP($B1415,'INSUMOS  JULIO'!$B$6:$CJ$109,46,0),"")</f>
        <v>6169.1598000000004</v>
      </c>
      <c r="H1415" s="19">
        <f t="shared" si="88"/>
        <v>0</v>
      </c>
      <c r="I1415" s="1">
        <f t="shared" si="89"/>
        <v>0</v>
      </c>
      <c r="J1415" s="1">
        <f t="shared" si="90"/>
        <v>0</v>
      </c>
      <c r="K1415" s="19">
        <f t="shared" si="91"/>
        <v>0</v>
      </c>
    </row>
    <row r="1416" spans="1:11" ht="15">
      <c r="A1416" s="3">
        <v>2249</v>
      </c>
      <c r="B1416" s="151">
        <v>124</v>
      </c>
      <c r="C1416" s="7" t="s">
        <v>158</v>
      </c>
      <c r="D1416" s="4" t="s">
        <v>79</v>
      </c>
      <c r="E1416" t="s">
        <v>486</v>
      </c>
      <c r="F1416" s="12" t="str">
        <f>IFERROR(VLOOKUP(B1416,'INSUMOS  JULIO'!$B$6:$CJ$109,45,0),"")</f>
        <v>0</v>
      </c>
      <c r="G1416" s="8">
        <f>IFERROR(VLOOKUP($B1416,'INSUMOS  JULIO'!$B$6:$CJ$109,46,0),"")</f>
        <v>6169.1598000000004</v>
      </c>
      <c r="H1416" s="19">
        <f t="shared" si="88"/>
        <v>0</v>
      </c>
      <c r="I1416" s="1">
        <f t="shared" si="89"/>
        <v>0</v>
      </c>
      <c r="J1416" s="1">
        <f t="shared" si="90"/>
        <v>0</v>
      </c>
      <c r="K1416" s="19">
        <f t="shared" si="91"/>
        <v>0</v>
      </c>
    </row>
    <row r="1417" spans="1:11" ht="15">
      <c r="A1417" s="3">
        <v>2250</v>
      </c>
      <c r="B1417" s="151">
        <v>126</v>
      </c>
      <c r="C1417" s="7" t="s">
        <v>9</v>
      </c>
      <c r="D1417" s="4" t="s">
        <v>80</v>
      </c>
      <c r="E1417" t="s">
        <v>486</v>
      </c>
      <c r="F1417" s="12" t="str">
        <f>IFERROR(VLOOKUP(B1417,'INSUMOS  JULIO'!$B$6:$CJ$109,45,0),"")</f>
        <v>0</v>
      </c>
      <c r="G1417" s="8">
        <f>IFERROR(VLOOKUP($B1417,'INSUMOS  JULIO'!$B$6:$CJ$109,46,0),"")</f>
        <v>4447.6217999999999</v>
      </c>
      <c r="H1417" s="19">
        <f t="shared" si="88"/>
        <v>0</v>
      </c>
      <c r="I1417" s="1">
        <f t="shared" si="89"/>
        <v>0</v>
      </c>
      <c r="J1417" s="1">
        <f t="shared" si="90"/>
        <v>0</v>
      </c>
      <c r="K1417" s="19">
        <f t="shared" si="91"/>
        <v>0</v>
      </c>
    </row>
    <row r="1418" spans="1:11" ht="15">
      <c r="A1418" s="3">
        <v>2251</v>
      </c>
      <c r="B1418" s="151">
        <v>127</v>
      </c>
      <c r="C1418" s="7" t="s">
        <v>156</v>
      </c>
      <c r="D1418" s="4" t="s">
        <v>81</v>
      </c>
      <c r="E1418" t="s">
        <v>486</v>
      </c>
      <c r="F1418" s="12" t="str">
        <f>IFERROR(VLOOKUP(B1418,'INSUMOS  JULIO'!$B$6:$CJ$109,45,0),"")</f>
        <v>0</v>
      </c>
      <c r="G1418" s="8">
        <f>IFERROR(VLOOKUP($B1418,'INSUMOS  JULIO'!$B$6:$CJ$109,46,0),"")</f>
        <v>4427.7578999999996</v>
      </c>
      <c r="H1418" s="19">
        <f t="shared" si="88"/>
        <v>0</v>
      </c>
      <c r="I1418" s="1">
        <f t="shared" si="89"/>
        <v>0</v>
      </c>
      <c r="J1418" s="1">
        <f t="shared" si="90"/>
        <v>0</v>
      </c>
      <c r="K1418" s="19">
        <f t="shared" si="91"/>
        <v>0</v>
      </c>
    </row>
    <row r="1419" spans="1:11" ht="15">
      <c r="A1419" s="3">
        <v>2252</v>
      </c>
      <c r="B1419" s="151">
        <v>129</v>
      </c>
      <c r="C1419" s="7" t="s">
        <v>157</v>
      </c>
      <c r="D1419" s="4" t="s">
        <v>82</v>
      </c>
      <c r="E1419" t="s">
        <v>486</v>
      </c>
      <c r="F1419" s="12" t="str">
        <f>IFERROR(VLOOKUP(B1419,'INSUMOS  JULIO'!$B$6:$CJ$109,45,0),"")</f>
        <v>0</v>
      </c>
      <c r="G1419" s="8">
        <f>IFERROR(VLOOKUP($B1419,'INSUMOS  JULIO'!$B$6:$CJ$109,46,0),"")</f>
        <v>5224.2056999999995</v>
      </c>
      <c r="H1419" s="19">
        <f t="shared" si="88"/>
        <v>0</v>
      </c>
      <c r="I1419" s="1">
        <f t="shared" si="89"/>
        <v>0</v>
      </c>
      <c r="J1419" s="1">
        <f t="shared" si="90"/>
        <v>0</v>
      </c>
      <c r="K1419" s="19">
        <f t="shared" si="91"/>
        <v>0</v>
      </c>
    </row>
    <row r="1420" spans="1:11" ht="15">
      <c r="A1420" s="3">
        <v>2253</v>
      </c>
      <c r="B1420" s="151">
        <v>131</v>
      </c>
      <c r="C1420" s="7" t="s">
        <v>13</v>
      </c>
      <c r="D1420" s="4" t="s">
        <v>83</v>
      </c>
      <c r="E1420" t="s">
        <v>486</v>
      </c>
      <c r="F1420" s="12" t="str">
        <f>IFERROR(VLOOKUP(B1420,'INSUMOS  JULIO'!$B$6:$CJ$109,45,0),"")</f>
        <v>0</v>
      </c>
      <c r="G1420" s="8">
        <f>IFERROR(VLOOKUP($B1420,'INSUMOS  JULIO'!$B$6:$CJ$109,46,0),"")</f>
        <v>21991.2291</v>
      </c>
      <c r="H1420" s="19">
        <f t="shared" si="88"/>
        <v>0</v>
      </c>
      <c r="I1420" s="1">
        <f t="shared" si="89"/>
        <v>0</v>
      </c>
      <c r="J1420" s="1">
        <f t="shared" si="90"/>
        <v>0</v>
      </c>
      <c r="K1420" s="19">
        <f t="shared" si="91"/>
        <v>0</v>
      </c>
    </row>
    <row r="1421" spans="1:11" ht="15">
      <c r="A1421" s="3">
        <v>2254</v>
      </c>
      <c r="B1421" s="151">
        <v>132</v>
      </c>
      <c r="C1421" s="7" t="s">
        <v>13</v>
      </c>
      <c r="D1421" s="4" t="s">
        <v>84</v>
      </c>
      <c r="E1421" t="s">
        <v>486</v>
      </c>
      <c r="F1421" s="12" t="str">
        <f>IFERROR(VLOOKUP(B1421,'INSUMOS  JULIO'!$B$6:$CJ$109,45,0),"")</f>
        <v>0</v>
      </c>
      <c r="G1421" s="8">
        <f>IFERROR(VLOOKUP($B1421,'INSUMOS  JULIO'!$B$6:$CJ$109,46,0),"")</f>
        <v>9503.4573</v>
      </c>
      <c r="H1421" s="19">
        <f t="shared" si="88"/>
        <v>0</v>
      </c>
      <c r="I1421" s="1">
        <f t="shared" si="89"/>
        <v>0</v>
      </c>
      <c r="J1421" s="1">
        <f t="shared" si="90"/>
        <v>0</v>
      </c>
      <c r="K1421" s="19">
        <f t="shared" si="91"/>
        <v>0</v>
      </c>
    </row>
    <row r="1422" spans="1:11" ht="15">
      <c r="A1422" s="3">
        <v>2255</v>
      </c>
      <c r="B1422" s="151">
        <v>134</v>
      </c>
      <c r="C1422" s="7" t="s">
        <v>16</v>
      </c>
      <c r="D1422" s="4" t="s">
        <v>85</v>
      </c>
      <c r="E1422" t="s">
        <v>486</v>
      </c>
      <c r="F1422" s="12" t="str">
        <f>IFERROR(VLOOKUP(B1422,'INSUMOS  JULIO'!$B$6:$CJ$109,45,0),"")</f>
        <v>0</v>
      </c>
      <c r="G1422" s="8">
        <f>IFERROR(VLOOKUP($B1422,'INSUMOS  JULIO'!$B$6:$CJ$109,46,0),"")</f>
        <v>4577.2101000000002</v>
      </c>
      <c r="H1422" s="19">
        <f t="shared" si="88"/>
        <v>0</v>
      </c>
      <c r="I1422" s="1">
        <f t="shared" si="89"/>
        <v>0</v>
      </c>
      <c r="J1422" s="1">
        <f t="shared" si="90"/>
        <v>0</v>
      </c>
      <c r="K1422" s="19">
        <f t="shared" si="91"/>
        <v>0</v>
      </c>
    </row>
    <row r="1423" spans="1:11" ht="15">
      <c r="A1423" s="3">
        <v>2256</v>
      </c>
      <c r="B1423" s="151">
        <v>135</v>
      </c>
      <c r="C1423" s="7" t="s">
        <v>18</v>
      </c>
      <c r="D1423" s="4" t="s">
        <v>86</v>
      </c>
      <c r="E1423" t="s">
        <v>486</v>
      </c>
      <c r="F1423" s="12">
        <f>IFERROR(VLOOKUP(B1423,'INSUMOS  JULIO'!$B$6:$CJ$109,45,0),"")</f>
        <v>0</v>
      </c>
      <c r="G1423" s="8">
        <f>IFERROR(VLOOKUP($B1423,'INSUMOS  JULIO'!$B$6:$CJ$109,46,0),"")</f>
        <v>17215.38</v>
      </c>
      <c r="H1423" s="19">
        <f t="shared" si="88"/>
        <v>0</v>
      </c>
      <c r="I1423" s="1">
        <f t="shared" si="89"/>
        <v>0</v>
      </c>
      <c r="J1423" s="1">
        <f t="shared" si="90"/>
        <v>0</v>
      </c>
      <c r="K1423" s="19">
        <f t="shared" si="91"/>
        <v>0</v>
      </c>
    </row>
    <row r="1424" spans="1:11" ht="15">
      <c r="A1424" s="3">
        <v>2257</v>
      </c>
      <c r="B1424" s="151">
        <v>137</v>
      </c>
      <c r="C1424" s="7" t="s">
        <v>20</v>
      </c>
      <c r="D1424" s="4" t="s">
        <v>88</v>
      </c>
      <c r="E1424" t="s">
        <v>486</v>
      </c>
      <c r="F1424" s="12" t="str">
        <f>IFERROR(VLOOKUP(B1424,'INSUMOS  JULIO'!$B$6:$CJ$109,45,0),"")</f>
        <v>0</v>
      </c>
      <c r="G1424" s="8">
        <f>IFERROR(VLOOKUP($B1424,'INSUMOS  JULIO'!$B$6:$CJ$109,46,0),"")</f>
        <v>1542.7628999999999</v>
      </c>
      <c r="H1424" s="19">
        <f t="shared" si="88"/>
        <v>0</v>
      </c>
      <c r="I1424" s="1">
        <f t="shared" si="89"/>
        <v>0</v>
      </c>
      <c r="J1424" s="1">
        <f t="shared" si="90"/>
        <v>0</v>
      </c>
      <c r="K1424" s="19">
        <f t="shared" si="91"/>
        <v>0</v>
      </c>
    </row>
    <row r="1425" spans="1:11" ht="15">
      <c r="A1425" s="3">
        <v>2258</v>
      </c>
      <c r="B1425" s="151">
        <v>139</v>
      </c>
      <c r="C1425" s="7" t="s">
        <v>22</v>
      </c>
      <c r="D1425" s="4" t="s">
        <v>89</v>
      </c>
      <c r="E1425" t="s">
        <v>486</v>
      </c>
      <c r="F1425" s="12">
        <f>IFERROR(VLOOKUP(B1425,'INSUMOS  JULIO'!$B$6:$CJ$109,45,0),"")</f>
        <v>6</v>
      </c>
      <c r="G1425" s="8">
        <f>IFERROR(VLOOKUP($B1425,'INSUMOS  JULIO'!$B$6:$CJ$109,46,0),"")</f>
        <v>25429.996000000003</v>
      </c>
      <c r="H1425" s="19">
        <f t="shared" si="88"/>
        <v>152579.97600000002</v>
      </c>
      <c r="I1425" s="1">
        <f t="shared" si="89"/>
        <v>15257.997600000002</v>
      </c>
      <c r="J1425" s="1">
        <f t="shared" si="90"/>
        <v>2899.0195440000007</v>
      </c>
      <c r="K1425" s="19">
        <f t="shared" si="91"/>
        <v>170736.99314400004</v>
      </c>
    </row>
    <row r="1426" spans="1:11" ht="15">
      <c r="A1426" s="3">
        <v>2259</v>
      </c>
      <c r="B1426" s="151">
        <v>151</v>
      </c>
      <c r="C1426" s="7" t="s">
        <v>18</v>
      </c>
      <c r="D1426" s="4" t="s">
        <v>91</v>
      </c>
      <c r="E1426" t="s">
        <v>486</v>
      </c>
      <c r="F1426" s="12">
        <f>IFERROR(VLOOKUP(B1426,'INSUMOS  JULIO'!$B$6:$CJ$109,45,0),"")</f>
        <v>23</v>
      </c>
      <c r="G1426" s="8">
        <f>IFERROR(VLOOKUP($B1426,'INSUMOS  JULIO'!$B$6:$CJ$109,46,0),"")</f>
        <v>4422.6080000000002</v>
      </c>
      <c r="H1426" s="19">
        <f t="shared" si="88"/>
        <v>101719.984</v>
      </c>
      <c r="I1426" s="1">
        <f t="shared" si="89"/>
        <v>10171.9984</v>
      </c>
      <c r="J1426" s="1">
        <f t="shared" si="90"/>
        <v>1932.6796960000001</v>
      </c>
      <c r="K1426" s="19">
        <f t="shared" si="91"/>
        <v>113824.662096</v>
      </c>
    </row>
    <row r="1427" spans="1:11" ht="15">
      <c r="A1427" s="3">
        <v>2260</v>
      </c>
      <c r="B1427" s="151">
        <v>152</v>
      </c>
      <c r="C1427" s="7" t="s">
        <v>155</v>
      </c>
      <c r="D1427" s="4" t="s">
        <v>92</v>
      </c>
      <c r="E1427" t="s">
        <v>486</v>
      </c>
      <c r="F1427" s="12" t="str">
        <f>IFERROR(VLOOKUP(B1427,'INSUMOS  JULIO'!$B$6:$CJ$109,45,0),"")</f>
        <v>0</v>
      </c>
      <c r="G1427" s="8">
        <f>IFERROR(VLOOKUP($B1427,'INSUMOS  JULIO'!$B$6:$CJ$109,46,0),"")</f>
        <v>19802.416499999999</v>
      </c>
      <c r="H1427" s="19">
        <f t="shared" si="88"/>
        <v>0</v>
      </c>
      <c r="I1427" s="1">
        <f t="shared" si="89"/>
        <v>0</v>
      </c>
      <c r="J1427" s="1">
        <f t="shared" si="90"/>
        <v>0</v>
      </c>
      <c r="K1427" s="19">
        <f t="shared" si="91"/>
        <v>0</v>
      </c>
    </row>
    <row r="1428" spans="1:11" ht="15">
      <c r="A1428" s="3">
        <v>2261</v>
      </c>
      <c r="B1428" s="151">
        <v>154</v>
      </c>
      <c r="C1428" s="7" t="s">
        <v>16</v>
      </c>
      <c r="D1428" s="4" t="s">
        <v>94</v>
      </c>
      <c r="E1428" t="s">
        <v>486</v>
      </c>
      <c r="F1428" s="12" t="str">
        <f>IFERROR(VLOOKUP(B1428,'INSUMOS  JULIO'!$B$6:$CJ$109,45,0),"")</f>
        <v>0</v>
      </c>
      <c r="G1428" s="8">
        <f>IFERROR(VLOOKUP($B1428,'INSUMOS  JULIO'!$B$6:$CJ$109,46,0),"")</f>
        <v>5005.7028</v>
      </c>
      <c r="H1428" s="19">
        <f t="shared" si="88"/>
        <v>0</v>
      </c>
      <c r="I1428" s="1">
        <f t="shared" si="89"/>
        <v>0</v>
      </c>
      <c r="J1428" s="1">
        <f t="shared" si="90"/>
        <v>0</v>
      </c>
      <c r="K1428" s="19">
        <f t="shared" si="91"/>
        <v>0</v>
      </c>
    </row>
    <row r="1429" spans="1:11" ht="15">
      <c r="A1429" s="3">
        <v>2262</v>
      </c>
      <c r="B1429" s="151">
        <v>155</v>
      </c>
      <c r="C1429" s="7" t="s">
        <v>27</v>
      </c>
      <c r="D1429" s="4" t="s">
        <v>95</v>
      </c>
      <c r="E1429" t="s">
        <v>486</v>
      </c>
      <c r="F1429" s="12">
        <f>IFERROR(VLOOKUP(B1429,'INSUMOS  JULIO'!$B$6:$CJ$109,45,0),"")</f>
        <v>0</v>
      </c>
      <c r="G1429" s="8">
        <f>IFERROR(VLOOKUP($B1429,'INSUMOS  JULIO'!$B$6:$CJ$109,46,0),"")</f>
        <v>3703.7239999999997</v>
      </c>
      <c r="H1429" s="19">
        <f t="shared" si="88"/>
        <v>0</v>
      </c>
      <c r="I1429" s="1">
        <f t="shared" si="89"/>
        <v>0</v>
      </c>
      <c r="J1429" s="1">
        <f t="shared" si="90"/>
        <v>0</v>
      </c>
      <c r="K1429" s="19">
        <f t="shared" si="91"/>
        <v>0</v>
      </c>
    </row>
    <row r="1430" spans="1:11" ht="15">
      <c r="A1430" s="3">
        <v>2295</v>
      </c>
      <c r="B1430" s="151">
        <v>156</v>
      </c>
      <c r="C1430" s="7" t="s">
        <v>13</v>
      </c>
      <c r="D1430" s="4" t="s">
        <v>96</v>
      </c>
      <c r="E1430" t="s">
        <v>486</v>
      </c>
      <c r="F1430" s="12" t="str">
        <f>IFERROR(VLOOKUP(B1430,'INSUMOS  JULIO'!$B$6:$CJ$109,45,0),"")</f>
        <v>0</v>
      </c>
      <c r="G1430" s="8">
        <f>IFERROR(VLOOKUP($B1430,'INSUMOS  JULIO'!$B$6:$CJ$109,46,0),"")</f>
        <v>7711.9227000000001</v>
      </c>
      <c r="H1430" s="19">
        <f t="shared" si="88"/>
        <v>0</v>
      </c>
      <c r="I1430" s="1">
        <f t="shared" si="89"/>
        <v>0</v>
      </c>
      <c r="J1430" s="1">
        <f t="shared" si="90"/>
        <v>0</v>
      </c>
      <c r="K1430" s="19">
        <f t="shared" si="91"/>
        <v>0</v>
      </c>
    </row>
    <row r="1431" spans="1:11" ht="15">
      <c r="A1431" s="3">
        <v>2296</v>
      </c>
      <c r="B1431" s="151">
        <v>157</v>
      </c>
      <c r="C1431" s="7" t="s">
        <v>13</v>
      </c>
      <c r="D1431" s="4" t="s">
        <v>97</v>
      </c>
      <c r="E1431" t="s">
        <v>486</v>
      </c>
      <c r="F1431" s="12">
        <f>IFERROR(VLOOKUP(B1431,'INSUMOS  JULIO'!$B$6:$CJ$109,45,0),"")</f>
        <v>0</v>
      </c>
      <c r="G1431" s="8">
        <f>IFERROR(VLOOKUP($B1431,'INSUMOS  JULIO'!$B$6:$CJ$109,46,0),"")</f>
        <v>5970.7309999999998</v>
      </c>
      <c r="H1431" s="19">
        <f t="shared" si="88"/>
        <v>0</v>
      </c>
      <c r="I1431" s="1">
        <f t="shared" si="89"/>
        <v>0</v>
      </c>
      <c r="J1431" s="1">
        <f t="shared" si="90"/>
        <v>0</v>
      </c>
      <c r="K1431" s="19">
        <f t="shared" si="91"/>
        <v>0</v>
      </c>
    </row>
    <row r="1432" spans="1:11" ht="15">
      <c r="A1432" s="3">
        <v>2297</v>
      </c>
      <c r="B1432" s="151">
        <v>159</v>
      </c>
      <c r="C1432" s="7" t="s">
        <v>13</v>
      </c>
      <c r="D1432" s="4" t="s">
        <v>98</v>
      </c>
      <c r="E1432" t="s">
        <v>486</v>
      </c>
      <c r="F1432" s="12" t="str">
        <f>IFERROR(VLOOKUP(B1432,'INSUMOS  JULIO'!$B$6:$CJ$109,45,0),"")</f>
        <v>0</v>
      </c>
      <c r="G1432" s="8">
        <f>IFERROR(VLOOKUP($B1432,'INSUMOS  JULIO'!$B$6:$CJ$109,46,0),"")</f>
        <v>6716.8359</v>
      </c>
      <c r="H1432" s="19">
        <f t="shared" si="88"/>
        <v>0</v>
      </c>
      <c r="I1432" s="1">
        <f t="shared" si="89"/>
        <v>0</v>
      </c>
      <c r="J1432" s="1">
        <f t="shared" si="90"/>
        <v>0</v>
      </c>
      <c r="K1432" s="19">
        <f t="shared" si="91"/>
        <v>0</v>
      </c>
    </row>
    <row r="1433" spans="1:11" ht="15">
      <c r="A1433" s="3">
        <v>2298</v>
      </c>
      <c r="B1433" s="151">
        <v>160</v>
      </c>
      <c r="C1433" s="7" t="s">
        <v>13</v>
      </c>
      <c r="D1433" s="4" t="s">
        <v>99</v>
      </c>
      <c r="E1433" t="s">
        <v>486</v>
      </c>
      <c r="F1433" s="12" t="str">
        <f>IFERROR(VLOOKUP(B1433,'INSUMOS  JULIO'!$B$6:$CJ$109,45,0),"")</f>
        <v>0</v>
      </c>
      <c r="G1433" s="8">
        <f>IFERROR(VLOOKUP($B1433,'INSUMOS  JULIO'!$B$6:$CJ$109,46,0),"")</f>
        <v>3035.3931000000002</v>
      </c>
      <c r="H1433" s="19">
        <f t="shared" si="88"/>
        <v>0</v>
      </c>
      <c r="I1433" s="1">
        <f t="shared" si="89"/>
        <v>0</v>
      </c>
      <c r="J1433" s="1">
        <f t="shared" si="90"/>
        <v>0</v>
      </c>
      <c r="K1433" s="19">
        <f t="shared" si="91"/>
        <v>0</v>
      </c>
    </row>
    <row r="1434" spans="1:11" ht="15">
      <c r="A1434" s="3">
        <v>2299</v>
      </c>
      <c r="B1434" s="151">
        <v>161</v>
      </c>
      <c r="C1434" s="7" t="s">
        <v>33</v>
      </c>
      <c r="D1434" s="4" t="s">
        <v>100</v>
      </c>
      <c r="E1434" t="s">
        <v>486</v>
      </c>
      <c r="F1434" s="12" t="str">
        <f>IFERROR(VLOOKUP(B1434,'INSUMOS  JULIO'!$B$6:$CJ$109,45,0),"")</f>
        <v>0</v>
      </c>
      <c r="G1434" s="8">
        <f>IFERROR(VLOOKUP($B1434,'INSUMOS  JULIO'!$B$6:$CJ$109,46,0),"")</f>
        <v>3333.3516</v>
      </c>
      <c r="H1434" s="19">
        <f t="shared" si="88"/>
        <v>0</v>
      </c>
      <c r="I1434" s="1">
        <f t="shared" si="89"/>
        <v>0</v>
      </c>
      <c r="J1434" s="1">
        <f t="shared" si="90"/>
        <v>0</v>
      </c>
      <c r="K1434" s="19">
        <f t="shared" si="91"/>
        <v>0</v>
      </c>
    </row>
    <row r="1435" spans="1:11" ht="15">
      <c r="A1435" s="3">
        <v>2300</v>
      </c>
      <c r="B1435" s="151">
        <v>162</v>
      </c>
      <c r="C1435" s="7" t="s">
        <v>16</v>
      </c>
      <c r="D1435" s="4" t="s">
        <v>101</v>
      </c>
      <c r="E1435" t="s">
        <v>486</v>
      </c>
      <c r="F1435" s="12">
        <f>IFERROR(VLOOKUP(B1435,'INSUMOS  JULIO'!$B$6:$CJ$109,45,0),"")</f>
        <v>0</v>
      </c>
      <c r="G1435" s="8">
        <f>IFERROR(VLOOKUP($B1435,'INSUMOS  JULIO'!$B$6:$CJ$109,46,0),"")</f>
        <v>4030.4798999999998</v>
      </c>
      <c r="H1435" s="19">
        <f t="shared" si="88"/>
        <v>0</v>
      </c>
      <c r="I1435" s="1">
        <f t="shared" si="89"/>
        <v>0</v>
      </c>
      <c r="J1435" s="1">
        <f t="shared" si="90"/>
        <v>0</v>
      </c>
      <c r="K1435" s="19">
        <f t="shared" si="91"/>
        <v>0</v>
      </c>
    </row>
    <row r="1436" spans="1:11" ht="15">
      <c r="A1436" s="3">
        <v>2301</v>
      </c>
      <c r="B1436" s="151">
        <v>164</v>
      </c>
      <c r="C1436" s="7" t="s">
        <v>36</v>
      </c>
      <c r="D1436" s="4" t="s">
        <v>102</v>
      </c>
      <c r="E1436" t="s">
        <v>486</v>
      </c>
      <c r="F1436" s="12" t="str">
        <f>IFERROR(VLOOKUP(B1436,'INSUMOS  JULIO'!$B$6:$CJ$109,45,0),"")</f>
        <v>0</v>
      </c>
      <c r="G1436" s="8">
        <f>IFERROR(VLOOKUP($B1436,'INSUMOS  JULIO'!$B$6:$CJ$109,46,0),"")</f>
        <v>6518.1968999999999</v>
      </c>
      <c r="H1436" s="19">
        <f t="shared" si="88"/>
        <v>0</v>
      </c>
      <c r="I1436" s="1">
        <f t="shared" si="89"/>
        <v>0</v>
      </c>
      <c r="J1436" s="1">
        <f t="shared" si="90"/>
        <v>0</v>
      </c>
      <c r="K1436" s="19">
        <f t="shared" si="91"/>
        <v>0</v>
      </c>
    </row>
    <row r="1437" spans="1:11" ht="15">
      <c r="A1437" s="3">
        <v>2302</v>
      </c>
      <c r="B1437" s="151">
        <v>169</v>
      </c>
      <c r="C1437" s="7" t="s">
        <v>36</v>
      </c>
      <c r="D1437" s="4" t="s">
        <v>104</v>
      </c>
      <c r="E1437" t="s">
        <v>486</v>
      </c>
      <c r="F1437" s="12" t="str">
        <f>IFERROR(VLOOKUP(B1437,'INSUMOS  JULIO'!$B$6:$CJ$109,45,0),"")</f>
        <v>0</v>
      </c>
      <c r="G1437" s="8">
        <f>IFERROR(VLOOKUP($B1437,'INSUMOS  JULIO'!$B$6:$CJ$109,46,0),"")</f>
        <v>156626.85149999999</v>
      </c>
      <c r="H1437" s="19">
        <f t="shared" si="88"/>
        <v>0</v>
      </c>
      <c r="I1437" s="1">
        <f t="shared" si="89"/>
        <v>0</v>
      </c>
      <c r="J1437" s="1">
        <f t="shared" si="90"/>
        <v>0</v>
      </c>
      <c r="K1437" s="19">
        <f t="shared" si="91"/>
        <v>0</v>
      </c>
    </row>
    <row r="1438" spans="1:11" ht="15">
      <c r="A1438" s="3">
        <v>2303</v>
      </c>
      <c r="B1438" s="151">
        <v>170</v>
      </c>
      <c r="C1438" s="7" t="s">
        <v>39</v>
      </c>
      <c r="D1438" s="4" t="s">
        <v>106</v>
      </c>
      <c r="E1438" t="s">
        <v>486</v>
      </c>
      <c r="F1438" s="12">
        <f>IFERROR(VLOOKUP(B1438,'INSUMOS  JULIO'!$B$6:$CJ$109,45,0),"")</f>
        <v>0</v>
      </c>
      <c r="G1438" s="8">
        <f>IFERROR(VLOOKUP($B1438,'INSUMOS  JULIO'!$B$6:$CJ$109,46,0),"")</f>
        <v>19405.664000000001</v>
      </c>
      <c r="H1438" s="19">
        <f t="shared" si="88"/>
        <v>0</v>
      </c>
      <c r="I1438" s="1">
        <f t="shared" si="89"/>
        <v>0</v>
      </c>
      <c r="J1438" s="1">
        <f t="shared" si="90"/>
        <v>0</v>
      </c>
      <c r="K1438" s="19">
        <f t="shared" si="91"/>
        <v>0</v>
      </c>
    </row>
    <row r="1439" spans="1:11" ht="15">
      <c r="A1439" s="3">
        <v>2304</v>
      </c>
      <c r="B1439" s="151">
        <v>173</v>
      </c>
      <c r="C1439" s="7" t="s">
        <v>39</v>
      </c>
      <c r="D1439" s="4" t="s">
        <v>107</v>
      </c>
      <c r="E1439" t="s">
        <v>486</v>
      </c>
      <c r="F1439" s="12" t="str">
        <f>IFERROR(VLOOKUP(B1439,'INSUMOS  JULIO'!$B$6:$CJ$109,45,0),"")</f>
        <v>0</v>
      </c>
      <c r="G1439" s="8">
        <f>IFERROR(VLOOKUP($B1439,'INSUMOS  JULIO'!$B$6:$CJ$109,46,0),"")</f>
        <v>21394.3662</v>
      </c>
      <c r="H1439" s="19">
        <f t="shared" si="88"/>
        <v>0</v>
      </c>
      <c r="I1439" s="1">
        <f t="shared" si="89"/>
        <v>0</v>
      </c>
      <c r="J1439" s="1">
        <f t="shared" si="90"/>
        <v>0</v>
      </c>
      <c r="K1439" s="19">
        <f t="shared" si="91"/>
        <v>0</v>
      </c>
    </row>
    <row r="1440" spans="1:11" ht="15">
      <c r="A1440" s="3">
        <v>2305</v>
      </c>
      <c r="B1440" s="151">
        <v>174</v>
      </c>
      <c r="C1440" s="7" t="s">
        <v>108</v>
      </c>
      <c r="D1440" s="4" t="s">
        <v>109</v>
      </c>
      <c r="E1440" t="s">
        <v>486</v>
      </c>
      <c r="F1440" s="12" t="str">
        <f>IFERROR(VLOOKUP(B1440,'INSUMOS  JULIO'!$B$6:$CJ$109,45,0),"")</f>
        <v>0</v>
      </c>
      <c r="G1440" s="8">
        <f>IFERROR(VLOOKUP($B1440,'INSUMOS  JULIO'!$B$6:$CJ$109,46,0),"")</f>
        <v>6081.0860000000002</v>
      </c>
      <c r="H1440" s="19">
        <f t="shared" si="88"/>
        <v>0</v>
      </c>
      <c r="I1440" s="1">
        <f t="shared" si="89"/>
        <v>0</v>
      </c>
      <c r="J1440" s="1">
        <f t="shared" si="90"/>
        <v>0</v>
      </c>
      <c r="K1440" s="19">
        <f t="shared" si="91"/>
        <v>0</v>
      </c>
    </row>
    <row r="1441" spans="1:11" ht="15">
      <c r="A1441" s="3">
        <v>2306</v>
      </c>
      <c r="B1441" s="151">
        <v>176</v>
      </c>
      <c r="C1441" s="7" t="s">
        <v>108</v>
      </c>
      <c r="D1441" s="4" t="s">
        <v>110</v>
      </c>
      <c r="E1441" t="s">
        <v>486</v>
      </c>
      <c r="F1441" s="12" t="str">
        <f>IFERROR(VLOOKUP(B1441,'INSUMOS  JULIO'!$B$6:$CJ$109,45,0),"")</f>
        <v>0</v>
      </c>
      <c r="G1441" s="8">
        <f>IFERROR(VLOOKUP($B1441,'INSUMOS  JULIO'!$B$6:$CJ$109,46,0),"")</f>
        <v>3781.7082</v>
      </c>
      <c r="H1441" s="19">
        <f t="shared" si="88"/>
        <v>0</v>
      </c>
      <c r="I1441" s="1">
        <f t="shared" si="89"/>
        <v>0</v>
      </c>
      <c r="J1441" s="1">
        <f t="shared" si="90"/>
        <v>0</v>
      </c>
      <c r="K1441" s="19">
        <f t="shared" si="91"/>
        <v>0</v>
      </c>
    </row>
    <row r="1442" spans="1:11" ht="15">
      <c r="A1442" s="3">
        <v>2307</v>
      </c>
      <c r="B1442" s="151">
        <v>192</v>
      </c>
      <c r="C1442" s="7" t="s">
        <v>149</v>
      </c>
      <c r="D1442" s="4" t="s">
        <v>111</v>
      </c>
      <c r="E1442" t="s">
        <v>486</v>
      </c>
      <c r="F1442" s="12">
        <f>IFERROR(VLOOKUP(B1442,'INSUMOS  JULIO'!$B$6:$CJ$109,45,0),"")</f>
        <v>6</v>
      </c>
      <c r="G1442" s="8">
        <f>IFERROR(VLOOKUP($B1442,'INSUMOS  JULIO'!$B$6:$CJ$109,46,0),"")</f>
        <v>6866.2880999999998</v>
      </c>
      <c r="H1442" s="19">
        <f t="shared" si="88"/>
        <v>41197.728600000002</v>
      </c>
      <c r="I1442" s="1">
        <f t="shared" si="89"/>
        <v>4119.77286</v>
      </c>
      <c r="J1442" s="1">
        <f t="shared" si="90"/>
        <v>782.75684339999998</v>
      </c>
      <c r="K1442" s="19">
        <f t="shared" si="91"/>
        <v>46100.258303399998</v>
      </c>
    </row>
    <row r="1443" spans="1:11" ht="15">
      <c r="A1443" s="3">
        <v>2308</v>
      </c>
      <c r="B1443" s="151">
        <v>195</v>
      </c>
      <c r="C1443" s="7" t="s">
        <v>151</v>
      </c>
      <c r="D1443" s="4" t="s">
        <v>112</v>
      </c>
      <c r="E1443" t="s">
        <v>486</v>
      </c>
      <c r="F1443" s="12">
        <f>IFERROR(VLOOKUP(B1443,'INSUMOS  JULIO'!$B$6:$CJ$109,45,0),"")</f>
        <v>10</v>
      </c>
      <c r="G1443" s="8">
        <f>IFERROR(VLOOKUP($B1443,'INSUMOS  JULIO'!$B$6:$CJ$109,46,0),"")</f>
        <v>10697.1831</v>
      </c>
      <c r="H1443" s="19">
        <f t="shared" si="88"/>
        <v>106971.83100000001</v>
      </c>
      <c r="I1443" s="1">
        <f t="shared" si="89"/>
        <v>10697.183100000002</v>
      </c>
      <c r="J1443" s="1">
        <f t="shared" si="90"/>
        <v>2032.4647890000003</v>
      </c>
      <c r="K1443" s="19">
        <f t="shared" si="91"/>
        <v>119701.47888900001</v>
      </c>
    </row>
    <row r="1444" spans="1:11" ht="15">
      <c r="A1444" s="3">
        <v>2309</v>
      </c>
      <c r="B1444" s="151">
        <v>204</v>
      </c>
      <c r="C1444" s="7" t="s">
        <v>46</v>
      </c>
      <c r="D1444" s="4" t="s">
        <v>113</v>
      </c>
      <c r="E1444" t="s">
        <v>486</v>
      </c>
      <c r="F1444" s="12">
        <f>IFERROR(VLOOKUP(B1444,'INSUMOS  JULIO'!$B$6:$CJ$109,45,0),"")</f>
        <v>5</v>
      </c>
      <c r="G1444" s="8">
        <f>IFERROR(VLOOKUP($B1444,'INSUMOS  JULIO'!$B$6:$CJ$109,46,0),"")</f>
        <v>25673.6178</v>
      </c>
      <c r="H1444" s="19">
        <f t="shared" si="88"/>
        <v>128368.08900000001</v>
      </c>
      <c r="I1444" s="1">
        <f t="shared" si="89"/>
        <v>12836.808900000002</v>
      </c>
      <c r="J1444" s="1">
        <f t="shared" si="90"/>
        <v>2438.9936910000006</v>
      </c>
      <c r="K1444" s="19">
        <f t="shared" si="91"/>
        <v>143643.89159100002</v>
      </c>
    </row>
    <row r="1445" spans="1:11" ht="27">
      <c r="A1445" s="3">
        <v>2310</v>
      </c>
      <c r="B1445" s="151">
        <v>205</v>
      </c>
      <c r="C1445" s="7" t="s">
        <v>159</v>
      </c>
      <c r="D1445" s="4" t="s">
        <v>114</v>
      </c>
      <c r="E1445" t="s">
        <v>486</v>
      </c>
      <c r="F1445" s="12" t="str">
        <f>IFERROR(VLOOKUP(B1445,'INSUMOS  JULIO'!$B$6:$CJ$109,45,0),"")</f>
        <v>0</v>
      </c>
      <c r="G1445" s="8">
        <f>IFERROR(VLOOKUP($B1445,'INSUMOS  JULIO'!$B$6:$CJ$109,46,0),"")</f>
        <v>32639.225399999996</v>
      </c>
      <c r="H1445" s="19">
        <f t="shared" si="88"/>
        <v>0</v>
      </c>
      <c r="I1445" s="1">
        <f t="shared" si="89"/>
        <v>0</v>
      </c>
      <c r="J1445" s="1">
        <f t="shared" si="90"/>
        <v>0</v>
      </c>
      <c r="K1445" s="19">
        <f t="shared" si="91"/>
        <v>0</v>
      </c>
    </row>
    <row r="1446" spans="1:11" ht="15">
      <c r="A1446" s="3">
        <v>2311</v>
      </c>
      <c r="B1446" s="151">
        <v>207</v>
      </c>
      <c r="C1446" s="7" t="s">
        <v>159</v>
      </c>
      <c r="D1446" s="4" t="s">
        <v>115</v>
      </c>
      <c r="E1446" t="s">
        <v>486</v>
      </c>
      <c r="F1446" s="12" t="str">
        <f>IFERROR(VLOOKUP(B1446,'INSUMOS  JULIO'!$B$6:$CJ$109,45,0),"")</f>
        <v>0</v>
      </c>
      <c r="G1446" s="8">
        <f>IFERROR(VLOOKUP($B1446,'INSUMOS  JULIO'!$B$6:$CJ$109,46,0),"")</f>
        <v>8209.4661000000015</v>
      </c>
      <c r="H1446" s="19">
        <f t="shared" si="88"/>
        <v>0</v>
      </c>
      <c r="I1446" s="1">
        <f t="shared" si="89"/>
        <v>0</v>
      </c>
      <c r="J1446" s="1">
        <f t="shared" si="90"/>
        <v>0</v>
      </c>
      <c r="K1446" s="19">
        <f t="shared" si="91"/>
        <v>0</v>
      </c>
    </row>
    <row r="1447" spans="1:11" ht="15">
      <c r="A1447" s="3">
        <v>2312</v>
      </c>
      <c r="B1447" s="151">
        <v>208</v>
      </c>
      <c r="C1447" s="7" t="s">
        <v>159</v>
      </c>
      <c r="D1447" s="4" t="s">
        <v>634</v>
      </c>
      <c r="E1447" t="s">
        <v>486</v>
      </c>
      <c r="F1447" s="12" t="str">
        <f>IFERROR(VLOOKUP(B1447,'INSUMOS  JULIO'!$B$6:$CJ$109,45,0),"")</f>
        <v>0</v>
      </c>
      <c r="G1447" s="8">
        <f>IFERROR(VLOOKUP($B1447,'INSUMOS  JULIO'!$B$6:$CJ$109,46,0),"")</f>
        <v>72740.655899999998</v>
      </c>
      <c r="H1447" s="19">
        <f t="shared" si="88"/>
        <v>0</v>
      </c>
      <c r="I1447" s="1">
        <f t="shared" si="89"/>
        <v>0</v>
      </c>
      <c r="J1447" s="1">
        <f t="shared" si="90"/>
        <v>0</v>
      </c>
      <c r="K1447" s="19">
        <f t="shared" si="91"/>
        <v>0</v>
      </c>
    </row>
    <row r="1448" spans="1:11" ht="15">
      <c r="A1448" s="3">
        <v>2313</v>
      </c>
      <c r="B1448" s="151">
        <v>209</v>
      </c>
      <c r="C1448" s="7" t="s">
        <v>159</v>
      </c>
      <c r="D1448" s="4" t="s">
        <v>635</v>
      </c>
      <c r="E1448" t="s">
        <v>486</v>
      </c>
      <c r="F1448" s="12" t="str">
        <f>IFERROR(VLOOKUP(B1448,'INSUMOS  JULIO'!$B$6:$CJ$109,45,0),"")</f>
        <v>0</v>
      </c>
      <c r="G1448" s="8">
        <f>IFERROR(VLOOKUP($B1448,'INSUMOS  JULIO'!$B$6:$CJ$109,46,0),"")</f>
        <v>51545.874600000003</v>
      </c>
      <c r="H1448" s="19">
        <f t="shared" si="88"/>
        <v>0</v>
      </c>
      <c r="I1448" s="1">
        <f t="shared" si="89"/>
        <v>0</v>
      </c>
      <c r="J1448" s="1">
        <f t="shared" si="90"/>
        <v>0</v>
      </c>
      <c r="K1448" s="19">
        <f t="shared" si="91"/>
        <v>0</v>
      </c>
    </row>
    <row r="1449" spans="1:11" ht="15">
      <c r="A1449" s="3">
        <v>2314</v>
      </c>
      <c r="B1449" s="151">
        <v>210</v>
      </c>
      <c r="C1449" s="7" t="s">
        <v>159</v>
      </c>
      <c r="D1449" s="4" t="s">
        <v>636</v>
      </c>
      <c r="E1449" t="s">
        <v>486</v>
      </c>
      <c r="F1449" s="12" t="str">
        <f>IFERROR(VLOOKUP(B1449,'INSUMOS  JULIO'!$B$6:$CJ$109,45,0),"")</f>
        <v>0</v>
      </c>
      <c r="G1449" s="8">
        <f>IFERROR(VLOOKUP($B1449,'INSUMOS  JULIO'!$B$6:$CJ$109,46,0),"")</f>
        <v>39305.928599999999</v>
      </c>
      <c r="H1449" s="19">
        <f t="shared" si="88"/>
        <v>0</v>
      </c>
      <c r="I1449" s="1">
        <f t="shared" si="89"/>
        <v>0</v>
      </c>
      <c r="J1449" s="1">
        <f t="shared" si="90"/>
        <v>0</v>
      </c>
      <c r="K1449" s="19">
        <f t="shared" si="91"/>
        <v>0</v>
      </c>
    </row>
    <row r="1450" spans="1:11" ht="15">
      <c r="A1450" s="3">
        <v>2315</v>
      </c>
      <c r="B1450" s="151">
        <v>211</v>
      </c>
      <c r="C1450" s="7" t="s">
        <v>53</v>
      </c>
      <c r="D1450" s="4" t="s">
        <v>637</v>
      </c>
      <c r="E1450" t="s">
        <v>486</v>
      </c>
      <c r="F1450" s="12" t="str">
        <f>IFERROR(VLOOKUP(B1450,'INSUMOS  JULIO'!$B$6:$CJ$109,45,0),"")</f>
        <v>0</v>
      </c>
      <c r="G1450" s="8">
        <f>IFERROR(VLOOKUP($B1450,'INSUMOS  JULIO'!$B$6:$CJ$109,46,0),"")</f>
        <v>29553.699600000004</v>
      </c>
      <c r="H1450" s="19">
        <f t="shared" si="88"/>
        <v>0</v>
      </c>
      <c r="I1450" s="1">
        <f t="shared" si="89"/>
        <v>0</v>
      </c>
      <c r="J1450" s="1">
        <f t="shared" si="90"/>
        <v>0</v>
      </c>
      <c r="K1450" s="19">
        <f t="shared" si="91"/>
        <v>0</v>
      </c>
    </row>
    <row r="1451" spans="1:11" ht="15">
      <c r="A1451" s="3">
        <v>2316</v>
      </c>
      <c r="B1451" s="151">
        <v>212</v>
      </c>
      <c r="C1451" s="7" t="s">
        <v>53</v>
      </c>
      <c r="D1451" s="4" t="s">
        <v>116</v>
      </c>
      <c r="E1451" t="s">
        <v>486</v>
      </c>
      <c r="F1451" s="12" t="str">
        <f>IFERROR(VLOOKUP(B1451,'INSUMOS  JULIO'!$B$6:$CJ$109,45,0),"")</f>
        <v>0</v>
      </c>
      <c r="G1451" s="8">
        <f>IFERROR(VLOOKUP($B1451,'INSUMOS  JULIO'!$B$6:$CJ$109,46,0),"")</f>
        <v>3333.3516</v>
      </c>
      <c r="H1451" s="19">
        <f t="shared" si="88"/>
        <v>0</v>
      </c>
      <c r="I1451" s="1">
        <f t="shared" si="89"/>
        <v>0</v>
      </c>
      <c r="J1451" s="1">
        <f t="shared" si="90"/>
        <v>0</v>
      </c>
      <c r="K1451" s="19">
        <f t="shared" si="91"/>
        <v>0</v>
      </c>
    </row>
    <row r="1452" spans="1:11" ht="15">
      <c r="A1452" s="3">
        <v>2317</v>
      </c>
      <c r="B1452" s="151">
        <v>213</v>
      </c>
      <c r="C1452" s="7" t="s">
        <v>53</v>
      </c>
      <c r="D1452" s="4" t="s">
        <v>638</v>
      </c>
      <c r="E1452" t="s">
        <v>486</v>
      </c>
      <c r="F1452" s="12" t="str">
        <f>IFERROR(VLOOKUP(B1452,'INSUMOS  JULIO'!$B$6:$CJ$109,45,0),"")</f>
        <v>0</v>
      </c>
      <c r="G1452" s="8">
        <f>IFERROR(VLOOKUP($B1452,'INSUMOS  JULIO'!$B$6:$CJ$109,46,0),"")</f>
        <v>10448.411399999999</v>
      </c>
      <c r="H1452" s="19">
        <f t="shared" si="88"/>
        <v>0</v>
      </c>
      <c r="I1452" s="1">
        <f t="shared" si="89"/>
        <v>0</v>
      </c>
      <c r="J1452" s="1">
        <f t="shared" si="90"/>
        <v>0</v>
      </c>
      <c r="K1452" s="19">
        <f t="shared" si="91"/>
        <v>0</v>
      </c>
    </row>
    <row r="1453" spans="1:11" ht="15">
      <c r="A1453" s="3">
        <v>2318</v>
      </c>
      <c r="B1453" s="151">
        <v>215</v>
      </c>
      <c r="C1453" s="7" t="s">
        <v>53</v>
      </c>
      <c r="D1453" s="4" t="s">
        <v>639</v>
      </c>
      <c r="E1453" t="s">
        <v>486</v>
      </c>
      <c r="F1453" s="12" t="str">
        <f>IFERROR(VLOOKUP(B1453,'INSUMOS  JULIO'!$B$6:$CJ$109,45,0),"")</f>
        <v>0</v>
      </c>
      <c r="G1453" s="8">
        <f>IFERROR(VLOOKUP($B1453,'INSUMOS  JULIO'!$B$6:$CJ$109,46,0),"")</f>
        <v>31743.458099999996</v>
      </c>
      <c r="H1453" s="19">
        <f t="shared" si="88"/>
        <v>0</v>
      </c>
      <c r="I1453" s="1">
        <f t="shared" si="89"/>
        <v>0</v>
      </c>
      <c r="J1453" s="1">
        <f t="shared" si="90"/>
        <v>0</v>
      </c>
      <c r="K1453" s="19">
        <f t="shared" si="91"/>
        <v>0</v>
      </c>
    </row>
    <row r="1454" spans="1:11" ht="15">
      <c r="A1454" s="3">
        <v>2319</v>
      </c>
      <c r="B1454" s="151">
        <v>216</v>
      </c>
      <c r="C1454" s="7" t="s">
        <v>160</v>
      </c>
      <c r="D1454" s="4" t="s">
        <v>640</v>
      </c>
      <c r="E1454" t="s">
        <v>486</v>
      </c>
      <c r="F1454" s="12" t="str">
        <f>IFERROR(VLOOKUP(B1454,'INSUMOS  JULIO'!$B$6:$CJ$109,45,0),"")</f>
        <v>0</v>
      </c>
      <c r="G1454" s="8">
        <f>IFERROR(VLOOKUP($B1454,'INSUMOS  JULIO'!$B$6:$CJ$109,46,0),"")</f>
        <v>5124.8861999999999</v>
      </c>
      <c r="H1454" s="19">
        <f t="shared" si="88"/>
        <v>0</v>
      </c>
      <c r="I1454" s="1">
        <f t="shared" si="89"/>
        <v>0</v>
      </c>
      <c r="J1454" s="1">
        <f t="shared" si="90"/>
        <v>0</v>
      </c>
      <c r="K1454" s="19">
        <f t="shared" si="91"/>
        <v>0</v>
      </c>
    </row>
    <row r="1455" spans="1:11" ht="15">
      <c r="A1455" s="3">
        <v>2320</v>
      </c>
      <c r="B1455" s="151">
        <v>218</v>
      </c>
      <c r="C1455" s="7" t="s">
        <v>160</v>
      </c>
      <c r="D1455" s="4" t="s">
        <v>117</v>
      </c>
      <c r="E1455" t="s">
        <v>486</v>
      </c>
      <c r="F1455" s="12" t="str">
        <f>IFERROR(VLOOKUP(B1455,'INSUMOS  JULIO'!$B$6:$CJ$109,45,0),"")</f>
        <v>0</v>
      </c>
      <c r="G1455" s="8">
        <f>IFERROR(VLOOKUP($B1455,'INSUMOS  JULIO'!$B$6:$CJ$109,46,0),"")</f>
        <v>2587.0365000000002</v>
      </c>
      <c r="H1455" s="19">
        <f t="shared" si="88"/>
        <v>0</v>
      </c>
      <c r="I1455" s="1">
        <f t="shared" si="89"/>
        <v>0</v>
      </c>
      <c r="J1455" s="1">
        <f t="shared" si="90"/>
        <v>0</v>
      </c>
      <c r="K1455" s="19">
        <f t="shared" si="91"/>
        <v>0</v>
      </c>
    </row>
    <row r="1456" spans="1:11" ht="15">
      <c r="A1456" s="3">
        <v>2321</v>
      </c>
      <c r="B1456" s="151">
        <v>251</v>
      </c>
      <c r="C1456" s="7" t="s">
        <v>60</v>
      </c>
      <c r="D1456" s="4" t="s">
        <v>118</v>
      </c>
      <c r="E1456" t="s">
        <v>486</v>
      </c>
      <c r="F1456" s="12" t="str">
        <f>IFERROR(VLOOKUP(B1456,'INSUMOS  JULIO'!$B$6:$CJ$109,45,0),"")</f>
        <v>0</v>
      </c>
      <c r="G1456" s="8">
        <f>IFERROR(VLOOKUP($B1456,'INSUMOS  JULIO'!$B$6:$CJ$109,46,0),"")</f>
        <v>20399.279400000003</v>
      </c>
      <c r="H1456" s="19">
        <f t="shared" si="88"/>
        <v>0</v>
      </c>
      <c r="I1456" s="1">
        <f t="shared" si="89"/>
        <v>0</v>
      </c>
      <c r="J1456" s="1">
        <f t="shared" si="90"/>
        <v>0</v>
      </c>
      <c r="K1456" s="19">
        <f t="shared" si="91"/>
        <v>0</v>
      </c>
    </row>
    <row r="1457" spans="1:11" ht="15">
      <c r="A1457" s="3">
        <v>2322</v>
      </c>
      <c r="B1457" s="151">
        <v>255</v>
      </c>
      <c r="C1457" s="7" t="s">
        <v>60</v>
      </c>
      <c r="D1457" s="4" t="s">
        <v>641</v>
      </c>
      <c r="E1457" t="s">
        <v>486</v>
      </c>
      <c r="F1457" s="12" t="str">
        <f>IFERROR(VLOOKUP(B1457,'INSUMOS  JULIO'!$B$6:$CJ$109,45,0),"")</f>
        <v>0</v>
      </c>
      <c r="G1457" s="8">
        <f>IFERROR(VLOOKUP($B1457,'INSUMOS  JULIO'!$B$6:$CJ$109,46,0),"")</f>
        <v>41793.645599999996</v>
      </c>
      <c r="H1457" s="19">
        <f t="shared" si="88"/>
        <v>0</v>
      </c>
      <c r="I1457" s="1">
        <f t="shared" si="89"/>
        <v>0</v>
      </c>
      <c r="J1457" s="1">
        <f t="shared" si="90"/>
        <v>0</v>
      </c>
      <c r="K1457" s="19">
        <f t="shared" si="91"/>
        <v>0</v>
      </c>
    </row>
    <row r="1458" spans="1:11" ht="15">
      <c r="A1458" s="3">
        <v>2323</v>
      </c>
      <c r="B1458" s="151">
        <v>257</v>
      </c>
      <c r="C1458" s="7" t="s">
        <v>151</v>
      </c>
      <c r="D1458" s="4" t="s">
        <v>642</v>
      </c>
      <c r="E1458" t="s">
        <v>486</v>
      </c>
      <c r="F1458" s="12" t="str">
        <f>IFERROR(VLOOKUP(B1458,'INSUMOS  JULIO'!$B$6:$CJ$109,45,0),"")</f>
        <v>0</v>
      </c>
      <c r="G1458" s="8">
        <f>IFERROR(VLOOKUP($B1458,'INSUMOS  JULIO'!$B$6:$CJ$109,46,0),"")</f>
        <v>53536.048199999997</v>
      </c>
      <c r="H1458" s="19">
        <f t="shared" si="88"/>
        <v>0</v>
      </c>
      <c r="I1458" s="1">
        <f t="shared" si="89"/>
        <v>0</v>
      </c>
      <c r="J1458" s="1">
        <f t="shared" si="90"/>
        <v>0</v>
      </c>
      <c r="K1458" s="19">
        <f t="shared" si="91"/>
        <v>0</v>
      </c>
    </row>
    <row r="1459" spans="1:11" ht="15">
      <c r="A1459" s="3">
        <v>2324</v>
      </c>
      <c r="B1459" s="151">
        <v>260</v>
      </c>
      <c r="C1459" s="7" t="s">
        <v>160</v>
      </c>
      <c r="D1459" s="4" t="s">
        <v>643</v>
      </c>
      <c r="E1459" t="s">
        <v>486</v>
      </c>
      <c r="F1459" s="12" t="str">
        <f>IFERROR(VLOOKUP(B1459,'INSUMOS  JULIO'!$B$6:$CJ$109,45,0),"")</f>
        <v>0</v>
      </c>
      <c r="G1459" s="8">
        <f>IFERROR(VLOOKUP($B1459,'INSUMOS  JULIO'!$B$6:$CJ$109,46,0),"")</f>
        <v>8508.3705000000009</v>
      </c>
      <c r="H1459" s="19">
        <f t="shared" si="88"/>
        <v>0</v>
      </c>
      <c r="I1459" s="1">
        <f t="shared" si="89"/>
        <v>0</v>
      </c>
      <c r="J1459" s="1">
        <f t="shared" si="90"/>
        <v>0</v>
      </c>
      <c r="K1459" s="19">
        <f t="shared" si="91"/>
        <v>0</v>
      </c>
    </row>
    <row r="1460" spans="1:11" ht="15">
      <c r="A1460" s="3">
        <v>2325</v>
      </c>
      <c r="B1460" s="151">
        <v>291</v>
      </c>
      <c r="C1460" s="7" t="s">
        <v>60</v>
      </c>
      <c r="D1460" s="4" t="s">
        <v>644</v>
      </c>
      <c r="E1460" t="s">
        <v>486</v>
      </c>
      <c r="F1460" s="12" t="str">
        <f>IFERROR(VLOOKUP(B1460,'INSUMOS  JULIO'!$B$6:$CJ$109,45,0),"")</f>
        <v>0</v>
      </c>
      <c r="G1460" s="8">
        <f>IFERROR(VLOOKUP($B1460,'INSUMOS  JULIO'!$B$6:$CJ$109,46,0),"")</f>
        <v>65576.409299999999</v>
      </c>
      <c r="H1460" s="19">
        <f t="shared" si="88"/>
        <v>0</v>
      </c>
      <c r="I1460" s="1">
        <f t="shared" si="89"/>
        <v>0</v>
      </c>
      <c r="J1460" s="1">
        <f t="shared" si="90"/>
        <v>0</v>
      </c>
      <c r="K1460" s="19">
        <f t="shared" si="91"/>
        <v>0</v>
      </c>
    </row>
    <row r="1461" spans="1:11" ht="15">
      <c r="B1461" s="151">
        <v>3</v>
      </c>
      <c r="C1461" s="7" t="s">
        <v>155</v>
      </c>
      <c r="D1461" s="4" t="s">
        <v>5</v>
      </c>
      <c r="E1461" t="s">
        <v>487</v>
      </c>
      <c r="F1461" s="12" t="str">
        <f>IFERROR(VLOOKUP($B1461,'INSUMOS  JULIO'!$B$6:$CJ$109,48,0),"")</f>
        <v>0</v>
      </c>
      <c r="G1461" s="8">
        <f>IFERROR(VLOOKUP($B1461,'INSUMOS  JULIO'!$B$6:$CJ$109,49,0),"")</f>
        <v>7268.7160000000003</v>
      </c>
      <c r="H1461" s="19">
        <f t="shared" si="88"/>
        <v>0</v>
      </c>
      <c r="I1461" s="1">
        <f t="shared" si="89"/>
        <v>0</v>
      </c>
      <c r="J1461" s="1">
        <f t="shared" si="90"/>
        <v>0</v>
      </c>
      <c r="K1461" s="19">
        <f t="shared" si="91"/>
        <v>0</v>
      </c>
    </row>
    <row r="1462" spans="1:11" ht="15">
      <c r="B1462" s="151">
        <v>5</v>
      </c>
      <c r="C1462" s="7" t="s">
        <v>6</v>
      </c>
      <c r="D1462" s="4" t="s">
        <v>7</v>
      </c>
      <c r="E1462" t="s">
        <v>487</v>
      </c>
      <c r="F1462" s="12" t="str">
        <f>IFERROR(VLOOKUP(B1462,'INSUMOS  JULIO'!$B$6:$CJ$109,48,0),"")</f>
        <v>0</v>
      </c>
      <c r="G1462" s="8">
        <f>IFERROR(VLOOKUP($B1462,'INSUMOS  JULIO'!$B$6:$CJ$109,49,0),"")</f>
        <v>6494.1289999999999</v>
      </c>
      <c r="H1462" s="19">
        <f t="shared" si="88"/>
        <v>0</v>
      </c>
      <c r="I1462" s="1">
        <f t="shared" si="89"/>
        <v>0</v>
      </c>
      <c r="J1462" s="1">
        <f t="shared" si="90"/>
        <v>0</v>
      </c>
      <c r="K1462" s="19">
        <f t="shared" si="91"/>
        <v>0</v>
      </c>
    </row>
    <row r="1463" spans="1:11" ht="15">
      <c r="B1463" s="151">
        <v>8</v>
      </c>
      <c r="C1463" s="7" t="s">
        <v>6</v>
      </c>
      <c r="D1463" s="4" t="s">
        <v>8</v>
      </c>
      <c r="E1463" t="s">
        <v>487</v>
      </c>
      <c r="F1463" s="12">
        <f>IFERROR(VLOOKUP(B1463,'INSUMOS  JULIO'!$B$6:$CJ$109,48,0),"")</f>
        <v>0</v>
      </c>
      <c r="G1463" s="8">
        <f>IFERROR(VLOOKUP($B1463,'INSUMOS  JULIO'!$B$6:$CJ$109,49,0),"")</f>
        <v>2211.3040000000001</v>
      </c>
      <c r="H1463" s="19">
        <f t="shared" si="88"/>
        <v>0</v>
      </c>
      <c r="I1463" s="1">
        <f t="shared" si="89"/>
        <v>0</v>
      </c>
      <c r="J1463" s="1">
        <f t="shared" si="90"/>
        <v>0</v>
      </c>
      <c r="K1463" s="19">
        <f t="shared" si="91"/>
        <v>0</v>
      </c>
    </row>
    <row r="1464" spans="1:11" ht="15">
      <c r="B1464" s="151">
        <v>9</v>
      </c>
      <c r="C1464" s="7" t="s">
        <v>9</v>
      </c>
      <c r="D1464" s="4" t="s">
        <v>10</v>
      </c>
      <c r="E1464" t="s">
        <v>487</v>
      </c>
      <c r="F1464" s="12">
        <f>IFERROR(VLOOKUP(B1464,'INSUMOS  JULIO'!$B$6:$CJ$109,48,0),"")</f>
        <v>0</v>
      </c>
      <c r="G1464" s="8">
        <f>IFERROR(VLOOKUP($B1464,'INSUMOS  JULIO'!$B$6:$CJ$109,49,0),"")</f>
        <v>3298.0379999999996</v>
      </c>
      <c r="H1464" s="19">
        <f t="shared" si="88"/>
        <v>0</v>
      </c>
      <c r="I1464" s="1">
        <f t="shared" si="89"/>
        <v>0</v>
      </c>
      <c r="J1464" s="1">
        <f t="shared" si="90"/>
        <v>0</v>
      </c>
      <c r="K1464" s="19">
        <f t="shared" si="91"/>
        <v>0</v>
      </c>
    </row>
    <row r="1465" spans="1:11" ht="15">
      <c r="B1465" s="151">
        <v>11</v>
      </c>
      <c r="C1465" s="7" t="s">
        <v>156</v>
      </c>
      <c r="D1465" s="4" t="s">
        <v>11</v>
      </c>
      <c r="E1465" t="s">
        <v>487</v>
      </c>
      <c r="F1465" s="12" t="str">
        <f>IFERROR(VLOOKUP(B1465,'INSUMOS  JULIO'!$B$6:$CJ$109,48,0),"")</f>
        <v>0</v>
      </c>
      <c r="G1465" s="8">
        <f>IFERROR(VLOOKUP($B1465,'INSUMOS  JULIO'!$B$6:$CJ$109,49,0),"")</f>
        <v>7739.5639999999985</v>
      </c>
      <c r="H1465" s="19">
        <f t="shared" si="88"/>
        <v>0</v>
      </c>
      <c r="I1465" s="1">
        <f t="shared" si="89"/>
        <v>0</v>
      </c>
      <c r="J1465" s="1">
        <f t="shared" si="90"/>
        <v>0</v>
      </c>
      <c r="K1465" s="19">
        <f t="shared" si="91"/>
        <v>0</v>
      </c>
    </row>
    <row r="1466" spans="1:11" ht="15">
      <c r="B1466" s="151">
        <v>13</v>
      </c>
      <c r="C1466" s="7" t="s">
        <v>157</v>
      </c>
      <c r="D1466" s="4" t="s">
        <v>12</v>
      </c>
      <c r="E1466" t="s">
        <v>487</v>
      </c>
      <c r="F1466" s="12">
        <f>IFERROR(VLOOKUP(B1466,'INSUMOS  JULIO'!$B$6:$CJ$109,48,0),"")</f>
        <v>0</v>
      </c>
      <c r="G1466" s="8">
        <f>IFERROR(VLOOKUP($B1466,'INSUMOS  JULIO'!$B$6:$CJ$109,49,0),"")</f>
        <v>6507.7919999999995</v>
      </c>
      <c r="H1466" s="19">
        <f t="shared" si="88"/>
        <v>0</v>
      </c>
      <c r="I1466" s="1">
        <f t="shared" si="89"/>
        <v>0</v>
      </c>
      <c r="J1466" s="1">
        <f t="shared" si="90"/>
        <v>0</v>
      </c>
      <c r="K1466" s="19">
        <f t="shared" si="91"/>
        <v>0</v>
      </c>
    </row>
    <row r="1467" spans="1:11" ht="15">
      <c r="B1467" s="151">
        <v>17</v>
      </c>
      <c r="C1467" s="7" t="s">
        <v>13</v>
      </c>
      <c r="D1467" s="4" t="s">
        <v>14</v>
      </c>
      <c r="E1467" t="s">
        <v>487</v>
      </c>
      <c r="F1467" s="12">
        <f>IFERROR(VLOOKUP(B1467,'INSUMOS  JULIO'!$B$6:$CJ$109,48,0),"")</f>
        <v>0</v>
      </c>
      <c r="G1467" s="8">
        <f>IFERROR(VLOOKUP($B1467,'INSUMOS  JULIO'!$B$6:$CJ$109,49,0),"")</f>
        <v>5647.0229999999992</v>
      </c>
      <c r="H1467" s="19">
        <f t="shared" si="88"/>
        <v>0</v>
      </c>
      <c r="I1467" s="1">
        <f t="shared" si="89"/>
        <v>0</v>
      </c>
      <c r="J1467" s="1">
        <f t="shared" si="90"/>
        <v>0</v>
      </c>
      <c r="K1467" s="19">
        <f t="shared" si="91"/>
        <v>0</v>
      </c>
    </row>
    <row r="1468" spans="1:11" ht="15">
      <c r="B1468" s="151">
        <v>20</v>
      </c>
      <c r="C1468" s="7" t="s">
        <v>13</v>
      </c>
      <c r="D1468" s="4" t="s">
        <v>15</v>
      </c>
      <c r="E1468" t="s">
        <v>487</v>
      </c>
      <c r="F1468" s="12">
        <f>IFERROR(VLOOKUP(B1468,'INSUMOS  JULIO'!$B$6:$CJ$109,48,0),"")</f>
        <v>0</v>
      </c>
      <c r="G1468" s="8">
        <f>IFERROR(VLOOKUP($B1468,'INSUMOS  JULIO'!$B$6:$CJ$109,49,0),"")</f>
        <v>9851.5485000000008</v>
      </c>
      <c r="H1468" s="19">
        <f t="shared" si="88"/>
        <v>0</v>
      </c>
      <c r="I1468" s="1">
        <f t="shared" si="89"/>
        <v>0</v>
      </c>
      <c r="J1468" s="1">
        <f t="shared" si="90"/>
        <v>0</v>
      </c>
      <c r="K1468" s="19">
        <f t="shared" si="91"/>
        <v>0</v>
      </c>
    </row>
    <row r="1469" spans="1:11" ht="15">
      <c r="B1469" s="151">
        <v>21</v>
      </c>
      <c r="C1469" s="7" t="s">
        <v>16</v>
      </c>
      <c r="D1469" s="4" t="s">
        <v>17</v>
      </c>
      <c r="E1469" t="s">
        <v>487</v>
      </c>
      <c r="F1469" s="12">
        <f>IFERROR(VLOOKUP(B1469,'INSUMOS  JULIO'!$B$6:$CJ$109,48,0),"")</f>
        <v>0</v>
      </c>
      <c r="G1469" s="8">
        <f>IFERROR(VLOOKUP($B1469,'INSUMOS  JULIO'!$B$6:$CJ$109,49,0),"")</f>
        <v>5932.8950000000013</v>
      </c>
      <c r="H1469" s="19">
        <f t="shared" si="88"/>
        <v>0</v>
      </c>
      <c r="I1469" s="1">
        <f t="shared" si="89"/>
        <v>0</v>
      </c>
      <c r="J1469" s="1">
        <f t="shared" si="90"/>
        <v>0</v>
      </c>
      <c r="K1469" s="19">
        <f t="shared" si="91"/>
        <v>0</v>
      </c>
    </row>
    <row r="1470" spans="1:11" ht="15">
      <c r="B1470" s="151">
        <v>28</v>
      </c>
      <c r="C1470" s="7" t="s">
        <v>18</v>
      </c>
      <c r="D1470" s="4" t="s">
        <v>19</v>
      </c>
      <c r="E1470" t="s">
        <v>487</v>
      </c>
      <c r="F1470" s="12">
        <f>IFERROR(VLOOKUP(B1470,'INSUMOS  JULIO'!$B$6:$CJ$109,48,0),"")</f>
        <v>0</v>
      </c>
      <c r="G1470" s="8">
        <f>IFERROR(VLOOKUP($B1470,'INSUMOS  JULIO'!$B$6:$CJ$109,49,0),"")</f>
        <v>2764.13</v>
      </c>
      <c r="H1470" s="19">
        <f t="shared" si="88"/>
        <v>0</v>
      </c>
      <c r="I1470" s="1">
        <f t="shared" si="89"/>
        <v>0</v>
      </c>
      <c r="J1470" s="1">
        <f t="shared" si="90"/>
        <v>0</v>
      </c>
      <c r="K1470" s="19">
        <f t="shared" si="91"/>
        <v>0</v>
      </c>
    </row>
    <row r="1471" spans="1:11" ht="15">
      <c r="B1471" s="151">
        <v>29</v>
      </c>
      <c r="C1471" s="7" t="s">
        <v>20</v>
      </c>
      <c r="D1471" s="4" t="s">
        <v>21</v>
      </c>
      <c r="E1471" t="s">
        <v>487</v>
      </c>
      <c r="F1471" s="12" t="str">
        <f>IFERROR(VLOOKUP(B1471,'INSUMOS  JULIO'!$B$6:$CJ$109,48,0),"")</f>
        <v>0</v>
      </c>
      <c r="G1471" s="8">
        <f>IFERROR(VLOOKUP($B1471,'INSUMOS  JULIO'!$B$6:$CJ$109,49,0),"")</f>
        <v>4829.3450000000012</v>
      </c>
      <c r="H1471" s="19">
        <f t="shared" si="88"/>
        <v>0</v>
      </c>
      <c r="I1471" s="1">
        <f t="shared" si="89"/>
        <v>0</v>
      </c>
      <c r="J1471" s="1">
        <f t="shared" si="90"/>
        <v>0</v>
      </c>
      <c r="K1471" s="19">
        <f t="shared" si="91"/>
        <v>0</v>
      </c>
    </row>
    <row r="1472" spans="1:11" ht="15">
      <c r="B1472" s="151">
        <v>32</v>
      </c>
      <c r="C1472" s="7" t="s">
        <v>22</v>
      </c>
      <c r="D1472" s="4" t="s">
        <v>23</v>
      </c>
      <c r="E1472" t="s">
        <v>487</v>
      </c>
      <c r="F1472" s="12">
        <f>IFERROR(VLOOKUP(B1472,'INSUMOS  JULIO'!$B$6:$CJ$109,48,0),"")</f>
        <v>0</v>
      </c>
      <c r="G1472" s="8">
        <f>IFERROR(VLOOKUP($B1472,'INSUMOS  JULIO'!$B$6:$CJ$109,49,0),"")</f>
        <v>4115.7160000000003</v>
      </c>
      <c r="H1472" s="19">
        <f t="shared" si="88"/>
        <v>0</v>
      </c>
      <c r="I1472" s="1">
        <f t="shared" si="89"/>
        <v>0</v>
      </c>
      <c r="J1472" s="1">
        <f t="shared" si="90"/>
        <v>0</v>
      </c>
      <c r="K1472" s="19">
        <f t="shared" si="91"/>
        <v>0</v>
      </c>
    </row>
    <row r="1473" spans="2:11" ht="15">
      <c r="B1473" s="151">
        <v>38</v>
      </c>
      <c r="C1473" s="7" t="s">
        <v>18</v>
      </c>
      <c r="D1473" s="4" t="s">
        <v>24</v>
      </c>
      <c r="E1473" t="s">
        <v>487</v>
      </c>
      <c r="F1473" s="12" t="str">
        <f>IFERROR(VLOOKUP(B1473,'INSUMOS  JULIO'!$B$6:$CJ$109,48,0),"")</f>
        <v>0</v>
      </c>
      <c r="G1473" s="8">
        <f>IFERROR(VLOOKUP($B1473,'INSUMOS  JULIO'!$B$6:$CJ$109,49,0),"")</f>
        <v>15622.484399999999</v>
      </c>
      <c r="H1473" s="19">
        <f t="shared" si="88"/>
        <v>0</v>
      </c>
      <c r="I1473" s="1">
        <f t="shared" si="89"/>
        <v>0</v>
      </c>
      <c r="J1473" s="1">
        <f t="shared" si="90"/>
        <v>0</v>
      </c>
      <c r="K1473" s="19">
        <f t="shared" si="91"/>
        <v>0</v>
      </c>
    </row>
    <row r="1474" spans="2:11" ht="15">
      <c r="B1474" s="151">
        <v>41</v>
      </c>
      <c r="C1474" s="7" t="s">
        <v>155</v>
      </c>
      <c r="D1474" s="4" t="s">
        <v>25</v>
      </c>
      <c r="E1474" t="s">
        <v>487</v>
      </c>
      <c r="F1474" s="12" t="str">
        <f>IFERROR(VLOOKUP(B1474,'INSUMOS  JULIO'!$B$6:$CJ$109,48,0),"")</f>
        <v>0</v>
      </c>
      <c r="G1474" s="8">
        <f>IFERROR(VLOOKUP($B1474,'INSUMOS  JULIO'!$B$6:$CJ$109,49,0),"")</f>
        <v>7034.3429999999989</v>
      </c>
      <c r="H1474" s="19">
        <f t="shared" si="88"/>
        <v>0</v>
      </c>
      <c r="I1474" s="1">
        <f t="shared" si="89"/>
        <v>0</v>
      </c>
      <c r="J1474" s="1">
        <f t="shared" si="90"/>
        <v>0</v>
      </c>
      <c r="K1474" s="19">
        <f t="shared" si="91"/>
        <v>0</v>
      </c>
    </row>
    <row r="1475" spans="2:11" ht="15">
      <c r="B1475" s="151">
        <v>44</v>
      </c>
      <c r="C1475" s="7" t="s">
        <v>16</v>
      </c>
      <c r="D1475" s="4" t="s">
        <v>26</v>
      </c>
      <c r="E1475" t="s">
        <v>487</v>
      </c>
      <c r="F1475" s="12">
        <f>IFERROR(VLOOKUP(B1475,'INSUMOS  JULIO'!$B$6:$CJ$109,48,0),"")</f>
        <v>0</v>
      </c>
      <c r="G1475" s="8">
        <f>IFERROR(VLOOKUP($B1475,'INSUMOS  JULIO'!$B$6:$CJ$109,49,0),"")</f>
        <v>2787.2520000000004</v>
      </c>
      <c r="H1475" s="19">
        <f t="shared" si="88"/>
        <v>0</v>
      </c>
      <c r="I1475" s="1">
        <f t="shared" si="89"/>
        <v>0</v>
      </c>
      <c r="J1475" s="1">
        <f t="shared" si="90"/>
        <v>0</v>
      </c>
      <c r="K1475" s="19">
        <f t="shared" si="91"/>
        <v>0</v>
      </c>
    </row>
    <row r="1476" spans="2:11" ht="15">
      <c r="B1476" s="151">
        <v>46</v>
      </c>
      <c r="C1476" s="7" t="s">
        <v>27</v>
      </c>
      <c r="D1476" s="4" t="s">
        <v>28</v>
      </c>
      <c r="E1476" t="s">
        <v>487</v>
      </c>
      <c r="F1476" s="12" t="str">
        <f>IFERROR(VLOOKUP(B1476,'INSUMOS  JULIO'!$B$6:$CJ$109,48,0),"")</f>
        <v>0</v>
      </c>
      <c r="G1476" s="8">
        <f>IFERROR(VLOOKUP($B1476,'INSUMOS  JULIO'!$B$6:$CJ$109,49,0),"")</f>
        <v>7739.5640000000021</v>
      </c>
      <c r="H1476" s="19">
        <f t="shared" si="88"/>
        <v>0</v>
      </c>
      <c r="I1476" s="1">
        <f t="shared" si="89"/>
        <v>0</v>
      </c>
      <c r="J1476" s="1">
        <f t="shared" si="90"/>
        <v>0</v>
      </c>
      <c r="K1476" s="19">
        <f t="shared" si="91"/>
        <v>0</v>
      </c>
    </row>
    <row r="1477" spans="2:11" ht="15">
      <c r="B1477" s="151">
        <v>50</v>
      </c>
      <c r="C1477" s="7" t="s">
        <v>13</v>
      </c>
      <c r="D1477" s="4" t="s">
        <v>29</v>
      </c>
      <c r="E1477" t="s">
        <v>487</v>
      </c>
      <c r="F1477" s="12">
        <f>IFERROR(VLOOKUP(B1477,'INSUMOS  JULIO'!$B$6:$CJ$109,48,0),"")</f>
        <v>0</v>
      </c>
      <c r="G1477" s="8">
        <f>IFERROR(VLOOKUP($B1477,'INSUMOS  JULIO'!$B$6:$CJ$109,49,0),"")</f>
        <v>48162.390299999999</v>
      </c>
      <c r="H1477" s="19">
        <f t="shared" si="88"/>
        <v>0</v>
      </c>
      <c r="I1477" s="1">
        <f t="shared" si="89"/>
        <v>0</v>
      </c>
      <c r="J1477" s="1">
        <f t="shared" si="90"/>
        <v>0</v>
      </c>
      <c r="K1477" s="19">
        <f t="shared" si="91"/>
        <v>0</v>
      </c>
    </row>
    <row r="1478" spans="2:11" ht="15">
      <c r="B1478" s="151">
        <v>51</v>
      </c>
      <c r="C1478" s="7" t="s">
        <v>13</v>
      </c>
      <c r="D1478" s="4" t="s">
        <v>30</v>
      </c>
      <c r="E1478" t="s">
        <v>487</v>
      </c>
      <c r="F1478" s="12" t="str">
        <f>IFERROR(VLOOKUP(B1478,'INSUMOS  JULIO'!$B$6:$CJ$109,48,0),"")</f>
        <v>0</v>
      </c>
      <c r="G1478" s="8">
        <f>IFERROR(VLOOKUP($B1478,'INSUMOS  JULIO'!$B$6:$CJ$109,49,0),"")</f>
        <v>7739.5640000000021</v>
      </c>
      <c r="H1478" s="19">
        <f t="shared" ref="H1478:H1541" si="92">+F1478*G1478</f>
        <v>0</v>
      </c>
      <c r="I1478" s="1">
        <f t="shared" ref="I1478:I1541" si="93">+H1478*10%</f>
        <v>0</v>
      </c>
      <c r="J1478" s="1">
        <f t="shared" ref="J1478:J1541" si="94">+I1478*19%</f>
        <v>0</v>
      </c>
      <c r="K1478" s="19">
        <f t="shared" ref="K1478:K1541" si="95">SUM(H1478:J1478)</f>
        <v>0</v>
      </c>
    </row>
    <row r="1479" spans="2:11" ht="15">
      <c r="B1479" s="151">
        <v>52</v>
      </c>
      <c r="C1479" s="7" t="s">
        <v>13</v>
      </c>
      <c r="D1479" s="4" t="s">
        <v>31</v>
      </c>
      <c r="E1479" t="s">
        <v>487</v>
      </c>
      <c r="F1479" s="12">
        <f>IFERROR(VLOOKUP(B1479,'INSUMOS  JULIO'!$B$6:$CJ$109,48,0),"")</f>
        <v>0</v>
      </c>
      <c r="G1479" s="8">
        <f>IFERROR(VLOOKUP($B1479,'INSUMOS  JULIO'!$B$6:$CJ$109,49,0),"")</f>
        <v>6412.1509999999998</v>
      </c>
      <c r="H1479" s="19">
        <f t="shared" si="92"/>
        <v>0</v>
      </c>
      <c r="I1479" s="1">
        <f t="shared" si="93"/>
        <v>0</v>
      </c>
      <c r="J1479" s="1">
        <f t="shared" si="94"/>
        <v>0</v>
      </c>
      <c r="K1479" s="19">
        <f t="shared" si="95"/>
        <v>0</v>
      </c>
    </row>
    <row r="1480" spans="2:11" ht="15">
      <c r="B1480" s="151">
        <v>54</v>
      </c>
      <c r="C1480" s="7" t="s">
        <v>13</v>
      </c>
      <c r="D1480" s="4" t="s">
        <v>32</v>
      </c>
      <c r="E1480" t="s">
        <v>487</v>
      </c>
      <c r="F1480" s="12">
        <f>IFERROR(VLOOKUP(B1480,'INSUMOS  JULIO'!$B$6:$CJ$109,48,0),"")</f>
        <v>0</v>
      </c>
      <c r="G1480" s="8">
        <f>IFERROR(VLOOKUP($B1480,'INSUMOS  JULIO'!$B$6:$CJ$109,49,0),"")</f>
        <v>5359.049</v>
      </c>
      <c r="H1480" s="19">
        <f t="shared" si="92"/>
        <v>0</v>
      </c>
      <c r="I1480" s="1">
        <f t="shared" si="93"/>
        <v>0</v>
      </c>
      <c r="J1480" s="1">
        <f t="shared" si="94"/>
        <v>0</v>
      </c>
      <c r="K1480" s="19">
        <f t="shared" si="95"/>
        <v>0</v>
      </c>
    </row>
    <row r="1481" spans="2:11" ht="15">
      <c r="B1481" s="151">
        <v>57</v>
      </c>
      <c r="C1481" s="7" t="s">
        <v>33</v>
      </c>
      <c r="D1481" s="4" t="s">
        <v>34</v>
      </c>
      <c r="E1481" t="s">
        <v>487</v>
      </c>
      <c r="F1481" s="12">
        <f>IFERROR(VLOOKUP(B1481,'INSUMOS  JULIO'!$B$6:$CJ$109,48,0),"")</f>
        <v>0</v>
      </c>
      <c r="G1481" s="8">
        <f>IFERROR(VLOOKUP($B1481,'INSUMOS  JULIO'!$B$6:$CJ$109,49,0),"")</f>
        <v>12823.251000000004</v>
      </c>
      <c r="H1481" s="19">
        <f t="shared" si="92"/>
        <v>0</v>
      </c>
      <c r="I1481" s="1">
        <f t="shared" si="93"/>
        <v>0</v>
      </c>
      <c r="J1481" s="1">
        <f t="shared" si="94"/>
        <v>0</v>
      </c>
      <c r="K1481" s="19">
        <f t="shared" si="95"/>
        <v>0</v>
      </c>
    </row>
    <row r="1482" spans="2:11" ht="15">
      <c r="B1482" s="151">
        <v>59</v>
      </c>
      <c r="C1482" s="7" t="s">
        <v>16</v>
      </c>
      <c r="D1482" s="4" t="s">
        <v>35</v>
      </c>
      <c r="E1482" t="s">
        <v>487</v>
      </c>
      <c r="F1482" s="12" t="str">
        <f>IFERROR(VLOOKUP(B1482,'INSUMOS  JULIO'!$B$6:$CJ$109,48,0),"")</f>
        <v>0</v>
      </c>
      <c r="G1482" s="8">
        <f>IFERROR(VLOOKUP($B1482,'INSUMOS  JULIO'!$B$6:$CJ$109,49,0),"")</f>
        <v>5528.260000000002</v>
      </c>
      <c r="H1482" s="19">
        <f t="shared" si="92"/>
        <v>0</v>
      </c>
      <c r="I1482" s="1">
        <f t="shared" si="93"/>
        <v>0</v>
      </c>
      <c r="J1482" s="1">
        <f t="shared" si="94"/>
        <v>0</v>
      </c>
      <c r="K1482" s="19">
        <f t="shared" si="95"/>
        <v>0</v>
      </c>
    </row>
    <row r="1483" spans="2:11" ht="15">
      <c r="B1483" s="151">
        <v>62</v>
      </c>
      <c r="C1483" s="7" t="s">
        <v>36</v>
      </c>
      <c r="D1483" s="4" t="s">
        <v>37</v>
      </c>
      <c r="E1483" t="s">
        <v>487</v>
      </c>
      <c r="F1483" s="12">
        <f>IFERROR(VLOOKUP(B1483,'INSUMOS  JULIO'!$B$6:$CJ$109,48,0),"")</f>
        <v>0</v>
      </c>
      <c r="G1483" s="8">
        <f>IFERROR(VLOOKUP($B1483,'INSUMOS  JULIO'!$B$6:$CJ$109,49,0),"")</f>
        <v>5167.7669999999998</v>
      </c>
      <c r="H1483" s="19">
        <f t="shared" si="92"/>
        <v>0</v>
      </c>
      <c r="I1483" s="1">
        <f t="shared" si="93"/>
        <v>0</v>
      </c>
      <c r="J1483" s="1">
        <f t="shared" si="94"/>
        <v>0</v>
      </c>
      <c r="K1483" s="19">
        <f t="shared" si="95"/>
        <v>0</v>
      </c>
    </row>
    <row r="1484" spans="2:11" ht="15">
      <c r="B1484" s="151">
        <v>63</v>
      </c>
      <c r="C1484" s="7" t="s">
        <v>36</v>
      </c>
      <c r="D1484" s="4" t="s">
        <v>38</v>
      </c>
      <c r="E1484" t="s">
        <v>487</v>
      </c>
      <c r="F1484" s="12">
        <f>IFERROR(VLOOKUP(B1484,'INSUMOS  JULIO'!$B$6:$CJ$109,48,0),"")</f>
        <v>0</v>
      </c>
      <c r="G1484" s="8">
        <f>IFERROR(VLOOKUP($B1484,'INSUMOS  JULIO'!$B$6:$CJ$109,49,0),"")</f>
        <v>11443.4982</v>
      </c>
      <c r="H1484" s="19">
        <f t="shared" si="92"/>
        <v>0</v>
      </c>
      <c r="I1484" s="1">
        <f t="shared" si="93"/>
        <v>0</v>
      </c>
      <c r="J1484" s="1">
        <f t="shared" si="94"/>
        <v>0</v>
      </c>
      <c r="K1484" s="19">
        <f t="shared" si="95"/>
        <v>0</v>
      </c>
    </row>
    <row r="1485" spans="2:11" ht="15">
      <c r="B1485" s="151">
        <v>64</v>
      </c>
      <c r="C1485" s="7" t="s">
        <v>39</v>
      </c>
      <c r="D1485" s="4" t="s">
        <v>40</v>
      </c>
      <c r="E1485" t="s">
        <v>487</v>
      </c>
      <c r="F1485" s="12">
        <f>IFERROR(VLOOKUP(B1485,'INSUMOS  JULIO'!$B$6:$CJ$109,48,0),"")</f>
        <v>0</v>
      </c>
      <c r="G1485" s="8">
        <f>IFERROR(VLOOKUP($B1485,'INSUMOS  JULIO'!$B$6:$CJ$109,49,0),"")</f>
        <v>13820.650000000001</v>
      </c>
      <c r="H1485" s="19">
        <f t="shared" si="92"/>
        <v>0</v>
      </c>
      <c r="I1485" s="1">
        <f t="shared" si="93"/>
        <v>0</v>
      </c>
      <c r="J1485" s="1">
        <f t="shared" si="94"/>
        <v>0</v>
      </c>
      <c r="K1485" s="19">
        <f t="shared" si="95"/>
        <v>0</v>
      </c>
    </row>
    <row r="1486" spans="2:11" ht="15">
      <c r="B1486" s="151">
        <v>65</v>
      </c>
      <c r="C1486" s="7" t="s">
        <v>39</v>
      </c>
      <c r="D1486" s="4" t="s">
        <v>41</v>
      </c>
      <c r="E1486" t="s">
        <v>487</v>
      </c>
      <c r="F1486" s="12">
        <f>IFERROR(VLOOKUP(B1486,'INSUMOS  JULIO'!$B$6:$CJ$109,48,0),"")</f>
        <v>0</v>
      </c>
      <c r="G1486" s="8">
        <f>IFERROR(VLOOKUP($B1486,'INSUMOS  JULIO'!$B$6:$CJ$109,49,0),"")</f>
        <v>13820.650000000001</v>
      </c>
      <c r="H1486" s="19">
        <f t="shared" si="92"/>
        <v>0</v>
      </c>
      <c r="I1486" s="1">
        <f t="shared" si="93"/>
        <v>0</v>
      </c>
      <c r="J1486" s="1">
        <f t="shared" si="94"/>
        <v>0</v>
      </c>
      <c r="K1486" s="19">
        <f t="shared" si="95"/>
        <v>0</v>
      </c>
    </row>
    <row r="1487" spans="2:11" ht="15">
      <c r="B1487" s="151">
        <v>66</v>
      </c>
      <c r="C1487" s="7" t="s">
        <v>151</v>
      </c>
      <c r="D1487" s="4" t="s">
        <v>42</v>
      </c>
      <c r="E1487" t="s">
        <v>487</v>
      </c>
      <c r="F1487" s="12">
        <f>IFERROR(VLOOKUP(B1487,'INSUMOS  JULIO'!$B$6:$CJ$109,48,0),"")</f>
        <v>0</v>
      </c>
      <c r="G1487" s="8">
        <f>IFERROR(VLOOKUP($B1487,'INSUMOS  JULIO'!$B$6:$CJ$109,49,0),"")</f>
        <v>2887.0970000000002</v>
      </c>
      <c r="H1487" s="19">
        <f t="shared" si="92"/>
        <v>0</v>
      </c>
      <c r="I1487" s="1">
        <f t="shared" si="93"/>
        <v>0</v>
      </c>
      <c r="J1487" s="1">
        <f t="shared" si="94"/>
        <v>0</v>
      </c>
      <c r="K1487" s="19">
        <f t="shared" si="95"/>
        <v>0</v>
      </c>
    </row>
    <row r="1488" spans="2:11" ht="15">
      <c r="B1488" s="151">
        <v>71</v>
      </c>
      <c r="C1488" s="7" t="s">
        <v>151</v>
      </c>
      <c r="D1488" s="4" t="s">
        <v>43</v>
      </c>
      <c r="E1488" t="s">
        <v>487</v>
      </c>
      <c r="F1488" s="12" t="str">
        <f>IFERROR(VLOOKUP(B1488,'INSUMOS  JULIO'!$B$6:$CJ$109,48,0),"")</f>
        <v>0</v>
      </c>
      <c r="G1488" s="8">
        <f>IFERROR(VLOOKUP($B1488,'INSUMOS  JULIO'!$B$6:$CJ$109,49,0),"")</f>
        <v>5196.1440000000002</v>
      </c>
      <c r="H1488" s="19">
        <f t="shared" si="92"/>
        <v>0</v>
      </c>
      <c r="I1488" s="1">
        <f t="shared" si="93"/>
        <v>0</v>
      </c>
      <c r="J1488" s="1">
        <f t="shared" si="94"/>
        <v>0</v>
      </c>
      <c r="K1488" s="19">
        <f t="shared" si="95"/>
        <v>0</v>
      </c>
    </row>
    <row r="1489" spans="2:11" ht="15">
      <c r="B1489" s="151">
        <v>72</v>
      </c>
      <c r="C1489" s="7" t="s">
        <v>151</v>
      </c>
      <c r="D1489" s="4" t="s">
        <v>44</v>
      </c>
      <c r="E1489" t="s">
        <v>487</v>
      </c>
      <c r="F1489" s="12">
        <f>IFERROR(VLOOKUP(B1489,'INSUMOS  JULIO'!$B$6:$CJ$109,48,0),"")</f>
        <v>0</v>
      </c>
      <c r="G1489" s="8">
        <f>IFERROR(VLOOKUP($B1489,'INSUMOS  JULIO'!$B$6:$CJ$109,49,0),"")</f>
        <v>5196.1440000000002</v>
      </c>
      <c r="H1489" s="19">
        <f t="shared" si="92"/>
        <v>0</v>
      </c>
      <c r="I1489" s="1">
        <f t="shared" si="93"/>
        <v>0</v>
      </c>
      <c r="J1489" s="1">
        <f t="shared" si="94"/>
        <v>0</v>
      </c>
      <c r="K1489" s="19">
        <f t="shared" si="95"/>
        <v>0</v>
      </c>
    </row>
    <row r="1490" spans="2:11" ht="27">
      <c r="B1490" s="151">
        <v>73</v>
      </c>
      <c r="C1490" s="7" t="s">
        <v>151</v>
      </c>
      <c r="D1490" s="4" t="s">
        <v>45</v>
      </c>
      <c r="E1490" t="s">
        <v>487</v>
      </c>
      <c r="F1490" s="12">
        <f>IFERROR(VLOOKUP(B1490,'INSUMOS  JULIO'!$B$6:$CJ$109,48,0),"")</f>
        <v>0</v>
      </c>
      <c r="G1490" s="8">
        <f>IFERROR(VLOOKUP($B1490,'INSUMOS  JULIO'!$B$6:$CJ$109,49,0),"")</f>
        <v>4975.4340000000011</v>
      </c>
      <c r="H1490" s="19">
        <f t="shared" si="92"/>
        <v>0</v>
      </c>
      <c r="I1490" s="1">
        <f t="shared" si="93"/>
        <v>0</v>
      </c>
      <c r="J1490" s="1">
        <f t="shared" si="94"/>
        <v>0</v>
      </c>
      <c r="K1490" s="19">
        <f t="shared" si="95"/>
        <v>0</v>
      </c>
    </row>
    <row r="1491" spans="2:11" ht="15">
      <c r="B1491" s="151">
        <v>74</v>
      </c>
      <c r="C1491" s="7" t="s">
        <v>46</v>
      </c>
      <c r="D1491" s="4" t="s">
        <v>47</v>
      </c>
      <c r="E1491" t="s">
        <v>487</v>
      </c>
      <c r="F1491" s="12">
        <f>IFERROR(VLOOKUP(B1491,'INSUMOS  JULIO'!$B$6:$CJ$109,48,0),"")</f>
        <v>0</v>
      </c>
      <c r="G1491" s="8">
        <f>IFERROR(VLOOKUP($B1491,'INSUMOS  JULIO'!$B$6:$CJ$109,49,0),"")</f>
        <v>3261.2529999999997</v>
      </c>
      <c r="H1491" s="19">
        <f t="shared" si="92"/>
        <v>0</v>
      </c>
      <c r="I1491" s="1">
        <f t="shared" si="93"/>
        <v>0</v>
      </c>
      <c r="J1491" s="1">
        <f t="shared" si="94"/>
        <v>0</v>
      </c>
      <c r="K1491" s="19">
        <f t="shared" si="95"/>
        <v>0</v>
      </c>
    </row>
    <row r="1492" spans="2:11" ht="15">
      <c r="B1492" s="151">
        <v>79</v>
      </c>
      <c r="C1492" s="7" t="s">
        <v>159</v>
      </c>
      <c r="D1492" s="4" t="s">
        <v>48</v>
      </c>
      <c r="E1492" t="s">
        <v>487</v>
      </c>
      <c r="F1492" s="12">
        <f>IFERROR(VLOOKUP(B1492,'INSUMOS  JULIO'!$B$6:$CJ$109,48,0),"")</f>
        <v>0</v>
      </c>
      <c r="G1492" s="8">
        <f>IFERROR(VLOOKUP($B1492,'INSUMOS  JULIO'!$B$6:$CJ$109,49,0),"")</f>
        <v>541.2650000000001</v>
      </c>
      <c r="H1492" s="19">
        <f t="shared" si="92"/>
        <v>0</v>
      </c>
      <c r="I1492" s="1">
        <f t="shared" si="93"/>
        <v>0</v>
      </c>
      <c r="J1492" s="1">
        <f t="shared" si="94"/>
        <v>0</v>
      </c>
      <c r="K1492" s="19">
        <f t="shared" si="95"/>
        <v>0</v>
      </c>
    </row>
    <row r="1493" spans="2:11" ht="15">
      <c r="B1493" s="151">
        <v>80</v>
      </c>
      <c r="C1493" s="7" t="s">
        <v>159</v>
      </c>
      <c r="D1493" s="4" t="s">
        <v>49</v>
      </c>
      <c r="E1493" t="s">
        <v>487</v>
      </c>
      <c r="F1493" s="12">
        <f>IFERROR(VLOOKUP(B1493,'INSUMOS  JULIO'!$B$6:$CJ$109,48,0),"")</f>
        <v>0</v>
      </c>
      <c r="G1493" s="8">
        <f>IFERROR(VLOOKUP($B1493,'INSUMOS  JULIO'!$B$6:$CJ$109,49,0),"")</f>
        <v>433.01199999999994</v>
      </c>
      <c r="H1493" s="19">
        <f t="shared" si="92"/>
        <v>0</v>
      </c>
      <c r="I1493" s="1">
        <f t="shared" si="93"/>
        <v>0</v>
      </c>
      <c r="J1493" s="1">
        <f t="shared" si="94"/>
        <v>0</v>
      </c>
      <c r="K1493" s="19">
        <f t="shared" si="95"/>
        <v>0</v>
      </c>
    </row>
    <row r="1494" spans="2:11" ht="15">
      <c r="B1494" s="151">
        <v>81</v>
      </c>
      <c r="C1494" s="7" t="s">
        <v>159</v>
      </c>
      <c r="D1494" s="4" t="s">
        <v>50</v>
      </c>
      <c r="E1494" t="s">
        <v>487</v>
      </c>
      <c r="F1494" s="12">
        <f>IFERROR(VLOOKUP(B1494,'INSUMOS  JULIO'!$B$6:$CJ$109,48,0),"")</f>
        <v>0</v>
      </c>
      <c r="G1494" s="8">
        <f>IFERROR(VLOOKUP($B1494,'INSUMOS  JULIO'!$B$6:$CJ$109,49,0),"")</f>
        <v>211.251</v>
      </c>
      <c r="H1494" s="19">
        <f t="shared" si="92"/>
        <v>0</v>
      </c>
      <c r="I1494" s="1">
        <f t="shared" si="93"/>
        <v>0</v>
      </c>
      <c r="J1494" s="1">
        <f t="shared" si="94"/>
        <v>0</v>
      </c>
      <c r="K1494" s="19">
        <f t="shared" si="95"/>
        <v>0</v>
      </c>
    </row>
    <row r="1495" spans="2:11" ht="15">
      <c r="B1495" s="151">
        <v>82</v>
      </c>
      <c r="C1495" s="7" t="s">
        <v>159</v>
      </c>
      <c r="D1495" s="4" t="s">
        <v>51</v>
      </c>
      <c r="E1495" t="s">
        <v>487</v>
      </c>
      <c r="F1495" s="12" t="str">
        <f>IFERROR(VLOOKUP(B1495,'INSUMOS  JULIO'!$B$6:$CJ$109,48,0),"")</f>
        <v>0</v>
      </c>
      <c r="G1495" s="8">
        <f>IFERROR(VLOOKUP($B1495,'INSUMOS  JULIO'!$B$6:$CJ$109,49,0),"")</f>
        <v>1003.7049999999999</v>
      </c>
      <c r="H1495" s="19">
        <f t="shared" si="92"/>
        <v>0</v>
      </c>
      <c r="I1495" s="1">
        <f t="shared" si="93"/>
        <v>0</v>
      </c>
      <c r="J1495" s="1">
        <f t="shared" si="94"/>
        <v>0</v>
      </c>
      <c r="K1495" s="19">
        <f t="shared" si="95"/>
        <v>0</v>
      </c>
    </row>
    <row r="1496" spans="2:11" ht="15">
      <c r="B1496" s="151">
        <v>83</v>
      </c>
      <c r="C1496" s="7" t="s">
        <v>159</v>
      </c>
      <c r="D1496" s="4" t="s">
        <v>52</v>
      </c>
      <c r="E1496" t="s">
        <v>487</v>
      </c>
      <c r="F1496" s="12" t="str">
        <f>IFERROR(VLOOKUP(B1496,'INSUMOS  JULIO'!$B$6:$CJ$109,48,0),"")</f>
        <v>0</v>
      </c>
      <c r="G1496" s="8">
        <f>IFERROR(VLOOKUP($B1496,'INSUMOS  JULIO'!$B$6:$CJ$109,49,0),"")</f>
        <v>336.32</v>
      </c>
      <c r="H1496" s="19">
        <f t="shared" si="92"/>
        <v>0</v>
      </c>
      <c r="I1496" s="1">
        <f t="shared" si="93"/>
        <v>0</v>
      </c>
      <c r="J1496" s="1">
        <f t="shared" si="94"/>
        <v>0</v>
      </c>
      <c r="K1496" s="19">
        <f t="shared" si="95"/>
        <v>0</v>
      </c>
    </row>
    <row r="1497" spans="2:11" ht="15">
      <c r="B1497" s="151">
        <v>86</v>
      </c>
      <c r="C1497" s="7" t="s">
        <v>53</v>
      </c>
      <c r="D1497" s="4" t="s">
        <v>54</v>
      </c>
      <c r="E1497" t="s">
        <v>487</v>
      </c>
      <c r="F1497" s="12" t="str">
        <f>IFERROR(VLOOKUP(B1497,'INSUMOS  JULIO'!$B$6:$CJ$109,48,0),"")</f>
        <v>0</v>
      </c>
      <c r="G1497" s="8">
        <f>IFERROR(VLOOKUP($B1497,'INSUMOS  JULIO'!$B$6:$CJ$109,49,0),"")</f>
        <v>2792.5070000000005</v>
      </c>
      <c r="H1497" s="19">
        <f t="shared" si="92"/>
        <v>0</v>
      </c>
      <c r="I1497" s="1">
        <f t="shared" si="93"/>
        <v>0</v>
      </c>
      <c r="J1497" s="1">
        <f t="shared" si="94"/>
        <v>0</v>
      </c>
      <c r="K1497" s="19">
        <f t="shared" si="95"/>
        <v>0</v>
      </c>
    </row>
    <row r="1498" spans="2:11" ht="15">
      <c r="B1498" s="151">
        <v>87</v>
      </c>
      <c r="C1498" s="7" t="s">
        <v>53</v>
      </c>
      <c r="D1498" s="4" t="s">
        <v>55</v>
      </c>
      <c r="E1498" t="s">
        <v>487</v>
      </c>
      <c r="F1498" s="12" t="str">
        <f>IFERROR(VLOOKUP(B1498,'INSUMOS  JULIO'!$B$6:$CJ$109,48,0),"")</f>
        <v>0</v>
      </c>
      <c r="G1498" s="8">
        <f>IFERROR(VLOOKUP($B1498,'INSUMOS  JULIO'!$B$6:$CJ$109,49,0),"")</f>
        <v>0</v>
      </c>
      <c r="H1498" s="19">
        <f t="shared" si="92"/>
        <v>0</v>
      </c>
      <c r="I1498" s="1">
        <f t="shared" si="93"/>
        <v>0</v>
      </c>
      <c r="J1498" s="1">
        <f t="shared" si="94"/>
        <v>0</v>
      </c>
      <c r="K1498" s="19">
        <f t="shared" si="95"/>
        <v>0</v>
      </c>
    </row>
    <row r="1499" spans="2:11" ht="15">
      <c r="B1499" s="151">
        <v>88</v>
      </c>
      <c r="C1499" s="7" t="s">
        <v>53</v>
      </c>
      <c r="D1499" s="4" t="s">
        <v>56</v>
      </c>
      <c r="E1499" t="s">
        <v>487</v>
      </c>
      <c r="F1499" s="12">
        <f>IFERROR(VLOOKUP(B1499,'INSUMOS  JULIO'!$B$6:$CJ$109,48,0),"")</f>
        <v>0</v>
      </c>
      <c r="G1499" s="8">
        <f>IFERROR(VLOOKUP($B1499,'INSUMOS  JULIO'!$B$6:$CJ$109,49,0),"")</f>
        <v>2717.886</v>
      </c>
      <c r="H1499" s="19">
        <f t="shared" si="92"/>
        <v>0</v>
      </c>
      <c r="I1499" s="1">
        <f t="shared" si="93"/>
        <v>0</v>
      </c>
      <c r="J1499" s="1">
        <f t="shared" si="94"/>
        <v>0</v>
      </c>
      <c r="K1499" s="19">
        <f t="shared" si="95"/>
        <v>0</v>
      </c>
    </row>
    <row r="1500" spans="2:11" ht="15">
      <c r="B1500" s="151">
        <v>89</v>
      </c>
      <c r="C1500" s="7" t="s">
        <v>53</v>
      </c>
      <c r="D1500" s="4" t="s">
        <v>57</v>
      </c>
      <c r="E1500" t="s">
        <v>487</v>
      </c>
      <c r="F1500" s="12" t="str">
        <f>IFERROR(VLOOKUP(B1500,'INSUMOS  JULIO'!$B$6:$CJ$109,48,0),"")</f>
        <v>0</v>
      </c>
      <c r="G1500" s="8">
        <f>IFERROR(VLOOKUP($B1500,'INSUMOS  JULIO'!$B$6:$CJ$109,49,0),"")</f>
        <v>2650.6220000000003</v>
      </c>
      <c r="H1500" s="19">
        <f t="shared" si="92"/>
        <v>0</v>
      </c>
      <c r="I1500" s="1">
        <f t="shared" si="93"/>
        <v>0</v>
      </c>
      <c r="J1500" s="1">
        <f t="shared" si="94"/>
        <v>0</v>
      </c>
      <c r="K1500" s="19">
        <f t="shared" si="95"/>
        <v>0</v>
      </c>
    </row>
    <row r="1501" spans="2:11" ht="15">
      <c r="B1501" s="151">
        <v>91</v>
      </c>
      <c r="C1501" s="7" t="s">
        <v>160</v>
      </c>
      <c r="D1501" s="4" t="s">
        <v>58</v>
      </c>
      <c r="E1501" t="s">
        <v>487</v>
      </c>
      <c r="F1501" s="12" t="str">
        <f>IFERROR(VLOOKUP(B1501,'INSUMOS  JULIO'!$B$6:$CJ$109,48,0),"")</f>
        <v>0</v>
      </c>
      <c r="G1501" s="8">
        <f>IFERROR(VLOOKUP($B1501,'INSUMOS  JULIO'!$B$6:$CJ$109,49,0),"")</f>
        <v>4364.8029999999999</v>
      </c>
      <c r="H1501" s="19">
        <f t="shared" si="92"/>
        <v>0</v>
      </c>
      <c r="I1501" s="1">
        <f t="shared" si="93"/>
        <v>0</v>
      </c>
      <c r="J1501" s="1">
        <f t="shared" si="94"/>
        <v>0</v>
      </c>
      <c r="K1501" s="19">
        <f t="shared" si="95"/>
        <v>0</v>
      </c>
    </row>
    <row r="1502" spans="2:11" ht="15">
      <c r="B1502" s="151">
        <v>92</v>
      </c>
      <c r="C1502" s="7" t="s">
        <v>160</v>
      </c>
      <c r="D1502" s="4" t="s">
        <v>59</v>
      </c>
      <c r="E1502" t="s">
        <v>487</v>
      </c>
      <c r="F1502" s="12" t="str">
        <f>IFERROR(VLOOKUP(B1502,'INSUMOS  JULIO'!$B$6:$CJ$109,48,0),"")</f>
        <v>0</v>
      </c>
      <c r="G1502" s="8">
        <f>IFERROR(VLOOKUP($B1502,'INSUMOS  JULIO'!$B$6:$CJ$109,49,0),"")</f>
        <v>2380.5149999999999</v>
      </c>
      <c r="H1502" s="19">
        <f t="shared" si="92"/>
        <v>0</v>
      </c>
      <c r="I1502" s="1">
        <f t="shared" si="93"/>
        <v>0</v>
      </c>
      <c r="J1502" s="1">
        <f t="shared" si="94"/>
        <v>0</v>
      </c>
      <c r="K1502" s="19">
        <f t="shared" si="95"/>
        <v>0</v>
      </c>
    </row>
    <row r="1503" spans="2:11" ht="15">
      <c r="B1503" s="151">
        <v>94</v>
      </c>
      <c r="C1503" s="7" t="s">
        <v>60</v>
      </c>
      <c r="D1503" s="4" t="s">
        <v>61</v>
      </c>
      <c r="E1503" t="s">
        <v>487</v>
      </c>
      <c r="F1503" s="12" t="str">
        <f>IFERROR(VLOOKUP(B1503,'INSUMOS  JULIO'!$B$6:$CJ$109,48,0),"")</f>
        <v>0</v>
      </c>
      <c r="G1503" s="8">
        <f>IFERROR(VLOOKUP($B1503,'INSUMOS  JULIO'!$B$6:$CJ$109,49,0),"")</f>
        <v>3316.9560000000001</v>
      </c>
      <c r="H1503" s="19">
        <f t="shared" si="92"/>
        <v>0</v>
      </c>
      <c r="I1503" s="1">
        <f t="shared" si="93"/>
        <v>0</v>
      </c>
      <c r="J1503" s="1">
        <f t="shared" si="94"/>
        <v>0</v>
      </c>
      <c r="K1503" s="19">
        <f t="shared" si="95"/>
        <v>0</v>
      </c>
    </row>
    <row r="1504" spans="2:11" ht="15">
      <c r="B1504" s="151">
        <v>95</v>
      </c>
      <c r="C1504" s="7" t="s">
        <v>60</v>
      </c>
      <c r="D1504" s="4" t="s">
        <v>62</v>
      </c>
      <c r="E1504" t="s">
        <v>487</v>
      </c>
      <c r="F1504" s="12" t="str">
        <f>IFERROR(VLOOKUP(B1504,'INSUMOS  JULIO'!$B$6:$CJ$109,48,0),"")</f>
        <v>0</v>
      </c>
      <c r="G1504" s="8">
        <f>IFERROR(VLOOKUP($B1504,'INSUMOS  JULIO'!$B$6:$CJ$109,49,0),"")</f>
        <v>11056.52</v>
      </c>
      <c r="H1504" s="19">
        <f t="shared" si="92"/>
        <v>0</v>
      </c>
      <c r="I1504" s="1">
        <f t="shared" si="93"/>
        <v>0</v>
      </c>
      <c r="J1504" s="1">
        <f t="shared" si="94"/>
        <v>0</v>
      </c>
      <c r="K1504" s="19">
        <f t="shared" si="95"/>
        <v>0</v>
      </c>
    </row>
    <row r="1505" spans="2:11" ht="15">
      <c r="B1505" s="151">
        <v>98</v>
      </c>
      <c r="C1505" s="7" t="s">
        <v>151</v>
      </c>
      <c r="D1505" s="4" t="s">
        <v>63</v>
      </c>
      <c r="E1505" t="s">
        <v>487</v>
      </c>
      <c r="F1505" s="12">
        <f>IFERROR(VLOOKUP(B1505,'INSUMOS  JULIO'!$B$6:$CJ$109,48,0),"")</f>
        <v>0</v>
      </c>
      <c r="G1505" s="8">
        <f>IFERROR(VLOOKUP($B1505,'INSUMOS  JULIO'!$B$6:$CJ$109,49,0),"")</f>
        <v>6633.9120000000003</v>
      </c>
      <c r="H1505" s="19">
        <f t="shared" si="92"/>
        <v>0</v>
      </c>
      <c r="I1505" s="1">
        <f t="shared" si="93"/>
        <v>0</v>
      </c>
      <c r="J1505" s="1">
        <f t="shared" si="94"/>
        <v>0</v>
      </c>
      <c r="K1505" s="19">
        <f t="shared" si="95"/>
        <v>0</v>
      </c>
    </row>
    <row r="1506" spans="2:11" ht="15">
      <c r="B1506" s="151">
        <v>100</v>
      </c>
      <c r="C1506" s="7" t="s">
        <v>160</v>
      </c>
      <c r="D1506" s="4" t="s">
        <v>64</v>
      </c>
      <c r="E1506" t="s">
        <v>487</v>
      </c>
      <c r="F1506" s="12" t="str">
        <f>IFERROR(VLOOKUP(B1506,'INSUMOS  JULIO'!$B$6:$CJ$109,48,0),"")</f>
        <v>0</v>
      </c>
      <c r="G1506" s="8">
        <f>IFERROR(VLOOKUP($B1506,'INSUMOS  JULIO'!$B$6:$CJ$109,49,0),"")</f>
        <v>4364.8029999999999</v>
      </c>
      <c r="H1506" s="19">
        <f t="shared" si="92"/>
        <v>0</v>
      </c>
      <c r="I1506" s="1">
        <f t="shared" si="93"/>
        <v>0</v>
      </c>
      <c r="J1506" s="1">
        <f t="shared" si="94"/>
        <v>0</v>
      </c>
      <c r="K1506" s="19">
        <f t="shared" si="95"/>
        <v>0</v>
      </c>
    </row>
    <row r="1507" spans="2:11" ht="15">
      <c r="B1507" s="151">
        <v>102</v>
      </c>
      <c r="C1507" s="7" t="s">
        <v>60</v>
      </c>
      <c r="D1507" s="4" t="s">
        <v>65</v>
      </c>
      <c r="E1507" t="s">
        <v>487</v>
      </c>
      <c r="F1507" s="12" t="str">
        <f>IFERROR(VLOOKUP(B1507,'INSUMOS  JULIO'!$B$6:$CJ$109,48,0),"")</f>
        <v>0</v>
      </c>
      <c r="G1507" s="8">
        <f>IFERROR(VLOOKUP($B1507,'INSUMOS  JULIO'!$B$6:$CJ$109,49,0),"")</f>
        <v>3811.9770000000003</v>
      </c>
      <c r="H1507" s="19">
        <f t="shared" si="92"/>
        <v>0</v>
      </c>
      <c r="I1507" s="1">
        <f t="shared" si="93"/>
        <v>0</v>
      </c>
      <c r="J1507" s="1">
        <f t="shared" si="94"/>
        <v>0</v>
      </c>
      <c r="K1507" s="19">
        <f t="shared" si="95"/>
        <v>0</v>
      </c>
    </row>
    <row r="1508" spans="2:11" ht="15">
      <c r="B1508" s="151">
        <v>103</v>
      </c>
      <c r="C1508" s="7" t="s">
        <v>66</v>
      </c>
      <c r="D1508" s="4" t="s">
        <v>67</v>
      </c>
      <c r="E1508" t="s">
        <v>487</v>
      </c>
      <c r="F1508" s="12" t="str">
        <f>IFERROR(VLOOKUP(B1508,'INSUMOS  JULIO'!$B$6:$CJ$109,48,0),"")</f>
        <v>0</v>
      </c>
      <c r="G1508" s="8">
        <f>IFERROR(VLOOKUP($B1508,'INSUMOS  JULIO'!$B$6:$CJ$109,49,0),"")</f>
        <v>18022.547999999999</v>
      </c>
      <c r="H1508" s="19">
        <f t="shared" si="92"/>
        <v>0</v>
      </c>
      <c r="I1508" s="1">
        <f t="shared" si="93"/>
        <v>0</v>
      </c>
      <c r="J1508" s="1">
        <f t="shared" si="94"/>
        <v>0</v>
      </c>
      <c r="K1508" s="19">
        <f t="shared" si="95"/>
        <v>0</v>
      </c>
    </row>
    <row r="1509" spans="2:11" ht="15">
      <c r="B1509" s="151">
        <v>104</v>
      </c>
      <c r="C1509" s="7" t="s">
        <v>66</v>
      </c>
      <c r="D1509" s="4" t="s">
        <v>68</v>
      </c>
      <c r="E1509" t="s">
        <v>487</v>
      </c>
      <c r="F1509" s="12" t="str">
        <f>IFERROR(VLOOKUP(B1509,'INSUMOS  JULIO'!$B$6:$CJ$109,48,0),"")</f>
        <v>0</v>
      </c>
      <c r="G1509" s="8">
        <f>IFERROR(VLOOKUP($B1509,'INSUMOS  JULIO'!$B$6:$CJ$109,49,0),"")</f>
        <v>18022.547999999999</v>
      </c>
      <c r="H1509" s="19">
        <f t="shared" si="92"/>
        <v>0</v>
      </c>
      <c r="I1509" s="1">
        <f t="shared" si="93"/>
        <v>0</v>
      </c>
      <c r="J1509" s="1">
        <f t="shared" si="94"/>
        <v>0</v>
      </c>
      <c r="K1509" s="19">
        <f t="shared" si="95"/>
        <v>0</v>
      </c>
    </row>
    <row r="1510" spans="2:11" ht="15">
      <c r="B1510" s="151">
        <v>105</v>
      </c>
      <c r="C1510" s="7" t="s">
        <v>66</v>
      </c>
      <c r="D1510" s="4" t="s">
        <v>69</v>
      </c>
      <c r="E1510" t="s">
        <v>487</v>
      </c>
      <c r="F1510" s="12" t="str">
        <f>IFERROR(VLOOKUP(B1510,'INSUMOS  JULIO'!$B$6:$CJ$109,48,0),"")</f>
        <v>0</v>
      </c>
      <c r="G1510" s="8">
        <f>IFERROR(VLOOKUP($B1510,'INSUMOS  JULIO'!$B$6:$CJ$109,49,0),"")</f>
        <v>27641.3</v>
      </c>
      <c r="H1510" s="19">
        <f t="shared" si="92"/>
        <v>0</v>
      </c>
      <c r="I1510" s="1">
        <f t="shared" si="93"/>
        <v>0</v>
      </c>
      <c r="J1510" s="1">
        <f t="shared" si="94"/>
        <v>0</v>
      </c>
      <c r="K1510" s="19">
        <f t="shared" si="95"/>
        <v>0</v>
      </c>
    </row>
    <row r="1511" spans="2:11" ht="15">
      <c r="B1511" s="151">
        <v>106</v>
      </c>
      <c r="C1511" s="7" t="s">
        <v>66</v>
      </c>
      <c r="D1511" s="4" t="s">
        <v>70</v>
      </c>
      <c r="E1511" t="s">
        <v>487</v>
      </c>
      <c r="F1511" s="12" t="str">
        <f>IFERROR(VLOOKUP(B1511,'INSUMOS  JULIO'!$B$6:$CJ$109,48,0),"")</f>
        <v>0</v>
      </c>
      <c r="G1511" s="8">
        <f>IFERROR(VLOOKUP($B1511,'INSUMOS  JULIO'!$B$6:$CJ$109,49,0),"")</f>
        <v>0</v>
      </c>
      <c r="H1511" s="19">
        <f t="shared" si="92"/>
        <v>0</v>
      </c>
      <c r="I1511" s="1">
        <f t="shared" si="93"/>
        <v>0</v>
      </c>
      <c r="J1511" s="1">
        <f t="shared" si="94"/>
        <v>0</v>
      </c>
      <c r="K1511" s="19">
        <f t="shared" si="95"/>
        <v>0</v>
      </c>
    </row>
    <row r="1512" spans="2:11" ht="15">
      <c r="B1512" s="151">
        <v>108</v>
      </c>
      <c r="C1512" s="7" t="s">
        <v>66</v>
      </c>
      <c r="D1512" s="4" t="s">
        <v>71</v>
      </c>
      <c r="E1512" t="s">
        <v>487</v>
      </c>
      <c r="F1512" s="12" t="str">
        <f>IFERROR(VLOOKUP(B1512,'INSUMOS  JULIO'!$B$6:$CJ$109,48,0),"")</f>
        <v>0</v>
      </c>
      <c r="G1512" s="8">
        <f>IFERROR(VLOOKUP($B1512,'INSUMOS  JULIO'!$B$6:$CJ$109,49,0),"")</f>
        <v>38697.82</v>
      </c>
      <c r="H1512" s="19">
        <f t="shared" si="92"/>
        <v>0</v>
      </c>
      <c r="I1512" s="1">
        <f t="shared" si="93"/>
        <v>0</v>
      </c>
      <c r="J1512" s="1">
        <f t="shared" si="94"/>
        <v>0</v>
      </c>
      <c r="K1512" s="19">
        <f t="shared" si="95"/>
        <v>0</v>
      </c>
    </row>
    <row r="1513" spans="2:11" ht="15">
      <c r="B1513" s="151">
        <v>109</v>
      </c>
      <c r="C1513" s="7" t="s">
        <v>66</v>
      </c>
      <c r="D1513" s="4" t="s">
        <v>72</v>
      </c>
      <c r="E1513" t="s">
        <v>487</v>
      </c>
      <c r="F1513" s="12" t="str">
        <f>IFERROR(VLOOKUP(B1513,'INSUMOS  JULIO'!$B$6:$CJ$109,48,0),"")</f>
        <v>0</v>
      </c>
      <c r="G1513" s="8">
        <f>IFERROR(VLOOKUP($B1513,'INSUMOS  JULIO'!$B$6:$CJ$109,49,0),"")</f>
        <v>49754.340000000004</v>
      </c>
      <c r="H1513" s="19">
        <f t="shared" si="92"/>
        <v>0</v>
      </c>
      <c r="I1513" s="1">
        <f t="shared" si="93"/>
        <v>0</v>
      </c>
      <c r="J1513" s="1">
        <f t="shared" si="94"/>
        <v>0</v>
      </c>
      <c r="K1513" s="19">
        <f t="shared" si="95"/>
        <v>0</v>
      </c>
    </row>
    <row r="1514" spans="2:11" ht="15">
      <c r="B1514" s="151">
        <v>110</v>
      </c>
      <c r="C1514" s="7" t="s">
        <v>158</v>
      </c>
      <c r="D1514" s="4" t="s">
        <v>73</v>
      </c>
      <c r="E1514" t="s">
        <v>487</v>
      </c>
      <c r="F1514" s="12">
        <f>IFERROR(VLOOKUP(B1514,'INSUMOS  JULIO'!$B$6:$CJ$109,48,0),"")</f>
        <v>0</v>
      </c>
      <c r="G1514" s="8">
        <f>IFERROR(VLOOKUP($B1514,'INSUMOS  JULIO'!$B$6:$CJ$109,49,0),"")</f>
        <v>1442.4974999999999</v>
      </c>
      <c r="H1514" s="19">
        <f t="shared" si="92"/>
        <v>0</v>
      </c>
      <c r="I1514" s="1">
        <f t="shared" si="93"/>
        <v>0</v>
      </c>
      <c r="J1514" s="1">
        <f t="shared" si="94"/>
        <v>0</v>
      </c>
      <c r="K1514" s="19">
        <f t="shared" si="95"/>
        <v>0</v>
      </c>
    </row>
    <row r="1515" spans="2:11" ht="15">
      <c r="B1515" s="151">
        <v>118</v>
      </c>
      <c r="C1515" s="7" t="s">
        <v>158</v>
      </c>
      <c r="D1515" s="4" t="s">
        <v>74</v>
      </c>
      <c r="E1515" t="s">
        <v>487</v>
      </c>
      <c r="F1515" s="12">
        <f>IFERROR(VLOOKUP(B1515,'INSUMOS  JULIO'!$B$6:$CJ$109,48,0),"")</f>
        <v>0</v>
      </c>
      <c r="G1515" s="8">
        <f>IFERROR(VLOOKUP($B1515,'INSUMOS  JULIO'!$B$6:$CJ$109,49,0),"")</f>
        <v>4129.7993999999999</v>
      </c>
      <c r="H1515" s="19">
        <f t="shared" si="92"/>
        <v>0</v>
      </c>
      <c r="I1515" s="1">
        <f t="shared" si="93"/>
        <v>0</v>
      </c>
      <c r="J1515" s="1">
        <f t="shared" si="94"/>
        <v>0</v>
      </c>
      <c r="K1515" s="19">
        <f t="shared" si="95"/>
        <v>0</v>
      </c>
    </row>
    <row r="1516" spans="2:11" ht="15">
      <c r="B1516" s="151">
        <v>119</v>
      </c>
      <c r="C1516" s="7" t="s">
        <v>158</v>
      </c>
      <c r="D1516" s="4" t="s">
        <v>75</v>
      </c>
      <c r="E1516" t="s">
        <v>487</v>
      </c>
      <c r="F1516" s="12" t="str">
        <f>IFERROR(VLOOKUP(B1516,'INSUMOS  JULIO'!$B$6:$CJ$109,48,0),"")</f>
        <v>0</v>
      </c>
      <c r="G1516" s="8">
        <f>IFERROR(VLOOKUP($B1516,'INSUMOS  JULIO'!$B$6:$CJ$109,49,0),"")</f>
        <v>2821.9350000000004</v>
      </c>
      <c r="H1516" s="19">
        <f t="shared" si="92"/>
        <v>0</v>
      </c>
      <c r="I1516" s="1">
        <f t="shared" si="93"/>
        <v>0</v>
      </c>
      <c r="J1516" s="1">
        <f t="shared" si="94"/>
        <v>0</v>
      </c>
      <c r="K1516" s="19">
        <f t="shared" si="95"/>
        <v>0</v>
      </c>
    </row>
    <row r="1517" spans="2:11" ht="15">
      <c r="B1517" s="151">
        <v>120</v>
      </c>
      <c r="C1517" s="7" t="s">
        <v>158</v>
      </c>
      <c r="D1517" s="4" t="s">
        <v>76</v>
      </c>
      <c r="E1517" t="s">
        <v>487</v>
      </c>
      <c r="F1517" s="12" t="str">
        <f>IFERROR(VLOOKUP(B1517,'INSUMOS  JULIO'!$B$6:$CJ$109,48,0),"")</f>
        <v>0</v>
      </c>
      <c r="G1517" s="8">
        <f>IFERROR(VLOOKUP($B1517,'INSUMOS  JULIO'!$B$6:$CJ$109,49,0),"")</f>
        <v>2821.9350000000004</v>
      </c>
      <c r="H1517" s="19">
        <f t="shared" si="92"/>
        <v>0</v>
      </c>
      <c r="I1517" s="1">
        <f t="shared" si="93"/>
        <v>0</v>
      </c>
      <c r="J1517" s="1">
        <f t="shared" si="94"/>
        <v>0</v>
      </c>
      <c r="K1517" s="19">
        <f t="shared" si="95"/>
        <v>0</v>
      </c>
    </row>
    <row r="1518" spans="2:11" ht="15">
      <c r="B1518" s="151">
        <v>122</v>
      </c>
      <c r="C1518" s="7" t="s">
        <v>158</v>
      </c>
      <c r="D1518" s="4" t="s">
        <v>77</v>
      </c>
      <c r="E1518" t="s">
        <v>487</v>
      </c>
      <c r="F1518" s="12" t="str">
        <f>IFERROR(VLOOKUP(B1518,'INSUMOS  JULIO'!$B$6:$CJ$109,48,0),"")</f>
        <v>0</v>
      </c>
      <c r="G1518" s="8">
        <f>IFERROR(VLOOKUP($B1518,'INSUMOS  JULIO'!$B$6:$CJ$109,49,0),"")</f>
        <v>5223.4699999999993</v>
      </c>
      <c r="H1518" s="19">
        <f t="shared" si="92"/>
        <v>0</v>
      </c>
      <c r="I1518" s="1">
        <f t="shared" si="93"/>
        <v>0</v>
      </c>
      <c r="J1518" s="1">
        <f t="shared" si="94"/>
        <v>0</v>
      </c>
      <c r="K1518" s="19">
        <f t="shared" si="95"/>
        <v>0</v>
      </c>
    </row>
    <row r="1519" spans="2:11" ht="15">
      <c r="B1519" s="151">
        <v>123</v>
      </c>
      <c r="C1519" s="7" t="s">
        <v>158</v>
      </c>
      <c r="D1519" s="4" t="s">
        <v>78</v>
      </c>
      <c r="E1519" t="s">
        <v>487</v>
      </c>
      <c r="F1519" s="12" t="str">
        <f>IFERROR(VLOOKUP(B1519,'INSUMOS  JULIO'!$B$6:$CJ$109,48,0),"")</f>
        <v>0</v>
      </c>
      <c r="G1519" s="8">
        <f>IFERROR(VLOOKUP($B1519,'INSUMOS  JULIO'!$B$6:$CJ$109,49,0),"")</f>
        <v>5765.7860000000001</v>
      </c>
      <c r="H1519" s="19">
        <f t="shared" si="92"/>
        <v>0</v>
      </c>
      <c r="I1519" s="1">
        <f t="shared" si="93"/>
        <v>0</v>
      </c>
      <c r="J1519" s="1">
        <f t="shared" si="94"/>
        <v>0</v>
      </c>
      <c r="K1519" s="19">
        <f t="shared" si="95"/>
        <v>0</v>
      </c>
    </row>
    <row r="1520" spans="2:11" ht="15">
      <c r="B1520" s="151">
        <v>124</v>
      </c>
      <c r="C1520" s="7" t="s">
        <v>158</v>
      </c>
      <c r="D1520" s="4" t="s">
        <v>79</v>
      </c>
      <c r="E1520" t="s">
        <v>487</v>
      </c>
      <c r="F1520" s="12" t="str">
        <f>IFERROR(VLOOKUP(B1520,'INSUMOS  JULIO'!$B$6:$CJ$109,48,0),"")</f>
        <v>0</v>
      </c>
      <c r="G1520" s="8">
        <f>IFERROR(VLOOKUP($B1520,'INSUMOS  JULIO'!$B$6:$CJ$109,49,0),"")</f>
        <v>5765.7860000000001</v>
      </c>
      <c r="H1520" s="19">
        <f t="shared" si="92"/>
        <v>0</v>
      </c>
      <c r="I1520" s="1">
        <f t="shared" si="93"/>
        <v>0</v>
      </c>
      <c r="J1520" s="1">
        <f t="shared" si="94"/>
        <v>0</v>
      </c>
      <c r="K1520" s="19">
        <f t="shared" si="95"/>
        <v>0</v>
      </c>
    </row>
    <row r="1521" spans="2:11" ht="15">
      <c r="B1521" s="151">
        <v>126</v>
      </c>
      <c r="C1521" s="7" t="s">
        <v>9</v>
      </c>
      <c r="D1521" s="4" t="s">
        <v>80</v>
      </c>
      <c r="E1521" t="s">
        <v>487</v>
      </c>
      <c r="F1521" s="12" t="str">
        <f>IFERROR(VLOOKUP(B1521,'INSUMOS  JULIO'!$B$6:$CJ$109,48,0),"")</f>
        <v>0</v>
      </c>
      <c r="G1521" s="8">
        <f>IFERROR(VLOOKUP($B1521,'INSUMOS  JULIO'!$B$6:$CJ$109,49,0),"")</f>
        <v>3316.9560000000001</v>
      </c>
      <c r="H1521" s="19">
        <f t="shared" si="92"/>
        <v>0</v>
      </c>
      <c r="I1521" s="1">
        <f t="shared" si="93"/>
        <v>0</v>
      </c>
      <c r="J1521" s="1">
        <f t="shared" si="94"/>
        <v>0</v>
      </c>
      <c r="K1521" s="19">
        <f t="shared" si="95"/>
        <v>0</v>
      </c>
    </row>
    <row r="1522" spans="2:11" ht="15">
      <c r="B1522" s="151">
        <v>127</v>
      </c>
      <c r="C1522" s="7" t="s">
        <v>156</v>
      </c>
      <c r="D1522" s="4" t="s">
        <v>81</v>
      </c>
      <c r="E1522" t="s">
        <v>487</v>
      </c>
      <c r="F1522" s="12" t="str">
        <f>IFERROR(VLOOKUP(B1522,'INSUMOS  JULIO'!$B$6:$CJ$109,48,0),"")</f>
        <v>0</v>
      </c>
      <c r="G1522" s="8">
        <f>IFERROR(VLOOKUP($B1522,'INSUMOS  JULIO'!$B$6:$CJ$109,49,0),"")</f>
        <v>3316.9560000000001</v>
      </c>
      <c r="H1522" s="19">
        <f t="shared" si="92"/>
        <v>0</v>
      </c>
      <c r="I1522" s="1">
        <f t="shared" si="93"/>
        <v>0</v>
      </c>
      <c r="J1522" s="1">
        <f t="shared" si="94"/>
        <v>0</v>
      </c>
      <c r="K1522" s="19">
        <f t="shared" si="95"/>
        <v>0</v>
      </c>
    </row>
    <row r="1523" spans="2:11" ht="15">
      <c r="B1523" s="151">
        <v>129</v>
      </c>
      <c r="C1523" s="7" t="s">
        <v>157</v>
      </c>
      <c r="D1523" s="4" t="s">
        <v>82</v>
      </c>
      <c r="E1523" t="s">
        <v>487</v>
      </c>
      <c r="F1523" s="12" t="str">
        <f>IFERROR(VLOOKUP(B1523,'INSUMOS  JULIO'!$B$6:$CJ$109,48,0),"")</f>
        <v>0</v>
      </c>
      <c r="G1523" s="8">
        <f>IFERROR(VLOOKUP($B1523,'INSUMOS  JULIO'!$B$6:$CJ$109,49,0),"")</f>
        <v>3787.8040000000001</v>
      </c>
      <c r="H1523" s="19">
        <f t="shared" si="92"/>
        <v>0</v>
      </c>
      <c r="I1523" s="1">
        <f t="shared" si="93"/>
        <v>0</v>
      </c>
      <c r="J1523" s="1">
        <f t="shared" si="94"/>
        <v>0</v>
      </c>
      <c r="K1523" s="19">
        <f t="shared" si="95"/>
        <v>0</v>
      </c>
    </row>
    <row r="1524" spans="2:11" ht="15">
      <c r="B1524" s="151">
        <v>131</v>
      </c>
      <c r="C1524" s="7" t="s">
        <v>13</v>
      </c>
      <c r="D1524" s="4" t="s">
        <v>83</v>
      </c>
      <c r="E1524" t="s">
        <v>487</v>
      </c>
      <c r="F1524" s="12" t="str">
        <f>IFERROR(VLOOKUP(B1524,'INSUMOS  JULIO'!$B$6:$CJ$109,48,0),"")</f>
        <v>0</v>
      </c>
      <c r="G1524" s="8">
        <f>IFERROR(VLOOKUP($B1524,'INSUMOS  JULIO'!$B$6:$CJ$109,49,0),"")</f>
        <v>0</v>
      </c>
      <c r="H1524" s="19">
        <f t="shared" si="92"/>
        <v>0</v>
      </c>
      <c r="I1524" s="1">
        <f t="shared" si="93"/>
        <v>0</v>
      </c>
      <c r="J1524" s="1">
        <f t="shared" si="94"/>
        <v>0</v>
      </c>
      <c r="K1524" s="19">
        <f t="shared" si="95"/>
        <v>0</v>
      </c>
    </row>
    <row r="1525" spans="2:11" ht="15">
      <c r="B1525" s="151">
        <v>132</v>
      </c>
      <c r="C1525" s="7" t="s">
        <v>13</v>
      </c>
      <c r="D1525" s="4" t="s">
        <v>84</v>
      </c>
      <c r="E1525" t="s">
        <v>487</v>
      </c>
      <c r="F1525" s="12" t="str">
        <f>IFERROR(VLOOKUP(B1525,'INSUMOS  JULIO'!$B$6:$CJ$109,48,0),"")</f>
        <v>0</v>
      </c>
      <c r="G1525" s="8">
        <f>IFERROR(VLOOKUP($B1525,'INSUMOS  JULIO'!$B$6:$CJ$109,49,0),"")</f>
        <v>0</v>
      </c>
      <c r="H1525" s="19">
        <f t="shared" si="92"/>
        <v>0</v>
      </c>
      <c r="I1525" s="1">
        <f t="shared" si="93"/>
        <v>0</v>
      </c>
      <c r="J1525" s="1">
        <f t="shared" si="94"/>
        <v>0</v>
      </c>
      <c r="K1525" s="19">
        <f t="shared" si="95"/>
        <v>0</v>
      </c>
    </row>
    <row r="1526" spans="2:11" ht="15">
      <c r="B1526" s="151">
        <v>134</v>
      </c>
      <c r="C1526" s="7" t="s">
        <v>16</v>
      </c>
      <c r="D1526" s="4" t="s">
        <v>85</v>
      </c>
      <c r="E1526" t="s">
        <v>487</v>
      </c>
      <c r="F1526" s="12" t="str">
        <f>IFERROR(VLOOKUP(B1526,'INSUMOS  JULIO'!$B$6:$CJ$109,48,0),"")</f>
        <v>0</v>
      </c>
      <c r="G1526" s="8">
        <f>IFERROR(VLOOKUP($B1526,'INSUMOS  JULIO'!$B$6:$CJ$109,49,0),"")</f>
        <v>0</v>
      </c>
      <c r="H1526" s="19">
        <f t="shared" si="92"/>
        <v>0</v>
      </c>
      <c r="I1526" s="1">
        <f t="shared" si="93"/>
        <v>0</v>
      </c>
      <c r="J1526" s="1">
        <f t="shared" si="94"/>
        <v>0</v>
      </c>
      <c r="K1526" s="19">
        <f t="shared" si="95"/>
        <v>0</v>
      </c>
    </row>
    <row r="1527" spans="2:11" ht="15">
      <c r="B1527" s="151">
        <v>135</v>
      </c>
      <c r="C1527" s="7" t="s">
        <v>18</v>
      </c>
      <c r="D1527" s="4" t="s">
        <v>86</v>
      </c>
      <c r="E1527" t="s">
        <v>487</v>
      </c>
      <c r="F1527" s="12">
        <f>IFERROR(VLOOKUP(B1527,'INSUMOS  JULIO'!$B$6:$CJ$109,48,0),"")</f>
        <v>0</v>
      </c>
      <c r="G1527" s="8">
        <f>IFERROR(VLOOKUP($B1527,'INSUMOS  JULIO'!$B$6:$CJ$109,49,0),"")</f>
        <v>6229.277</v>
      </c>
      <c r="H1527" s="19">
        <f t="shared" si="92"/>
        <v>0</v>
      </c>
      <c r="I1527" s="1">
        <f t="shared" si="93"/>
        <v>0</v>
      </c>
      <c r="J1527" s="1">
        <f t="shared" si="94"/>
        <v>0</v>
      </c>
      <c r="K1527" s="19">
        <f t="shared" si="95"/>
        <v>0</v>
      </c>
    </row>
    <row r="1528" spans="2:11" ht="15">
      <c r="B1528" s="151">
        <v>137</v>
      </c>
      <c r="C1528" s="7" t="s">
        <v>20</v>
      </c>
      <c r="D1528" s="4" t="s">
        <v>88</v>
      </c>
      <c r="E1528" t="s">
        <v>487</v>
      </c>
      <c r="F1528" s="12" t="str">
        <f>IFERROR(VLOOKUP(B1528,'INSUMOS  JULIO'!$B$6:$CJ$109,48,0),"")</f>
        <v>0</v>
      </c>
      <c r="G1528" s="8">
        <f>IFERROR(VLOOKUP($B1528,'INSUMOS  JULIO'!$B$6:$CJ$109,49,0),"")</f>
        <v>1245.4349999999999</v>
      </c>
      <c r="H1528" s="19">
        <f t="shared" si="92"/>
        <v>0</v>
      </c>
      <c r="I1528" s="1">
        <f t="shared" si="93"/>
        <v>0</v>
      </c>
      <c r="J1528" s="1">
        <f t="shared" si="94"/>
        <v>0</v>
      </c>
      <c r="K1528" s="19">
        <f t="shared" si="95"/>
        <v>0</v>
      </c>
    </row>
    <row r="1529" spans="2:11" ht="15">
      <c r="B1529" s="151">
        <v>139</v>
      </c>
      <c r="C1529" s="7" t="s">
        <v>22</v>
      </c>
      <c r="D1529" s="4" t="s">
        <v>89</v>
      </c>
      <c r="E1529" t="s">
        <v>487</v>
      </c>
      <c r="F1529" s="12">
        <f>IFERROR(VLOOKUP(B1529,'INSUMOS  JULIO'!$B$6:$CJ$109,48,0),"")</f>
        <v>0</v>
      </c>
      <c r="G1529" s="8">
        <f>IFERROR(VLOOKUP($B1529,'INSUMOS  JULIO'!$B$6:$CJ$109,49,0),"")</f>
        <v>25429.996000000003</v>
      </c>
      <c r="H1529" s="19">
        <f t="shared" si="92"/>
        <v>0</v>
      </c>
      <c r="I1529" s="1">
        <f t="shared" si="93"/>
        <v>0</v>
      </c>
      <c r="J1529" s="1">
        <f t="shared" si="94"/>
        <v>0</v>
      </c>
      <c r="K1529" s="19">
        <f t="shared" si="95"/>
        <v>0</v>
      </c>
    </row>
    <row r="1530" spans="2:11" ht="15">
      <c r="B1530" s="151">
        <v>151</v>
      </c>
      <c r="C1530" s="7" t="s">
        <v>18</v>
      </c>
      <c r="D1530" s="4" t="s">
        <v>91</v>
      </c>
      <c r="E1530" t="s">
        <v>487</v>
      </c>
      <c r="F1530" s="12">
        <f>IFERROR(VLOOKUP(B1530,'INSUMOS  JULIO'!$B$6:$CJ$109,48,0),"")</f>
        <v>0</v>
      </c>
      <c r="G1530" s="8">
        <f>IFERROR(VLOOKUP($B1530,'INSUMOS  JULIO'!$B$6:$CJ$109,49,0),"")</f>
        <v>4422.6080000000002</v>
      </c>
      <c r="H1530" s="19">
        <f t="shared" si="92"/>
        <v>0</v>
      </c>
      <c r="I1530" s="1">
        <f t="shared" si="93"/>
        <v>0</v>
      </c>
      <c r="J1530" s="1">
        <f t="shared" si="94"/>
        <v>0</v>
      </c>
      <c r="K1530" s="19">
        <f t="shared" si="95"/>
        <v>0</v>
      </c>
    </row>
    <row r="1531" spans="2:11" ht="15">
      <c r="B1531" s="151">
        <v>152</v>
      </c>
      <c r="C1531" s="7" t="s">
        <v>155</v>
      </c>
      <c r="D1531" s="4" t="s">
        <v>92</v>
      </c>
      <c r="E1531" t="s">
        <v>487</v>
      </c>
      <c r="F1531" s="12" t="str">
        <f>IFERROR(VLOOKUP(B1531,'INSUMOS  JULIO'!$B$6:$CJ$109,48,0),"")</f>
        <v>0</v>
      </c>
      <c r="G1531" s="8">
        <f>IFERROR(VLOOKUP($B1531,'INSUMOS  JULIO'!$B$6:$CJ$109,49,0),"")</f>
        <v>0</v>
      </c>
      <c r="H1531" s="19">
        <f t="shared" si="92"/>
        <v>0</v>
      </c>
      <c r="I1531" s="1">
        <f t="shared" si="93"/>
        <v>0</v>
      </c>
      <c r="J1531" s="1">
        <f t="shared" si="94"/>
        <v>0</v>
      </c>
      <c r="K1531" s="19">
        <f t="shared" si="95"/>
        <v>0</v>
      </c>
    </row>
    <row r="1532" spans="2:11" ht="15">
      <c r="B1532" s="151">
        <v>154</v>
      </c>
      <c r="C1532" s="7" t="s">
        <v>16</v>
      </c>
      <c r="D1532" s="4" t="s">
        <v>94</v>
      </c>
      <c r="E1532" t="s">
        <v>487</v>
      </c>
      <c r="F1532" s="12" t="str">
        <f>IFERROR(VLOOKUP(B1532,'INSUMOS  JULIO'!$B$6:$CJ$109,48,0),"")</f>
        <v>0</v>
      </c>
      <c r="G1532" s="8">
        <f>IFERROR(VLOOKUP($B1532,'INSUMOS  JULIO'!$B$6:$CJ$109,49,0),"")</f>
        <v>0</v>
      </c>
      <c r="H1532" s="19">
        <f t="shared" si="92"/>
        <v>0</v>
      </c>
      <c r="I1532" s="1">
        <f t="shared" si="93"/>
        <v>0</v>
      </c>
      <c r="J1532" s="1">
        <f t="shared" si="94"/>
        <v>0</v>
      </c>
      <c r="K1532" s="19">
        <f t="shared" si="95"/>
        <v>0</v>
      </c>
    </row>
    <row r="1533" spans="2:11" ht="15">
      <c r="B1533" s="151">
        <v>155</v>
      </c>
      <c r="C1533" s="7" t="s">
        <v>27</v>
      </c>
      <c r="D1533" s="4" t="s">
        <v>95</v>
      </c>
      <c r="E1533" t="s">
        <v>487</v>
      </c>
      <c r="F1533" s="12">
        <f>IFERROR(VLOOKUP(B1533,'INSUMOS  JULIO'!$B$6:$CJ$109,48,0),"")</f>
        <v>0</v>
      </c>
      <c r="G1533" s="8">
        <f>IFERROR(VLOOKUP($B1533,'INSUMOS  JULIO'!$B$6:$CJ$109,49,0),"")</f>
        <v>3703.7239999999997</v>
      </c>
      <c r="H1533" s="19">
        <f t="shared" si="92"/>
        <v>0</v>
      </c>
      <c r="I1533" s="1">
        <f t="shared" si="93"/>
        <v>0</v>
      </c>
      <c r="J1533" s="1">
        <f t="shared" si="94"/>
        <v>0</v>
      </c>
      <c r="K1533" s="19">
        <f t="shared" si="95"/>
        <v>0</v>
      </c>
    </row>
    <row r="1534" spans="2:11" ht="15">
      <c r="B1534" s="151">
        <v>156</v>
      </c>
      <c r="C1534" s="7" t="s">
        <v>13</v>
      </c>
      <c r="D1534" s="4" t="s">
        <v>96</v>
      </c>
      <c r="E1534" t="s">
        <v>487</v>
      </c>
      <c r="F1534" s="12" t="str">
        <f>IFERROR(VLOOKUP(B1534,'INSUMOS  JULIO'!$B$6:$CJ$109,48,0),"")</f>
        <v>0</v>
      </c>
      <c r="G1534" s="8">
        <f>IFERROR(VLOOKUP($B1534,'INSUMOS  JULIO'!$B$6:$CJ$109,49,0),"")</f>
        <v>4422.6080000000002</v>
      </c>
      <c r="H1534" s="19">
        <f t="shared" si="92"/>
        <v>0</v>
      </c>
      <c r="I1534" s="1">
        <f t="shared" si="93"/>
        <v>0</v>
      </c>
      <c r="J1534" s="1">
        <f t="shared" si="94"/>
        <v>0</v>
      </c>
      <c r="K1534" s="19">
        <f t="shared" si="95"/>
        <v>0</v>
      </c>
    </row>
    <row r="1535" spans="2:11" ht="15">
      <c r="B1535" s="151">
        <v>157</v>
      </c>
      <c r="C1535" s="7" t="s">
        <v>13</v>
      </c>
      <c r="D1535" s="4" t="s">
        <v>97</v>
      </c>
      <c r="E1535" t="s">
        <v>487</v>
      </c>
      <c r="F1535" s="12">
        <f>IFERROR(VLOOKUP(B1535,'INSUMOS  JULIO'!$B$6:$CJ$109,48,0),"")</f>
        <v>0</v>
      </c>
      <c r="G1535" s="8">
        <f>IFERROR(VLOOKUP($B1535,'INSUMOS  JULIO'!$B$6:$CJ$109,49,0),"")</f>
        <v>5970.7309999999998</v>
      </c>
      <c r="H1535" s="19">
        <f t="shared" si="92"/>
        <v>0</v>
      </c>
      <c r="I1535" s="1">
        <f t="shared" si="93"/>
        <v>0</v>
      </c>
      <c r="J1535" s="1">
        <f t="shared" si="94"/>
        <v>0</v>
      </c>
      <c r="K1535" s="19">
        <f t="shared" si="95"/>
        <v>0</v>
      </c>
    </row>
    <row r="1536" spans="2:11" ht="15">
      <c r="B1536" s="151">
        <v>159</v>
      </c>
      <c r="C1536" s="7" t="s">
        <v>13</v>
      </c>
      <c r="D1536" s="4" t="s">
        <v>98</v>
      </c>
      <c r="E1536" t="s">
        <v>487</v>
      </c>
      <c r="F1536" s="12" t="str">
        <f>IFERROR(VLOOKUP(B1536,'INSUMOS  JULIO'!$B$6:$CJ$109,48,0),"")</f>
        <v>0</v>
      </c>
      <c r="G1536" s="8">
        <f>IFERROR(VLOOKUP($B1536,'INSUMOS  JULIO'!$B$6:$CJ$109,49,0),"")</f>
        <v>0</v>
      </c>
      <c r="H1536" s="19">
        <f t="shared" si="92"/>
        <v>0</v>
      </c>
      <c r="I1536" s="1">
        <f t="shared" si="93"/>
        <v>0</v>
      </c>
      <c r="J1536" s="1">
        <f t="shared" si="94"/>
        <v>0</v>
      </c>
      <c r="K1536" s="19">
        <f t="shared" si="95"/>
        <v>0</v>
      </c>
    </row>
    <row r="1537" spans="2:11" ht="15">
      <c r="B1537" s="151">
        <v>160</v>
      </c>
      <c r="C1537" s="7" t="s">
        <v>13</v>
      </c>
      <c r="D1537" s="4" t="s">
        <v>99</v>
      </c>
      <c r="E1537" t="s">
        <v>487</v>
      </c>
      <c r="F1537" s="12" t="str">
        <f>IFERROR(VLOOKUP(B1537,'INSUMOS  JULIO'!$B$6:$CJ$109,48,0),"")</f>
        <v>0</v>
      </c>
      <c r="G1537" s="8">
        <f>IFERROR(VLOOKUP($B1537,'INSUMOS  JULIO'!$B$6:$CJ$109,49,0),"")</f>
        <v>2276.4660000000003</v>
      </c>
      <c r="H1537" s="19">
        <f t="shared" si="92"/>
        <v>0</v>
      </c>
      <c r="I1537" s="1">
        <f t="shared" si="93"/>
        <v>0</v>
      </c>
      <c r="J1537" s="1">
        <f t="shared" si="94"/>
        <v>0</v>
      </c>
      <c r="K1537" s="19">
        <f t="shared" si="95"/>
        <v>0</v>
      </c>
    </row>
    <row r="1538" spans="2:11" ht="15">
      <c r="B1538" s="151">
        <v>161</v>
      </c>
      <c r="C1538" s="7" t="s">
        <v>33</v>
      </c>
      <c r="D1538" s="4" t="s">
        <v>100</v>
      </c>
      <c r="E1538" t="s">
        <v>487</v>
      </c>
      <c r="F1538" s="12" t="str">
        <f>IFERROR(VLOOKUP(B1538,'INSUMOS  JULIO'!$B$6:$CJ$109,48,0),"")</f>
        <v>0</v>
      </c>
      <c r="G1538" s="8">
        <f>IFERROR(VLOOKUP($B1538,'INSUMOS  JULIO'!$B$6:$CJ$109,49,0),"")</f>
        <v>2236.5280000000002</v>
      </c>
      <c r="H1538" s="19">
        <f t="shared" si="92"/>
        <v>0</v>
      </c>
      <c r="I1538" s="1">
        <f t="shared" si="93"/>
        <v>0</v>
      </c>
      <c r="J1538" s="1">
        <f t="shared" si="94"/>
        <v>0</v>
      </c>
      <c r="K1538" s="19">
        <f t="shared" si="95"/>
        <v>0</v>
      </c>
    </row>
    <row r="1539" spans="2:11" ht="15">
      <c r="B1539" s="151">
        <v>162</v>
      </c>
      <c r="C1539" s="7" t="s">
        <v>16</v>
      </c>
      <c r="D1539" s="4" t="s">
        <v>101</v>
      </c>
      <c r="E1539" t="s">
        <v>487</v>
      </c>
      <c r="F1539" s="12">
        <f>IFERROR(VLOOKUP(B1539,'INSUMOS  JULIO'!$B$6:$CJ$109,48,0),"")</f>
        <v>0</v>
      </c>
      <c r="G1539" s="8">
        <f>IFERROR(VLOOKUP($B1539,'INSUMOS  JULIO'!$B$6:$CJ$109,49,0),"")</f>
        <v>2684.2539999999999</v>
      </c>
      <c r="H1539" s="19">
        <f t="shared" si="92"/>
        <v>0</v>
      </c>
      <c r="I1539" s="1">
        <f t="shared" si="93"/>
        <v>0</v>
      </c>
      <c r="J1539" s="1">
        <f t="shared" si="94"/>
        <v>0</v>
      </c>
      <c r="K1539" s="19">
        <f t="shared" si="95"/>
        <v>0</v>
      </c>
    </row>
    <row r="1540" spans="2:11" ht="15">
      <c r="B1540" s="151">
        <v>164</v>
      </c>
      <c r="C1540" s="7" t="s">
        <v>36</v>
      </c>
      <c r="D1540" s="4" t="s">
        <v>102</v>
      </c>
      <c r="E1540" t="s">
        <v>487</v>
      </c>
      <c r="F1540" s="12" t="str">
        <f>IFERROR(VLOOKUP(B1540,'INSUMOS  JULIO'!$B$6:$CJ$109,48,0),"")</f>
        <v>0</v>
      </c>
      <c r="G1540" s="8">
        <f>IFERROR(VLOOKUP($B1540,'INSUMOS  JULIO'!$B$6:$CJ$109,49,0),"")</f>
        <v>1658.4780000000001</v>
      </c>
      <c r="H1540" s="19">
        <f t="shared" si="92"/>
        <v>0</v>
      </c>
      <c r="I1540" s="1">
        <f t="shared" si="93"/>
        <v>0</v>
      </c>
      <c r="J1540" s="1">
        <f t="shared" si="94"/>
        <v>0</v>
      </c>
      <c r="K1540" s="19">
        <f t="shared" si="95"/>
        <v>0</v>
      </c>
    </row>
    <row r="1541" spans="2:11" ht="15">
      <c r="B1541" s="151">
        <v>169</v>
      </c>
      <c r="C1541" s="7" t="s">
        <v>36</v>
      </c>
      <c r="D1541" s="4" t="s">
        <v>104</v>
      </c>
      <c r="E1541" t="s">
        <v>487</v>
      </c>
      <c r="F1541" s="12" t="str">
        <f>IFERROR(VLOOKUP(B1541,'INSUMOS  JULIO'!$B$6:$CJ$109,48,0),"")</f>
        <v>0</v>
      </c>
      <c r="G1541" s="8">
        <f>IFERROR(VLOOKUP($B1541,'INSUMOS  JULIO'!$B$6:$CJ$109,49,0),"")</f>
        <v>85897.178999999989</v>
      </c>
      <c r="H1541" s="19">
        <f t="shared" si="92"/>
        <v>0</v>
      </c>
      <c r="I1541" s="1">
        <f t="shared" si="93"/>
        <v>0</v>
      </c>
      <c r="J1541" s="1">
        <f t="shared" si="94"/>
        <v>0</v>
      </c>
      <c r="K1541" s="19">
        <f t="shared" si="95"/>
        <v>0</v>
      </c>
    </row>
    <row r="1542" spans="2:11" ht="15">
      <c r="B1542" s="151">
        <v>170</v>
      </c>
      <c r="C1542" s="7" t="s">
        <v>39</v>
      </c>
      <c r="D1542" s="4" t="s">
        <v>106</v>
      </c>
      <c r="E1542" t="s">
        <v>487</v>
      </c>
      <c r="F1542" s="12">
        <f>IFERROR(VLOOKUP(B1542,'INSUMOS  JULIO'!$B$6:$CJ$109,48,0),"")</f>
        <v>0</v>
      </c>
      <c r="G1542" s="8">
        <f>IFERROR(VLOOKUP($B1542,'INSUMOS  JULIO'!$B$6:$CJ$109,49,0),"")</f>
        <v>19405.664000000001</v>
      </c>
      <c r="H1542" s="19">
        <f t="shared" ref="H1542:H1605" si="96">+F1542*G1542</f>
        <v>0</v>
      </c>
      <c r="I1542" s="1">
        <f t="shared" ref="I1542:I1605" si="97">+H1542*10%</f>
        <v>0</v>
      </c>
      <c r="J1542" s="1">
        <f t="shared" ref="J1542:J1605" si="98">+I1542*19%</f>
        <v>0</v>
      </c>
      <c r="K1542" s="19">
        <f t="shared" ref="K1542:K1605" si="99">SUM(H1542:J1542)</f>
        <v>0</v>
      </c>
    </row>
    <row r="1543" spans="2:11" ht="15">
      <c r="B1543" s="151">
        <v>173</v>
      </c>
      <c r="C1543" s="7" t="s">
        <v>39</v>
      </c>
      <c r="D1543" s="4" t="s">
        <v>107</v>
      </c>
      <c r="E1543" t="s">
        <v>487</v>
      </c>
      <c r="F1543" s="12" t="str">
        <f>IFERROR(VLOOKUP(B1543,'INSUMOS  JULIO'!$B$6:$CJ$109,48,0),"")</f>
        <v>0</v>
      </c>
      <c r="G1543" s="8">
        <f>IFERROR(VLOOKUP($B1543,'INSUMOS  JULIO'!$B$6:$CJ$109,49,0),"")</f>
        <v>0</v>
      </c>
      <c r="H1543" s="19">
        <f t="shared" si="96"/>
        <v>0</v>
      </c>
      <c r="I1543" s="1">
        <f t="shared" si="97"/>
        <v>0</v>
      </c>
      <c r="J1543" s="1">
        <f t="shared" si="98"/>
        <v>0</v>
      </c>
      <c r="K1543" s="19">
        <f t="shared" si="99"/>
        <v>0</v>
      </c>
    </row>
    <row r="1544" spans="2:11" ht="15">
      <c r="B1544" s="151">
        <v>174</v>
      </c>
      <c r="C1544" s="7" t="s">
        <v>108</v>
      </c>
      <c r="D1544" s="4" t="s">
        <v>109</v>
      </c>
      <c r="E1544" t="s">
        <v>487</v>
      </c>
      <c r="F1544" s="12" t="str">
        <f>IFERROR(VLOOKUP(B1544,'INSUMOS  JULIO'!$B$6:$CJ$109,48,0),"")</f>
        <v>0</v>
      </c>
      <c r="G1544" s="8">
        <f>IFERROR(VLOOKUP($B1544,'INSUMOS  JULIO'!$B$6:$CJ$109,49,0),"")</f>
        <v>6081.0860000000002</v>
      </c>
      <c r="H1544" s="19">
        <f t="shared" si="96"/>
        <v>0</v>
      </c>
      <c r="I1544" s="1">
        <f t="shared" si="97"/>
        <v>0</v>
      </c>
      <c r="J1544" s="1">
        <f t="shared" si="98"/>
        <v>0</v>
      </c>
      <c r="K1544" s="19">
        <f t="shared" si="99"/>
        <v>0</v>
      </c>
    </row>
    <row r="1545" spans="2:11" ht="15">
      <c r="B1545" s="151">
        <v>176</v>
      </c>
      <c r="C1545" s="7" t="s">
        <v>108</v>
      </c>
      <c r="D1545" s="4" t="s">
        <v>110</v>
      </c>
      <c r="E1545" t="s">
        <v>487</v>
      </c>
      <c r="F1545" s="12" t="str">
        <f>IFERROR(VLOOKUP(B1545,'INSUMOS  JULIO'!$B$6:$CJ$109,48,0),"")</f>
        <v>0</v>
      </c>
      <c r="G1545" s="8">
        <f>IFERROR(VLOOKUP($B1545,'INSUMOS  JULIO'!$B$6:$CJ$109,49,0),"")</f>
        <v>2749.4160000000002</v>
      </c>
      <c r="H1545" s="19">
        <f t="shared" si="96"/>
        <v>0</v>
      </c>
      <c r="I1545" s="1">
        <f t="shared" si="97"/>
        <v>0</v>
      </c>
      <c r="J1545" s="1">
        <f t="shared" si="98"/>
        <v>0</v>
      </c>
      <c r="K1545" s="19">
        <f t="shared" si="99"/>
        <v>0</v>
      </c>
    </row>
    <row r="1546" spans="2:11" ht="15">
      <c r="B1546" s="151">
        <v>192</v>
      </c>
      <c r="C1546" s="7" t="s">
        <v>149</v>
      </c>
      <c r="D1546" s="4" t="s">
        <v>111</v>
      </c>
      <c r="E1546" t="s">
        <v>487</v>
      </c>
      <c r="F1546" s="12">
        <f>IFERROR(VLOOKUP(B1546,'INSUMOS  JULIO'!$B$6:$CJ$109,48,0),"")</f>
        <v>0</v>
      </c>
      <c r="G1546" s="8">
        <f>IFERROR(VLOOKUP($B1546,'INSUMOS  JULIO'!$B$6:$CJ$109,49,0),"")</f>
        <v>6866.2880999999998</v>
      </c>
      <c r="H1546" s="19">
        <f t="shared" si="96"/>
        <v>0</v>
      </c>
      <c r="I1546" s="1">
        <f t="shared" si="97"/>
        <v>0</v>
      </c>
      <c r="J1546" s="1">
        <f t="shared" si="98"/>
        <v>0</v>
      </c>
      <c r="K1546" s="19">
        <f t="shared" si="99"/>
        <v>0</v>
      </c>
    </row>
    <row r="1547" spans="2:11" ht="15">
      <c r="B1547" s="151">
        <v>195</v>
      </c>
      <c r="C1547" s="7" t="s">
        <v>151</v>
      </c>
      <c r="D1547" s="4" t="s">
        <v>112</v>
      </c>
      <c r="E1547" t="s">
        <v>487</v>
      </c>
      <c r="F1547" s="12">
        <f>IFERROR(VLOOKUP(B1547,'INSUMOS  JULIO'!$B$6:$CJ$109,48,0),"")</f>
        <v>0</v>
      </c>
      <c r="G1547" s="8">
        <f>IFERROR(VLOOKUP($B1547,'INSUMOS  JULIO'!$B$6:$CJ$109,49,0),"")</f>
        <v>10697.1831</v>
      </c>
      <c r="H1547" s="19">
        <f t="shared" si="96"/>
        <v>0</v>
      </c>
      <c r="I1547" s="1">
        <f t="shared" si="97"/>
        <v>0</v>
      </c>
      <c r="J1547" s="1">
        <f t="shared" si="98"/>
        <v>0</v>
      </c>
      <c r="K1547" s="19">
        <f t="shared" si="99"/>
        <v>0</v>
      </c>
    </row>
    <row r="1548" spans="2:11" ht="15">
      <c r="B1548" s="151">
        <v>204</v>
      </c>
      <c r="C1548" s="7" t="s">
        <v>46</v>
      </c>
      <c r="D1548" s="4" t="s">
        <v>113</v>
      </c>
      <c r="E1548" t="s">
        <v>487</v>
      </c>
      <c r="F1548" s="12">
        <f>IFERROR(VLOOKUP(B1548,'INSUMOS  JULIO'!$B$6:$CJ$109,48,0),"")</f>
        <v>6</v>
      </c>
      <c r="G1548" s="8">
        <f>IFERROR(VLOOKUP($B1548,'INSUMOS  JULIO'!$B$6:$CJ$109,49,0),"")</f>
        <v>25673.6178</v>
      </c>
      <c r="H1548" s="19">
        <f t="shared" si="96"/>
        <v>154041.70679999999</v>
      </c>
      <c r="I1548" s="1">
        <f t="shared" si="97"/>
        <v>15404.170679999999</v>
      </c>
      <c r="J1548" s="1">
        <f t="shared" si="98"/>
        <v>2926.7924291999998</v>
      </c>
      <c r="K1548" s="19">
        <f t="shared" si="99"/>
        <v>172372.66990919999</v>
      </c>
    </row>
    <row r="1549" spans="2:11" ht="27">
      <c r="B1549" s="151">
        <v>205</v>
      </c>
      <c r="C1549" s="7" t="s">
        <v>159</v>
      </c>
      <c r="D1549" s="4" t="s">
        <v>114</v>
      </c>
      <c r="E1549" t="s">
        <v>487</v>
      </c>
      <c r="F1549" s="12" t="str">
        <f>IFERROR(VLOOKUP(B1549,'INSUMOS  JULIO'!$B$6:$CJ$109,48,0),"")</f>
        <v>0</v>
      </c>
      <c r="G1549" s="8">
        <f>IFERROR(VLOOKUP($B1549,'INSUMOS  JULIO'!$B$6:$CJ$109,49,0),"")</f>
        <v>17690.432000000001</v>
      </c>
      <c r="H1549" s="19">
        <f t="shared" si="96"/>
        <v>0</v>
      </c>
      <c r="I1549" s="1">
        <f t="shared" si="97"/>
        <v>0</v>
      </c>
      <c r="J1549" s="1">
        <f t="shared" si="98"/>
        <v>0</v>
      </c>
      <c r="K1549" s="19">
        <f t="shared" si="99"/>
        <v>0</v>
      </c>
    </row>
    <row r="1550" spans="2:11" ht="15">
      <c r="B1550" s="151">
        <v>207</v>
      </c>
      <c r="C1550" s="7" t="s">
        <v>159</v>
      </c>
      <c r="D1550" s="4" t="s">
        <v>115</v>
      </c>
      <c r="E1550" t="s">
        <v>487</v>
      </c>
      <c r="F1550" s="12" t="str">
        <f>IFERROR(VLOOKUP(B1550,'INSUMOS  JULIO'!$B$6:$CJ$109,48,0),"")</f>
        <v>0</v>
      </c>
      <c r="G1550" s="8">
        <f>IFERROR(VLOOKUP($B1550,'INSUMOS  JULIO'!$B$6:$CJ$109,49,0),"")</f>
        <v>7186.7380000000003</v>
      </c>
      <c r="H1550" s="19">
        <f t="shared" si="96"/>
        <v>0</v>
      </c>
      <c r="I1550" s="1">
        <f t="shared" si="97"/>
        <v>0</v>
      </c>
      <c r="J1550" s="1">
        <f t="shared" si="98"/>
        <v>0</v>
      </c>
      <c r="K1550" s="19">
        <f t="shared" si="99"/>
        <v>0</v>
      </c>
    </row>
    <row r="1551" spans="2:11" ht="15">
      <c r="B1551" s="151">
        <v>208</v>
      </c>
      <c r="C1551" s="7" t="s">
        <v>159</v>
      </c>
      <c r="D1551" s="4" t="s">
        <v>634</v>
      </c>
      <c r="E1551" t="s">
        <v>487</v>
      </c>
      <c r="F1551" s="12" t="str">
        <f>IFERROR(VLOOKUP(B1551,'INSUMOS  JULIO'!$B$6:$CJ$109,48,0),"")</f>
        <v>0</v>
      </c>
      <c r="G1551" s="8">
        <f>IFERROR(VLOOKUP($B1551,'INSUMOS  JULIO'!$B$6:$CJ$109,49,0),"")</f>
        <v>50779.065000000002</v>
      </c>
      <c r="H1551" s="19">
        <f t="shared" si="96"/>
        <v>0</v>
      </c>
      <c r="I1551" s="1">
        <f t="shared" si="97"/>
        <v>0</v>
      </c>
      <c r="J1551" s="1">
        <f t="shared" si="98"/>
        <v>0</v>
      </c>
      <c r="K1551" s="19">
        <f t="shared" si="99"/>
        <v>0</v>
      </c>
    </row>
    <row r="1552" spans="2:11" ht="15">
      <c r="B1552" s="151">
        <v>209</v>
      </c>
      <c r="C1552" s="7" t="s">
        <v>159</v>
      </c>
      <c r="D1552" s="4" t="s">
        <v>635</v>
      </c>
      <c r="E1552" t="s">
        <v>487</v>
      </c>
      <c r="F1552" s="12" t="str">
        <f>IFERROR(VLOOKUP(B1552,'INSUMOS  JULIO'!$B$6:$CJ$109,48,0),"")</f>
        <v>0</v>
      </c>
      <c r="G1552" s="8">
        <f>IFERROR(VLOOKUP($B1552,'INSUMOS  JULIO'!$B$6:$CJ$109,49,0),"")</f>
        <v>37357.794999999998</v>
      </c>
      <c r="H1552" s="19">
        <f t="shared" si="96"/>
        <v>0</v>
      </c>
      <c r="I1552" s="1">
        <f t="shared" si="97"/>
        <v>0</v>
      </c>
      <c r="J1552" s="1">
        <f t="shared" si="98"/>
        <v>0</v>
      </c>
      <c r="K1552" s="19">
        <f t="shared" si="99"/>
        <v>0</v>
      </c>
    </row>
    <row r="1553" spans="2:11" ht="15">
      <c r="B1553" s="151">
        <v>210</v>
      </c>
      <c r="C1553" s="7" t="s">
        <v>159</v>
      </c>
      <c r="D1553" s="4" t="s">
        <v>636</v>
      </c>
      <c r="E1553" t="s">
        <v>487</v>
      </c>
      <c r="F1553" s="12" t="str">
        <f>IFERROR(VLOOKUP(B1553,'INSUMOS  JULIO'!$B$6:$CJ$109,48,0),"")</f>
        <v>0</v>
      </c>
      <c r="G1553" s="8">
        <f>IFERROR(VLOOKUP($B1553,'INSUMOS  JULIO'!$B$6:$CJ$109,49,0),"")</f>
        <v>22537.643999999997</v>
      </c>
      <c r="H1553" s="19">
        <f t="shared" si="96"/>
        <v>0</v>
      </c>
      <c r="I1553" s="1">
        <f t="shared" si="97"/>
        <v>0</v>
      </c>
      <c r="J1553" s="1">
        <f t="shared" si="98"/>
        <v>0</v>
      </c>
      <c r="K1553" s="19">
        <f t="shared" si="99"/>
        <v>0</v>
      </c>
    </row>
    <row r="1554" spans="2:11" ht="15">
      <c r="B1554" s="151">
        <v>211</v>
      </c>
      <c r="C1554" s="7" t="s">
        <v>53</v>
      </c>
      <c r="D1554" s="4" t="s">
        <v>637</v>
      </c>
      <c r="E1554" t="s">
        <v>487</v>
      </c>
      <c r="F1554" s="12" t="str">
        <f>IFERROR(VLOOKUP(B1554,'INSUMOS  JULIO'!$B$6:$CJ$109,48,0),"")</f>
        <v>0</v>
      </c>
      <c r="G1554" s="8">
        <f>IFERROR(VLOOKUP($B1554,'INSUMOS  JULIO'!$B$6:$CJ$109,49,0),"")</f>
        <v>15992.016</v>
      </c>
      <c r="H1554" s="19">
        <f t="shared" si="96"/>
        <v>0</v>
      </c>
      <c r="I1554" s="1">
        <f t="shared" si="97"/>
        <v>0</v>
      </c>
      <c r="J1554" s="1">
        <f t="shared" si="98"/>
        <v>0</v>
      </c>
      <c r="K1554" s="19">
        <f t="shared" si="99"/>
        <v>0</v>
      </c>
    </row>
    <row r="1555" spans="2:11" ht="15">
      <c r="B1555" s="151">
        <v>212</v>
      </c>
      <c r="C1555" s="7" t="s">
        <v>53</v>
      </c>
      <c r="D1555" s="4" t="s">
        <v>116</v>
      </c>
      <c r="E1555" t="s">
        <v>487</v>
      </c>
      <c r="F1555" s="12" t="str">
        <f>IFERROR(VLOOKUP(B1555,'INSUMOS  JULIO'!$B$6:$CJ$109,48,0),"")</f>
        <v>0</v>
      </c>
      <c r="G1555" s="8">
        <f>IFERROR(VLOOKUP($B1555,'INSUMOS  JULIO'!$B$6:$CJ$109,49,0),"")</f>
        <v>2505.5839999999998</v>
      </c>
      <c r="H1555" s="19">
        <f t="shared" si="96"/>
        <v>0</v>
      </c>
      <c r="I1555" s="1">
        <f t="shared" si="97"/>
        <v>0</v>
      </c>
      <c r="J1555" s="1">
        <f t="shared" si="98"/>
        <v>0</v>
      </c>
      <c r="K1555" s="19">
        <f t="shared" si="99"/>
        <v>0</v>
      </c>
    </row>
    <row r="1556" spans="2:11" ht="15">
      <c r="B1556" s="151">
        <v>213</v>
      </c>
      <c r="C1556" s="7" t="s">
        <v>53</v>
      </c>
      <c r="D1556" s="4" t="s">
        <v>638</v>
      </c>
      <c r="E1556" t="s">
        <v>487</v>
      </c>
      <c r="F1556" s="12" t="str">
        <f>IFERROR(VLOOKUP(B1556,'INSUMOS  JULIO'!$B$6:$CJ$109,48,0),"")</f>
        <v>0</v>
      </c>
      <c r="G1556" s="8">
        <f>IFERROR(VLOOKUP($B1556,'INSUMOS  JULIO'!$B$6:$CJ$109,49,0),"")</f>
        <v>0</v>
      </c>
      <c r="H1556" s="19">
        <f t="shared" si="96"/>
        <v>0</v>
      </c>
      <c r="I1556" s="1">
        <f t="shared" si="97"/>
        <v>0</v>
      </c>
      <c r="J1556" s="1">
        <f t="shared" si="98"/>
        <v>0</v>
      </c>
      <c r="K1556" s="19">
        <f t="shared" si="99"/>
        <v>0</v>
      </c>
    </row>
    <row r="1557" spans="2:11" ht="15">
      <c r="B1557" s="151">
        <v>215</v>
      </c>
      <c r="C1557" s="7" t="s">
        <v>53</v>
      </c>
      <c r="D1557" s="4" t="s">
        <v>639</v>
      </c>
      <c r="E1557" t="s">
        <v>487</v>
      </c>
      <c r="F1557" s="12" t="str">
        <f>IFERROR(VLOOKUP(B1557,'INSUMOS  JULIO'!$B$6:$CJ$109,48,0),"")</f>
        <v>0</v>
      </c>
      <c r="G1557" s="8">
        <f>IFERROR(VLOOKUP($B1557,'INSUMOS  JULIO'!$B$6:$CJ$109,49,0),"")</f>
        <v>10476.367999999999</v>
      </c>
      <c r="H1557" s="19">
        <f t="shared" si="96"/>
        <v>0</v>
      </c>
      <c r="I1557" s="1">
        <f t="shared" si="97"/>
        <v>0</v>
      </c>
      <c r="J1557" s="1">
        <f t="shared" si="98"/>
        <v>0</v>
      </c>
      <c r="K1557" s="19">
        <f t="shared" si="99"/>
        <v>0</v>
      </c>
    </row>
    <row r="1558" spans="2:11" ht="15">
      <c r="B1558" s="151">
        <v>216</v>
      </c>
      <c r="C1558" s="7" t="s">
        <v>160</v>
      </c>
      <c r="D1558" s="4" t="s">
        <v>640</v>
      </c>
      <c r="E1558" t="s">
        <v>487</v>
      </c>
      <c r="F1558" s="12" t="str">
        <f>IFERROR(VLOOKUP(B1558,'INSUMOS  JULIO'!$B$6:$CJ$109,48,0),"")</f>
        <v>0</v>
      </c>
      <c r="G1558" s="8">
        <f>IFERROR(VLOOKUP($B1558,'INSUMOS  JULIO'!$B$6:$CJ$109,49,0),"")</f>
        <v>3954.9129999999996</v>
      </c>
      <c r="H1558" s="19">
        <f t="shared" si="96"/>
        <v>0</v>
      </c>
      <c r="I1558" s="1">
        <f t="shared" si="97"/>
        <v>0</v>
      </c>
      <c r="J1558" s="1">
        <f t="shared" si="98"/>
        <v>0</v>
      </c>
      <c r="K1558" s="19">
        <f t="shared" si="99"/>
        <v>0</v>
      </c>
    </row>
    <row r="1559" spans="2:11" ht="15">
      <c r="B1559" s="151">
        <v>218</v>
      </c>
      <c r="C1559" s="7" t="s">
        <v>160</v>
      </c>
      <c r="D1559" s="4" t="s">
        <v>117</v>
      </c>
      <c r="E1559" t="s">
        <v>487</v>
      </c>
      <c r="F1559" s="12" t="str">
        <f>IFERROR(VLOOKUP(B1559,'INSUMOS  JULIO'!$B$6:$CJ$109,48,0),"")</f>
        <v>0</v>
      </c>
      <c r="G1559" s="8">
        <f>IFERROR(VLOOKUP($B1559,'INSUMOS  JULIO'!$B$6:$CJ$109,49,0),"")</f>
        <v>1437.768</v>
      </c>
      <c r="H1559" s="19">
        <f t="shared" si="96"/>
        <v>0</v>
      </c>
      <c r="I1559" s="1">
        <f t="shared" si="97"/>
        <v>0</v>
      </c>
      <c r="J1559" s="1">
        <f t="shared" si="98"/>
        <v>0</v>
      </c>
      <c r="K1559" s="19">
        <f t="shared" si="99"/>
        <v>0</v>
      </c>
    </row>
    <row r="1560" spans="2:11" ht="15">
      <c r="B1560" s="151">
        <v>251</v>
      </c>
      <c r="C1560" s="7" t="s">
        <v>60</v>
      </c>
      <c r="D1560" s="4" t="s">
        <v>118</v>
      </c>
      <c r="E1560" t="s">
        <v>487</v>
      </c>
      <c r="F1560" s="12" t="str">
        <f>IFERROR(VLOOKUP(B1560,'INSUMOS  JULIO'!$B$6:$CJ$109,48,0),"")</f>
        <v>0</v>
      </c>
      <c r="G1560" s="8">
        <f>IFERROR(VLOOKUP($B1560,'INSUMOS  JULIO'!$B$6:$CJ$109,49,0),"")</f>
        <v>16031.954000000002</v>
      </c>
      <c r="H1560" s="19">
        <f t="shared" si="96"/>
        <v>0</v>
      </c>
      <c r="I1560" s="1">
        <f t="shared" si="97"/>
        <v>0</v>
      </c>
      <c r="J1560" s="1">
        <f t="shared" si="98"/>
        <v>0</v>
      </c>
      <c r="K1560" s="19">
        <f t="shared" si="99"/>
        <v>0</v>
      </c>
    </row>
    <row r="1561" spans="2:11" ht="15">
      <c r="B1561" s="151">
        <v>255</v>
      </c>
      <c r="C1561" s="7" t="s">
        <v>60</v>
      </c>
      <c r="D1561" s="4" t="s">
        <v>641</v>
      </c>
      <c r="E1561" t="s">
        <v>487</v>
      </c>
      <c r="F1561" s="12" t="str">
        <f>IFERROR(VLOOKUP(B1561,'INSUMOS  JULIO'!$B$6:$CJ$109,48,0),"")</f>
        <v>0</v>
      </c>
      <c r="G1561" s="8">
        <f>IFERROR(VLOOKUP($B1561,'INSUMOS  JULIO'!$B$6:$CJ$109,49,0),"")</f>
        <v>29299.777999999998</v>
      </c>
      <c r="H1561" s="19">
        <f t="shared" si="96"/>
        <v>0</v>
      </c>
      <c r="I1561" s="1">
        <f t="shared" si="97"/>
        <v>0</v>
      </c>
      <c r="J1561" s="1">
        <f t="shared" si="98"/>
        <v>0</v>
      </c>
      <c r="K1561" s="19">
        <f t="shared" si="99"/>
        <v>0</v>
      </c>
    </row>
    <row r="1562" spans="2:11" ht="15">
      <c r="B1562" s="151">
        <v>257</v>
      </c>
      <c r="C1562" s="7" t="s">
        <v>151</v>
      </c>
      <c r="D1562" s="4" t="s">
        <v>642</v>
      </c>
      <c r="E1562" t="s">
        <v>487</v>
      </c>
      <c r="F1562" s="12" t="str">
        <f>IFERROR(VLOOKUP(B1562,'INSUMOS  JULIO'!$B$6:$CJ$109,48,0),"")</f>
        <v>0</v>
      </c>
      <c r="G1562" s="8">
        <f>IFERROR(VLOOKUP($B1562,'INSUMOS  JULIO'!$B$6:$CJ$109,49,0),"")</f>
        <v>18796.084000000003</v>
      </c>
      <c r="H1562" s="19">
        <f t="shared" si="96"/>
        <v>0</v>
      </c>
      <c r="I1562" s="1">
        <f t="shared" si="97"/>
        <v>0</v>
      </c>
      <c r="J1562" s="1">
        <f t="shared" si="98"/>
        <v>0</v>
      </c>
      <c r="K1562" s="19">
        <f t="shared" si="99"/>
        <v>0</v>
      </c>
    </row>
    <row r="1563" spans="2:11" ht="15">
      <c r="B1563" s="151">
        <v>260</v>
      </c>
      <c r="C1563" s="7" t="s">
        <v>160</v>
      </c>
      <c r="D1563" s="4" t="s">
        <v>643</v>
      </c>
      <c r="E1563" t="s">
        <v>487</v>
      </c>
      <c r="F1563" s="12" t="str">
        <f>IFERROR(VLOOKUP(B1563,'INSUMOS  JULIO'!$B$6:$CJ$109,48,0),"")</f>
        <v>0</v>
      </c>
      <c r="G1563" s="8">
        <f>IFERROR(VLOOKUP($B1563,'INSUMOS  JULIO'!$B$6:$CJ$109,49,0),"")</f>
        <v>3417.8520000000008</v>
      </c>
      <c r="H1563" s="19">
        <f t="shared" si="96"/>
        <v>0</v>
      </c>
      <c r="I1563" s="1">
        <f t="shared" si="97"/>
        <v>0</v>
      </c>
      <c r="J1563" s="1">
        <f t="shared" si="98"/>
        <v>0</v>
      </c>
      <c r="K1563" s="19">
        <f t="shared" si="99"/>
        <v>0</v>
      </c>
    </row>
    <row r="1564" spans="2:11" ht="15">
      <c r="B1564" s="151">
        <v>291</v>
      </c>
      <c r="C1564" s="7" t="s">
        <v>60</v>
      </c>
      <c r="D1564" s="4" t="s">
        <v>644</v>
      </c>
      <c r="E1564" t="s">
        <v>487</v>
      </c>
      <c r="F1564" s="12" t="str">
        <f>IFERROR(VLOOKUP(B1564,'INSUMOS  JULIO'!$B$6:$CJ$109,48,0),"")</f>
        <v>0</v>
      </c>
      <c r="G1564" s="8">
        <f>IFERROR(VLOOKUP($B1564,'INSUMOS  JULIO'!$B$6:$CJ$109,49,0),"")</f>
        <v>20454.562000000005</v>
      </c>
      <c r="H1564" s="19">
        <f t="shared" si="96"/>
        <v>0</v>
      </c>
      <c r="I1564" s="1">
        <f t="shared" si="97"/>
        <v>0</v>
      </c>
      <c r="J1564" s="1">
        <f t="shared" si="98"/>
        <v>0</v>
      </c>
      <c r="K1564" s="19">
        <f t="shared" si="99"/>
        <v>0</v>
      </c>
    </row>
    <row r="1565" spans="2:11" ht="15">
      <c r="B1565" s="151">
        <v>3</v>
      </c>
      <c r="C1565" s="7" t="s">
        <v>155</v>
      </c>
      <c r="D1565" s="4" t="s">
        <v>5</v>
      </c>
      <c r="E1565" t="s">
        <v>488</v>
      </c>
      <c r="F1565" s="12" t="str">
        <f>IFERROR(VLOOKUP($B1565,'INSUMOS  JULIO'!$B$6:$CJ$109,51,0),"")</f>
        <v>0</v>
      </c>
      <c r="G1565" s="8">
        <f>IFERROR(VLOOKUP($B1565,'INSUMOS  JULIO'!$B$6:$CJ$109,52,0),"")</f>
        <v>7268.7160000000003</v>
      </c>
      <c r="H1565" s="19">
        <f t="shared" si="96"/>
        <v>0</v>
      </c>
      <c r="I1565" s="1">
        <f t="shared" si="97"/>
        <v>0</v>
      </c>
      <c r="J1565" s="1">
        <f t="shared" si="98"/>
        <v>0</v>
      </c>
      <c r="K1565" s="19">
        <f t="shared" si="99"/>
        <v>0</v>
      </c>
    </row>
    <row r="1566" spans="2:11" ht="15">
      <c r="B1566" s="151">
        <v>5</v>
      </c>
      <c r="C1566" s="7" t="s">
        <v>6</v>
      </c>
      <c r="D1566" s="4" t="s">
        <v>7</v>
      </c>
      <c r="E1566" t="s">
        <v>488</v>
      </c>
      <c r="F1566" s="12" t="str">
        <f>IFERROR(VLOOKUP(B1566,'INSUMOS  JULIO'!$B$6:$CJ$109,51,0),"")</f>
        <v>0</v>
      </c>
      <c r="G1566" s="8">
        <f>IFERROR(VLOOKUP($B1566,'INSUMOS  JULIO'!$B$6:$CJ$109,52,0),"")</f>
        <v>6494.1289999999999</v>
      </c>
      <c r="H1566" s="19">
        <f t="shared" si="96"/>
        <v>0</v>
      </c>
      <c r="I1566" s="1">
        <f t="shared" si="97"/>
        <v>0</v>
      </c>
      <c r="J1566" s="1">
        <f t="shared" si="98"/>
        <v>0</v>
      </c>
      <c r="K1566" s="19">
        <f t="shared" si="99"/>
        <v>0</v>
      </c>
    </row>
    <row r="1567" spans="2:11" ht="15">
      <c r="B1567" s="151">
        <v>8</v>
      </c>
      <c r="C1567" s="7" t="s">
        <v>6</v>
      </c>
      <c r="D1567" s="4" t="s">
        <v>8</v>
      </c>
      <c r="E1567" t="s">
        <v>488</v>
      </c>
      <c r="F1567" s="12">
        <f>IFERROR(VLOOKUP(B1567,'INSUMOS  JULIO'!$B$6:$CJ$109,51,0),"")</f>
        <v>0</v>
      </c>
      <c r="G1567" s="8">
        <f>IFERROR(VLOOKUP($B1567,'INSUMOS  JULIO'!$B$6:$CJ$109,52,0),"")</f>
        <v>2211.3040000000001</v>
      </c>
      <c r="H1567" s="19">
        <f t="shared" si="96"/>
        <v>0</v>
      </c>
      <c r="I1567" s="1">
        <f t="shared" si="97"/>
        <v>0</v>
      </c>
      <c r="J1567" s="1">
        <f t="shared" si="98"/>
        <v>0</v>
      </c>
      <c r="K1567" s="19">
        <f t="shared" si="99"/>
        <v>0</v>
      </c>
    </row>
    <row r="1568" spans="2:11" ht="15">
      <c r="B1568" s="151">
        <v>9</v>
      </c>
      <c r="C1568" s="7" t="s">
        <v>9</v>
      </c>
      <c r="D1568" s="4" t="s">
        <v>10</v>
      </c>
      <c r="E1568" t="s">
        <v>488</v>
      </c>
      <c r="F1568" s="12">
        <f>IFERROR(VLOOKUP(B1568,'INSUMOS  JULIO'!$B$6:$CJ$109,51,0),"")</f>
        <v>0</v>
      </c>
      <c r="G1568" s="8">
        <f>IFERROR(VLOOKUP($B1568,'INSUMOS  JULIO'!$B$6:$CJ$109,52,0),"")</f>
        <v>3298.0379999999996</v>
      </c>
      <c r="H1568" s="19">
        <f t="shared" si="96"/>
        <v>0</v>
      </c>
      <c r="I1568" s="1">
        <f t="shared" si="97"/>
        <v>0</v>
      </c>
      <c r="J1568" s="1">
        <f t="shared" si="98"/>
        <v>0</v>
      </c>
      <c r="K1568" s="19">
        <f t="shared" si="99"/>
        <v>0</v>
      </c>
    </row>
    <row r="1569" spans="2:11" ht="15">
      <c r="B1569" s="151">
        <v>11</v>
      </c>
      <c r="C1569" s="7" t="s">
        <v>156</v>
      </c>
      <c r="D1569" s="4" t="s">
        <v>11</v>
      </c>
      <c r="E1569" t="s">
        <v>488</v>
      </c>
      <c r="F1569" s="12" t="str">
        <f>IFERROR(VLOOKUP(B1569,'INSUMOS  JULIO'!$B$6:$CJ$109,51,0),"")</f>
        <v>0</v>
      </c>
      <c r="G1569" s="8">
        <f>IFERROR(VLOOKUP($B1569,'INSUMOS  JULIO'!$B$6:$CJ$109,52,0),"")</f>
        <v>7739.5639999999985</v>
      </c>
      <c r="H1569" s="19">
        <f t="shared" si="96"/>
        <v>0</v>
      </c>
      <c r="I1569" s="1">
        <f t="shared" si="97"/>
        <v>0</v>
      </c>
      <c r="J1569" s="1">
        <f t="shared" si="98"/>
        <v>0</v>
      </c>
      <c r="K1569" s="19">
        <f t="shared" si="99"/>
        <v>0</v>
      </c>
    </row>
    <row r="1570" spans="2:11" ht="15">
      <c r="B1570" s="151">
        <v>13</v>
      </c>
      <c r="C1570" s="7" t="s">
        <v>157</v>
      </c>
      <c r="D1570" s="4" t="s">
        <v>12</v>
      </c>
      <c r="E1570" t="s">
        <v>488</v>
      </c>
      <c r="F1570" s="12">
        <f>IFERROR(VLOOKUP(B1570,'INSUMOS  JULIO'!$B$6:$CJ$109,51,0),"")</f>
        <v>0</v>
      </c>
      <c r="G1570" s="8">
        <f>IFERROR(VLOOKUP($B1570,'INSUMOS  JULIO'!$B$6:$CJ$109,52,0),"")</f>
        <v>6507.7919999999995</v>
      </c>
      <c r="H1570" s="19">
        <f t="shared" si="96"/>
        <v>0</v>
      </c>
      <c r="I1570" s="1">
        <f t="shared" si="97"/>
        <v>0</v>
      </c>
      <c r="J1570" s="1">
        <f t="shared" si="98"/>
        <v>0</v>
      </c>
      <c r="K1570" s="19">
        <f t="shared" si="99"/>
        <v>0</v>
      </c>
    </row>
    <row r="1571" spans="2:11" ht="15">
      <c r="B1571" s="151">
        <v>17</v>
      </c>
      <c r="C1571" s="7" t="s">
        <v>13</v>
      </c>
      <c r="D1571" s="4" t="s">
        <v>14</v>
      </c>
      <c r="E1571" t="s">
        <v>488</v>
      </c>
      <c r="F1571" s="12">
        <f>IFERROR(VLOOKUP(B1571,'INSUMOS  JULIO'!$B$6:$CJ$109,51,0),"")</f>
        <v>0</v>
      </c>
      <c r="G1571" s="8">
        <f>IFERROR(VLOOKUP($B1571,'INSUMOS  JULIO'!$B$6:$CJ$109,52,0),"")</f>
        <v>5647.0229999999992</v>
      </c>
      <c r="H1571" s="19">
        <f t="shared" si="96"/>
        <v>0</v>
      </c>
      <c r="I1571" s="1">
        <f t="shared" si="97"/>
        <v>0</v>
      </c>
      <c r="J1571" s="1">
        <f t="shared" si="98"/>
        <v>0</v>
      </c>
      <c r="K1571" s="19">
        <f t="shared" si="99"/>
        <v>0</v>
      </c>
    </row>
    <row r="1572" spans="2:11" ht="15">
      <c r="B1572" s="151">
        <v>20</v>
      </c>
      <c r="C1572" s="7" t="s">
        <v>13</v>
      </c>
      <c r="D1572" s="4" t="s">
        <v>15</v>
      </c>
      <c r="E1572" t="s">
        <v>488</v>
      </c>
      <c r="F1572" s="12">
        <f>IFERROR(VLOOKUP(B1572,'INSUMOS  JULIO'!$B$6:$CJ$109,51,0),"")</f>
        <v>0</v>
      </c>
      <c r="G1572" s="8">
        <f>IFERROR(VLOOKUP($B1572,'INSUMOS  JULIO'!$B$6:$CJ$109,52,0),"")</f>
        <v>9851.5485000000008</v>
      </c>
      <c r="H1572" s="19">
        <f t="shared" si="96"/>
        <v>0</v>
      </c>
      <c r="I1572" s="1">
        <f t="shared" si="97"/>
        <v>0</v>
      </c>
      <c r="J1572" s="1">
        <f t="shared" si="98"/>
        <v>0</v>
      </c>
      <c r="K1572" s="19">
        <f t="shared" si="99"/>
        <v>0</v>
      </c>
    </row>
    <row r="1573" spans="2:11" ht="15">
      <c r="B1573" s="151">
        <v>21</v>
      </c>
      <c r="C1573" s="7" t="s">
        <v>16</v>
      </c>
      <c r="D1573" s="4" t="s">
        <v>17</v>
      </c>
      <c r="E1573" t="s">
        <v>488</v>
      </c>
      <c r="F1573" s="12">
        <f>IFERROR(VLOOKUP(B1573,'INSUMOS  JULIO'!$B$6:$CJ$109,51,0),"")</f>
        <v>0</v>
      </c>
      <c r="G1573" s="8">
        <f>IFERROR(VLOOKUP($B1573,'INSUMOS  JULIO'!$B$6:$CJ$109,52,0),"")</f>
        <v>5932.8950000000013</v>
      </c>
      <c r="H1573" s="19">
        <f t="shared" si="96"/>
        <v>0</v>
      </c>
      <c r="I1573" s="1">
        <f t="shared" si="97"/>
        <v>0</v>
      </c>
      <c r="J1573" s="1">
        <f t="shared" si="98"/>
        <v>0</v>
      </c>
      <c r="K1573" s="19">
        <f t="shared" si="99"/>
        <v>0</v>
      </c>
    </row>
    <row r="1574" spans="2:11" ht="15">
      <c r="B1574" s="151">
        <v>28</v>
      </c>
      <c r="C1574" s="7" t="s">
        <v>18</v>
      </c>
      <c r="D1574" s="4" t="s">
        <v>19</v>
      </c>
      <c r="E1574" t="s">
        <v>488</v>
      </c>
      <c r="F1574" s="12">
        <f>IFERROR(VLOOKUP(B1574,'INSUMOS  JULIO'!$B$6:$CJ$109,51,0),"")</f>
        <v>0</v>
      </c>
      <c r="G1574" s="8">
        <f>IFERROR(VLOOKUP($B1574,'INSUMOS  JULIO'!$B$6:$CJ$109,52,0),"")</f>
        <v>2764.13</v>
      </c>
      <c r="H1574" s="19">
        <f t="shared" si="96"/>
        <v>0</v>
      </c>
      <c r="I1574" s="1">
        <f t="shared" si="97"/>
        <v>0</v>
      </c>
      <c r="J1574" s="1">
        <f t="shared" si="98"/>
        <v>0</v>
      </c>
      <c r="K1574" s="19">
        <f t="shared" si="99"/>
        <v>0</v>
      </c>
    </row>
    <row r="1575" spans="2:11" ht="15">
      <c r="B1575" s="151">
        <v>29</v>
      </c>
      <c r="C1575" s="7" t="s">
        <v>20</v>
      </c>
      <c r="D1575" s="4" t="s">
        <v>21</v>
      </c>
      <c r="E1575" t="s">
        <v>488</v>
      </c>
      <c r="F1575" s="12" t="str">
        <f>IFERROR(VLOOKUP(B1575,'INSUMOS  JULIO'!$B$6:$CJ$109,51,0),"")</f>
        <v>0</v>
      </c>
      <c r="G1575" s="8">
        <f>IFERROR(VLOOKUP($B1575,'INSUMOS  JULIO'!$B$6:$CJ$109,52,0),"")</f>
        <v>4829.3450000000012</v>
      </c>
      <c r="H1575" s="19">
        <f t="shared" si="96"/>
        <v>0</v>
      </c>
      <c r="I1575" s="1">
        <f t="shared" si="97"/>
        <v>0</v>
      </c>
      <c r="J1575" s="1">
        <f t="shared" si="98"/>
        <v>0</v>
      </c>
      <c r="K1575" s="19">
        <f t="shared" si="99"/>
        <v>0</v>
      </c>
    </row>
    <row r="1576" spans="2:11" ht="15">
      <c r="B1576" s="151">
        <v>32</v>
      </c>
      <c r="C1576" s="7" t="s">
        <v>22</v>
      </c>
      <c r="D1576" s="4" t="s">
        <v>23</v>
      </c>
      <c r="E1576" t="s">
        <v>488</v>
      </c>
      <c r="F1576" s="12">
        <f>IFERROR(VLOOKUP(B1576,'INSUMOS  JULIO'!$B$6:$CJ$109,51,0),"")</f>
        <v>0</v>
      </c>
      <c r="G1576" s="8">
        <f>IFERROR(VLOOKUP($B1576,'INSUMOS  JULIO'!$B$6:$CJ$109,52,0),"")</f>
        <v>4115.7160000000003</v>
      </c>
      <c r="H1576" s="19">
        <f t="shared" si="96"/>
        <v>0</v>
      </c>
      <c r="I1576" s="1">
        <f t="shared" si="97"/>
        <v>0</v>
      </c>
      <c r="J1576" s="1">
        <f t="shared" si="98"/>
        <v>0</v>
      </c>
      <c r="K1576" s="19">
        <f t="shared" si="99"/>
        <v>0</v>
      </c>
    </row>
    <row r="1577" spans="2:11" ht="15">
      <c r="B1577" s="151">
        <v>38</v>
      </c>
      <c r="C1577" s="7" t="s">
        <v>18</v>
      </c>
      <c r="D1577" s="4" t="s">
        <v>24</v>
      </c>
      <c r="E1577" t="s">
        <v>488</v>
      </c>
      <c r="F1577" s="12" t="str">
        <f>IFERROR(VLOOKUP(B1577,'INSUMOS  JULIO'!$B$6:$CJ$109,51,0),"")</f>
        <v>0</v>
      </c>
      <c r="G1577" s="8">
        <f>IFERROR(VLOOKUP($B1577,'INSUMOS  JULIO'!$B$6:$CJ$109,52,0),"")</f>
        <v>11100.662</v>
      </c>
      <c r="H1577" s="19">
        <f t="shared" si="96"/>
        <v>0</v>
      </c>
      <c r="I1577" s="1">
        <f t="shared" si="97"/>
        <v>0</v>
      </c>
      <c r="J1577" s="1">
        <f t="shared" si="98"/>
        <v>0</v>
      </c>
      <c r="K1577" s="19">
        <f t="shared" si="99"/>
        <v>0</v>
      </c>
    </row>
    <row r="1578" spans="2:11" ht="15">
      <c r="B1578" s="151">
        <v>41</v>
      </c>
      <c r="C1578" s="7" t="s">
        <v>155</v>
      </c>
      <c r="D1578" s="4" t="s">
        <v>25</v>
      </c>
      <c r="E1578" t="s">
        <v>488</v>
      </c>
      <c r="F1578" s="12" t="str">
        <f>IFERROR(VLOOKUP(B1578,'INSUMOS  JULIO'!$B$6:$CJ$109,51,0),"")</f>
        <v>0</v>
      </c>
      <c r="G1578" s="8">
        <f>IFERROR(VLOOKUP($B1578,'INSUMOS  JULIO'!$B$6:$CJ$109,52,0),"")</f>
        <v>7034.3429999999989</v>
      </c>
      <c r="H1578" s="19">
        <f t="shared" si="96"/>
        <v>0</v>
      </c>
      <c r="I1578" s="1">
        <f t="shared" si="97"/>
        <v>0</v>
      </c>
      <c r="J1578" s="1">
        <f t="shared" si="98"/>
        <v>0</v>
      </c>
      <c r="K1578" s="19">
        <f t="shared" si="99"/>
        <v>0</v>
      </c>
    </row>
    <row r="1579" spans="2:11" ht="15">
      <c r="B1579" s="151">
        <v>44</v>
      </c>
      <c r="C1579" s="7" t="s">
        <v>16</v>
      </c>
      <c r="D1579" s="4" t="s">
        <v>26</v>
      </c>
      <c r="E1579" t="s">
        <v>488</v>
      </c>
      <c r="F1579" s="12">
        <f>IFERROR(VLOOKUP(B1579,'INSUMOS  JULIO'!$B$6:$CJ$109,51,0),"")</f>
        <v>0</v>
      </c>
      <c r="G1579" s="8">
        <f>IFERROR(VLOOKUP($B1579,'INSUMOS  JULIO'!$B$6:$CJ$109,52,0),"")</f>
        <v>2787.2520000000004</v>
      </c>
      <c r="H1579" s="19">
        <f t="shared" si="96"/>
        <v>0</v>
      </c>
      <c r="I1579" s="1">
        <f t="shared" si="97"/>
        <v>0</v>
      </c>
      <c r="J1579" s="1">
        <f t="shared" si="98"/>
        <v>0</v>
      </c>
      <c r="K1579" s="19">
        <f t="shared" si="99"/>
        <v>0</v>
      </c>
    </row>
    <row r="1580" spans="2:11" ht="15">
      <c r="B1580" s="151">
        <v>46</v>
      </c>
      <c r="C1580" s="7" t="s">
        <v>27</v>
      </c>
      <c r="D1580" s="4" t="s">
        <v>28</v>
      </c>
      <c r="E1580" t="s">
        <v>488</v>
      </c>
      <c r="F1580" s="12" t="str">
        <f>IFERROR(VLOOKUP(B1580,'INSUMOS  JULIO'!$B$6:$CJ$109,51,0),"")</f>
        <v>0</v>
      </c>
      <c r="G1580" s="8">
        <f>IFERROR(VLOOKUP($B1580,'INSUMOS  JULIO'!$B$6:$CJ$109,52,0),"")</f>
        <v>7739.5640000000021</v>
      </c>
      <c r="H1580" s="19">
        <f t="shared" si="96"/>
        <v>0</v>
      </c>
      <c r="I1580" s="1">
        <f t="shared" si="97"/>
        <v>0</v>
      </c>
      <c r="J1580" s="1">
        <f t="shared" si="98"/>
        <v>0</v>
      </c>
      <c r="K1580" s="19">
        <f t="shared" si="99"/>
        <v>0</v>
      </c>
    </row>
    <row r="1581" spans="2:11" ht="15">
      <c r="B1581" s="151">
        <v>50</v>
      </c>
      <c r="C1581" s="7" t="s">
        <v>13</v>
      </c>
      <c r="D1581" s="4" t="s">
        <v>29</v>
      </c>
      <c r="E1581" t="s">
        <v>488</v>
      </c>
      <c r="F1581" s="12">
        <f>IFERROR(VLOOKUP(B1581,'INSUMOS  JULIO'!$B$6:$CJ$109,51,0),"")</f>
        <v>0</v>
      </c>
      <c r="G1581" s="8">
        <f>IFERROR(VLOOKUP($B1581,'INSUMOS  JULIO'!$B$6:$CJ$109,52,0),"")</f>
        <v>38567.495999999999</v>
      </c>
      <c r="H1581" s="19">
        <f t="shared" si="96"/>
        <v>0</v>
      </c>
      <c r="I1581" s="1">
        <f t="shared" si="97"/>
        <v>0</v>
      </c>
      <c r="J1581" s="1">
        <f t="shared" si="98"/>
        <v>0</v>
      </c>
      <c r="K1581" s="19">
        <f t="shared" si="99"/>
        <v>0</v>
      </c>
    </row>
    <row r="1582" spans="2:11" ht="15">
      <c r="B1582" s="151">
        <v>51</v>
      </c>
      <c r="C1582" s="7" t="s">
        <v>13</v>
      </c>
      <c r="D1582" s="4" t="s">
        <v>30</v>
      </c>
      <c r="E1582" t="s">
        <v>488</v>
      </c>
      <c r="F1582" s="12" t="str">
        <f>IFERROR(VLOOKUP(B1582,'INSUMOS  JULIO'!$B$6:$CJ$109,51,0),"")</f>
        <v>0</v>
      </c>
      <c r="G1582" s="8">
        <f>IFERROR(VLOOKUP($B1582,'INSUMOS  JULIO'!$B$6:$CJ$109,52,0),"")</f>
        <v>7739.5640000000021</v>
      </c>
      <c r="H1582" s="19">
        <f t="shared" si="96"/>
        <v>0</v>
      </c>
      <c r="I1582" s="1">
        <f t="shared" si="97"/>
        <v>0</v>
      </c>
      <c r="J1582" s="1">
        <f t="shared" si="98"/>
        <v>0</v>
      </c>
      <c r="K1582" s="19">
        <f t="shared" si="99"/>
        <v>0</v>
      </c>
    </row>
    <row r="1583" spans="2:11" ht="15">
      <c r="B1583" s="151">
        <v>52</v>
      </c>
      <c r="C1583" s="7" t="s">
        <v>13</v>
      </c>
      <c r="D1583" s="4" t="s">
        <v>31</v>
      </c>
      <c r="E1583" t="s">
        <v>488</v>
      </c>
      <c r="F1583" s="12">
        <f>IFERROR(VLOOKUP(B1583,'INSUMOS  JULIO'!$B$6:$CJ$109,51,0),"")</f>
        <v>0</v>
      </c>
      <c r="G1583" s="8">
        <f>IFERROR(VLOOKUP($B1583,'INSUMOS  JULIO'!$B$6:$CJ$109,52,0),"")</f>
        <v>6412.1509999999998</v>
      </c>
      <c r="H1583" s="19">
        <f t="shared" si="96"/>
        <v>0</v>
      </c>
      <c r="I1583" s="1">
        <f t="shared" si="97"/>
        <v>0</v>
      </c>
      <c r="J1583" s="1">
        <f t="shared" si="98"/>
        <v>0</v>
      </c>
      <c r="K1583" s="19">
        <f t="shared" si="99"/>
        <v>0</v>
      </c>
    </row>
    <row r="1584" spans="2:11" ht="15">
      <c r="B1584" s="151">
        <v>54</v>
      </c>
      <c r="C1584" s="7" t="s">
        <v>13</v>
      </c>
      <c r="D1584" s="4" t="s">
        <v>32</v>
      </c>
      <c r="E1584" t="s">
        <v>488</v>
      </c>
      <c r="F1584" s="12">
        <f>IFERROR(VLOOKUP(B1584,'INSUMOS  JULIO'!$B$6:$CJ$109,51,0),"")</f>
        <v>0</v>
      </c>
      <c r="G1584" s="8">
        <f>IFERROR(VLOOKUP($B1584,'INSUMOS  JULIO'!$B$6:$CJ$109,52,0),"")</f>
        <v>5359.049</v>
      </c>
      <c r="H1584" s="19">
        <f t="shared" si="96"/>
        <v>0</v>
      </c>
      <c r="I1584" s="1">
        <f t="shared" si="97"/>
        <v>0</v>
      </c>
      <c r="J1584" s="1">
        <f t="shared" si="98"/>
        <v>0</v>
      </c>
      <c r="K1584" s="19">
        <f t="shared" si="99"/>
        <v>0</v>
      </c>
    </row>
    <row r="1585" spans="2:11" ht="15">
      <c r="B1585" s="151">
        <v>57</v>
      </c>
      <c r="C1585" s="7" t="s">
        <v>33</v>
      </c>
      <c r="D1585" s="4" t="s">
        <v>34</v>
      </c>
      <c r="E1585" t="s">
        <v>488</v>
      </c>
      <c r="F1585" s="12">
        <f>IFERROR(VLOOKUP(B1585,'INSUMOS  JULIO'!$B$6:$CJ$109,51,0),"")</f>
        <v>0</v>
      </c>
      <c r="G1585" s="8">
        <f>IFERROR(VLOOKUP($B1585,'INSUMOS  JULIO'!$B$6:$CJ$109,52,0),"")</f>
        <v>12823.251000000004</v>
      </c>
      <c r="H1585" s="19">
        <f t="shared" si="96"/>
        <v>0</v>
      </c>
      <c r="I1585" s="1">
        <f t="shared" si="97"/>
        <v>0</v>
      </c>
      <c r="J1585" s="1">
        <f t="shared" si="98"/>
        <v>0</v>
      </c>
      <c r="K1585" s="19">
        <f t="shared" si="99"/>
        <v>0</v>
      </c>
    </row>
    <row r="1586" spans="2:11" ht="15">
      <c r="B1586" s="151">
        <v>59</v>
      </c>
      <c r="C1586" s="7" t="s">
        <v>16</v>
      </c>
      <c r="D1586" s="4" t="s">
        <v>35</v>
      </c>
      <c r="E1586" t="s">
        <v>488</v>
      </c>
      <c r="F1586" s="12" t="str">
        <f>IFERROR(VLOOKUP(B1586,'INSUMOS  JULIO'!$B$6:$CJ$109,51,0),"")</f>
        <v>0</v>
      </c>
      <c r="G1586" s="8">
        <f>IFERROR(VLOOKUP($B1586,'INSUMOS  JULIO'!$B$6:$CJ$109,52,0),"")</f>
        <v>5528.260000000002</v>
      </c>
      <c r="H1586" s="19">
        <f t="shared" si="96"/>
        <v>0</v>
      </c>
      <c r="I1586" s="1">
        <f t="shared" si="97"/>
        <v>0</v>
      </c>
      <c r="J1586" s="1">
        <f t="shared" si="98"/>
        <v>0</v>
      </c>
      <c r="K1586" s="19">
        <f t="shared" si="99"/>
        <v>0</v>
      </c>
    </row>
    <row r="1587" spans="2:11" ht="15">
      <c r="B1587" s="151">
        <v>62</v>
      </c>
      <c r="C1587" s="7" t="s">
        <v>36</v>
      </c>
      <c r="D1587" s="4" t="s">
        <v>37</v>
      </c>
      <c r="E1587" t="s">
        <v>488</v>
      </c>
      <c r="F1587" s="12">
        <f>IFERROR(VLOOKUP(B1587,'INSUMOS  JULIO'!$B$6:$CJ$109,51,0),"")</f>
        <v>0</v>
      </c>
      <c r="G1587" s="8">
        <f>IFERROR(VLOOKUP($B1587,'INSUMOS  JULIO'!$B$6:$CJ$109,52,0),"")</f>
        <v>5167.7669999999998</v>
      </c>
      <c r="H1587" s="19">
        <f t="shared" si="96"/>
        <v>0</v>
      </c>
      <c r="I1587" s="1">
        <f t="shared" si="97"/>
        <v>0</v>
      </c>
      <c r="J1587" s="1">
        <f t="shared" si="98"/>
        <v>0</v>
      </c>
      <c r="K1587" s="19">
        <f t="shared" si="99"/>
        <v>0</v>
      </c>
    </row>
    <row r="1588" spans="2:11" ht="15">
      <c r="B1588" s="151">
        <v>63</v>
      </c>
      <c r="C1588" s="7" t="s">
        <v>36</v>
      </c>
      <c r="D1588" s="4" t="s">
        <v>38</v>
      </c>
      <c r="E1588" t="s">
        <v>488</v>
      </c>
      <c r="F1588" s="12">
        <f>IFERROR(VLOOKUP(B1588,'INSUMOS  JULIO'!$B$6:$CJ$109,51,0),"")</f>
        <v>0</v>
      </c>
      <c r="G1588" s="8">
        <f>IFERROR(VLOOKUP($B1588,'INSUMOS  JULIO'!$B$6:$CJ$109,52,0),"")</f>
        <v>11443.4982</v>
      </c>
      <c r="H1588" s="19">
        <f t="shared" si="96"/>
        <v>0</v>
      </c>
      <c r="I1588" s="1">
        <f t="shared" si="97"/>
        <v>0</v>
      </c>
      <c r="J1588" s="1">
        <f t="shared" si="98"/>
        <v>0</v>
      </c>
      <c r="K1588" s="19">
        <f t="shared" si="99"/>
        <v>0</v>
      </c>
    </row>
    <row r="1589" spans="2:11" ht="15">
      <c r="B1589" s="151">
        <v>64</v>
      </c>
      <c r="C1589" s="7" t="s">
        <v>39</v>
      </c>
      <c r="D1589" s="4" t="s">
        <v>40</v>
      </c>
      <c r="E1589" t="s">
        <v>488</v>
      </c>
      <c r="F1589" s="12">
        <f>IFERROR(VLOOKUP(B1589,'INSUMOS  JULIO'!$B$6:$CJ$109,51,0),"")</f>
        <v>0</v>
      </c>
      <c r="G1589" s="8">
        <f>IFERROR(VLOOKUP($B1589,'INSUMOS  JULIO'!$B$6:$CJ$109,52,0),"")</f>
        <v>13820.650000000001</v>
      </c>
      <c r="H1589" s="19">
        <f t="shared" si="96"/>
        <v>0</v>
      </c>
      <c r="I1589" s="1">
        <f t="shared" si="97"/>
        <v>0</v>
      </c>
      <c r="J1589" s="1">
        <f t="shared" si="98"/>
        <v>0</v>
      </c>
      <c r="K1589" s="19">
        <f t="shared" si="99"/>
        <v>0</v>
      </c>
    </row>
    <row r="1590" spans="2:11" ht="15">
      <c r="B1590" s="151">
        <v>65</v>
      </c>
      <c r="C1590" s="7" t="s">
        <v>39</v>
      </c>
      <c r="D1590" s="4" t="s">
        <v>41</v>
      </c>
      <c r="E1590" t="s">
        <v>488</v>
      </c>
      <c r="F1590" s="12">
        <f>IFERROR(VLOOKUP(B1590,'INSUMOS  JULIO'!$B$6:$CJ$109,51,0),"")</f>
        <v>0</v>
      </c>
      <c r="G1590" s="8">
        <f>IFERROR(VLOOKUP($B1590,'INSUMOS  JULIO'!$B$6:$CJ$109,52,0),"")</f>
        <v>13820.650000000001</v>
      </c>
      <c r="H1590" s="19">
        <f t="shared" si="96"/>
        <v>0</v>
      </c>
      <c r="I1590" s="1">
        <f t="shared" si="97"/>
        <v>0</v>
      </c>
      <c r="J1590" s="1">
        <f t="shared" si="98"/>
        <v>0</v>
      </c>
      <c r="K1590" s="19">
        <f t="shared" si="99"/>
        <v>0</v>
      </c>
    </row>
    <row r="1591" spans="2:11" ht="15">
      <c r="B1591" s="151">
        <v>66</v>
      </c>
      <c r="C1591" s="7" t="s">
        <v>151</v>
      </c>
      <c r="D1591" s="4" t="s">
        <v>42</v>
      </c>
      <c r="E1591" t="s">
        <v>488</v>
      </c>
      <c r="F1591" s="12">
        <f>IFERROR(VLOOKUP(B1591,'INSUMOS  JULIO'!$B$6:$CJ$109,51,0),"")</f>
        <v>0</v>
      </c>
      <c r="G1591" s="8">
        <f>IFERROR(VLOOKUP($B1591,'INSUMOS  JULIO'!$B$6:$CJ$109,52,0),"")</f>
        <v>2887.0970000000002</v>
      </c>
      <c r="H1591" s="19">
        <f t="shared" si="96"/>
        <v>0</v>
      </c>
      <c r="I1591" s="1">
        <f t="shared" si="97"/>
        <v>0</v>
      </c>
      <c r="J1591" s="1">
        <f t="shared" si="98"/>
        <v>0</v>
      </c>
      <c r="K1591" s="19">
        <f t="shared" si="99"/>
        <v>0</v>
      </c>
    </row>
    <row r="1592" spans="2:11" ht="15">
      <c r="B1592" s="151">
        <v>71</v>
      </c>
      <c r="C1592" s="7" t="s">
        <v>151</v>
      </c>
      <c r="D1592" s="4" t="s">
        <v>43</v>
      </c>
      <c r="E1592" t="s">
        <v>488</v>
      </c>
      <c r="F1592" s="12" t="str">
        <f>IFERROR(VLOOKUP(B1592,'INSUMOS  JULIO'!$B$6:$CJ$109,51,0),"")</f>
        <v>0</v>
      </c>
      <c r="G1592" s="8">
        <f>IFERROR(VLOOKUP($B1592,'INSUMOS  JULIO'!$B$6:$CJ$109,52,0),"")</f>
        <v>5196.1440000000002</v>
      </c>
      <c r="H1592" s="19">
        <f t="shared" si="96"/>
        <v>0</v>
      </c>
      <c r="I1592" s="1">
        <f t="shared" si="97"/>
        <v>0</v>
      </c>
      <c r="J1592" s="1">
        <f t="shared" si="98"/>
        <v>0</v>
      </c>
      <c r="K1592" s="19">
        <f t="shared" si="99"/>
        <v>0</v>
      </c>
    </row>
    <row r="1593" spans="2:11" ht="15">
      <c r="B1593" s="151">
        <v>72</v>
      </c>
      <c r="C1593" s="7" t="s">
        <v>151</v>
      </c>
      <c r="D1593" s="4" t="s">
        <v>44</v>
      </c>
      <c r="E1593" t="s">
        <v>488</v>
      </c>
      <c r="F1593" s="12">
        <f>IFERROR(VLOOKUP(B1593,'INSUMOS  JULIO'!$B$6:$CJ$109,51,0),"")</f>
        <v>0</v>
      </c>
      <c r="G1593" s="8">
        <f>IFERROR(VLOOKUP($B1593,'INSUMOS  JULIO'!$B$6:$CJ$109,52,0),"")</f>
        <v>5196.1440000000002</v>
      </c>
      <c r="H1593" s="19">
        <f t="shared" si="96"/>
        <v>0</v>
      </c>
      <c r="I1593" s="1">
        <f t="shared" si="97"/>
        <v>0</v>
      </c>
      <c r="J1593" s="1">
        <f t="shared" si="98"/>
        <v>0</v>
      </c>
      <c r="K1593" s="19">
        <f t="shared" si="99"/>
        <v>0</v>
      </c>
    </row>
    <row r="1594" spans="2:11" ht="27">
      <c r="B1594" s="151">
        <v>73</v>
      </c>
      <c r="C1594" s="7" t="s">
        <v>151</v>
      </c>
      <c r="D1594" s="4" t="s">
        <v>45</v>
      </c>
      <c r="E1594" t="s">
        <v>488</v>
      </c>
      <c r="F1594" s="12">
        <f>IFERROR(VLOOKUP(B1594,'INSUMOS  JULIO'!$B$6:$CJ$109,51,0),"")</f>
        <v>0</v>
      </c>
      <c r="G1594" s="8">
        <f>IFERROR(VLOOKUP($B1594,'INSUMOS  JULIO'!$B$6:$CJ$109,52,0),"")</f>
        <v>4975.4340000000011</v>
      </c>
      <c r="H1594" s="19">
        <f t="shared" si="96"/>
        <v>0</v>
      </c>
      <c r="I1594" s="1">
        <f t="shared" si="97"/>
        <v>0</v>
      </c>
      <c r="J1594" s="1">
        <f t="shared" si="98"/>
        <v>0</v>
      </c>
      <c r="K1594" s="19">
        <f t="shared" si="99"/>
        <v>0</v>
      </c>
    </row>
    <row r="1595" spans="2:11" ht="15">
      <c r="B1595" s="151">
        <v>74</v>
      </c>
      <c r="C1595" s="7" t="s">
        <v>46</v>
      </c>
      <c r="D1595" s="4" t="s">
        <v>47</v>
      </c>
      <c r="E1595" t="s">
        <v>488</v>
      </c>
      <c r="F1595" s="12">
        <f>IFERROR(VLOOKUP(B1595,'INSUMOS  JULIO'!$B$6:$CJ$109,51,0),"")</f>
        <v>0</v>
      </c>
      <c r="G1595" s="8">
        <f>IFERROR(VLOOKUP($B1595,'INSUMOS  JULIO'!$B$6:$CJ$109,52,0),"")</f>
        <v>3261.2529999999997</v>
      </c>
      <c r="H1595" s="19">
        <f t="shared" si="96"/>
        <v>0</v>
      </c>
      <c r="I1595" s="1">
        <f t="shared" si="97"/>
        <v>0</v>
      </c>
      <c r="J1595" s="1">
        <f t="shared" si="98"/>
        <v>0</v>
      </c>
      <c r="K1595" s="19">
        <f t="shared" si="99"/>
        <v>0</v>
      </c>
    </row>
    <row r="1596" spans="2:11" ht="15">
      <c r="B1596" s="151">
        <v>79</v>
      </c>
      <c r="C1596" s="7" t="s">
        <v>159</v>
      </c>
      <c r="D1596" s="4" t="s">
        <v>48</v>
      </c>
      <c r="E1596" t="s">
        <v>488</v>
      </c>
      <c r="F1596" s="12">
        <f>IFERROR(VLOOKUP(B1596,'INSUMOS  JULIO'!$B$6:$CJ$109,51,0),"")</f>
        <v>0</v>
      </c>
      <c r="G1596" s="8">
        <f>IFERROR(VLOOKUP($B1596,'INSUMOS  JULIO'!$B$6:$CJ$109,52,0),"")</f>
        <v>541.2650000000001</v>
      </c>
      <c r="H1596" s="19">
        <f t="shared" si="96"/>
        <v>0</v>
      </c>
      <c r="I1596" s="1">
        <f t="shared" si="97"/>
        <v>0</v>
      </c>
      <c r="J1596" s="1">
        <f t="shared" si="98"/>
        <v>0</v>
      </c>
      <c r="K1596" s="19">
        <f t="shared" si="99"/>
        <v>0</v>
      </c>
    </row>
    <row r="1597" spans="2:11" ht="15">
      <c r="B1597" s="151">
        <v>80</v>
      </c>
      <c r="C1597" s="7" t="s">
        <v>159</v>
      </c>
      <c r="D1597" s="4" t="s">
        <v>49</v>
      </c>
      <c r="E1597" t="s">
        <v>488</v>
      </c>
      <c r="F1597" s="12">
        <f>IFERROR(VLOOKUP(B1597,'INSUMOS  JULIO'!$B$6:$CJ$109,51,0),"")</f>
        <v>0</v>
      </c>
      <c r="G1597" s="8">
        <f>IFERROR(VLOOKUP($B1597,'INSUMOS  JULIO'!$B$6:$CJ$109,52,0),"")</f>
        <v>433.01199999999994</v>
      </c>
      <c r="H1597" s="19">
        <f t="shared" si="96"/>
        <v>0</v>
      </c>
      <c r="I1597" s="1">
        <f t="shared" si="97"/>
        <v>0</v>
      </c>
      <c r="J1597" s="1">
        <f t="shared" si="98"/>
        <v>0</v>
      </c>
      <c r="K1597" s="19">
        <f t="shared" si="99"/>
        <v>0</v>
      </c>
    </row>
    <row r="1598" spans="2:11" ht="15">
      <c r="B1598" s="151">
        <v>81</v>
      </c>
      <c r="C1598" s="7" t="s">
        <v>159</v>
      </c>
      <c r="D1598" s="4" t="s">
        <v>50</v>
      </c>
      <c r="E1598" t="s">
        <v>488</v>
      </c>
      <c r="F1598" s="12">
        <f>IFERROR(VLOOKUP(B1598,'INSUMOS  JULIO'!$B$6:$CJ$109,51,0),"")</f>
        <v>0</v>
      </c>
      <c r="G1598" s="8">
        <f>IFERROR(VLOOKUP($B1598,'INSUMOS  JULIO'!$B$6:$CJ$109,52,0),"")</f>
        <v>211.251</v>
      </c>
      <c r="H1598" s="19">
        <f t="shared" si="96"/>
        <v>0</v>
      </c>
      <c r="I1598" s="1">
        <f t="shared" si="97"/>
        <v>0</v>
      </c>
      <c r="J1598" s="1">
        <f t="shared" si="98"/>
        <v>0</v>
      </c>
      <c r="K1598" s="19">
        <f t="shared" si="99"/>
        <v>0</v>
      </c>
    </row>
    <row r="1599" spans="2:11" ht="15">
      <c r="B1599" s="151">
        <v>82</v>
      </c>
      <c r="C1599" s="7" t="s">
        <v>159</v>
      </c>
      <c r="D1599" s="4" t="s">
        <v>51</v>
      </c>
      <c r="E1599" t="s">
        <v>488</v>
      </c>
      <c r="F1599" s="12" t="str">
        <f>IFERROR(VLOOKUP(B1599,'INSUMOS  JULIO'!$B$6:$CJ$109,51,0),"")</f>
        <v>0</v>
      </c>
      <c r="G1599" s="8">
        <f>IFERROR(VLOOKUP($B1599,'INSUMOS  JULIO'!$B$6:$CJ$109,52,0),"")</f>
        <v>1003.7049999999999</v>
      </c>
      <c r="H1599" s="19">
        <f t="shared" si="96"/>
        <v>0</v>
      </c>
      <c r="I1599" s="1">
        <f t="shared" si="97"/>
        <v>0</v>
      </c>
      <c r="J1599" s="1">
        <f t="shared" si="98"/>
        <v>0</v>
      </c>
      <c r="K1599" s="19">
        <f t="shared" si="99"/>
        <v>0</v>
      </c>
    </row>
    <row r="1600" spans="2:11" ht="15">
      <c r="B1600" s="151">
        <v>83</v>
      </c>
      <c r="C1600" s="7" t="s">
        <v>159</v>
      </c>
      <c r="D1600" s="4" t="s">
        <v>52</v>
      </c>
      <c r="E1600" t="s">
        <v>488</v>
      </c>
      <c r="F1600" s="12" t="str">
        <f>IFERROR(VLOOKUP(B1600,'INSUMOS  JULIO'!$B$6:$CJ$109,51,0),"")</f>
        <v>0</v>
      </c>
      <c r="G1600" s="8">
        <f>IFERROR(VLOOKUP($B1600,'INSUMOS  JULIO'!$B$6:$CJ$109,52,0),"")</f>
        <v>336.32</v>
      </c>
      <c r="H1600" s="19">
        <f t="shared" si="96"/>
        <v>0</v>
      </c>
      <c r="I1600" s="1">
        <f t="shared" si="97"/>
        <v>0</v>
      </c>
      <c r="J1600" s="1">
        <f t="shared" si="98"/>
        <v>0</v>
      </c>
      <c r="K1600" s="19">
        <f t="shared" si="99"/>
        <v>0</v>
      </c>
    </row>
    <row r="1601" spans="2:11" ht="15">
      <c r="B1601" s="151">
        <v>86</v>
      </c>
      <c r="C1601" s="7" t="s">
        <v>53</v>
      </c>
      <c r="D1601" s="4" t="s">
        <v>54</v>
      </c>
      <c r="E1601" t="s">
        <v>488</v>
      </c>
      <c r="F1601" s="12" t="str">
        <f>IFERROR(VLOOKUP(B1601,'INSUMOS  JULIO'!$B$6:$CJ$109,51,0),"")</f>
        <v>0</v>
      </c>
      <c r="G1601" s="8">
        <f>IFERROR(VLOOKUP($B1601,'INSUMOS  JULIO'!$B$6:$CJ$109,52,0),"")</f>
        <v>2792.5070000000005</v>
      </c>
      <c r="H1601" s="19">
        <f t="shared" si="96"/>
        <v>0</v>
      </c>
      <c r="I1601" s="1">
        <f t="shared" si="97"/>
        <v>0</v>
      </c>
      <c r="J1601" s="1">
        <f t="shared" si="98"/>
        <v>0</v>
      </c>
      <c r="K1601" s="19">
        <f t="shared" si="99"/>
        <v>0</v>
      </c>
    </row>
    <row r="1602" spans="2:11" ht="15">
      <c r="B1602" s="151">
        <v>87</v>
      </c>
      <c r="C1602" s="7" t="s">
        <v>53</v>
      </c>
      <c r="D1602" s="4" t="s">
        <v>55</v>
      </c>
      <c r="E1602" t="s">
        <v>488</v>
      </c>
      <c r="F1602" s="12" t="str">
        <f>IFERROR(VLOOKUP(B1602,'INSUMOS  JULIO'!$B$6:$CJ$109,51,0),"")</f>
        <v>0</v>
      </c>
      <c r="G1602" s="8">
        <f>IFERROR(VLOOKUP($B1602,'INSUMOS  JULIO'!$B$6:$CJ$109,52,0),"")</f>
        <v>0</v>
      </c>
      <c r="H1602" s="19">
        <f t="shared" si="96"/>
        <v>0</v>
      </c>
      <c r="I1602" s="1">
        <f t="shared" si="97"/>
        <v>0</v>
      </c>
      <c r="J1602" s="1">
        <f t="shared" si="98"/>
        <v>0</v>
      </c>
      <c r="K1602" s="19">
        <f t="shared" si="99"/>
        <v>0</v>
      </c>
    </row>
    <row r="1603" spans="2:11" ht="15">
      <c r="B1603" s="151">
        <v>88</v>
      </c>
      <c r="C1603" s="7" t="s">
        <v>53</v>
      </c>
      <c r="D1603" s="4" t="s">
        <v>56</v>
      </c>
      <c r="E1603" t="s">
        <v>488</v>
      </c>
      <c r="F1603" s="12">
        <f>IFERROR(VLOOKUP(B1603,'INSUMOS  JULIO'!$B$6:$CJ$109,51,0),"")</f>
        <v>0</v>
      </c>
      <c r="G1603" s="8">
        <f>IFERROR(VLOOKUP($B1603,'INSUMOS  JULIO'!$B$6:$CJ$109,52,0),"")</f>
        <v>2717.886</v>
      </c>
      <c r="H1603" s="19">
        <f t="shared" si="96"/>
        <v>0</v>
      </c>
      <c r="I1603" s="1">
        <f t="shared" si="97"/>
        <v>0</v>
      </c>
      <c r="J1603" s="1">
        <f t="shared" si="98"/>
        <v>0</v>
      </c>
      <c r="K1603" s="19">
        <f t="shared" si="99"/>
        <v>0</v>
      </c>
    </row>
    <row r="1604" spans="2:11" ht="15">
      <c r="B1604" s="151">
        <v>89</v>
      </c>
      <c r="C1604" s="7" t="s">
        <v>53</v>
      </c>
      <c r="D1604" s="4" t="s">
        <v>57</v>
      </c>
      <c r="E1604" t="s">
        <v>488</v>
      </c>
      <c r="F1604" s="12" t="str">
        <f>IFERROR(VLOOKUP(B1604,'INSUMOS  JULIO'!$B$6:$CJ$109,51,0),"")</f>
        <v>0</v>
      </c>
      <c r="G1604" s="8">
        <f>IFERROR(VLOOKUP($B1604,'INSUMOS  JULIO'!$B$6:$CJ$109,52,0),"")</f>
        <v>2650.6220000000003</v>
      </c>
      <c r="H1604" s="19">
        <f t="shared" si="96"/>
        <v>0</v>
      </c>
      <c r="I1604" s="1">
        <f t="shared" si="97"/>
        <v>0</v>
      </c>
      <c r="J1604" s="1">
        <f t="shared" si="98"/>
        <v>0</v>
      </c>
      <c r="K1604" s="19">
        <f t="shared" si="99"/>
        <v>0</v>
      </c>
    </row>
    <row r="1605" spans="2:11" ht="15">
      <c r="B1605" s="151">
        <v>91</v>
      </c>
      <c r="C1605" s="7" t="s">
        <v>160</v>
      </c>
      <c r="D1605" s="4" t="s">
        <v>58</v>
      </c>
      <c r="E1605" t="s">
        <v>488</v>
      </c>
      <c r="F1605" s="12" t="str">
        <f>IFERROR(VLOOKUP(B1605,'INSUMOS  JULIO'!$B$6:$CJ$109,51,0),"")</f>
        <v>0</v>
      </c>
      <c r="G1605" s="8">
        <f>IFERROR(VLOOKUP($B1605,'INSUMOS  JULIO'!$B$6:$CJ$109,52,0),"")</f>
        <v>4364.8029999999999</v>
      </c>
      <c r="H1605" s="19">
        <f t="shared" si="96"/>
        <v>0</v>
      </c>
      <c r="I1605" s="1">
        <f t="shared" si="97"/>
        <v>0</v>
      </c>
      <c r="J1605" s="1">
        <f t="shared" si="98"/>
        <v>0</v>
      </c>
      <c r="K1605" s="19">
        <f t="shared" si="99"/>
        <v>0</v>
      </c>
    </row>
    <row r="1606" spans="2:11" ht="15">
      <c r="B1606" s="151">
        <v>92</v>
      </c>
      <c r="C1606" s="7" t="s">
        <v>160</v>
      </c>
      <c r="D1606" s="4" t="s">
        <v>59</v>
      </c>
      <c r="E1606" t="s">
        <v>488</v>
      </c>
      <c r="F1606" s="12" t="str">
        <f>IFERROR(VLOOKUP(B1606,'INSUMOS  JULIO'!$B$6:$CJ$109,51,0),"")</f>
        <v>0</v>
      </c>
      <c r="G1606" s="8">
        <f>IFERROR(VLOOKUP($B1606,'INSUMOS  JULIO'!$B$6:$CJ$109,52,0),"")</f>
        <v>2380.5149999999999</v>
      </c>
      <c r="H1606" s="19">
        <f t="shared" ref="H1606:H1669" si="100">+F1606*G1606</f>
        <v>0</v>
      </c>
      <c r="I1606" s="1">
        <f t="shared" ref="I1606:I1669" si="101">+H1606*10%</f>
        <v>0</v>
      </c>
      <c r="J1606" s="1">
        <f t="shared" ref="J1606:J1669" si="102">+I1606*19%</f>
        <v>0</v>
      </c>
      <c r="K1606" s="19">
        <f t="shared" ref="K1606:K1669" si="103">SUM(H1606:J1606)</f>
        <v>0</v>
      </c>
    </row>
    <row r="1607" spans="2:11" ht="15">
      <c r="B1607" s="151">
        <v>94</v>
      </c>
      <c r="C1607" s="7" t="s">
        <v>60</v>
      </c>
      <c r="D1607" s="4" t="s">
        <v>61</v>
      </c>
      <c r="E1607" t="s">
        <v>488</v>
      </c>
      <c r="F1607" s="12" t="str">
        <f>IFERROR(VLOOKUP(B1607,'INSUMOS  JULIO'!$B$6:$CJ$109,51,0),"")</f>
        <v>0</v>
      </c>
      <c r="G1607" s="8">
        <f>IFERROR(VLOOKUP($B1607,'INSUMOS  JULIO'!$B$6:$CJ$109,52,0),"")</f>
        <v>3316.9560000000001</v>
      </c>
      <c r="H1607" s="19">
        <f t="shared" si="100"/>
        <v>0</v>
      </c>
      <c r="I1607" s="1">
        <f t="shared" si="101"/>
        <v>0</v>
      </c>
      <c r="J1607" s="1">
        <f t="shared" si="102"/>
        <v>0</v>
      </c>
      <c r="K1607" s="19">
        <f t="shared" si="103"/>
        <v>0</v>
      </c>
    </row>
    <row r="1608" spans="2:11" ht="15">
      <c r="B1608" s="151">
        <v>95</v>
      </c>
      <c r="C1608" s="7" t="s">
        <v>60</v>
      </c>
      <c r="D1608" s="4" t="s">
        <v>62</v>
      </c>
      <c r="E1608" t="s">
        <v>488</v>
      </c>
      <c r="F1608" s="12" t="str">
        <f>IFERROR(VLOOKUP(B1608,'INSUMOS  JULIO'!$B$6:$CJ$109,51,0),"")</f>
        <v>0</v>
      </c>
      <c r="G1608" s="8">
        <f>IFERROR(VLOOKUP($B1608,'INSUMOS  JULIO'!$B$6:$CJ$109,52,0),"")</f>
        <v>11056.52</v>
      </c>
      <c r="H1608" s="19">
        <f t="shared" si="100"/>
        <v>0</v>
      </c>
      <c r="I1608" s="1">
        <f t="shared" si="101"/>
        <v>0</v>
      </c>
      <c r="J1608" s="1">
        <f t="shared" si="102"/>
        <v>0</v>
      </c>
      <c r="K1608" s="19">
        <f t="shared" si="103"/>
        <v>0</v>
      </c>
    </row>
    <row r="1609" spans="2:11" ht="15">
      <c r="B1609" s="151">
        <v>98</v>
      </c>
      <c r="C1609" s="7" t="s">
        <v>151</v>
      </c>
      <c r="D1609" s="4" t="s">
        <v>63</v>
      </c>
      <c r="E1609" t="s">
        <v>488</v>
      </c>
      <c r="F1609" s="12">
        <f>IFERROR(VLOOKUP(B1609,'INSUMOS  JULIO'!$B$6:$CJ$109,51,0),"")</f>
        <v>0</v>
      </c>
      <c r="G1609" s="8">
        <f>IFERROR(VLOOKUP($B1609,'INSUMOS  JULIO'!$B$6:$CJ$109,52,0),"")</f>
        <v>6633.9120000000003</v>
      </c>
      <c r="H1609" s="19">
        <f t="shared" si="100"/>
        <v>0</v>
      </c>
      <c r="I1609" s="1">
        <f t="shared" si="101"/>
        <v>0</v>
      </c>
      <c r="J1609" s="1">
        <f t="shared" si="102"/>
        <v>0</v>
      </c>
      <c r="K1609" s="19">
        <f t="shared" si="103"/>
        <v>0</v>
      </c>
    </row>
    <row r="1610" spans="2:11" ht="15">
      <c r="B1610" s="151">
        <v>100</v>
      </c>
      <c r="C1610" s="7" t="s">
        <v>160</v>
      </c>
      <c r="D1610" s="4" t="s">
        <v>64</v>
      </c>
      <c r="E1610" t="s">
        <v>488</v>
      </c>
      <c r="F1610" s="12" t="str">
        <f>IFERROR(VLOOKUP(B1610,'INSUMOS  JULIO'!$B$6:$CJ$109,51,0),"")</f>
        <v>0</v>
      </c>
      <c r="G1610" s="8">
        <f>IFERROR(VLOOKUP($B1610,'INSUMOS  JULIO'!$B$6:$CJ$109,52,0),"")</f>
        <v>4364.8029999999999</v>
      </c>
      <c r="H1610" s="19">
        <f t="shared" si="100"/>
        <v>0</v>
      </c>
      <c r="I1610" s="1">
        <f t="shared" si="101"/>
        <v>0</v>
      </c>
      <c r="J1610" s="1">
        <f t="shared" si="102"/>
        <v>0</v>
      </c>
      <c r="K1610" s="19">
        <f t="shared" si="103"/>
        <v>0</v>
      </c>
    </row>
    <row r="1611" spans="2:11" ht="15">
      <c r="B1611" s="151">
        <v>102</v>
      </c>
      <c r="C1611" s="7" t="s">
        <v>60</v>
      </c>
      <c r="D1611" s="4" t="s">
        <v>65</v>
      </c>
      <c r="E1611" t="s">
        <v>488</v>
      </c>
      <c r="F1611" s="12" t="str">
        <f>IFERROR(VLOOKUP(B1611,'INSUMOS  JULIO'!$B$6:$CJ$109,51,0),"")</f>
        <v>0</v>
      </c>
      <c r="G1611" s="8">
        <f>IFERROR(VLOOKUP($B1611,'INSUMOS  JULIO'!$B$6:$CJ$109,52,0),"")</f>
        <v>3811.9770000000003</v>
      </c>
      <c r="H1611" s="19">
        <f t="shared" si="100"/>
        <v>0</v>
      </c>
      <c r="I1611" s="1">
        <f t="shared" si="101"/>
        <v>0</v>
      </c>
      <c r="J1611" s="1">
        <f t="shared" si="102"/>
        <v>0</v>
      </c>
      <c r="K1611" s="19">
        <f t="shared" si="103"/>
        <v>0</v>
      </c>
    </row>
    <row r="1612" spans="2:11" ht="15">
      <c r="B1612" s="151">
        <v>103</v>
      </c>
      <c r="C1612" s="7" t="s">
        <v>66</v>
      </c>
      <c r="D1612" s="4" t="s">
        <v>67</v>
      </c>
      <c r="E1612" t="s">
        <v>488</v>
      </c>
      <c r="F1612" s="12" t="str">
        <f>IFERROR(VLOOKUP(B1612,'INSUMOS  JULIO'!$B$6:$CJ$109,51,0),"")</f>
        <v>0</v>
      </c>
      <c r="G1612" s="8">
        <f>IFERROR(VLOOKUP($B1612,'INSUMOS  JULIO'!$B$6:$CJ$109,52,0),"")</f>
        <v>18022.547999999999</v>
      </c>
      <c r="H1612" s="19">
        <f t="shared" si="100"/>
        <v>0</v>
      </c>
      <c r="I1612" s="1">
        <f t="shared" si="101"/>
        <v>0</v>
      </c>
      <c r="J1612" s="1">
        <f t="shared" si="102"/>
        <v>0</v>
      </c>
      <c r="K1612" s="19">
        <f t="shared" si="103"/>
        <v>0</v>
      </c>
    </row>
    <row r="1613" spans="2:11" ht="15">
      <c r="B1613" s="151">
        <v>104</v>
      </c>
      <c r="C1613" s="7" t="s">
        <v>66</v>
      </c>
      <c r="D1613" s="4" t="s">
        <v>68</v>
      </c>
      <c r="E1613" t="s">
        <v>488</v>
      </c>
      <c r="F1613" s="12" t="str">
        <f>IFERROR(VLOOKUP(B1613,'INSUMOS  JULIO'!$B$6:$CJ$109,51,0),"")</f>
        <v>0</v>
      </c>
      <c r="G1613" s="8">
        <f>IFERROR(VLOOKUP($B1613,'INSUMOS  JULIO'!$B$6:$CJ$109,52,0),"")</f>
        <v>18022.547999999999</v>
      </c>
      <c r="H1613" s="19">
        <f t="shared" si="100"/>
        <v>0</v>
      </c>
      <c r="I1613" s="1">
        <f t="shared" si="101"/>
        <v>0</v>
      </c>
      <c r="J1613" s="1">
        <f t="shared" si="102"/>
        <v>0</v>
      </c>
      <c r="K1613" s="19">
        <f t="shared" si="103"/>
        <v>0</v>
      </c>
    </row>
    <row r="1614" spans="2:11" ht="15">
      <c r="B1614" s="151">
        <v>105</v>
      </c>
      <c r="C1614" s="7" t="s">
        <v>66</v>
      </c>
      <c r="D1614" s="4" t="s">
        <v>69</v>
      </c>
      <c r="E1614" t="s">
        <v>488</v>
      </c>
      <c r="F1614" s="12" t="str">
        <f>IFERROR(VLOOKUP(B1614,'INSUMOS  JULIO'!$B$6:$CJ$109,51,0),"")</f>
        <v>0</v>
      </c>
      <c r="G1614" s="8">
        <f>IFERROR(VLOOKUP($B1614,'INSUMOS  JULIO'!$B$6:$CJ$109,52,0),"")</f>
        <v>27641.3</v>
      </c>
      <c r="H1614" s="19">
        <f t="shared" si="100"/>
        <v>0</v>
      </c>
      <c r="I1614" s="1">
        <f t="shared" si="101"/>
        <v>0</v>
      </c>
      <c r="J1614" s="1">
        <f t="shared" si="102"/>
        <v>0</v>
      </c>
      <c r="K1614" s="19">
        <f t="shared" si="103"/>
        <v>0</v>
      </c>
    </row>
    <row r="1615" spans="2:11" ht="15">
      <c r="B1615" s="151">
        <v>106</v>
      </c>
      <c r="C1615" s="7" t="s">
        <v>66</v>
      </c>
      <c r="D1615" s="4" t="s">
        <v>70</v>
      </c>
      <c r="E1615" t="s">
        <v>488</v>
      </c>
      <c r="F1615" s="12" t="str">
        <f>IFERROR(VLOOKUP(B1615,'INSUMOS  JULIO'!$B$6:$CJ$109,51,0),"")</f>
        <v>0</v>
      </c>
      <c r="G1615" s="8">
        <f>IFERROR(VLOOKUP($B1615,'INSUMOS  JULIO'!$B$6:$CJ$109,52,0),"")</f>
        <v>0</v>
      </c>
      <c r="H1615" s="19">
        <f t="shared" si="100"/>
        <v>0</v>
      </c>
      <c r="I1615" s="1">
        <f t="shared" si="101"/>
        <v>0</v>
      </c>
      <c r="J1615" s="1">
        <f t="shared" si="102"/>
        <v>0</v>
      </c>
      <c r="K1615" s="19">
        <f t="shared" si="103"/>
        <v>0</v>
      </c>
    </row>
    <row r="1616" spans="2:11" ht="15">
      <c r="B1616" s="151">
        <v>108</v>
      </c>
      <c r="C1616" s="7" t="s">
        <v>66</v>
      </c>
      <c r="D1616" s="4" t="s">
        <v>71</v>
      </c>
      <c r="E1616" t="s">
        <v>488</v>
      </c>
      <c r="F1616" s="12" t="str">
        <f>IFERROR(VLOOKUP(B1616,'INSUMOS  JULIO'!$B$6:$CJ$109,51,0),"")</f>
        <v>0</v>
      </c>
      <c r="G1616" s="8">
        <f>IFERROR(VLOOKUP($B1616,'INSUMOS  JULIO'!$B$6:$CJ$109,52,0),"")</f>
        <v>38697.82</v>
      </c>
      <c r="H1616" s="19">
        <f t="shared" si="100"/>
        <v>0</v>
      </c>
      <c r="I1616" s="1">
        <f t="shared" si="101"/>
        <v>0</v>
      </c>
      <c r="J1616" s="1">
        <f t="shared" si="102"/>
        <v>0</v>
      </c>
      <c r="K1616" s="19">
        <f t="shared" si="103"/>
        <v>0</v>
      </c>
    </row>
    <row r="1617" spans="2:11" ht="15">
      <c r="B1617" s="151">
        <v>109</v>
      </c>
      <c r="C1617" s="7" t="s">
        <v>66</v>
      </c>
      <c r="D1617" s="4" t="s">
        <v>72</v>
      </c>
      <c r="E1617" t="s">
        <v>488</v>
      </c>
      <c r="F1617" s="12" t="str">
        <f>IFERROR(VLOOKUP(B1617,'INSUMOS  JULIO'!$B$6:$CJ$109,51,0),"")</f>
        <v>0</v>
      </c>
      <c r="G1617" s="8">
        <f>IFERROR(VLOOKUP($B1617,'INSUMOS  JULIO'!$B$6:$CJ$109,52,0),"")</f>
        <v>49754.340000000004</v>
      </c>
      <c r="H1617" s="19">
        <f t="shared" si="100"/>
        <v>0</v>
      </c>
      <c r="I1617" s="1">
        <f t="shared" si="101"/>
        <v>0</v>
      </c>
      <c r="J1617" s="1">
        <f t="shared" si="102"/>
        <v>0</v>
      </c>
      <c r="K1617" s="19">
        <f t="shared" si="103"/>
        <v>0</v>
      </c>
    </row>
    <row r="1618" spans="2:11" ht="15">
      <c r="B1618" s="151">
        <v>110</v>
      </c>
      <c r="C1618" s="7" t="s">
        <v>158</v>
      </c>
      <c r="D1618" s="4" t="s">
        <v>73</v>
      </c>
      <c r="E1618" t="s">
        <v>488</v>
      </c>
      <c r="F1618" s="12">
        <f>IFERROR(VLOOKUP(B1618,'INSUMOS  JULIO'!$B$6:$CJ$109,51,0),"")</f>
        <v>0</v>
      </c>
      <c r="G1618" s="8">
        <f>IFERROR(VLOOKUP($B1618,'INSUMOS  JULIO'!$B$6:$CJ$109,52,0),"")</f>
        <v>1442.4974999999999</v>
      </c>
      <c r="H1618" s="19">
        <f t="shared" si="100"/>
        <v>0</v>
      </c>
      <c r="I1618" s="1">
        <f t="shared" si="101"/>
        <v>0</v>
      </c>
      <c r="J1618" s="1">
        <f t="shared" si="102"/>
        <v>0</v>
      </c>
      <c r="K1618" s="19">
        <f t="shared" si="103"/>
        <v>0</v>
      </c>
    </row>
    <row r="1619" spans="2:11" ht="15">
      <c r="B1619" s="151">
        <v>118</v>
      </c>
      <c r="C1619" s="7" t="s">
        <v>158</v>
      </c>
      <c r="D1619" s="4" t="s">
        <v>74</v>
      </c>
      <c r="E1619" t="s">
        <v>488</v>
      </c>
      <c r="F1619" s="12">
        <f>IFERROR(VLOOKUP(B1619,'INSUMOS  JULIO'!$B$6:$CJ$109,51,0),"")</f>
        <v>0</v>
      </c>
      <c r="G1619" s="8">
        <f>IFERROR(VLOOKUP($B1619,'INSUMOS  JULIO'!$B$6:$CJ$109,52,0),"")</f>
        <v>2455.136</v>
      </c>
      <c r="H1619" s="19">
        <f t="shared" si="100"/>
        <v>0</v>
      </c>
      <c r="I1619" s="1">
        <f t="shared" si="101"/>
        <v>0</v>
      </c>
      <c r="J1619" s="1">
        <f t="shared" si="102"/>
        <v>0</v>
      </c>
      <c r="K1619" s="19">
        <f t="shared" si="103"/>
        <v>0</v>
      </c>
    </row>
    <row r="1620" spans="2:11" ht="15">
      <c r="B1620" s="151">
        <v>119</v>
      </c>
      <c r="C1620" s="7" t="s">
        <v>158</v>
      </c>
      <c r="D1620" s="4" t="s">
        <v>75</v>
      </c>
      <c r="E1620" t="s">
        <v>488</v>
      </c>
      <c r="F1620" s="12" t="str">
        <f>IFERROR(VLOOKUP(B1620,'INSUMOS  JULIO'!$B$6:$CJ$109,51,0),"")</f>
        <v>0</v>
      </c>
      <c r="G1620" s="8">
        <f>IFERROR(VLOOKUP($B1620,'INSUMOS  JULIO'!$B$6:$CJ$109,52,0),"")</f>
        <v>2821.9350000000004</v>
      </c>
      <c r="H1620" s="19">
        <f t="shared" si="100"/>
        <v>0</v>
      </c>
      <c r="I1620" s="1">
        <f t="shared" si="101"/>
        <v>0</v>
      </c>
      <c r="J1620" s="1">
        <f t="shared" si="102"/>
        <v>0</v>
      </c>
      <c r="K1620" s="19">
        <f t="shared" si="103"/>
        <v>0</v>
      </c>
    </row>
    <row r="1621" spans="2:11" ht="15">
      <c r="B1621" s="151">
        <v>120</v>
      </c>
      <c r="C1621" s="7" t="s">
        <v>158</v>
      </c>
      <c r="D1621" s="4" t="s">
        <v>76</v>
      </c>
      <c r="E1621" t="s">
        <v>488</v>
      </c>
      <c r="F1621" s="12" t="str">
        <f>IFERROR(VLOOKUP(B1621,'INSUMOS  JULIO'!$B$6:$CJ$109,51,0),"")</f>
        <v>0</v>
      </c>
      <c r="G1621" s="8">
        <f>IFERROR(VLOOKUP($B1621,'INSUMOS  JULIO'!$B$6:$CJ$109,52,0),"")</f>
        <v>2821.9350000000004</v>
      </c>
      <c r="H1621" s="19">
        <f t="shared" si="100"/>
        <v>0</v>
      </c>
      <c r="I1621" s="1">
        <f t="shared" si="101"/>
        <v>0</v>
      </c>
      <c r="J1621" s="1">
        <f t="shared" si="102"/>
        <v>0</v>
      </c>
      <c r="K1621" s="19">
        <f t="shared" si="103"/>
        <v>0</v>
      </c>
    </row>
    <row r="1622" spans="2:11" ht="15">
      <c r="B1622" s="151">
        <v>122</v>
      </c>
      <c r="C1622" s="7" t="s">
        <v>158</v>
      </c>
      <c r="D1622" s="4" t="s">
        <v>77</v>
      </c>
      <c r="E1622" t="s">
        <v>488</v>
      </c>
      <c r="F1622" s="12" t="str">
        <f>IFERROR(VLOOKUP(B1622,'INSUMOS  JULIO'!$B$6:$CJ$109,51,0),"")</f>
        <v>0</v>
      </c>
      <c r="G1622" s="8">
        <f>IFERROR(VLOOKUP($B1622,'INSUMOS  JULIO'!$B$6:$CJ$109,52,0),"")</f>
        <v>5223.4699999999993</v>
      </c>
      <c r="H1622" s="19">
        <f t="shared" si="100"/>
        <v>0</v>
      </c>
      <c r="I1622" s="1">
        <f t="shared" si="101"/>
        <v>0</v>
      </c>
      <c r="J1622" s="1">
        <f t="shared" si="102"/>
        <v>0</v>
      </c>
      <c r="K1622" s="19">
        <f t="shared" si="103"/>
        <v>0</v>
      </c>
    </row>
    <row r="1623" spans="2:11" ht="15">
      <c r="B1623" s="151">
        <v>123</v>
      </c>
      <c r="C1623" s="7" t="s">
        <v>158</v>
      </c>
      <c r="D1623" s="4" t="s">
        <v>78</v>
      </c>
      <c r="E1623" t="s">
        <v>488</v>
      </c>
      <c r="F1623" s="12" t="str">
        <f>IFERROR(VLOOKUP(B1623,'INSUMOS  JULIO'!$B$6:$CJ$109,51,0),"")</f>
        <v>0</v>
      </c>
      <c r="G1623" s="8">
        <f>IFERROR(VLOOKUP($B1623,'INSUMOS  JULIO'!$B$6:$CJ$109,52,0),"")</f>
        <v>5765.7860000000001</v>
      </c>
      <c r="H1623" s="19">
        <f t="shared" si="100"/>
        <v>0</v>
      </c>
      <c r="I1623" s="1">
        <f t="shared" si="101"/>
        <v>0</v>
      </c>
      <c r="J1623" s="1">
        <f t="shared" si="102"/>
        <v>0</v>
      </c>
      <c r="K1623" s="19">
        <f t="shared" si="103"/>
        <v>0</v>
      </c>
    </row>
    <row r="1624" spans="2:11" ht="15">
      <c r="B1624" s="151">
        <v>124</v>
      </c>
      <c r="C1624" s="7" t="s">
        <v>158</v>
      </c>
      <c r="D1624" s="4" t="s">
        <v>79</v>
      </c>
      <c r="E1624" t="s">
        <v>488</v>
      </c>
      <c r="F1624" s="12" t="str">
        <f>IFERROR(VLOOKUP(B1624,'INSUMOS  JULIO'!$B$6:$CJ$109,51,0),"")</f>
        <v>0</v>
      </c>
      <c r="G1624" s="8">
        <f>IFERROR(VLOOKUP($B1624,'INSUMOS  JULIO'!$B$6:$CJ$109,52,0),"")</f>
        <v>5765.7860000000001</v>
      </c>
      <c r="H1624" s="19">
        <f t="shared" si="100"/>
        <v>0</v>
      </c>
      <c r="I1624" s="1">
        <f t="shared" si="101"/>
        <v>0</v>
      </c>
      <c r="J1624" s="1">
        <f t="shared" si="102"/>
        <v>0</v>
      </c>
      <c r="K1624" s="19">
        <f t="shared" si="103"/>
        <v>0</v>
      </c>
    </row>
    <row r="1625" spans="2:11" ht="15">
      <c r="B1625" s="151">
        <v>126</v>
      </c>
      <c r="C1625" s="7" t="s">
        <v>9</v>
      </c>
      <c r="D1625" s="4" t="s">
        <v>80</v>
      </c>
      <c r="E1625" t="s">
        <v>488</v>
      </c>
      <c r="F1625" s="12" t="str">
        <f>IFERROR(VLOOKUP(B1625,'INSUMOS  JULIO'!$B$6:$CJ$109,51,0),"")</f>
        <v>0</v>
      </c>
      <c r="G1625" s="8">
        <f>IFERROR(VLOOKUP($B1625,'INSUMOS  JULIO'!$B$6:$CJ$109,52,0),"")</f>
        <v>3316.9560000000001</v>
      </c>
      <c r="H1625" s="19">
        <f t="shared" si="100"/>
        <v>0</v>
      </c>
      <c r="I1625" s="1">
        <f t="shared" si="101"/>
        <v>0</v>
      </c>
      <c r="J1625" s="1">
        <f t="shared" si="102"/>
        <v>0</v>
      </c>
      <c r="K1625" s="19">
        <f t="shared" si="103"/>
        <v>0</v>
      </c>
    </row>
    <row r="1626" spans="2:11" ht="15">
      <c r="B1626" s="151">
        <v>127</v>
      </c>
      <c r="C1626" s="7" t="s">
        <v>156</v>
      </c>
      <c r="D1626" s="4" t="s">
        <v>81</v>
      </c>
      <c r="E1626" t="s">
        <v>488</v>
      </c>
      <c r="F1626" s="12" t="str">
        <f>IFERROR(VLOOKUP(B1626,'INSUMOS  JULIO'!$B$6:$CJ$109,51,0),"")</f>
        <v>0</v>
      </c>
      <c r="G1626" s="8">
        <f>IFERROR(VLOOKUP($B1626,'INSUMOS  JULIO'!$B$6:$CJ$109,52,0),"")</f>
        <v>3316.9560000000001</v>
      </c>
      <c r="H1626" s="19">
        <f t="shared" si="100"/>
        <v>0</v>
      </c>
      <c r="I1626" s="1">
        <f t="shared" si="101"/>
        <v>0</v>
      </c>
      <c r="J1626" s="1">
        <f t="shared" si="102"/>
        <v>0</v>
      </c>
      <c r="K1626" s="19">
        <f t="shared" si="103"/>
        <v>0</v>
      </c>
    </row>
    <row r="1627" spans="2:11" ht="15">
      <c r="B1627" s="151">
        <v>129</v>
      </c>
      <c r="C1627" s="7" t="s">
        <v>157</v>
      </c>
      <c r="D1627" s="4" t="s">
        <v>82</v>
      </c>
      <c r="E1627" t="s">
        <v>488</v>
      </c>
      <c r="F1627" s="12" t="str">
        <f>IFERROR(VLOOKUP(B1627,'INSUMOS  JULIO'!$B$6:$CJ$109,51,0),"")</f>
        <v>0</v>
      </c>
      <c r="G1627" s="8">
        <f>IFERROR(VLOOKUP($B1627,'INSUMOS  JULIO'!$B$6:$CJ$109,52,0),"")</f>
        <v>3787.8040000000001</v>
      </c>
      <c r="H1627" s="19">
        <f t="shared" si="100"/>
        <v>0</v>
      </c>
      <c r="I1627" s="1">
        <f t="shared" si="101"/>
        <v>0</v>
      </c>
      <c r="J1627" s="1">
        <f t="shared" si="102"/>
        <v>0</v>
      </c>
      <c r="K1627" s="19">
        <f t="shared" si="103"/>
        <v>0</v>
      </c>
    </row>
    <row r="1628" spans="2:11" ht="15">
      <c r="B1628" s="151">
        <v>131</v>
      </c>
      <c r="C1628" s="7" t="s">
        <v>13</v>
      </c>
      <c r="D1628" s="4" t="s">
        <v>83</v>
      </c>
      <c r="E1628" t="s">
        <v>488</v>
      </c>
      <c r="F1628" s="12" t="str">
        <f>IFERROR(VLOOKUP(B1628,'INSUMOS  JULIO'!$B$6:$CJ$109,51,0),"")</f>
        <v>0</v>
      </c>
      <c r="G1628" s="8">
        <f>IFERROR(VLOOKUP($B1628,'INSUMOS  JULIO'!$B$6:$CJ$109,52,0),"")</f>
        <v>0</v>
      </c>
      <c r="H1628" s="19">
        <f t="shared" si="100"/>
        <v>0</v>
      </c>
      <c r="I1628" s="1">
        <f t="shared" si="101"/>
        <v>0</v>
      </c>
      <c r="J1628" s="1">
        <f t="shared" si="102"/>
        <v>0</v>
      </c>
      <c r="K1628" s="19">
        <f t="shared" si="103"/>
        <v>0</v>
      </c>
    </row>
    <row r="1629" spans="2:11" ht="15">
      <c r="B1629" s="151">
        <v>132</v>
      </c>
      <c r="C1629" s="7" t="s">
        <v>13</v>
      </c>
      <c r="D1629" s="4" t="s">
        <v>84</v>
      </c>
      <c r="E1629" t="s">
        <v>488</v>
      </c>
      <c r="F1629" s="12" t="str">
        <f>IFERROR(VLOOKUP(B1629,'INSUMOS  JULIO'!$B$6:$CJ$109,51,0),"")</f>
        <v>0</v>
      </c>
      <c r="G1629" s="8">
        <f>IFERROR(VLOOKUP($B1629,'INSUMOS  JULIO'!$B$6:$CJ$109,52,0),"")</f>
        <v>0</v>
      </c>
      <c r="H1629" s="19">
        <f t="shared" si="100"/>
        <v>0</v>
      </c>
      <c r="I1629" s="1">
        <f t="shared" si="101"/>
        <v>0</v>
      </c>
      <c r="J1629" s="1">
        <f t="shared" si="102"/>
        <v>0</v>
      </c>
      <c r="K1629" s="19">
        <f t="shared" si="103"/>
        <v>0</v>
      </c>
    </row>
    <row r="1630" spans="2:11" ht="15">
      <c r="B1630" s="151">
        <v>134</v>
      </c>
      <c r="C1630" s="7" t="s">
        <v>16</v>
      </c>
      <c r="D1630" s="4" t="s">
        <v>85</v>
      </c>
      <c r="E1630" t="s">
        <v>488</v>
      </c>
      <c r="F1630" s="12" t="str">
        <f>IFERROR(VLOOKUP(B1630,'INSUMOS  JULIO'!$B$6:$CJ$109,51,0),"")</f>
        <v>0</v>
      </c>
      <c r="G1630" s="8">
        <f>IFERROR(VLOOKUP($B1630,'INSUMOS  JULIO'!$B$6:$CJ$109,52,0),"")</f>
        <v>0</v>
      </c>
      <c r="H1630" s="19">
        <f t="shared" si="100"/>
        <v>0</v>
      </c>
      <c r="I1630" s="1">
        <f t="shared" si="101"/>
        <v>0</v>
      </c>
      <c r="J1630" s="1">
        <f t="shared" si="102"/>
        <v>0</v>
      </c>
      <c r="K1630" s="19">
        <f t="shared" si="103"/>
        <v>0</v>
      </c>
    </row>
    <row r="1631" spans="2:11" ht="15">
      <c r="B1631" s="151">
        <v>135</v>
      </c>
      <c r="C1631" s="7" t="s">
        <v>18</v>
      </c>
      <c r="D1631" s="4" t="s">
        <v>86</v>
      </c>
      <c r="E1631" t="s">
        <v>488</v>
      </c>
      <c r="F1631" s="12">
        <f>IFERROR(VLOOKUP(B1631,'INSUMOS  JULIO'!$B$6:$CJ$109,51,0),"")</f>
        <v>0</v>
      </c>
      <c r="G1631" s="8">
        <f>IFERROR(VLOOKUP($B1631,'INSUMOS  JULIO'!$B$6:$CJ$109,52,0),"")</f>
        <v>6229.277</v>
      </c>
      <c r="H1631" s="19">
        <f t="shared" si="100"/>
        <v>0</v>
      </c>
      <c r="I1631" s="1">
        <f t="shared" si="101"/>
        <v>0</v>
      </c>
      <c r="J1631" s="1">
        <f t="shared" si="102"/>
        <v>0</v>
      </c>
      <c r="K1631" s="19">
        <f t="shared" si="103"/>
        <v>0</v>
      </c>
    </row>
    <row r="1632" spans="2:11" ht="15">
      <c r="B1632" s="151">
        <v>137</v>
      </c>
      <c r="C1632" s="7" t="s">
        <v>20</v>
      </c>
      <c r="D1632" s="4" t="s">
        <v>88</v>
      </c>
      <c r="E1632" t="s">
        <v>488</v>
      </c>
      <c r="F1632" s="12" t="str">
        <f>IFERROR(VLOOKUP(B1632,'INSUMOS  JULIO'!$B$6:$CJ$109,51,0),"")</f>
        <v>0</v>
      </c>
      <c r="G1632" s="8">
        <f>IFERROR(VLOOKUP($B1632,'INSUMOS  JULIO'!$B$6:$CJ$109,52,0),"")</f>
        <v>1245.4349999999999</v>
      </c>
      <c r="H1632" s="19">
        <f t="shared" si="100"/>
        <v>0</v>
      </c>
      <c r="I1632" s="1">
        <f t="shared" si="101"/>
        <v>0</v>
      </c>
      <c r="J1632" s="1">
        <f t="shared" si="102"/>
        <v>0</v>
      </c>
      <c r="K1632" s="19">
        <f t="shared" si="103"/>
        <v>0</v>
      </c>
    </row>
    <row r="1633" spans="2:11" ht="15">
      <c r="B1633" s="151">
        <v>139</v>
      </c>
      <c r="C1633" s="7" t="s">
        <v>22</v>
      </c>
      <c r="D1633" s="4" t="s">
        <v>89</v>
      </c>
      <c r="E1633" t="s">
        <v>488</v>
      </c>
      <c r="F1633" s="12">
        <f>IFERROR(VLOOKUP(B1633,'INSUMOS  JULIO'!$B$6:$CJ$109,51,0),"")</f>
        <v>0</v>
      </c>
      <c r="G1633" s="8">
        <f>IFERROR(VLOOKUP($B1633,'INSUMOS  JULIO'!$B$6:$CJ$109,52,0),"")</f>
        <v>25429.996000000003</v>
      </c>
      <c r="H1633" s="19">
        <f t="shared" si="100"/>
        <v>0</v>
      </c>
      <c r="I1633" s="1">
        <f t="shared" si="101"/>
        <v>0</v>
      </c>
      <c r="J1633" s="1">
        <f t="shared" si="102"/>
        <v>0</v>
      </c>
      <c r="K1633" s="19">
        <f t="shared" si="103"/>
        <v>0</v>
      </c>
    </row>
    <row r="1634" spans="2:11" ht="15">
      <c r="B1634" s="151">
        <v>151</v>
      </c>
      <c r="C1634" s="7" t="s">
        <v>18</v>
      </c>
      <c r="D1634" s="4" t="s">
        <v>91</v>
      </c>
      <c r="E1634" t="s">
        <v>488</v>
      </c>
      <c r="F1634" s="12">
        <f>IFERROR(VLOOKUP(B1634,'INSUMOS  JULIO'!$B$6:$CJ$109,51,0),"")</f>
        <v>0</v>
      </c>
      <c r="G1634" s="8">
        <f>IFERROR(VLOOKUP($B1634,'INSUMOS  JULIO'!$B$6:$CJ$109,52,0),"")</f>
        <v>4422.6080000000002</v>
      </c>
      <c r="H1634" s="19">
        <f t="shared" si="100"/>
        <v>0</v>
      </c>
      <c r="I1634" s="1">
        <f t="shared" si="101"/>
        <v>0</v>
      </c>
      <c r="J1634" s="1">
        <f t="shared" si="102"/>
        <v>0</v>
      </c>
      <c r="K1634" s="19">
        <f t="shared" si="103"/>
        <v>0</v>
      </c>
    </row>
    <row r="1635" spans="2:11" ht="15">
      <c r="B1635" s="151">
        <v>152</v>
      </c>
      <c r="C1635" s="7" t="s">
        <v>155</v>
      </c>
      <c r="D1635" s="4" t="s">
        <v>92</v>
      </c>
      <c r="E1635" t="s">
        <v>488</v>
      </c>
      <c r="F1635" s="12" t="str">
        <f>IFERROR(VLOOKUP(B1635,'INSUMOS  JULIO'!$B$6:$CJ$109,51,0),"")</f>
        <v>0</v>
      </c>
      <c r="G1635" s="8">
        <f>IFERROR(VLOOKUP($B1635,'INSUMOS  JULIO'!$B$6:$CJ$109,52,0),"")</f>
        <v>0</v>
      </c>
      <c r="H1635" s="19">
        <f t="shared" si="100"/>
        <v>0</v>
      </c>
      <c r="I1635" s="1">
        <f t="shared" si="101"/>
        <v>0</v>
      </c>
      <c r="J1635" s="1">
        <f t="shared" si="102"/>
        <v>0</v>
      </c>
      <c r="K1635" s="19">
        <f t="shared" si="103"/>
        <v>0</v>
      </c>
    </row>
    <row r="1636" spans="2:11" ht="15">
      <c r="B1636" s="151">
        <v>154</v>
      </c>
      <c r="C1636" s="7" t="s">
        <v>16</v>
      </c>
      <c r="D1636" s="4" t="s">
        <v>94</v>
      </c>
      <c r="E1636" t="s">
        <v>488</v>
      </c>
      <c r="F1636" s="12" t="str">
        <f>IFERROR(VLOOKUP(B1636,'INSUMOS  JULIO'!$B$6:$CJ$109,51,0),"")</f>
        <v>0</v>
      </c>
      <c r="G1636" s="8">
        <f>IFERROR(VLOOKUP($B1636,'INSUMOS  JULIO'!$B$6:$CJ$109,52,0),"")</f>
        <v>0</v>
      </c>
      <c r="H1636" s="19">
        <f t="shared" si="100"/>
        <v>0</v>
      </c>
      <c r="I1636" s="1">
        <f t="shared" si="101"/>
        <v>0</v>
      </c>
      <c r="J1636" s="1">
        <f t="shared" si="102"/>
        <v>0</v>
      </c>
      <c r="K1636" s="19">
        <f t="shared" si="103"/>
        <v>0</v>
      </c>
    </row>
    <row r="1637" spans="2:11" ht="15">
      <c r="B1637" s="151">
        <v>155</v>
      </c>
      <c r="C1637" s="7" t="s">
        <v>27</v>
      </c>
      <c r="D1637" s="4" t="s">
        <v>95</v>
      </c>
      <c r="E1637" t="s">
        <v>488</v>
      </c>
      <c r="F1637" s="12">
        <f>IFERROR(VLOOKUP(B1637,'INSUMOS  JULIO'!$B$6:$CJ$109,51,0),"")</f>
        <v>0</v>
      </c>
      <c r="G1637" s="8">
        <f>IFERROR(VLOOKUP($B1637,'INSUMOS  JULIO'!$B$6:$CJ$109,52,0),"")</f>
        <v>3703.7239999999997</v>
      </c>
      <c r="H1637" s="19">
        <f t="shared" si="100"/>
        <v>0</v>
      </c>
      <c r="I1637" s="1">
        <f t="shared" si="101"/>
        <v>0</v>
      </c>
      <c r="J1637" s="1">
        <f t="shared" si="102"/>
        <v>0</v>
      </c>
      <c r="K1637" s="19">
        <f t="shared" si="103"/>
        <v>0</v>
      </c>
    </row>
    <row r="1638" spans="2:11" ht="15">
      <c r="B1638" s="151">
        <v>156</v>
      </c>
      <c r="C1638" s="7" t="s">
        <v>13</v>
      </c>
      <c r="D1638" s="4" t="s">
        <v>96</v>
      </c>
      <c r="E1638" t="s">
        <v>488</v>
      </c>
      <c r="F1638" s="12" t="str">
        <f>IFERROR(VLOOKUP(B1638,'INSUMOS  JULIO'!$B$6:$CJ$109,51,0),"")</f>
        <v>0</v>
      </c>
      <c r="G1638" s="8">
        <f>IFERROR(VLOOKUP($B1638,'INSUMOS  JULIO'!$B$6:$CJ$109,52,0),"")</f>
        <v>4422.6080000000002</v>
      </c>
      <c r="H1638" s="19">
        <f t="shared" si="100"/>
        <v>0</v>
      </c>
      <c r="I1638" s="1">
        <f t="shared" si="101"/>
        <v>0</v>
      </c>
      <c r="J1638" s="1">
        <f t="shared" si="102"/>
        <v>0</v>
      </c>
      <c r="K1638" s="19">
        <f t="shared" si="103"/>
        <v>0</v>
      </c>
    </row>
    <row r="1639" spans="2:11" ht="15">
      <c r="B1639" s="151">
        <v>157</v>
      </c>
      <c r="C1639" s="7" t="s">
        <v>13</v>
      </c>
      <c r="D1639" s="4" t="s">
        <v>97</v>
      </c>
      <c r="E1639" t="s">
        <v>488</v>
      </c>
      <c r="F1639" s="12">
        <f>IFERROR(VLOOKUP(B1639,'INSUMOS  JULIO'!$B$6:$CJ$109,51,0),"")</f>
        <v>0</v>
      </c>
      <c r="G1639" s="8">
        <f>IFERROR(VLOOKUP($B1639,'INSUMOS  JULIO'!$B$6:$CJ$109,52,0),"")</f>
        <v>5970.7309999999998</v>
      </c>
      <c r="H1639" s="19">
        <f t="shared" si="100"/>
        <v>0</v>
      </c>
      <c r="I1639" s="1">
        <f t="shared" si="101"/>
        <v>0</v>
      </c>
      <c r="J1639" s="1">
        <f t="shared" si="102"/>
        <v>0</v>
      </c>
      <c r="K1639" s="19">
        <f t="shared" si="103"/>
        <v>0</v>
      </c>
    </row>
    <row r="1640" spans="2:11" ht="15">
      <c r="B1640" s="151">
        <v>159</v>
      </c>
      <c r="C1640" s="7" t="s">
        <v>13</v>
      </c>
      <c r="D1640" s="4" t="s">
        <v>98</v>
      </c>
      <c r="E1640" t="s">
        <v>488</v>
      </c>
      <c r="F1640" s="12" t="str">
        <f>IFERROR(VLOOKUP(B1640,'INSUMOS  JULIO'!$B$6:$CJ$109,51,0),"")</f>
        <v>0</v>
      </c>
      <c r="G1640" s="8">
        <f>IFERROR(VLOOKUP($B1640,'INSUMOS  JULIO'!$B$6:$CJ$109,52,0),"")</f>
        <v>0</v>
      </c>
      <c r="H1640" s="19">
        <f t="shared" si="100"/>
        <v>0</v>
      </c>
      <c r="I1640" s="1">
        <f t="shared" si="101"/>
        <v>0</v>
      </c>
      <c r="J1640" s="1">
        <f t="shared" si="102"/>
        <v>0</v>
      </c>
      <c r="K1640" s="19">
        <f t="shared" si="103"/>
        <v>0</v>
      </c>
    </row>
    <row r="1641" spans="2:11" ht="15">
      <c r="B1641" s="151">
        <v>160</v>
      </c>
      <c r="C1641" s="7" t="s">
        <v>13</v>
      </c>
      <c r="D1641" s="4" t="s">
        <v>99</v>
      </c>
      <c r="E1641" t="s">
        <v>488</v>
      </c>
      <c r="F1641" s="12" t="str">
        <f>IFERROR(VLOOKUP(B1641,'INSUMOS  JULIO'!$B$6:$CJ$109,51,0),"")</f>
        <v>0</v>
      </c>
      <c r="G1641" s="8">
        <f>IFERROR(VLOOKUP($B1641,'INSUMOS  JULIO'!$B$6:$CJ$109,52,0),"")</f>
        <v>2276.4660000000003</v>
      </c>
      <c r="H1641" s="19">
        <f t="shared" si="100"/>
        <v>0</v>
      </c>
      <c r="I1641" s="1">
        <f t="shared" si="101"/>
        <v>0</v>
      </c>
      <c r="J1641" s="1">
        <f t="shared" si="102"/>
        <v>0</v>
      </c>
      <c r="K1641" s="19">
        <f t="shared" si="103"/>
        <v>0</v>
      </c>
    </row>
    <row r="1642" spans="2:11" ht="15">
      <c r="B1642" s="151">
        <v>161</v>
      </c>
      <c r="C1642" s="7" t="s">
        <v>33</v>
      </c>
      <c r="D1642" s="4" t="s">
        <v>100</v>
      </c>
      <c r="E1642" t="s">
        <v>488</v>
      </c>
      <c r="F1642" s="12" t="str">
        <f>IFERROR(VLOOKUP(B1642,'INSUMOS  JULIO'!$B$6:$CJ$109,51,0),"")</f>
        <v>0</v>
      </c>
      <c r="G1642" s="8">
        <f>IFERROR(VLOOKUP($B1642,'INSUMOS  JULIO'!$B$6:$CJ$109,52,0),"")</f>
        <v>2236.5280000000002</v>
      </c>
      <c r="H1642" s="19">
        <f t="shared" si="100"/>
        <v>0</v>
      </c>
      <c r="I1642" s="1">
        <f t="shared" si="101"/>
        <v>0</v>
      </c>
      <c r="J1642" s="1">
        <f t="shared" si="102"/>
        <v>0</v>
      </c>
      <c r="K1642" s="19">
        <f t="shared" si="103"/>
        <v>0</v>
      </c>
    </row>
    <row r="1643" spans="2:11" ht="15">
      <c r="B1643" s="151">
        <v>162</v>
      </c>
      <c r="C1643" s="7" t="s">
        <v>16</v>
      </c>
      <c r="D1643" s="4" t="s">
        <v>101</v>
      </c>
      <c r="E1643" t="s">
        <v>488</v>
      </c>
      <c r="F1643" s="12">
        <f>IFERROR(VLOOKUP(B1643,'INSUMOS  JULIO'!$B$6:$CJ$109,51,0),"")</f>
        <v>0</v>
      </c>
      <c r="G1643" s="8">
        <f>IFERROR(VLOOKUP($B1643,'INSUMOS  JULIO'!$B$6:$CJ$109,52,0),"")</f>
        <v>2684.2539999999999</v>
      </c>
      <c r="H1643" s="19">
        <f t="shared" si="100"/>
        <v>0</v>
      </c>
      <c r="I1643" s="1">
        <f t="shared" si="101"/>
        <v>0</v>
      </c>
      <c r="J1643" s="1">
        <f t="shared" si="102"/>
        <v>0</v>
      </c>
      <c r="K1643" s="19">
        <f t="shared" si="103"/>
        <v>0</v>
      </c>
    </row>
    <row r="1644" spans="2:11" ht="15">
      <c r="B1644" s="151">
        <v>164</v>
      </c>
      <c r="C1644" s="7" t="s">
        <v>36</v>
      </c>
      <c r="D1644" s="4" t="s">
        <v>102</v>
      </c>
      <c r="E1644" t="s">
        <v>488</v>
      </c>
      <c r="F1644" s="12" t="str">
        <f>IFERROR(VLOOKUP(B1644,'INSUMOS  JULIO'!$B$6:$CJ$109,51,0),"")</f>
        <v>0</v>
      </c>
      <c r="G1644" s="8">
        <f>IFERROR(VLOOKUP($B1644,'INSUMOS  JULIO'!$B$6:$CJ$109,52,0),"")</f>
        <v>1658.4780000000001</v>
      </c>
      <c r="H1644" s="19">
        <f t="shared" si="100"/>
        <v>0</v>
      </c>
      <c r="I1644" s="1">
        <f t="shared" si="101"/>
        <v>0</v>
      </c>
      <c r="J1644" s="1">
        <f t="shared" si="102"/>
        <v>0</v>
      </c>
      <c r="K1644" s="19">
        <f t="shared" si="103"/>
        <v>0</v>
      </c>
    </row>
    <row r="1645" spans="2:11" ht="15">
      <c r="B1645" s="151">
        <v>169</v>
      </c>
      <c r="C1645" s="7" t="s">
        <v>36</v>
      </c>
      <c r="D1645" s="4" t="s">
        <v>104</v>
      </c>
      <c r="E1645" t="s">
        <v>488</v>
      </c>
      <c r="F1645" s="12" t="str">
        <f>IFERROR(VLOOKUP(B1645,'INSUMOS  JULIO'!$B$6:$CJ$109,51,0),"")</f>
        <v>0</v>
      </c>
      <c r="G1645" s="8">
        <f>IFERROR(VLOOKUP($B1645,'INSUMOS  JULIO'!$B$6:$CJ$109,52,0),"")</f>
        <v>85897.178999999989</v>
      </c>
      <c r="H1645" s="19">
        <f t="shared" si="100"/>
        <v>0</v>
      </c>
      <c r="I1645" s="1">
        <f t="shared" si="101"/>
        <v>0</v>
      </c>
      <c r="J1645" s="1">
        <f t="shared" si="102"/>
        <v>0</v>
      </c>
      <c r="K1645" s="19">
        <f t="shared" si="103"/>
        <v>0</v>
      </c>
    </row>
    <row r="1646" spans="2:11" ht="15">
      <c r="B1646" s="151">
        <v>170</v>
      </c>
      <c r="C1646" s="7" t="s">
        <v>39</v>
      </c>
      <c r="D1646" s="4" t="s">
        <v>106</v>
      </c>
      <c r="E1646" t="s">
        <v>488</v>
      </c>
      <c r="F1646" s="12">
        <f>IFERROR(VLOOKUP(B1646,'INSUMOS  JULIO'!$B$6:$CJ$109,51,0),"")</f>
        <v>0</v>
      </c>
      <c r="G1646" s="8">
        <f>IFERROR(VLOOKUP($B1646,'INSUMOS  JULIO'!$B$6:$CJ$109,52,0),"")</f>
        <v>19405.664000000001</v>
      </c>
      <c r="H1646" s="19">
        <f t="shared" si="100"/>
        <v>0</v>
      </c>
      <c r="I1646" s="1">
        <f t="shared" si="101"/>
        <v>0</v>
      </c>
      <c r="J1646" s="1">
        <f t="shared" si="102"/>
        <v>0</v>
      </c>
      <c r="K1646" s="19">
        <f t="shared" si="103"/>
        <v>0</v>
      </c>
    </row>
    <row r="1647" spans="2:11" ht="15">
      <c r="B1647" s="151">
        <v>173</v>
      </c>
      <c r="C1647" s="7" t="s">
        <v>39</v>
      </c>
      <c r="D1647" s="4" t="s">
        <v>107</v>
      </c>
      <c r="E1647" t="s">
        <v>488</v>
      </c>
      <c r="F1647" s="12" t="str">
        <f>IFERROR(VLOOKUP(B1647,'INSUMOS  JULIO'!$B$6:$CJ$109,51,0),"")</f>
        <v>0</v>
      </c>
      <c r="G1647" s="8">
        <f>IFERROR(VLOOKUP($B1647,'INSUMOS  JULIO'!$B$6:$CJ$109,52,0),"")</f>
        <v>0</v>
      </c>
      <c r="H1647" s="19">
        <f t="shared" si="100"/>
        <v>0</v>
      </c>
      <c r="I1647" s="1">
        <f t="shared" si="101"/>
        <v>0</v>
      </c>
      <c r="J1647" s="1">
        <f t="shared" si="102"/>
        <v>0</v>
      </c>
      <c r="K1647" s="19">
        <f t="shared" si="103"/>
        <v>0</v>
      </c>
    </row>
    <row r="1648" spans="2:11" ht="15">
      <c r="B1648" s="151">
        <v>174</v>
      </c>
      <c r="C1648" s="7" t="s">
        <v>108</v>
      </c>
      <c r="D1648" s="4" t="s">
        <v>109</v>
      </c>
      <c r="E1648" t="s">
        <v>488</v>
      </c>
      <c r="F1648" s="12" t="str">
        <f>IFERROR(VLOOKUP(B1648,'INSUMOS  JULIO'!$B$6:$CJ$109,51,0),"")</f>
        <v>0</v>
      </c>
      <c r="G1648" s="8">
        <f>IFERROR(VLOOKUP($B1648,'INSUMOS  JULIO'!$B$6:$CJ$109,52,0),"")</f>
        <v>6081.0860000000002</v>
      </c>
      <c r="H1648" s="19">
        <f t="shared" si="100"/>
        <v>0</v>
      </c>
      <c r="I1648" s="1">
        <f t="shared" si="101"/>
        <v>0</v>
      </c>
      <c r="J1648" s="1">
        <f t="shared" si="102"/>
        <v>0</v>
      </c>
      <c r="K1648" s="19">
        <f t="shared" si="103"/>
        <v>0</v>
      </c>
    </row>
    <row r="1649" spans="2:11" ht="15">
      <c r="B1649" s="151">
        <v>176</v>
      </c>
      <c r="C1649" s="7" t="s">
        <v>108</v>
      </c>
      <c r="D1649" s="4" t="s">
        <v>110</v>
      </c>
      <c r="E1649" t="s">
        <v>488</v>
      </c>
      <c r="F1649" s="12" t="str">
        <f>IFERROR(VLOOKUP(B1649,'INSUMOS  JULIO'!$B$6:$CJ$109,51,0),"")</f>
        <v>0</v>
      </c>
      <c r="G1649" s="8">
        <f>IFERROR(VLOOKUP($B1649,'INSUMOS  JULIO'!$B$6:$CJ$109,52,0),"")</f>
        <v>2749.4160000000002</v>
      </c>
      <c r="H1649" s="19">
        <f t="shared" si="100"/>
        <v>0</v>
      </c>
      <c r="I1649" s="1">
        <f t="shared" si="101"/>
        <v>0</v>
      </c>
      <c r="J1649" s="1">
        <f t="shared" si="102"/>
        <v>0</v>
      </c>
      <c r="K1649" s="19">
        <f t="shared" si="103"/>
        <v>0</v>
      </c>
    </row>
    <row r="1650" spans="2:11" ht="15">
      <c r="B1650" s="151">
        <v>192</v>
      </c>
      <c r="C1650" s="7" t="s">
        <v>149</v>
      </c>
      <c r="D1650" s="4" t="s">
        <v>111</v>
      </c>
      <c r="E1650" t="s">
        <v>488</v>
      </c>
      <c r="F1650" s="12">
        <f>IFERROR(VLOOKUP(B1650,'INSUMOS  JULIO'!$B$6:$CJ$109,51,0),"")</f>
        <v>0</v>
      </c>
      <c r="G1650" s="8">
        <f>IFERROR(VLOOKUP($B1650,'INSUMOS  JULIO'!$B$6:$CJ$109,52,0),"")</f>
        <v>6866.2880999999998</v>
      </c>
      <c r="H1650" s="19">
        <f t="shared" si="100"/>
        <v>0</v>
      </c>
      <c r="I1650" s="1">
        <f t="shared" si="101"/>
        <v>0</v>
      </c>
      <c r="J1650" s="1">
        <f t="shared" si="102"/>
        <v>0</v>
      </c>
      <c r="K1650" s="19">
        <f t="shared" si="103"/>
        <v>0</v>
      </c>
    </row>
    <row r="1651" spans="2:11" ht="15">
      <c r="B1651" s="151">
        <v>195</v>
      </c>
      <c r="C1651" s="7" t="s">
        <v>149</v>
      </c>
      <c r="D1651" s="4" t="s">
        <v>112</v>
      </c>
      <c r="E1651" t="s">
        <v>488</v>
      </c>
      <c r="F1651" s="12">
        <f>IFERROR(VLOOKUP(B1651,'INSUMOS  JULIO'!$B$6:$CJ$109,51,0),"")</f>
        <v>0</v>
      </c>
      <c r="G1651" s="8">
        <f>IFERROR(VLOOKUP($B1651,'INSUMOS  JULIO'!$B$6:$CJ$109,52,0),"")</f>
        <v>10697.1831</v>
      </c>
      <c r="H1651" s="19">
        <f t="shared" si="100"/>
        <v>0</v>
      </c>
      <c r="I1651" s="1">
        <f t="shared" si="101"/>
        <v>0</v>
      </c>
      <c r="J1651" s="1">
        <f t="shared" si="102"/>
        <v>0</v>
      </c>
      <c r="K1651" s="19">
        <f t="shared" si="103"/>
        <v>0</v>
      </c>
    </row>
    <row r="1652" spans="2:11" ht="15">
      <c r="B1652" s="151">
        <v>204</v>
      </c>
      <c r="C1652" s="7" t="s">
        <v>150</v>
      </c>
      <c r="D1652" s="4" t="s">
        <v>113</v>
      </c>
      <c r="E1652" t="s">
        <v>488</v>
      </c>
      <c r="F1652" s="12">
        <f>IFERROR(VLOOKUP(B1652,'INSUMOS  JULIO'!$B$6:$CJ$109,51,0),"")</f>
        <v>10</v>
      </c>
      <c r="G1652" s="8">
        <f>IFERROR(VLOOKUP($B1652,'INSUMOS  JULIO'!$B$6:$CJ$109,52,0),"")</f>
        <v>25673.6178</v>
      </c>
      <c r="H1652" s="19">
        <f t="shared" si="100"/>
        <v>256736.17800000001</v>
      </c>
      <c r="I1652" s="1">
        <f t="shared" si="101"/>
        <v>25673.617800000004</v>
      </c>
      <c r="J1652" s="1">
        <f t="shared" si="102"/>
        <v>4877.9873820000012</v>
      </c>
      <c r="K1652" s="19">
        <f t="shared" si="103"/>
        <v>287287.78318200004</v>
      </c>
    </row>
    <row r="1653" spans="2:11" ht="27">
      <c r="B1653" s="151">
        <v>205</v>
      </c>
      <c r="C1653" s="7" t="s">
        <v>150</v>
      </c>
      <c r="D1653" s="4" t="s">
        <v>114</v>
      </c>
      <c r="E1653" t="s">
        <v>488</v>
      </c>
      <c r="F1653" s="12" t="str">
        <f>IFERROR(VLOOKUP(B1653,'INSUMOS  JULIO'!$B$6:$CJ$109,51,0),"")</f>
        <v>0</v>
      </c>
      <c r="G1653" s="8">
        <f>IFERROR(VLOOKUP($B1653,'INSUMOS  JULIO'!$B$6:$CJ$109,52,0),"")</f>
        <v>17690.432000000001</v>
      </c>
      <c r="H1653" s="19">
        <f t="shared" si="100"/>
        <v>0</v>
      </c>
      <c r="I1653" s="1">
        <f t="shared" si="101"/>
        <v>0</v>
      </c>
      <c r="J1653" s="1">
        <f t="shared" si="102"/>
        <v>0</v>
      </c>
      <c r="K1653" s="19">
        <f t="shared" si="103"/>
        <v>0</v>
      </c>
    </row>
    <row r="1654" spans="2:11" ht="15">
      <c r="B1654" s="151">
        <v>207</v>
      </c>
      <c r="C1654" s="7" t="s">
        <v>159</v>
      </c>
      <c r="D1654" s="4" t="s">
        <v>115</v>
      </c>
      <c r="E1654" t="s">
        <v>488</v>
      </c>
      <c r="F1654" s="12" t="str">
        <f>IFERROR(VLOOKUP(B1654,'INSUMOS  JULIO'!$B$6:$CJ$109,51,0),"")</f>
        <v>0</v>
      </c>
      <c r="G1654" s="8">
        <f>IFERROR(VLOOKUP($B1654,'INSUMOS  JULIO'!$B$6:$CJ$109,52,0),"")</f>
        <v>7186.7380000000003</v>
      </c>
      <c r="H1654" s="19">
        <f t="shared" si="100"/>
        <v>0</v>
      </c>
      <c r="I1654" s="1">
        <f t="shared" si="101"/>
        <v>0</v>
      </c>
      <c r="J1654" s="1">
        <f t="shared" si="102"/>
        <v>0</v>
      </c>
      <c r="K1654" s="19">
        <f t="shared" si="103"/>
        <v>0</v>
      </c>
    </row>
    <row r="1655" spans="2:11" ht="15">
      <c r="B1655" s="151">
        <v>208</v>
      </c>
      <c r="C1655" s="7" t="s">
        <v>159</v>
      </c>
      <c r="D1655" s="4" t="s">
        <v>634</v>
      </c>
      <c r="E1655" t="s">
        <v>488</v>
      </c>
      <c r="F1655" s="12" t="str">
        <f>IFERROR(VLOOKUP(B1655,'INSUMOS  JULIO'!$B$6:$CJ$109,51,0),"")</f>
        <v>0</v>
      </c>
      <c r="G1655" s="8">
        <f>IFERROR(VLOOKUP($B1655,'INSUMOS  JULIO'!$B$6:$CJ$109,52,0),"")</f>
        <v>50779.065000000002</v>
      </c>
      <c r="H1655" s="19">
        <f t="shared" si="100"/>
        <v>0</v>
      </c>
      <c r="I1655" s="1">
        <f t="shared" si="101"/>
        <v>0</v>
      </c>
      <c r="J1655" s="1">
        <f t="shared" si="102"/>
        <v>0</v>
      </c>
      <c r="K1655" s="19">
        <f t="shared" si="103"/>
        <v>0</v>
      </c>
    </row>
    <row r="1656" spans="2:11" ht="15">
      <c r="B1656" s="151">
        <v>209</v>
      </c>
      <c r="C1656" s="7" t="s">
        <v>159</v>
      </c>
      <c r="D1656" s="4" t="s">
        <v>635</v>
      </c>
      <c r="E1656" t="s">
        <v>488</v>
      </c>
      <c r="F1656" s="12" t="str">
        <f>IFERROR(VLOOKUP(B1656,'INSUMOS  JULIO'!$B$6:$CJ$109,51,0),"")</f>
        <v>0</v>
      </c>
      <c r="G1656" s="8">
        <f>IFERROR(VLOOKUP($B1656,'INSUMOS  JULIO'!$B$6:$CJ$109,52,0),"")</f>
        <v>37357.794999999998</v>
      </c>
      <c r="H1656" s="19">
        <f t="shared" si="100"/>
        <v>0</v>
      </c>
      <c r="I1656" s="1">
        <f t="shared" si="101"/>
        <v>0</v>
      </c>
      <c r="J1656" s="1">
        <f t="shared" si="102"/>
        <v>0</v>
      </c>
      <c r="K1656" s="19">
        <f t="shared" si="103"/>
        <v>0</v>
      </c>
    </row>
    <row r="1657" spans="2:11" ht="15">
      <c r="B1657" s="151">
        <v>210</v>
      </c>
      <c r="C1657" s="7" t="s">
        <v>159</v>
      </c>
      <c r="D1657" s="4" t="s">
        <v>636</v>
      </c>
      <c r="E1657" t="s">
        <v>488</v>
      </c>
      <c r="F1657" s="12" t="str">
        <f>IFERROR(VLOOKUP(B1657,'INSUMOS  JULIO'!$B$6:$CJ$109,51,0),"")</f>
        <v>0</v>
      </c>
      <c r="G1657" s="8">
        <f>IFERROR(VLOOKUP($B1657,'INSUMOS  JULIO'!$B$6:$CJ$109,52,0),"")</f>
        <v>22537.643999999997</v>
      </c>
      <c r="H1657" s="19">
        <f t="shared" si="100"/>
        <v>0</v>
      </c>
      <c r="I1657" s="1">
        <f t="shared" si="101"/>
        <v>0</v>
      </c>
      <c r="J1657" s="1">
        <f t="shared" si="102"/>
        <v>0</v>
      </c>
      <c r="K1657" s="19">
        <f t="shared" si="103"/>
        <v>0</v>
      </c>
    </row>
    <row r="1658" spans="2:11" ht="15">
      <c r="B1658" s="151">
        <v>211</v>
      </c>
      <c r="C1658" s="7" t="s">
        <v>53</v>
      </c>
      <c r="D1658" s="4" t="s">
        <v>637</v>
      </c>
      <c r="E1658" t="s">
        <v>488</v>
      </c>
      <c r="F1658" s="12" t="str">
        <f>IFERROR(VLOOKUP(B1658,'INSUMOS  JULIO'!$B$6:$CJ$109,51,0),"")</f>
        <v>0</v>
      </c>
      <c r="G1658" s="8">
        <f>IFERROR(VLOOKUP($B1658,'INSUMOS  JULIO'!$B$6:$CJ$109,52,0),"")</f>
        <v>15992.016</v>
      </c>
      <c r="H1658" s="19">
        <f t="shared" si="100"/>
        <v>0</v>
      </c>
      <c r="I1658" s="1">
        <f t="shared" si="101"/>
        <v>0</v>
      </c>
      <c r="J1658" s="1">
        <f t="shared" si="102"/>
        <v>0</v>
      </c>
      <c r="K1658" s="19">
        <f t="shared" si="103"/>
        <v>0</v>
      </c>
    </row>
    <row r="1659" spans="2:11" ht="15">
      <c r="B1659" s="151">
        <v>212</v>
      </c>
      <c r="C1659" s="7" t="s">
        <v>53</v>
      </c>
      <c r="D1659" s="4" t="s">
        <v>116</v>
      </c>
      <c r="E1659" t="s">
        <v>488</v>
      </c>
      <c r="F1659" s="12" t="str">
        <f>IFERROR(VLOOKUP(B1659,'INSUMOS  JULIO'!$B$6:$CJ$109,51,0),"")</f>
        <v>0</v>
      </c>
      <c r="G1659" s="8">
        <f>IFERROR(VLOOKUP($B1659,'INSUMOS  JULIO'!$B$6:$CJ$109,52,0),"")</f>
        <v>2505.5839999999998</v>
      </c>
      <c r="H1659" s="19">
        <f t="shared" si="100"/>
        <v>0</v>
      </c>
      <c r="I1659" s="1">
        <f t="shared" si="101"/>
        <v>0</v>
      </c>
      <c r="J1659" s="1">
        <f t="shared" si="102"/>
        <v>0</v>
      </c>
      <c r="K1659" s="19">
        <f t="shared" si="103"/>
        <v>0</v>
      </c>
    </row>
    <row r="1660" spans="2:11" ht="15">
      <c r="B1660" s="151">
        <v>213</v>
      </c>
      <c r="C1660" s="7" t="s">
        <v>53</v>
      </c>
      <c r="D1660" s="4" t="s">
        <v>638</v>
      </c>
      <c r="E1660" t="s">
        <v>488</v>
      </c>
      <c r="F1660" s="12" t="str">
        <f>IFERROR(VLOOKUP(B1660,'INSUMOS  JULIO'!$B$6:$CJ$109,51,0),"")</f>
        <v>0</v>
      </c>
      <c r="G1660" s="8">
        <f>IFERROR(VLOOKUP($B1660,'INSUMOS  JULIO'!$B$6:$CJ$109,52,0),"")</f>
        <v>0</v>
      </c>
      <c r="H1660" s="19">
        <f t="shared" si="100"/>
        <v>0</v>
      </c>
      <c r="I1660" s="1">
        <f t="shared" si="101"/>
        <v>0</v>
      </c>
      <c r="J1660" s="1">
        <f t="shared" si="102"/>
        <v>0</v>
      </c>
      <c r="K1660" s="19">
        <f t="shared" si="103"/>
        <v>0</v>
      </c>
    </row>
    <row r="1661" spans="2:11" ht="15">
      <c r="B1661" s="151">
        <v>215</v>
      </c>
      <c r="C1661" s="7" t="s">
        <v>53</v>
      </c>
      <c r="D1661" s="4" t="s">
        <v>639</v>
      </c>
      <c r="E1661" t="s">
        <v>488</v>
      </c>
      <c r="F1661" s="12" t="str">
        <f>IFERROR(VLOOKUP(B1661,'INSUMOS  JULIO'!$B$6:$CJ$109,51,0),"")</f>
        <v>0</v>
      </c>
      <c r="G1661" s="8">
        <f>IFERROR(VLOOKUP($B1661,'INSUMOS  JULIO'!$B$6:$CJ$109,52,0),"")</f>
        <v>10476.367999999999</v>
      </c>
      <c r="H1661" s="19">
        <f t="shared" si="100"/>
        <v>0</v>
      </c>
      <c r="I1661" s="1">
        <f t="shared" si="101"/>
        <v>0</v>
      </c>
      <c r="J1661" s="1">
        <f t="shared" si="102"/>
        <v>0</v>
      </c>
      <c r="K1661" s="19">
        <f t="shared" si="103"/>
        <v>0</v>
      </c>
    </row>
    <row r="1662" spans="2:11" ht="15">
      <c r="B1662" s="151">
        <v>216</v>
      </c>
      <c r="C1662" s="7" t="s">
        <v>160</v>
      </c>
      <c r="D1662" s="4" t="s">
        <v>640</v>
      </c>
      <c r="E1662" t="s">
        <v>488</v>
      </c>
      <c r="F1662" s="12" t="str">
        <f>IFERROR(VLOOKUP(B1662,'INSUMOS  JULIO'!$B$6:$CJ$109,51,0),"")</f>
        <v>0</v>
      </c>
      <c r="G1662" s="8">
        <f>IFERROR(VLOOKUP($B1662,'INSUMOS  JULIO'!$B$6:$CJ$109,52,0),"")</f>
        <v>3954.9129999999996</v>
      </c>
      <c r="H1662" s="19">
        <f t="shared" si="100"/>
        <v>0</v>
      </c>
      <c r="I1662" s="1">
        <f t="shared" si="101"/>
        <v>0</v>
      </c>
      <c r="J1662" s="1">
        <f t="shared" si="102"/>
        <v>0</v>
      </c>
      <c r="K1662" s="19">
        <f t="shared" si="103"/>
        <v>0</v>
      </c>
    </row>
    <row r="1663" spans="2:11" ht="15">
      <c r="B1663" s="151">
        <v>218</v>
      </c>
      <c r="C1663" s="7" t="s">
        <v>160</v>
      </c>
      <c r="D1663" s="4" t="s">
        <v>117</v>
      </c>
      <c r="E1663" t="s">
        <v>488</v>
      </c>
      <c r="F1663" s="12" t="str">
        <f>IFERROR(VLOOKUP(B1663,'INSUMOS  JULIO'!$B$6:$CJ$109,51,0),"")</f>
        <v>0</v>
      </c>
      <c r="G1663" s="8">
        <f>IFERROR(VLOOKUP($B1663,'INSUMOS  JULIO'!$B$6:$CJ$109,52,0),"")</f>
        <v>1437.768</v>
      </c>
      <c r="H1663" s="19">
        <f t="shared" si="100"/>
        <v>0</v>
      </c>
      <c r="I1663" s="1">
        <f t="shared" si="101"/>
        <v>0</v>
      </c>
      <c r="J1663" s="1">
        <f t="shared" si="102"/>
        <v>0</v>
      </c>
      <c r="K1663" s="19">
        <f t="shared" si="103"/>
        <v>0</v>
      </c>
    </row>
    <row r="1664" spans="2:11" ht="15">
      <c r="B1664" s="151">
        <v>251</v>
      </c>
      <c r="C1664" s="7" t="s">
        <v>60</v>
      </c>
      <c r="D1664" s="4" t="s">
        <v>118</v>
      </c>
      <c r="E1664" t="s">
        <v>488</v>
      </c>
      <c r="F1664" s="12" t="str">
        <f>IFERROR(VLOOKUP(B1664,'INSUMOS  JULIO'!$B$6:$CJ$109,51,0),"")</f>
        <v>0</v>
      </c>
      <c r="G1664" s="8">
        <f>IFERROR(VLOOKUP($B1664,'INSUMOS  JULIO'!$B$6:$CJ$109,52,0),"")</f>
        <v>16031.954000000002</v>
      </c>
      <c r="H1664" s="19">
        <f t="shared" si="100"/>
        <v>0</v>
      </c>
      <c r="I1664" s="1">
        <f t="shared" si="101"/>
        <v>0</v>
      </c>
      <c r="J1664" s="1">
        <f t="shared" si="102"/>
        <v>0</v>
      </c>
      <c r="K1664" s="19">
        <f t="shared" si="103"/>
        <v>0</v>
      </c>
    </row>
    <row r="1665" spans="2:11" ht="15">
      <c r="B1665" s="151">
        <v>255</v>
      </c>
      <c r="C1665" s="7" t="s">
        <v>60</v>
      </c>
      <c r="D1665" s="4" t="s">
        <v>641</v>
      </c>
      <c r="E1665" t="s">
        <v>488</v>
      </c>
      <c r="F1665" s="12" t="str">
        <f>IFERROR(VLOOKUP(B1665,'INSUMOS  JULIO'!$B$6:$CJ$109,51,0),"")</f>
        <v>0</v>
      </c>
      <c r="G1665" s="8">
        <f>IFERROR(VLOOKUP($B1665,'INSUMOS  JULIO'!$B$6:$CJ$109,52,0),"")</f>
        <v>29299.777999999998</v>
      </c>
      <c r="H1665" s="19">
        <f t="shared" si="100"/>
        <v>0</v>
      </c>
      <c r="I1665" s="1">
        <f t="shared" si="101"/>
        <v>0</v>
      </c>
      <c r="J1665" s="1">
        <f t="shared" si="102"/>
        <v>0</v>
      </c>
      <c r="K1665" s="19">
        <f t="shared" si="103"/>
        <v>0</v>
      </c>
    </row>
    <row r="1666" spans="2:11" ht="15">
      <c r="B1666" s="151">
        <v>257</v>
      </c>
      <c r="C1666" s="7" t="s">
        <v>151</v>
      </c>
      <c r="D1666" s="4" t="s">
        <v>642</v>
      </c>
      <c r="E1666" t="s">
        <v>488</v>
      </c>
      <c r="F1666" s="12" t="str">
        <f>IFERROR(VLOOKUP(B1666,'INSUMOS  JULIO'!$B$6:$CJ$109,51,0),"")</f>
        <v>0</v>
      </c>
      <c r="G1666" s="8">
        <f>IFERROR(VLOOKUP($B1666,'INSUMOS  JULIO'!$B$6:$CJ$109,52,0),"")</f>
        <v>18796.084000000003</v>
      </c>
      <c r="H1666" s="19">
        <f t="shared" si="100"/>
        <v>0</v>
      </c>
      <c r="I1666" s="1">
        <f t="shared" si="101"/>
        <v>0</v>
      </c>
      <c r="J1666" s="1">
        <f t="shared" si="102"/>
        <v>0</v>
      </c>
      <c r="K1666" s="19">
        <f t="shared" si="103"/>
        <v>0</v>
      </c>
    </row>
    <row r="1667" spans="2:11" ht="15">
      <c r="B1667" s="151">
        <v>260</v>
      </c>
      <c r="C1667" s="7" t="s">
        <v>160</v>
      </c>
      <c r="D1667" s="4" t="s">
        <v>643</v>
      </c>
      <c r="E1667" t="s">
        <v>488</v>
      </c>
      <c r="F1667" s="12" t="str">
        <f>IFERROR(VLOOKUP(B1667,'INSUMOS  JULIO'!$B$6:$CJ$109,51,0),"")</f>
        <v>0</v>
      </c>
      <c r="G1667" s="8">
        <f>IFERROR(VLOOKUP($B1667,'INSUMOS  JULIO'!$B$6:$CJ$109,52,0),"")</f>
        <v>3417.8520000000008</v>
      </c>
      <c r="H1667" s="19">
        <f t="shared" si="100"/>
        <v>0</v>
      </c>
      <c r="I1667" s="1">
        <f t="shared" si="101"/>
        <v>0</v>
      </c>
      <c r="J1667" s="1">
        <f t="shared" si="102"/>
        <v>0</v>
      </c>
      <c r="K1667" s="19">
        <f t="shared" si="103"/>
        <v>0</v>
      </c>
    </row>
    <row r="1668" spans="2:11" ht="15">
      <c r="B1668" s="151">
        <v>291</v>
      </c>
      <c r="C1668" s="7" t="s">
        <v>60</v>
      </c>
      <c r="D1668" s="4" t="s">
        <v>644</v>
      </c>
      <c r="E1668" t="s">
        <v>488</v>
      </c>
      <c r="F1668" s="12" t="str">
        <f>IFERROR(VLOOKUP(B1668,'INSUMOS  JULIO'!$B$6:$CJ$109,51,0),"")</f>
        <v>0</v>
      </c>
      <c r="G1668" s="8">
        <f>IFERROR(VLOOKUP($B1668,'INSUMOS  JULIO'!$B$6:$CJ$109,52,0),"")</f>
        <v>20454.562000000005</v>
      </c>
      <c r="H1668" s="19">
        <f t="shared" si="100"/>
        <v>0</v>
      </c>
      <c r="I1668" s="1">
        <f t="shared" si="101"/>
        <v>0</v>
      </c>
      <c r="J1668" s="1">
        <f t="shared" si="102"/>
        <v>0</v>
      </c>
      <c r="K1668" s="19">
        <f t="shared" si="103"/>
        <v>0</v>
      </c>
    </row>
    <row r="1669" spans="2:11" ht="15">
      <c r="B1669" s="151">
        <v>3</v>
      </c>
      <c r="C1669" s="7" t="s">
        <v>155</v>
      </c>
      <c r="D1669" s="4" t="s">
        <v>5</v>
      </c>
      <c r="E1669" t="s">
        <v>489</v>
      </c>
      <c r="F1669" s="12" t="str">
        <f>IFERROR(VLOOKUP($B1669,'INSUMOS  JULIO'!$B$6:$CJ$109,54,0),"")</f>
        <v>0</v>
      </c>
      <c r="G1669" s="8">
        <f>IFERROR(VLOOKUP($B1669,'INSUMOS  JULIO'!$B$6:$CJ$109,55,0),"")</f>
        <v>7268.7160000000003</v>
      </c>
      <c r="H1669" s="19">
        <f t="shared" si="100"/>
        <v>0</v>
      </c>
      <c r="I1669" s="1">
        <f t="shared" si="101"/>
        <v>0</v>
      </c>
      <c r="J1669" s="1">
        <f t="shared" si="102"/>
        <v>0</v>
      </c>
      <c r="K1669" s="19">
        <f t="shared" si="103"/>
        <v>0</v>
      </c>
    </row>
    <row r="1670" spans="2:11" ht="15">
      <c r="B1670" s="151">
        <v>5</v>
      </c>
      <c r="C1670" s="7" t="s">
        <v>6</v>
      </c>
      <c r="D1670" s="4" t="s">
        <v>7</v>
      </c>
      <c r="E1670" t="s">
        <v>489</v>
      </c>
      <c r="F1670" s="12" t="str">
        <f>IFERROR(VLOOKUP(B1670,'INSUMOS  JULIO'!$B$6:$CJ$109,54,0),"")</f>
        <v>0</v>
      </c>
      <c r="G1670" s="8">
        <f>IFERROR(VLOOKUP($B1670,'INSUMOS  JULIO'!$B$6:$CJ$109,55,0),"")</f>
        <v>6494.1289999999999</v>
      </c>
      <c r="H1670" s="19">
        <f t="shared" ref="H1670:H1733" si="104">+F1670*G1670</f>
        <v>0</v>
      </c>
      <c r="I1670" s="1">
        <f t="shared" ref="I1670:I1733" si="105">+H1670*10%</f>
        <v>0</v>
      </c>
      <c r="J1670" s="1">
        <f t="shared" ref="J1670:J1733" si="106">+I1670*19%</f>
        <v>0</v>
      </c>
      <c r="K1670" s="19">
        <f t="shared" ref="K1670:K1733" si="107">SUM(H1670:J1670)</f>
        <v>0</v>
      </c>
    </row>
    <row r="1671" spans="2:11" ht="15">
      <c r="B1671" s="151">
        <v>8</v>
      </c>
      <c r="C1671" s="7" t="s">
        <v>6</v>
      </c>
      <c r="D1671" s="4" t="s">
        <v>8</v>
      </c>
      <c r="E1671" t="s">
        <v>489</v>
      </c>
      <c r="F1671" s="12">
        <f>IFERROR(VLOOKUP(B1671,'INSUMOS  JULIO'!$B$6:$CJ$109,54,0),"")</f>
        <v>0</v>
      </c>
      <c r="G1671" s="8">
        <f>IFERROR(VLOOKUP($B1671,'INSUMOS  JULIO'!$B$6:$CJ$109,55,0),"")</f>
        <v>2211.3040000000001</v>
      </c>
      <c r="H1671" s="19">
        <f t="shared" si="104"/>
        <v>0</v>
      </c>
      <c r="I1671" s="1">
        <f t="shared" si="105"/>
        <v>0</v>
      </c>
      <c r="J1671" s="1">
        <f t="shared" si="106"/>
        <v>0</v>
      </c>
      <c r="K1671" s="19">
        <f t="shared" si="107"/>
        <v>0</v>
      </c>
    </row>
    <row r="1672" spans="2:11" ht="15">
      <c r="B1672" s="151">
        <v>9</v>
      </c>
      <c r="C1672" s="7" t="s">
        <v>9</v>
      </c>
      <c r="D1672" s="4" t="s">
        <v>10</v>
      </c>
      <c r="E1672" t="s">
        <v>489</v>
      </c>
      <c r="F1672" s="12">
        <f>IFERROR(VLOOKUP(B1672,'INSUMOS  JULIO'!$B$6:$CJ$109,54,0),"")</f>
        <v>0</v>
      </c>
      <c r="G1672" s="8">
        <f>IFERROR(VLOOKUP($B1672,'INSUMOS  JULIO'!$B$6:$CJ$109,55,0),"")</f>
        <v>3298.0379999999996</v>
      </c>
      <c r="H1672" s="19">
        <f t="shared" si="104"/>
        <v>0</v>
      </c>
      <c r="I1672" s="1">
        <f t="shared" si="105"/>
        <v>0</v>
      </c>
      <c r="J1672" s="1">
        <f t="shared" si="106"/>
        <v>0</v>
      </c>
      <c r="K1672" s="19">
        <f t="shared" si="107"/>
        <v>0</v>
      </c>
    </row>
    <row r="1673" spans="2:11" ht="15">
      <c r="B1673" s="151">
        <v>11</v>
      </c>
      <c r="C1673" s="7" t="s">
        <v>156</v>
      </c>
      <c r="D1673" s="4" t="s">
        <v>11</v>
      </c>
      <c r="E1673" t="s">
        <v>489</v>
      </c>
      <c r="F1673" s="12" t="str">
        <f>IFERROR(VLOOKUP(B1673,'INSUMOS  JULIO'!$B$6:$CJ$109,54,0),"")</f>
        <v>0</v>
      </c>
      <c r="G1673" s="8">
        <f>IFERROR(VLOOKUP($B1673,'INSUMOS  JULIO'!$B$6:$CJ$109,55,0),"")</f>
        <v>7739.5639999999985</v>
      </c>
      <c r="H1673" s="19">
        <f t="shared" si="104"/>
        <v>0</v>
      </c>
      <c r="I1673" s="1">
        <f t="shared" si="105"/>
        <v>0</v>
      </c>
      <c r="J1673" s="1">
        <f t="shared" si="106"/>
        <v>0</v>
      </c>
      <c r="K1673" s="19">
        <f t="shared" si="107"/>
        <v>0</v>
      </c>
    </row>
    <row r="1674" spans="2:11" ht="15">
      <c r="B1674" s="151">
        <v>13</v>
      </c>
      <c r="C1674" s="7" t="s">
        <v>157</v>
      </c>
      <c r="D1674" s="4" t="s">
        <v>12</v>
      </c>
      <c r="E1674" t="s">
        <v>489</v>
      </c>
      <c r="F1674" s="12">
        <f>IFERROR(VLOOKUP(B1674,'INSUMOS  JULIO'!$B$6:$CJ$109,54,0),"")</f>
        <v>0</v>
      </c>
      <c r="G1674" s="8">
        <f>IFERROR(VLOOKUP($B1674,'INSUMOS  JULIO'!$B$6:$CJ$109,55,0),"")</f>
        <v>6507.7919999999995</v>
      </c>
      <c r="H1674" s="19">
        <f t="shared" si="104"/>
        <v>0</v>
      </c>
      <c r="I1674" s="1">
        <f t="shared" si="105"/>
        <v>0</v>
      </c>
      <c r="J1674" s="1">
        <f t="shared" si="106"/>
        <v>0</v>
      </c>
      <c r="K1674" s="19">
        <f t="shared" si="107"/>
        <v>0</v>
      </c>
    </row>
    <row r="1675" spans="2:11" ht="15">
      <c r="B1675" s="151">
        <v>17</v>
      </c>
      <c r="C1675" s="7" t="s">
        <v>13</v>
      </c>
      <c r="D1675" s="4" t="s">
        <v>14</v>
      </c>
      <c r="E1675" t="s">
        <v>489</v>
      </c>
      <c r="F1675" s="12">
        <f>IFERROR(VLOOKUP(B1675,'INSUMOS  JULIO'!$B$6:$CJ$109,54,0),"")</f>
        <v>0</v>
      </c>
      <c r="G1675" s="8">
        <f>IFERROR(VLOOKUP($B1675,'INSUMOS  JULIO'!$B$6:$CJ$109,55,0),"")</f>
        <v>5647.0229999999992</v>
      </c>
      <c r="H1675" s="19">
        <f t="shared" si="104"/>
        <v>0</v>
      </c>
      <c r="I1675" s="1">
        <f t="shared" si="105"/>
        <v>0</v>
      </c>
      <c r="J1675" s="1">
        <f t="shared" si="106"/>
        <v>0</v>
      </c>
      <c r="K1675" s="19">
        <f t="shared" si="107"/>
        <v>0</v>
      </c>
    </row>
    <row r="1676" spans="2:11" ht="15">
      <c r="B1676" s="151">
        <v>20</v>
      </c>
      <c r="C1676" s="7" t="s">
        <v>13</v>
      </c>
      <c r="D1676" s="4" t="s">
        <v>15</v>
      </c>
      <c r="E1676" t="s">
        <v>489</v>
      </c>
      <c r="F1676" s="12">
        <f>IFERROR(VLOOKUP(B1676,'INSUMOS  JULIO'!$B$6:$CJ$109,54,0),"")</f>
        <v>0</v>
      </c>
      <c r="G1676" s="8">
        <f>IFERROR(VLOOKUP($B1676,'INSUMOS  JULIO'!$B$6:$CJ$109,55,0),"")</f>
        <v>9851.5485000000008</v>
      </c>
      <c r="H1676" s="19">
        <f t="shared" si="104"/>
        <v>0</v>
      </c>
      <c r="I1676" s="1">
        <f t="shared" si="105"/>
        <v>0</v>
      </c>
      <c r="J1676" s="1">
        <f t="shared" si="106"/>
        <v>0</v>
      </c>
      <c r="K1676" s="19">
        <f t="shared" si="107"/>
        <v>0</v>
      </c>
    </row>
    <row r="1677" spans="2:11" ht="15">
      <c r="B1677" s="151">
        <v>21</v>
      </c>
      <c r="C1677" s="7" t="s">
        <v>16</v>
      </c>
      <c r="D1677" s="4" t="s">
        <v>17</v>
      </c>
      <c r="E1677" t="s">
        <v>489</v>
      </c>
      <c r="F1677" s="12">
        <f>IFERROR(VLOOKUP(B1677,'INSUMOS  JULIO'!$B$6:$CJ$109,54,0),"")</f>
        <v>0</v>
      </c>
      <c r="G1677" s="8">
        <f>IFERROR(VLOOKUP($B1677,'INSUMOS  JULIO'!$B$6:$CJ$109,55,0),"")</f>
        <v>5932.8950000000013</v>
      </c>
      <c r="H1677" s="19">
        <f t="shared" si="104"/>
        <v>0</v>
      </c>
      <c r="I1677" s="1">
        <f t="shared" si="105"/>
        <v>0</v>
      </c>
      <c r="J1677" s="1">
        <f t="shared" si="106"/>
        <v>0</v>
      </c>
      <c r="K1677" s="19">
        <f t="shared" si="107"/>
        <v>0</v>
      </c>
    </row>
    <row r="1678" spans="2:11" ht="15">
      <c r="B1678" s="151">
        <v>28</v>
      </c>
      <c r="C1678" s="7" t="s">
        <v>18</v>
      </c>
      <c r="D1678" s="4" t="s">
        <v>19</v>
      </c>
      <c r="E1678" t="s">
        <v>489</v>
      </c>
      <c r="F1678" s="12">
        <f>IFERROR(VLOOKUP(B1678,'INSUMOS  JULIO'!$B$6:$CJ$109,54,0),"")</f>
        <v>0</v>
      </c>
      <c r="G1678" s="8">
        <f>IFERROR(VLOOKUP($B1678,'INSUMOS  JULIO'!$B$6:$CJ$109,55,0),"")</f>
        <v>4229.1188999999995</v>
      </c>
      <c r="H1678" s="19">
        <f t="shared" si="104"/>
        <v>0</v>
      </c>
      <c r="I1678" s="1">
        <f t="shared" si="105"/>
        <v>0</v>
      </c>
      <c r="J1678" s="1">
        <f t="shared" si="106"/>
        <v>0</v>
      </c>
      <c r="K1678" s="19">
        <f t="shared" si="107"/>
        <v>0</v>
      </c>
    </row>
    <row r="1679" spans="2:11" ht="15">
      <c r="B1679" s="151">
        <v>29</v>
      </c>
      <c r="C1679" s="7" t="s">
        <v>20</v>
      </c>
      <c r="D1679" s="4" t="s">
        <v>21</v>
      </c>
      <c r="E1679" t="s">
        <v>489</v>
      </c>
      <c r="F1679" s="12" t="str">
        <f>IFERROR(VLOOKUP(B1679,'INSUMOS  JULIO'!$B$6:$CJ$109,54,0),"")</f>
        <v>0</v>
      </c>
      <c r="G1679" s="8">
        <f>IFERROR(VLOOKUP($B1679,'INSUMOS  JULIO'!$B$6:$CJ$109,55,0),"")</f>
        <v>7562.4705000000004</v>
      </c>
      <c r="H1679" s="19">
        <f t="shared" si="104"/>
        <v>0</v>
      </c>
      <c r="I1679" s="1">
        <f t="shared" si="105"/>
        <v>0</v>
      </c>
      <c r="J1679" s="1">
        <f t="shared" si="106"/>
        <v>0</v>
      </c>
      <c r="K1679" s="19">
        <f t="shared" si="107"/>
        <v>0</v>
      </c>
    </row>
    <row r="1680" spans="2:11" ht="15">
      <c r="B1680" s="151">
        <v>32</v>
      </c>
      <c r="C1680" s="7" t="s">
        <v>22</v>
      </c>
      <c r="D1680" s="4" t="s">
        <v>23</v>
      </c>
      <c r="E1680" t="s">
        <v>489</v>
      </c>
      <c r="F1680" s="12">
        <f>IFERROR(VLOOKUP(B1680,'INSUMOS  JULIO'!$B$6:$CJ$109,54,0),"")</f>
        <v>0</v>
      </c>
      <c r="G1680" s="8">
        <f>IFERROR(VLOOKUP($B1680,'INSUMOS  JULIO'!$B$6:$CJ$109,55,0),"")</f>
        <v>4115.7160000000003</v>
      </c>
      <c r="H1680" s="19">
        <f t="shared" si="104"/>
        <v>0</v>
      </c>
      <c r="I1680" s="1">
        <f t="shared" si="105"/>
        <v>0</v>
      </c>
      <c r="J1680" s="1">
        <f t="shared" si="106"/>
        <v>0</v>
      </c>
      <c r="K1680" s="19">
        <f t="shared" si="107"/>
        <v>0</v>
      </c>
    </row>
    <row r="1681" spans="2:11" ht="15">
      <c r="B1681" s="151">
        <v>38</v>
      </c>
      <c r="C1681" s="7" t="s">
        <v>18</v>
      </c>
      <c r="D1681" s="4" t="s">
        <v>24</v>
      </c>
      <c r="E1681" t="s">
        <v>489</v>
      </c>
      <c r="F1681" s="12" t="str">
        <f>IFERROR(VLOOKUP(B1681,'INSUMOS  JULIO'!$B$6:$CJ$109,54,0),"")</f>
        <v>0</v>
      </c>
      <c r="G1681" s="8">
        <f>IFERROR(VLOOKUP($B1681,'INSUMOS  JULIO'!$B$6:$CJ$109,55,0),"")</f>
        <v>15622.484399999999</v>
      </c>
      <c r="H1681" s="19">
        <f t="shared" si="104"/>
        <v>0</v>
      </c>
      <c r="I1681" s="1">
        <f t="shared" si="105"/>
        <v>0</v>
      </c>
      <c r="J1681" s="1">
        <f t="shared" si="106"/>
        <v>0</v>
      </c>
      <c r="K1681" s="19">
        <f t="shared" si="107"/>
        <v>0</v>
      </c>
    </row>
    <row r="1682" spans="2:11" ht="15">
      <c r="B1682" s="151">
        <v>41</v>
      </c>
      <c r="C1682" s="7" t="s">
        <v>155</v>
      </c>
      <c r="D1682" s="4" t="s">
        <v>25</v>
      </c>
      <c r="E1682" t="s">
        <v>489</v>
      </c>
      <c r="F1682" s="12" t="str">
        <f>IFERROR(VLOOKUP(B1682,'INSUMOS  JULIO'!$B$6:$CJ$109,54,0),"")</f>
        <v>0</v>
      </c>
      <c r="G1682" s="8">
        <f>IFERROR(VLOOKUP($B1682,'INSUMOS  JULIO'!$B$6:$CJ$109,55,0),"")</f>
        <v>7034.3429999999989</v>
      </c>
      <c r="H1682" s="19">
        <f t="shared" si="104"/>
        <v>0</v>
      </c>
      <c r="I1682" s="1">
        <f t="shared" si="105"/>
        <v>0</v>
      </c>
      <c r="J1682" s="1">
        <f t="shared" si="106"/>
        <v>0</v>
      </c>
      <c r="K1682" s="19">
        <f t="shared" si="107"/>
        <v>0</v>
      </c>
    </row>
    <row r="1683" spans="2:11" ht="15">
      <c r="B1683" s="151">
        <v>44</v>
      </c>
      <c r="C1683" s="7" t="s">
        <v>16</v>
      </c>
      <c r="D1683" s="4" t="s">
        <v>26</v>
      </c>
      <c r="E1683" t="s">
        <v>489</v>
      </c>
      <c r="F1683" s="12">
        <f>IFERROR(VLOOKUP(B1683,'INSUMOS  JULIO'!$B$6:$CJ$109,54,0),"")</f>
        <v>0</v>
      </c>
      <c r="G1683" s="8">
        <f>IFERROR(VLOOKUP($B1683,'INSUMOS  JULIO'!$B$6:$CJ$109,55,0),"")</f>
        <v>2787.2520000000004</v>
      </c>
      <c r="H1683" s="19">
        <f t="shared" si="104"/>
        <v>0</v>
      </c>
      <c r="I1683" s="1">
        <f t="shared" si="105"/>
        <v>0</v>
      </c>
      <c r="J1683" s="1">
        <f t="shared" si="106"/>
        <v>0</v>
      </c>
      <c r="K1683" s="19">
        <f t="shared" si="107"/>
        <v>0</v>
      </c>
    </row>
    <row r="1684" spans="2:11" ht="15">
      <c r="B1684" s="151">
        <v>46</v>
      </c>
      <c r="C1684" s="7" t="s">
        <v>27</v>
      </c>
      <c r="D1684" s="4" t="s">
        <v>28</v>
      </c>
      <c r="E1684" t="s">
        <v>489</v>
      </c>
      <c r="F1684" s="12" t="str">
        <f>IFERROR(VLOOKUP(B1684,'INSUMOS  JULIO'!$B$6:$CJ$109,54,0),"")</f>
        <v>0</v>
      </c>
      <c r="G1684" s="8">
        <f>IFERROR(VLOOKUP($B1684,'INSUMOS  JULIO'!$B$6:$CJ$109,55,0),"")</f>
        <v>7739.5640000000021</v>
      </c>
      <c r="H1684" s="19">
        <f t="shared" si="104"/>
        <v>0</v>
      </c>
      <c r="I1684" s="1">
        <f t="shared" si="105"/>
        <v>0</v>
      </c>
      <c r="J1684" s="1">
        <f t="shared" si="106"/>
        <v>0</v>
      </c>
      <c r="K1684" s="19">
        <f t="shared" si="107"/>
        <v>0</v>
      </c>
    </row>
    <row r="1685" spans="2:11" ht="15">
      <c r="B1685" s="151">
        <v>50</v>
      </c>
      <c r="C1685" s="7" t="s">
        <v>13</v>
      </c>
      <c r="D1685" s="4" t="s">
        <v>29</v>
      </c>
      <c r="E1685" t="s">
        <v>489</v>
      </c>
      <c r="F1685" s="12">
        <f>IFERROR(VLOOKUP(B1685,'INSUMOS  JULIO'!$B$6:$CJ$109,54,0),"")</f>
        <v>0</v>
      </c>
      <c r="G1685" s="8">
        <f>IFERROR(VLOOKUP($B1685,'INSUMOS  JULIO'!$B$6:$CJ$109,55,0),"")</f>
        <v>38567.495999999999</v>
      </c>
      <c r="H1685" s="19">
        <f t="shared" si="104"/>
        <v>0</v>
      </c>
      <c r="I1685" s="1">
        <f t="shared" si="105"/>
        <v>0</v>
      </c>
      <c r="J1685" s="1">
        <f t="shared" si="106"/>
        <v>0</v>
      </c>
      <c r="K1685" s="19">
        <f t="shared" si="107"/>
        <v>0</v>
      </c>
    </row>
    <row r="1686" spans="2:11" ht="15">
      <c r="B1686" s="151">
        <v>51</v>
      </c>
      <c r="C1686" s="7" t="s">
        <v>13</v>
      </c>
      <c r="D1686" s="4" t="s">
        <v>30</v>
      </c>
      <c r="E1686" t="s">
        <v>489</v>
      </c>
      <c r="F1686" s="12" t="str">
        <f>IFERROR(VLOOKUP(B1686,'INSUMOS  JULIO'!$B$6:$CJ$109,54,0),"")</f>
        <v>0</v>
      </c>
      <c r="G1686" s="8">
        <f>IFERROR(VLOOKUP($B1686,'INSUMOS  JULIO'!$B$6:$CJ$109,55,0),"")</f>
        <v>7739.5640000000021</v>
      </c>
      <c r="H1686" s="19">
        <f t="shared" si="104"/>
        <v>0</v>
      </c>
      <c r="I1686" s="1">
        <f t="shared" si="105"/>
        <v>0</v>
      </c>
      <c r="J1686" s="1">
        <f t="shared" si="106"/>
        <v>0</v>
      </c>
      <c r="K1686" s="19">
        <f t="shared" si="107"/>
        <v>0</v>
      </c>
    </row>
    <row r="1687" spans="2:11" ht="15">
      <c r="B1687" s="151">
        <v>52</v>
      </c>
      <c r="C1687" s="7" t="s">
        <v>13</v>
      </c>
      <c r="D1687" s="4" t="s">
        <v>31</v>
      </c>
      <c r="E1687" t="s">
        <v>489</v>
      </c>
      <c r="F1687" s="12">
        <f>IFERROR(VLOOKUP(B1687,'INSUMOS  JULIO'!$B$6:$CJ$109,54,0),"")</f>
        <v>0</v>
      </c>
      <c r="G1687" s="8">
        <f>IFERROR(VLOOKUP($B1687,'INSUMOS  JULIO'!$B$6:$CJ$109,55,0),"")</f>
        <v>11194.726499999999</v>
      </c>
      <c r="H1687" s="19">
        <f t="shared" si="104"/>
        <v>0</v>
      </c>
      <c r="I1687" s="1">
        <f t="shared" si="105"/>
        <v>0</v>
      </c>
      <c r="J1687" s="1">
        <f t="shared" si="106"/>
        <v>0</v>
      </c>
      <c r="K1687" s="19">
        <f t="shared" si="107"/>
        <v>0</v>
      </c>
    </row>
    <row r="1688" spans="2:11" ht="15">
      <c r="B1688" s="151">
        <v>54</v>
      </c>
      <c r="C1688" s="7" t="s">
        <v>13</v>
      </c>
      <c r="D1688" s="4" t="s">
        <v>32</v>
      </c>
      <c r="E1688" t="s">
        <v>489</v>
      </c>
      <c r="F1688" s="12">
        <f>IFERROR(VLOOKUP(B1688,'INSUMOS  JULIO'!$B$6:$CJ$109,54,0),"")</f>
        <v>0</v>
      </c>
      <c r="G1688" s="8">
        <f>IFERROR(VLOOKUP($B1688,'INSUMOS  JULIO'!$B$6:$CJ$109,55,0),"")</f>
        <v>5359.049</v>
      </c>
      <c r="H1688" s="19">
        <f t="shared" si="104"/>
        <v>0</v>
      </c>
      <c r="I1688" s="1">
        <f t="shared" si="105"/>
        <v>0</v>
      </c>
      <c r="J1688" s="1">
        <f t="shared" si="106"/>
        <v>0</v>
      </c>
      <c r="K1688" s="19">
        <f t="shared" si="107"/>
        <v>0</v>
      </c>
    </row>
    <row r="1689" spans="2:11" ht="15">
      <c r="B1689" s="151">
        <v>57</v>
      </c>
      <c r="C1689" s="7" t="s">
        <v>33</v>
      </c>
      <c r="D1689" s="4" t="s">
        <v>34</v>
      </c>
      <c r="E1689" t="s">
        <v>489</v>
      </c>
      <c r="F1689" s="12">
        <f>IFERROR(VLOOKUP(B1689,'INSUMOS  JULIO'!$B$6:$CJ$109,54,0),"")</f>
        <v>0</v>
      </c>
      <c r="G1689" s="8">
        <f>IFERROR(VLOOKUP($B1689,'INSUMOS  JULIO'!$B$6:$CJ$109,55,0),"")</f>
        <v>12823.251000000004</v>
      </c>
      <c r="H1689" s="19">
        <f t="shared" si="104"/>
        <v>0</v>
      </c>
      <c r="I1689" s="1">
        <f t="shared" si="105"/>
        <v>0</v>
      </c>
      <c r="J1689" s="1">
        <f t="shared" si="106"/>
        <v>0</v>
      </c>
      <c r="K1689" s="19">
        <f t="shared" si="107"/>
        <v>0</v>
      </c>
    </row>
    <row r="1690" spans="2:11" ht="15">
      <c r="B1690" s="151">
        <v>59</v>
      </c>
      <c r="C1690" s="7" t="s">
        <v>16</v>
      </c>
      <c r="D1690" s="4" t="s">
        <v>35</v>
      </c>
      <c r="E1690" t="s">
        <v>489</v>
      </c>
      <c r="F1690" s="12" t="str">
        <f>IFERROR(VLOOKUP(B1690,'INSUMOS  JULIO'!$B$6:$CJ$109,54,0),"")</f>
        <v>0</v>
      </c>
      <c r="G1690" s="8">
        <f>IFERROR(VLOOKUP($B1690,'INSUMOS  JULIO'!$B$6:$CJ$109,55,0),"")</f>
        <v>5528.260000000002</v>
      </c>
      <c r="H1690" s="19">
        <f t="shared" si="104"/>
        <v>0</v>
      </c>
      <c r="I1690" s="1">
        <f t="shared" si="105"/>
        <v>0</v>
      </c>
      <c r="J1690" s="1">
        <f t="shared" si="106"/>
        <v>0</v>
      </c>
      <c r="K1690" s="19">
        <f t="shared" si="107"/>
        <v>0</v>
      </c>
    </row>
    <row r="1691" spans="2:11" ht="15">
      <c r="B1691" s="151">
        <v>62</v>
      </c>
      <c r="C1691" s="7" t="s">
        <v>36</v>
      </c>
      <c r="D1691" s="4" t="s">
        <v>37</v>
      </c>
      <c r="E1691" t="s">
        <v>489</v>
      </c>
      <c r="F1691" s="12">
        <f>IFERROR(VLOOKUP(B1691,'INSUMOS  JULIO'!$B$6:$CJ$109,54,0),"")</f>
        <v>2</v>
      </c>
      <c r="G1691" s="8">
        <f>IFERROR(VLOOKUP($B1691,'INSUMOS  JULIO'!$B$6:$CJ$109,55,0),"")</f>
        <v>10100.3202</v>
      </c>
      <c r="H1691" s="19">
        <f t="shared" si="104"/>
        <v>20200.6404</v>
      </c>
      <c r="I1691" s="1">
        <f t="shared" si="105"/>
        <v>2020.0640400000002</v>
      </c>
      <c r="J1691" s="1">
        <f t="shared" si="106"/>
        <v>383.81216760000007</v>
      </c>
      <c r="K1691" s="19">
        <f t="shared" si="107"/>
        <v>22604.516607600002</v>
      </c>
    </row>
    <row r="1692" spans="2:11" ht="15">
      <c r="B1692" s="151">
        <v>63</v>
      </c>
      <c r="C1692" s="7" t="s">
        <v>36</v>
      </c>
      <c r="D1692" s="4" t="s">
        <v>38</v>
      </c>
      <c r="E1692" t="s">
        <v>489</v>
      </c>
      <c r="F1692" s="12">
        <f>IFERROR(VLOOKUP(B1692,'INSUMOS  JULIO'!$B$6:$CJ$109,54,0),"")</f>
        <v>0</v>
      </c>
      <c r="G1692" s="8">
        <f>IFERROR(VLOOKUP($B1692,'INSUMOS  JULIO'!$B$6:$CJ$109,55,0),"")</f>
        <v>8292.39</v>
      </c>
      <c r="H1692" s="19">
        <f t="shared" si="104"/>
        <v>0</v>
      </c>
      <c r="I1692" s="1">
        <f t="shared" si="105"/>
        <v>0</v>
      </c>
      <c r="J1692" s="1">
        <f t="shared" si="106"/>
        <v>0</v>
      </c>
      <c r="K1692" s="19">
        <f t="shared" si="107"/>
        <v>0</v>
      </c>
    </row>
    <row r="1693" spans="2:11" ht="15">
      <c r="B1693" s="151">
        <v>64</v>
      </c>
      <c r="C1693" s="7" t="s">
        <v>39</v>
      </c>
      <c r="D1693" s="4" t="s">
        <v>40</v>
      </c>
      <c r="E1693" t="s">
        <v>489</v>
      </c>
      <c r="F1693" s="12">
        <f>IFERROR(VLOOKUP(B1693,'INSUMOS  JULIO'!$B$6:$CJ$109,54,0),"")</f>
        <v>0</v>
      </c>
      <c r="G1693" s="8">
        <f>IFERROR(VLOOKUP($B1693,'INSUMOS  JULIO'!$B$6:$CJ$109,55,0),"")</f>
        <v>13820.650000000001</v>
      </c>
      <c r="H1693" s="19">
        <f t="shared" si="104"/>
        <v>0</v>
      </c>
      <c r="I1693" s="1">
        <f t="shared" si="105"/>
        <v>0</v>
      </c>
      <c r="J1693" s="1">
        <f t="shared" si="106"/>
        <v>0</v>
      </c>
      <c r="K1693" s="19">
        <f t="shared" si="107"/>
        <v>0</v>
      </c>
    </row>
    <row r="1694" spans="2:11" ht="15">
      <c r="B1694" s="151">
        <v>65</v>
      </c>
      <c r="C1694" s="7" t="s">
        <v>39</v>
      </c>
      <c r="D1694" s="4" t="s">
        <v>41</v>
      </c>
      <c r="E1694" t="s">
        <v>489</v>
      </c>
      <c r="F1694" s="12">
        <f>IFERROR(VLOOKUP(B1694,'INSUMOS  JULIO'!$B$6:$CJ$109,54,0),"")</f>
        <v>0</v>
      </c>
      <c r="G1694" s="8">
        <f>IFERROR(VLOOKUP($B1694,'INSUMOS  JULIO'!$B$6:$CJ$109,55,0),"")</f>
        <v>13820.650000000001</v>
      </c>
      <c r="H1694" s="19">
        <f t="shared" si="104"/>
        <v>0</v>
      </c>
      <c r="I1694" s="1">
        <f t="shared" si="105"/>
        <v>0</v>
      </c>
      <c r="J1694" s="1">
        <f t="shared" si="106"/>
        <v>0</v>
      </c>
      <c r="K1694" s="19">
        <f t="shared" si="107"/>
        <v>0</v>
      </c>
    </row>
    <row r="1695" spans="2:11" ht="15">
      <c r="B1695" s="151">
        <v>66</v>
      </c>
      <c r="C1695" s="7" t="s">
        <v>151</v>
      </c>
      <c r="D1695" s="4" t="s">
        <v>42</v>
      </c>
      <c r="E1695" t="s">
        <v>489</v>
      </c>
      <c r="F1695" s="12">
        <f>IFERROR(VLOOKUP(B1695,'INSUMOS  JULIO'!$B$6:$CJ$109,54,0),"")</f>
        <v>0</v>
      </c>
      <c r="G1695" s="8">
        <f>IFERROR(VLOOKUP($B1695,'INSUMOS  JULIO'!$B$6:$CJ$109,55,0),"")</f>
        <v>2887.0970000000002</v>
      </c>
      <c r="H1695" s="19">
        <f t="shared" si="104"/>
        <v>0</v>
      </c>
      <c r="I1695" s="1">
        <f t="shared" si="105"/>
        <v>0</v>
      </c>
      <c r="J1695" s="1">
        <f t="shared" si="106"/>
        <v>0</v>
      </c>
      <c r="K1695" s="19">
        <f t="shared" si="107"/>
        <v>0</v>
      </c>
    </row>
    <row r="1696" spans="2:11" ht="15">
      <c r="B1696" s="151">
        <v>71</v>
      </c>
      <c r="C1696" s="7" t="s">
        <v>151</v>
      </c>
      <c r="D1696" s="4" t="s">
        <v>43</v>
      </c>
      <c r="E1696" t="s">
        <v>489</v>
      </c>
      <c r="F1696" s="12" t="str">
        <f>IFERROR(VLOOKUP(B1696,'INSUMOS  JULIO'!$B$6:$CJ$109,54,0),"")</f>
        <v>0</v>
      </c>
      <c r="G1696" s="8">
        <f>IFERROR(VLOOKUP($B1696,'INSUMOS  JULIO'!$B$6:$CJ$109,55,0),"")</f>
        <v>5196.1440000000002</v>
      </c>
      <c r="H1696" s="19">
        <f t="shared" si="104"/>
        <v>0</v>
      </c>
      <c r="I1696" s="1">
        <f t="shared" si="105"/>
        <v>0</v>
      </c>
      <c r="J1696" s="1">
        <f t="shared" si="106"/>
        <v>0</v>
      </c>
      <c r="K1696" s="19">
        <f t="shared" si="107"/>
        <v>0</v>
      </c>
    </row>
    <row r="1697" spans="2:11" ht="15">
      <c r="B1697" s="151">
        <v>72</v>
      </c>
      <c r="C1697" s="7" t="s">
        <v>151</v>
      </c>
      <c r="D1697" s="4" t="s">
        <v>44</v>
      </c>
      <c r="E1697" t="s">
        <v>489</v>
      </c>
      <c r="F1697" s="12">
        <f>IFERROR(VLOOKUP(B1697,'INSUMOS  JULIO'!$B$6:$CJ$109,54,0),"")</f>
        <v>0</v>
      </c>
      <c r="G1697" s="8">
        <f>IFERROR(VLOOKUP($B1697,'INSUMOS  JULIO'!$B$6:$CJ$109,55,0),"")</f>
        <v>5196.1440000000002</v>
      </c>
      <c r="H1697" s="19">
        <f t="shared" si="104"/>
        <v>0</v>
      </c>
      <c r="I1697" s="1">
        <f t="shared" si="105"/>
        <v>0</v>
      </c>
      <c r="J1697" s="1">
        <f t="shared" si="106"/>
        <v>0</v>
      </c>
      <c r="K1697" s="19">
        <f t="shared" si="107"/>
        <v>0</v>
      </c>
    </row>
    <row r="1698" spans="2:11" ht="27">
      <c r="B1698" s="151">
        <v>73</v>
      </c>
      <c r="C1698" s="7" t="s">
        <v>151</v>
      </c>
      <c r="D1698" s="4" t="s">
        <v>45</v>
      </c>
      <c r="E1698" t="s">
        <v>489</v>
      </c>
      <c r="F1698" s="12">
        <f>IFERROR(VLOOKUP(B1698,'INSUMOS  JULIO'!$B$6:$CJ$109,54,0),"")</f>
        <v>0</v>
      </c>
      <c r="G1698" s="8">
        <f>IFERROR(VLOOKUP($B1698,'INSUMOS  JULIO'!$B$6:$CJ$109,55,0),"")</f>
        <v>21493.685699999998</v>
      </c>
      <c r="H1698" s="19">
        <f t="shared" si="104"/>
        <v>0</v>
      </c>
      <c r="I1698" s="1">
        <f t="shared" si="105"/>
        <v>0</v>
      </c>
      <c r="J1698" s="1">
        <f t="shared" si="106"/>
        <v>0</v>
      </c>
      <c r="K1698" s="19">
        <f t="shared" si="107"/>
        <v>0</v>
      </c>
    </row>
    <row r="1699" spans="2:11" ht="15">
      <c r="B1699" s="151">
        <v>74</v>
      </c>
      <c r="C1699" s="7" t="s">
        <v>46</v>
      </c>
      <c r="D1699" s="4" t="s">
        <v>47</v>
      </c>
      <c r="E1699" t="s">
        <v>489</v>
      </c>
      <c r="F1699" s="12">
        <f>IFERROR(VLOOKUP(B1699,'INSUMOS  JULIO'!$B$6:$CJ$109,54,0),"")</f>
        <v>0</v>
      </c>
      <c r="G1699" s="8">
        <f>IFERROR(VLOOKUP($B1699,'INSUMOS  JULIO'!$B$6:$CJ$109,55,0),"")</f>
        <v>3261.2529999999997</v>
      </c>
      <c r="H1699" s="19">
        <f t="shared" si="104"/>
        <v>0</v>
      </c>
      <c r="I1699" s="1">
        <f t="shared" si="105"/>
        <v>0</v>
      </c>
      <c r="J1699" s="1">
        <f t="shared" si="106"/>
        <v>0</v>
      </c>
      <c r="K1699" s="19">
        <f t="shared" si="107"/>
        <v>0</v>
      </c>
    </row>
    <row r="1700" spans="2:11" ht="15">
      <c r="B1700" s="151">
        <v>79</v>
      </c>
      <c r="C1700" s="7" t="s">
        <v>159</v>
      </c>
      <c r="D1700" s="4" t="s">
        <v>48</v>
      </c>
      <c r="E1700" t="s">
        <v>489</v>
      </c>
      <c r="F1700" s="12">
        <f>IFERROR(VLOOKUP(B1700,'INSUMOS  JULIO'!$B$6:$CJ$109,54,0),"")</f>
        <v>0</v>
      </c>
      <c r="G1700" s="8">
        <f>IFERROR(VLOOKUP($B1700,'INSUMOS  JULIO'!$B$6:$CJ$109,55,0),"")</f>
        <v>541.2650000000001</v>
      </c>
      <c r="H1700" s="19">
        <f t="shared" si="104"/>
        <v>0</v>
      </c>
      <c r="I1700" s="1">
        <f t="shared" si="105"/>
        <v>0</v>
      </c>
      <c r="J1700" s="1">
        <f t="shared" si="106"/>
        <v>0</v>
      </c>
      <c r="K1700" s="19">
        <f t="shared" si="107"/>
        <v>0</v>
      </c>
    </row>
    <row r="1701" spans="2:11" ht="15">
      <c r="B1701" s="151">
        <v>80</v>
      </c>
      <c r="C1701" s="7" t="s">
        <v>159</v>
      </c>
      <c r="D1701" s="4" t="s">
        <v>49</v>
      </c>
      <c r="E1701" t="s">
        <v>489</v>
      </c>
      <c r="F1701" s="12">
        <f>IFERROR(VLOOKUP(B1701,'INSUMOS  JULIO'!$B$6:$CJ$109,54,0),"")</f>
        <v>0</v>
      </c>
      <c r="G1701" s="8">
        <f>IFERROR(VLOOKUP($B1701,'INSUMOS  JULIO'!$B$6:$CJ$109,55,0),"")</f>
        <v>433.01199999999994</v>
      </c>
      <c r="H1701" s="19">
        <f t="shared" si="104"/>
        <v>0</v>
      </c>
      <c r="I1701" s="1">
        <f t="shared" si="105"/>
        <v>0</v>
      </c>
      <c r="J1701" s="1">
        <f t="shared" si="106"/>
        <v>0</v>
      </c>
      <c r="K1701" s="19">
        <f t="shared" si="107"/>
        <v>0</v>
      </c>
    </row>
    <row r="1702" spans="2:11" ht="15">
      <c r="B1702" s="151">
        <v>81</v>
      </c>
      <c r="C1702" s="7" t="s">
        <v>159</v>
      </c>
      <c r="D1702" s="4" t="s">
        <v>50</v>
      </c>
      <c r="E1702" t="s">
        <v>489</v>
      </c>
      <c r="F1702" s="12">
        <f>IFERROR(VLOOKUP(B1702,'INSUMOS  JULIO'!$B$6:$CJ$109,54,0),"")</f>
        <v>0</v>
      </c>
      <c r="G1702" s="8">
        <f>IFERROR(VLOOKUP($B1702,'INSUMOS  JULIO'!$B$6:$CJ$109,55,0),"")</f>
        <v>211.251</v>
      </c>
      <c r="H1702" s="19">
        <f t="shared" si="104"/>
        <v>0</v>
      </c>
      <c r="I1702" s="1">
        <f t="shared" si="105"/>
        <v>0</v>
      </c>
      <c r="J1702" s="1">
        <f t="shared" si="106"/>
        <v>0</v>
      </c>
      <c r="K1702" s="19">
        <f t="shared" si="107"/>
        <v>0</v>
      </c>
    </row>
    <row r="1703" spans="2:11" ht="15">
      <c r="B1703" s="151">
        <v>82</v>
      </c>
      <c r="C1703" s="7" t="s">
        <v>159</v>
      </c>
      <c r="D1703" s="4" t="s">
        <v>51</v>
      </c>
      <c r="E1703" t="s">
        <v>489</v>
      </c>
      <c r="F1703" s="12" t="str">
        <f>IFERROR(VLOOKUP(B1703,'INSUMOS  JULIO'!$B$6:$CJ$109,54,0),"")</f>
        <v>0</v>
      </c>
      <c r="G1703" s="8">
        <f>IFERROR(VLOOKUP($B1703,'INSUMOS  JULIO'!$B$6:$CJ$109,55,0),"")</f>
        <v>1003.7049999999999</v>
      </c>
      <c r="H1703" s="19">
        <f t="shared" si="104"/>
        <v>0</v>
      </c>
      <c r="I1703" s="1">
        <f t="shared" si="105"/>
        <v>0</v>
      </c>
      <c r="J1703" s="1">
        <f t="shared" si="106"/>
        <v>0</v>
      </c>
      <c r="K1703" s="19">
        <f t="shared" si="107"/>
        <v>0</v>
      </c>
    </row>
    <row r="1704" spans="2:11" ht="15">
      <c r="B1704" s="151">
        <v>83</v>
      </c>
      <c r="C1704" s="7" t="s">
        <v>159</v>
      </c>
      <c r="D1704" s="4" t="s">
        <v>52</v>
      </c>
      <c r="E1704" t="s">
        <v>489</v>
      </c>
      <c r="F1704" s="12" t="str">
        <f>IFERROR(VLOOKUP(B1704,'INSUMOS  JULIO'!$B$6:$CJ$109,54,0),"")</f>
        <v>0</v>
      </c>
      <c r="G1704" s="8">
        <f>IFERROR(VLOOKUP($B1704,'INSUMOS  JULIO'!$B$6:$CJ$109,55,0),"")</f>
        <v>336.32</v>
      </c>
      <c r="H1704" s="19">
        <f t="shared" si="104"/>
        <v>0</v>
      </c>
      <c r="I1704" s="1">
        <f t="shared" si="105"/>
        <v>0</v>
      </c>
      <c r="J1704" s="1">
        <f t="shared" si="106"/>
        <v>0</v>
      </c>
      <c r="K1704" s="19">
        <f t="shared" si="107"/>
        <v>0</v>
      </c>
    </row>
    <row r="1705" spans="2:11" ht="15">
      <c r="B1705" s="151">
        <v>86</v>
      </c>
      <c r="C1705" s="7" t="s">
        <v>53</v>
      </c>
      <c r="D1705" s="4" t="s">
        <v>54</v>
      </c>
      <c r="E1705" t="s">
        <v>489</v>
      </c>
      <c r="F1705" s="12" t="str">
        <f>IFERROR(VLOOKUP(B1705,'INSUMOS  JULIO'!$B$6:$CJ$109,54,0),"")</f>
        <v>0</v>
      </c>
      <c r="G1705" s="8">
        <f>IFERROR(VLOOKUP($B1705,'INSUMOS  JULIO'!$B$6:$CJ$109,55,0),"")</f>
        <v>2792.5070000000005</v>
      </c>
      <c r="H1705" s="19">
        <f t="shared" si="104"/>
        <v>0</v>
      </c>
      <c r="I1705" s="1">
        <f t="shared" si="105"/>
        <v>0</v>
      </c>
      <c r="J1705" s="1">
        <f t="shared" si="106"/>
        <v>0</v>
      </c>
      <c r="K1705" s="19">
        <f t="shared" si="107"/>
        <v>0</v>
      </c>
    </row>
    <row r="1706" spans="2:11" ht="15">
      <c r="B1706" s="151">
        <v>87</v>
      </c>
      <c r="C1706" s="7" t="s">
        <v>53</v>
      </c>
      <c r="D1706" s="4" t="s">
        <v>55</v>
      </c>
      <c r="E1706" t="s">
        <v>489</v>
      </c>
      <c r="F1706" s="12" t="str">
        <f>IFERROR(VLOOKUP(B1706,'INSUMOS  JULIO'!$B$6:$CJ$109,54,0),"")</f>
        <v>0</v>
      </c>
      <c r="G1706" s="8">
        <f>IFERROR(VLOOKUP($B1706,'INSUMOS  JULIO'!$B$6:$CJ$109,55,0),"")</f>
        <v>0</v>
      </c>
      <c r="H1706" s="19">
        <f t="shared" si="104"/>
        <v>0</v>
      </c>
      <c r="I1706" s="1">
        <f t="shared" si="105"/>
        <v>0</v>
      </c>
      <c r="J1706" s="1">
        <f t="shared" si="106"/>
        <v>0</v>
      </c>
      <c r="K1706" s="19">
        <f t="shared" si="107"/>
        <v>0</v>
      </c>
    </row>
    <row r="1707" spans="2:11" ht="15">
      <c r="B1707" s="151">
        <v>88</v>
      </c>
      <c r="C1707" s="7" t="s">
        <v>53</v>
      </c>
      <c r="D1707" s="4" t="s">
        <v>56</v>
      </c>
      <c r="E1707" t="s">
        <v>489</v>
      </c>
      <c r="F1707" s="12">
        <f>IFERROR(VLOOKUP(B1707,'INSUMOS  JULIO'!$B$6:$CJ$109,54,0),"")</f>
        <v>0</v>
      </c>
      <c r="G1707" s="8">
        <f>IFERROR(VLOOKUP($B1707,'INSUMOS  JULIO'!$B$6:$CJ$109,55,0),"")</f>
        <v>2717.886</v>
      </c>
      <c r="H1707" s="19">
        <f t="shared" si="104"/>
        <v>0</v>
      </c>
      <c r="I1707" s="1">
        <f t="shared" si="105"/>
        <v>0</v>
      </c>
      <c r="J1707" s="1">
        <f t="shared" si="106"/>
        <v>0</v>
      </c>
      <c r="K1707" s="19">
        <f t="shared" si="107"/>
        <v>0</v>
      </c>
    </row>
    <row r="1708" spans="2:11" ht="15">
      <c r="B1708" s="151">
        <v>89</v>
      </c>
      <c r="C1708" s="7" t="s">
        <v>53</v>
      </c>
      <c r="D1708" s="4" t="s">
        <v>57</v>
      </c>
      <c r="E1708" t="s">
        <v>489</v>
      </c>
      <c r="F1708" s="12" t="str">
        <f>IFERROR(VLOOKUP(B1708,'INSUMOS  JULIO'!$B$6:$CJ$109,54,0),"")</f>
        <v>0</v>
      </c>
      <c r="G1708" s="8">
        <f>IFERROR(VLOOKUP($B1708,'INSUMOS  JULIO'!$B$6:$CJ$109,55,0),"")</f>
        <v>2650.6220000000003</v>
      </c>
      <c r="H1708" s="19">
        <f t="shared" si="104"/>
        <v>0</v>
      </c>
      <c r="I1708" s="1">
        <f t="shared" si="105"/>
        <v>0</v>
      </c>
      <c r="J1708" s="1">
        <f t="shared" si="106"/>
        <v>0</v>
      </c>
      <c r="K1708" s="19">
        <f t="shared" si="107"/>
        <v>0</v>
      </c>
    </row>
    <row r="1709" spans="2:11" ht="15">
      <c r="B1709" s="151">
        <v>91</v>
      </c>
      <c r="C1709" s="7" t="s">
        <v>160</v>
      </c>
      <c r="D1709" s="4" t="s">
        <v>58</v>
      </c>
      <c r="E1709" t="s">
        <v>489</v>
      </c>
      <c r="F1709" s="12" t="str">
        <f>IFERROR(VLOOKUP(B1709,'INSUMOS  JULIO'!$B$6:$CJ$109,54,0),"")</f>
        <v>0</v>
      </c>
      <c r="G1709" s="8">
        <f>IFERROR(VLOOKUP($B1709,'INSUMOS  JULIO'!$B$6:$CJ$109,55,0),"")</f>
        <v>4364.8029999999999</v>
      </c>
      <c r="H1709" s="19">
        <f t="shared" si="104"/>
        <v>0</v>
      </c>
      <c r="I1709" s="1">
        <f t="shared" si="105"/>
        <v>0</v>
      </c>
      <c r="J1709" s="1">
        <f t="shared" si="106"/>
        <v>0</v>
      </c>
      <c r="K1709" s="19">
        <f t="shared" si="107"/>
        <v>0</v>
      </c>
    </row>
    <row r="1710" spans="2:11" ht="15">
      <c r="B1710" s="151">
        <v>92</v>
      </c>
      <c r="C1710" s="7" t="s">
        <v>160</v>
      </c>
      <c r="D1710" s="4" t="s">
        <v>59</v>
      </c>
      <c r="E1710" t="s">
        <v>489</v>
      </c>
      <c r="F1710" s="12" t="str">
        <f>IFERROR(VLOOKUP(B1710,'INSUMOS  JULIO'!$B$6:$CJ$109,54,0),"")</f>
        <v>0</v>
      </c>
      <c r="G1710" s="8">
        <f>IFERROR(VLOOKUP($B1710,'INSUMOS  JULIO'!$B$6:$CJ$109,55,0),"")</f>
        <v>2380.5149999999999</v>
      </c>
      <c r="H1710" s="19">
        <f t="shared" si="104"/>
        <v>0</v>
      </c>
      <c r="I1710" s="1">
        <f t="shared" si="105"/>
        <v>0</v>
      </c>
      <c r="J1710" s="1">
        <f t="shared" si="106"/>
        <v>0</v>
      </c>
      <c r="K1710" s="19">
        <f t="shared" si="107"/>
        <v>0</v>
      </c>
    </row>
    <row r="1711" spans="2:11" ht="15">
      <c r="B1711" s="151">
        <v>94</v>
      </c>
      <c r="C1711" s="7" t="s">
        <v>60</v>
      </c>
      <c r="D1711" s="4" t="s">
        <v>61</v>
      </c>
      <c r="E1711" t="s">
        <v>489</v>
      </c>
      <c r="F1711" s="12" t="str">
        <f>IFERROR(VLOOKUP(B1711,'INSUMOS  JULIO'!$B$6:$CJ$109,54,0),"")</f>
        <v>0</v>
      </c>
      <c r="G1711" s="8">
        <f>IFERROR(VLOOKUP($B1711,'INSUMOS  JULIO'!$B$6:$CJ$109,55,0),"")</f>
        <v>3316.9560000000001</v>
      </c>
      <c r="H1711" s="19">
        <f t="shared" si="104"/>
        <v>0</v>
      </c>
      <c r="I1711" s="1">
        <f t="shared" si="105"/>
        <v>0</v>
      </c>
      <c r="J1711" s="1">
        <f t="shared" si="106"/>
        <v>0</v>
      </c>
      <c r="K1711" s="19">
        <f t="shared" si="107"/>
        <v>0</v>
      </c>
    </row>
    <row r="1712" spans="2:11" ht="15">
      <c r="B1712" s="151">
        <v>95</v>
      </c>
      <c r="C1712" s="7" t="s">
        <v>60</v>
      </c>
      <c r="D1712" s="4" t="s">
        <v>62</v>
      </c>
      <c r="E1712" t="s">
        <v>489</v>
      </c>
      <c r="F1712" s="12" t="str">
        <f>IFERROR(VLOOKUP(B1712,'INSUMOS  JULIO'!$B$6:$CJ$109,54,0),"")</f>
        <v>0</v>
      </c>
      <c r="G1712" s="8">
        <f>IFERROR(VLOOKUP($B1712,'INSUMOS  JULIO'!$B$6:$CJ$109,55,0),"")</f>
        <v>11056.52</v>
      </c>
      <c r="H1712" s="19">
        <f t="shared" si="104"/>
        <v>0</v>
      </c>
      <c r="I1712" s="1">
        <f t="shared" si="105"/>
        <v>0</v>
      </c>
      <c r="J1712" s="1">
        <f t="shared" si="106"/>
        <v>0</v>
      </c>
      <c r="K1712" s="19">
        <f t="shared" si="107"/>
        <v>0</v>
      </c>
    </row>
    <row r="1713" spans="2:11" ht="15">
      <c r="B1713" s="151">
        <v>98</v>
      </c>
      <c r="C1713" s="7" t="s">
        <v>151</v>
      </c>
      <c r="D1713" s="4" t="s">
        <v>63</v>
      </c>
      <c r="E1713" t="s">
        <v>489</v>
      </c>
      <c r="F1713" s="12">
        <f>IFERROR(VLOOKUP(B1713,'INSUMOS  JULIO'!$B$6:$CJ$109,54,0),"")</f>
        <v>0</v>
      </c>
      <c r="G1713" s="8">
        <f>IFERROR(VLOOKUP($B1713,'INSUMOS  JULIO'!$B$6:$CJ$109,55,0),"")</f>
        <v>9503.4573</v>
      </c>
      <c r="H1713" s="19">
        <f t="shared" si="104"/>
        <v>0</v>
      </c>
      <c r="I1713" s="1">
        <f t="shared" si="105"/>
        <v>0</v>
      </c>
      <c r="J1713" s="1">
        <f t="shared" si="106"/>
        <v>0</v>
      </c>
      <c r="K1713" s="19">
        <f t="shared" si="107"/>
        <v>0</v>
      </c>
    </row>
    <row r="1714" spans="2:11" ht="15">
      <c r="B1714" s="151">
        <v>100</v>
      </c>
      <c r="C1714" s="7" t="s">
        <v>160</v>
      </c>
      <c r="D1714" s="4" t="s">
        <v>64</v>
      </c>
      <c r="E1714" t="s">
        <v>489</v>
      </c>
      <c r="F1714" s="12" t="str">
        <f>IFERROR(VLOOKUP(B1714,'INSUMOS  JULIO'!$B$6:$CJ$109,54,0),"")</f>
        <v>0</v>
      </c>
      <c r="G1714" s="8">
        <f>IFERROR(VLOOKUP($B1714,'INSUMOS  JULIO'!$B$6:$CJ$109,55,0),"")</f>
        <v>4364.8029999999999</v>
      </c>
      <c r="H1714" s="19">
        <f t="shared" si="104"/>
        <v>0</v>
      </c>
      <c r="I1714" s="1">
        <f t="shared" si="105"/>
        <v>0</v>
      </c>
      <c r="J1714" s="1">
        <f t="shared" si="106"/>
        <v>0</v>
      </c>
      <c r="K1714" s="19">
        <f t="shared" si="107"/>
        <v>0</v>
      </c>
    </row>
    <row r="1715" spans="2:11" ht="15">
      <c r="B1715" s="151">
        <v>102</v>
      </c>
      <c r="C1715" s="7" t="s">
        <v>60</v>
      </c>
      <c r="D1715" s="4" t="s">
        <v>65</v>
      </c>
      <c r="E1715" t="s">
        <v>489</v>
      </c>
      <c r="F1715" s="12" t="str">
        <f>IFERROR(VLOOKUP(B1715,'INSUMOS  JULIO'!$B$6:$CJ$109,54,0),"")</f>
        <v>0</v>
      </c>
      <c r="G1715" s="8">
        <f>IFERROR(VLOOKUP($B1715,'INSUMOS  JULIO'!$B$6:$CJ$109,55,0),"")</f>
        <v>3811.9770000000003</v>
      </c>
      <c r="H1715" s="19">
        <f t="shared" si="104"/>
        <v>0</v>
      </c>
      <c r="I1715" s="1">
        <f t="shared" si="105"/>
        <v>0</v>
      </c>
      <c r="J1715" s="1">
        <f t="shared" si="106"/>
        <v>0</v>
      </c>
      <c r="K1715" s="19">
        <f t="shared" si="107"/>
        <v>0</v>
      </c>
    </row>
    <row r="1716" spans="2:11" ht="15">
      <c r="B1716" s="151">
        <v>103</v>
      </c>
      <c r="C1716" s="7" t="s">
        <v>66</v>
      </c>
      <c r="D1716" s="4" t="s">
        <v>67</v>
      </c>
      <c r="E1716" t="s">
        <v>489</v>
      </c>
      <c r="F1716" s="12" t="str">
        <f>IFERROR(VLOOKUP(B1716,'INSUMOS  JULIO'!$B$6:$CJ$109,54,0),"")</f>
        <v>0</v>
      </c>
      <c r="G1716" s="8">
        <f>IFERROR(VLOOKUP($B1716,'INSUMOS  JULIO'!$B$6:$CJ$109,55,0),"")</f>
        <v>18022.547999999999</v>
      </c>
      <c r="H1716" s="19">
        <f t="shared" si="104"/>
        <v>0</v>
      </c>
      <c r="I1716" s="1">
        <f t="shared" si="105"/>
        <v>0</v>
      </c>
      <c r="J1716" s="1">
        <f t="shared" si="106"/>
        <v>0</v>
      </c>
      <c r="K1716" s="19">
        <f t="shared" si="107"/>
        <v>0</v>
      </c>
    </row>
    <row r="1717" spans="2:11" ht="15">
      <c r="B1717" s="151">
        <v>104</v>
      </c>
      <c r="C1717" s="7" t="s">
        <v>66</v>
      </c>
      <c r="D1717" s="4" t="s">
        <v>68</v>
      </c>
      <c r="E1717" t="s">
        <v>489</v>
      </c>
      <c r="F1717" s="12" t="str">
        <f>IFERROR(VLOOKUP(B1717,'INSUMOS  JULIO'!$B$6:$CJ$109,54,0),"")</f>
        <v>0</v>
      </c>
      <c r="G1717" s="8">
        <f>IFERROR(VLOOKUP($B1717,'INSUMOS  JULIO'!$B$6:$CJ$109,55,0),"")</f>
        <v>18022.547999999999</v>
      </c>
      <c r="H1717" s="19">
        <f t="shared" si="104"/>
        <v>0</v>
      </c>
      <c r="I1717" s="1">
        <f t="shared" si="105"/>
        <v>0</v>
      </c>
      <c r="J1717" s="1">
        <f t="shared" si="106"/>
        <v>0</v>
      </c>
      <c r="K1717" s="19">
        <f t="shared" si="107"/>
        <v>0</v>
      </c>
    </row>
    <row r="1718" spans="2:11" ht="15">
      <c r="B1718" s="151">
        <v>105</v>
      </c>
      <c r="C1718" s="7" t="s">
        <v>66</v>
      </c>
      <c r="D1718" s="4" t="s">
        <v>69</v>
      </c>
      <c r="E1718" t="s">
        <v>489</v>
      </c>
      <c r="F1718" s="12" t="str">
        <f>IFERROR(VLOOKUP(B1718,'INSUMOS  JULIO'!$B$6:$CJ$109,54,0),"")</f>
        <v>0</v>
      </c>
      <c r="G1718" s="8">
        <f>IFERROR(VLOOKUP($B1718,'INSUMOS  JULIO'!$B$6:$CJ$109,55,0),"")</f>
        <v>27641.3</v>
      </c>
      <c r="H1718" s="19">
        <f t="shared" si="104"/>
        <v>0</v>
      </c>
      <c r="I1718" s="1">
        <f t="shared" si="105"/>
        <v>0</v>
      </c>
      <c r="J1718" s="1">
        <f t="shared" si="106"/>
        <v>0</v>
      </c>
      <c r="K1718" s="19">
        <f t="shared" si="107"/>
        <v>0</v>
      </c>
    </row>
    <row r="1719" spans="2:11" ht="15">
      <c r="B1719" s="151">
        <v>106</v>
      </c>
      <c r="C1719" s="7" t="s">
        <v>66</v>
      </c>
      <c r="D1719" s="4" t="s">
        <v>70</v>
      </c>
      <c r="E1719" t="s">
        <v>489</v>
      </c>
      <c r="F1719" s="12" t="str">
        <f>IFERROR(VLOOKUP(B1719,'INSUMOS  JULIO'!$B$6:$CJ$109,54,0),"")</f>
        <v>0</v>
      </c>
      <c r="G1719" s="8">
        <f>IFERROR(VLOOKUP($B1719,'INSUMOS  JULIO'!$B$6:$CJ$109,55,0),"")</f>
        <v>0</v>
      </c>
      <c r="H1719" s="19">
        <f t="shared" si="104"/>
        <v>0</v>
      </c>
      <c r="I1719" s="1">
        <f t="shared" si="105"/>
        <v>0</v>
      </c>
      <c r="J1719" s="1">
        <f t="shared" si="106"/>
        <v>0</v>
      </c>
      <c r="K1719" s="19">
        <f t="shared" si="107"/>
        <v>0</v>
      </c>
    </row>
    <row r="1720" spans="2:11" ht="15">
      <c r="B1720" s="151">
        <v>108</v>
      </c>
      <c r="C1720" s="7" t="s">
        <v>66</v>
      </c>
      <c r="D1720" s="4" t="s">
        <v>71</v>
      </c>
      <c r="E1720" t="s">
        <v>489</v>
      </c>
      <c r="F1720" s="12" t="str">
        <f>IFERROR(VLOOKUP(B1720,'INSUMOS  JULIO'!$B$6:$CJ$109,54,0),"")</f>
        <v>0</v>
      </c>
      <c r="G1720" s="8">
        <f>IFERROR(VLOOKUP($B1720,'INSUMOS  JULIO'!$B$6:$CJ$109,55,0),"")</f>
        <v>38697.82</v>
      </c>
      <c r="H1720" s="19">
        <f t="shared" si="104"/>
        <v>0</v>
      </c>
      <c r="I1720" s="1">
        <f t="shared" si="105"/>
        <v>0</v>
      </c>
      <c r="J1720" s="1">
        <f t="shared" si="106"/>
        <v>0</v>
      </c>
      <c r="K1720" s="19">
        <f t="shared" si="107"/>
        <v>0</v>
      </c>
    </row>
    <row r="1721" spans="2:11" ht="15">
      <c r="B1721" s="151">
        <v>109</v>
      </c>
      <c r="C1721" s="7" t="s">
        <v>66</v>
      </c>
      <c r="D1721" s="4" t="s">
        <v>72</v>
      </c>
      <c r="E1721" t="s">
        <v>489</v>
      </c>
      <c r="F1721" s="12" t="str">
        <f>IFERROR(VLOOKUP(B1721,'INSUMOS  JULIO'!$B$6:$CJ$109,54,0),"")</f>
        <v>0</v>
      </c>
      <c r="G1721" s="8">
        <f>IFERROR(VLOOKUP($B1721,'INSUMOS  JULIO'!$B$6:$CJ$109,55,0),"")</f>
        <v>49754.340000000004</v>
      </c>
      <c r="H1721" s="19">
        <f t="shared" si="104"/>
        <v>0</v>
      </c>
      <c r="I1721" s="1">
        <f t="shared" si="105"/>
        <v>0</v>
      </c>
      <c r="J1721" s="1">
        <f t="shared" si="106"/>
        <v>0</v>
      </c>
      <c r="K1721" s="19">
        <f t="shared" si="107"/>
        <v>0</v>
      </c>
    </row>
    <row r="1722" spans="2:11" ht="15">
      <c r="B1722" s="151">
        <v>110</v>
      </c>
      <c r="C1722" s="7" t="s">
        <v>158</v>
      </c>
      <c r="D1722" s="4" t="s">
        <v>73</v>
      </c>
      <c r="E1722" t="s">
        <v>489</v>
      </c>
      <c r="F1722" s="12">
        <f>IFERROR(VLOOKUP(B1722,'INSUMOS  JULIO'!$B$6:$CJ$109,54,0),"")</f>
        <v>0</v>
      </c>
      <c r="G1722" s="8">
        <f>IFERROR(VLOOKUP($B1722,'INSUMOS  JULIO'!$B$6:$CJ$109,55,0),"")</f>
        <v>470.84799999999996</v>
      </c>
      <c r="H1722" s="19">
        <f t="shared" si="104"/>
        <v>0</v>
      </c>
      <c r="I1722" s="1">
        <f t="shared" si="105"/>
        <v>0</v>
      </c>
      <c r="J1722" s="1">
        <f t="shared" si="106"/>
        <v>0</v>
      </c>
      <c r="K1722" s="19">
        <f t="shared" si="107"/>
        <v>0</v>
      </c>
    </row>
    <row r="1723" spans="2:11" ht="15">
      <c r="B1723" s="151">
        <v>118</v>
      </c>
      <c r="C1723" s="7" t="s">
        <v>158</v>
      </c>
      <c r="D1723" s="4" t="s">
        <v>74</v>
      </c>
      <c r="E1723" t="s">
        <v>489</v>
      </c>
      <c r="F1723" s="12">
        <f>IFERROR(VLOOKUP(B1723,'INSUMOS  JULIO'!$B$6:$CJ$109,54,0),"")</f>
        <v>0</v>
      </c>
      <c r="G1723" s="8">
        <f>IFERROR(VLOOKUP($B1723,'INSUMOS  JULIO'!$B$6:$CJ$109,55,0),"")</f>
        <v>2455.136</v>
      </c>
      <c r="H1723" s="19">
        <f t="shared" si="104"/>
        <v>0</v>
      </c>
      <c r="I1723" s="1">
        <f t="shared" si="105"/>
        <v>0</v>
      </c>
      <c r="J1723" s="1">
        <f t="shared" si="106"/>
        <v>0</v>
      </c>
      <c r="K1723" s="19">
        <f t="shared" si="107"/>
        <v>0</v>
      </c>
    </row>
    <row r="1724" spans="2:11" ht="15">
      <c r="B1724" s="151">
        <v>119</v>
      </c>
      <c r="C1724" s="7" t="s">
        <v>158</v>
      </c>
      <c r="D1724" s="4" t="s">
        <v>75</v>
      </c>
      <c r="E1724" t="s">
        <v>489</v>
      </c>
      <c r="F1724" s="12" t="str">
        <f>IFERROR(VLOOKUP(B1724,'INSUMOS  JULIO'!$B$6:$CJ$109,54,0),"")</f>
        <v>0</v>
      </c>
      <c r="G1724" s="8">
        <f>IFERROR(VLOOKUP($B1724,'INSUMOS  JULIO'!$B$6:$CJ$109,55,0),"")</f>
        <v>2821.9350000000004</v>
      </c>
      <c r="H1724" s="19">
        <f t="shared" si="104"/>
        <v>0</v>
      </c>
      <c r="I1724" s="1">
        <f t="shared" si="105"/>
        <v>0</v>
      </c>
      <c r="J1724" s="1">
        <f t="shared" si="106"/>
        <v>0</v>
      </c>
      <c r="K1724" s="19">
        <f t="shared" si="107"/>
        <v>0</v>
      </c>
    </row>
    <row r="1725" spans="2:11" ht="15">
      <c r="B1725" s="151">
        <v>120</v>
      </c>
      <c r="C1725" s="7" t="s">
        <v>158</v>
      </c>
      <c r="D1725" s="4" t="s">
        <v>76</v>
      </c>
      <c r="E1725" t="s">
        <v>489</v>
      </c>
      <c r="F1725" s="12" t="str">
        <f>IFERROR(VLOOKUP(B1725,'INSUMOS  JULIO'!$B$6:$CJ$109,54,0),"")</f>
        <v>0</v>
      </c>
      <c r="G1725" s="8">
        <f>IFERROR(VLOOKUP($B1725,'INSUMOS  JULIO'!$B$6:$CJ$109,55,0),"")</f>
        <v>2821.9350000000004</v>
      </c>
      <c r="H1725" s="19">
        <f t="shared" si="104"/>
        <v>0</v>
      </c>
      <c r="I1725" s="1">
        <f t="shared" si="105"/>
        <v>0</v>
      </c>
      <c r="J1725" s="1">
        <f t="shared" si="106"/>
        <v>0</v>
      </c>
      <c r="K1725" s="19">
        <f t="shared" si="107"/>
        <v>0</v>
      </c>
    </row>
    <row r="1726" spans="2:11" ht="15">
      <c r="B1726" s="151">
        <v>122</v>
      </c>
      <c r="C1726" s="7" t="s">
        <v>158</v>
      </c>
      <c r="D1726" s="4" t="s">
        <v>77</v>
      </c>
      <c r="E1726" t="s">
        <v>489</v>
      </c>
      <c r="F1726" s="12" t="str">
        <f>IFERROR(VLOOKUP(B1726,'INSUMOS  JULIO'!$B$6:$CJ$109,54,0),"")</f>
        <v>0</v>
      </c>
      <c r="G1726" s="8">
        <f>IFERROR(VLOOKUP($B1726,'INSUMOS  JULIO'!$B$6:$CJ$109,55,0),"")</f>
        <v>5223.4699999999993</v>
      </c>
      <c r="H1726" s="19">
        <f t="shared" si="104"/>
        <v>0</v>
      </c>
      <c r="I1726" s="1">
        <f t="shared" si="105"/>
        <v>0</v>
      </c>
      <c r="J1726" s="1">
        <f t="shared" si="106"/>
        <v>0</v>
      </c>
      <c r="K1726" s="19">
        <f t="shared" si="107"/>
        <v>0</v>
      </c>
    </row>
    <row r="1727" spans="2:11" ht="15">
      <c r="B1727" s="151">
        <v>123</v>
      </c>
      <c r="C1727" s="7" t="s">
        <v>158</v>
      </c>
      <c r="D1727" s="4" t="s">
        <v>78</v>
      </c>
      <c r="E1727" t="s">
        <v>489</v>
      </c>
      <c r="F1727" s="12" t="str">
        <f>IFERROR(VLOOKUP(B1727,'INSUMOS  JULIO'!$B$6:$CJ$109,54,0),"")</f>
        <v>0</v>
      </c>
      <c r="G1727" s="8">
        <f>IFERROR(VLOOKUP($B1727,'INSUMOS  JULIO'!$B$6:$CJ$109,55,0),"")</f>
        <v>5765.7860000000001</v>
      </c>
      <c r="H1727" s="19">
        <f t="shared" si="104"/>
        <v>0</v>
      </c>
      <c r="I1727" s="1">
        <f t="shared" si="105"/>
        <v>0</v>
      </c>
      <c r="J1727" s="1">
        <f t="shared" si="106"/>
        <v>0</v>
      </c>
      <c r="K1727" s="19">
        <f t="shared" si="107"/>
        <v>0</v>
      </c>
    </row>
    <row r="1728" spans="2:11" ht="15">
      <c r="B1728" s="151">
        <v>124</v>
      </c>
      <c r="C1728" s="7" t="s">
        <v>158</v>
      </c>
      <c r="D1728" s="4" t="s">
        <v>79</v>
      </c>
      <c r="E1728" t="s">
        <v>489</v>
      </c>
      <c r="F1728" s="12" t="str">
        <f>IFERROR(VLOOKUP(B1728,'INSUMOS  JULIO'!$B$6:$CJ$109,54,0),"")</f>
        <v>0</v>
      </c>
      <c r="G1728" s="8">
        <f>IFERROR(VLOOKUP($B1728,'INSUMOS  JULIO'!$B$6:$CJ$109,55,0),"")</f>
        <v>5765.7860000000001</v>
      </c>
      <c r="H1728" s="19">
        <f t="shared" si="104"/>
        <v>0</v>
      </c>
      <c r="I1728" s="1">
        <f t="shared" si="105"/>
        <v>0</v>
      </c>
      <c r="J1728" s="1">
        <f t="shared" si="106"/>
        <v>0</v>
      </c>
      <c r="K1728" s="19">
        <f t="shared" si="107"/>
        <v>0</v>
      </c>
    </row>
    <row r="1729" spans="2:11" ht="15">
      <c r="B1729" s="151">
        <v>126</v>
      </c>
      <c r="C1729" s="7" t="s">
        <v>9</v>
      </c>
      <c r="D1729" s="4" t="s">
        <v>80</v>
      </c>
      <c r="E1729" t="s">
        <v>489</v>
      </c>
      <c r="F1729" s="12" t="str">
        <f>IFERROR(VLOOKUP(B1729,'INSUMOS  JULIO'!$B$6:$CJ$109,54,0),"")</f>
        <v>0</v>
      </c>
      <c r="G1729" s="8">
        <f>IFERROR(VLOOKUP($B1729,'INSUMOS  JULIO'!$B$6:$CJ$109,55,0),"")</f>
        <v>3316.9560000000001</v>
      </c>
      <c r="H1729" s="19">
        <f t="shared" si="104"/>
        <v>0</v>
      </c>
      <c r="I1729" s="1">
        <f t="shared" si="105"/>
        <v>0</v>
      </c>
      <c r="J1729" s="1">
        <f t="shared" si="106"/>
        <v>0</v>
      </c>
      <c r="K1729" s="19">
        <f t="shared" si="107"/>
        <v>0</v>
      </c>
    </row>
    <row r="1730" spans="2:11" ht="15">
      <c r="B1730" s="151">
        <v>127</v>
      </c>
      <c r="C1730" s="7" t="s">
        <v>156</v>
      </c>
      <c r="D1730" s="4" t="s">
        <v>81</v>
      </c>
      <c r="E1730" t="s">
        <v>489</v>
      </c>
      <c r="F1730" s="12" t="str">
        <f>IFERROR(VLOOKUP(B1730,'INSUMOS  JULIO'!$B$6:$CJ$109,54,0),"")</f>
        <v>0</v>
      </c>
      <c r="G1730" s="8">
        <f>IFERROR(VLOOKUP($B1730,'INSUMOS  JULIO'!$B$6:$CJ$109,55,0),"")</f>
        <v>3316.9560000000001</v>
      </c>
      <c r="H1730" s="19">
        <f t="shared" si="104"/>
        <v>0</v>
      </c>
      <c r="I1730" s="1">
        <f t="shared" si="105"/>
        <v>0</v>
      </c>
      <c r="J1730" s="1">
        <f t="shared" si="106"/>
        <v>0</v>
      </c>
      <c r="K1730" s="19">
        <f t="shared" si="107"/>
        <v>0</v>
      </c>
    </row>
    <row r="1731" spans="2:11" ht="15">
      <c r="B1731" s="151">
        <v>129</v>
      </c>
      <c r="C1731" s="7" t="s">
        <v>157</v>
      </c>
      <c r="D1731" s="4" t="s">
        <v>82</v>
      </c>
      <c r="E1731" t="s">
        <v>489</v>
      </c>
      <c r="F1731" s="12" t="str">
        <f>IFERROR(VLOOKUP(B1731,'INSUMOS  JULIO'!$B$6:$CJ$109,54,0),"")</f>
        <v>0</v>
      </c>
      <c r="G1731" s="8">
        <f>IFERROR(VLOOKUP($B1731,'INSUMOS  JULIO'!$B$6:$CJ$109,55,0),"")</f>
        <v>3787.8040000000001</v>
      </c>
      <c r="H1731" s="19">
        <f t="shared" si="104"/>
        <v>0</v>
      </c>
      <c r="I1731" s="1">
        <f t="shared" si="105"/>
        <v>0</v>
      </c>
      <c r="J1731" s="1">
        <f t="shared" si="106"/>
        <v>0</v>
      </c>
      <c r="K1731" s="19">
        <f t="shared" si="107"/>
        <v>0</v>
      </c>
    </row>
    <row r="1732" spans="2:11" ht="15">
      <c r="B1732" s="151">
        <v>131</v>
      </c>
      <c r="C1732" s="7" t="s">
        <v>13</v>
      </c>
      <c r="D1732" s="4" t="s">
        <v>83</v>
      </c>
      <c r="E1732" t="s">
        <v>489</v>
      </c>
      <c r="F1732" s="12" t="str">
        <f>IFERROR(VLOOKUP(B1732,'INSUMOS  JULIO'!$B$6:$CJ$109,54,0),"")</f>
        <v>0</v>
      </c>
      <c r="G1732" s="8">
        <f>IFERROR(VLOOKUP($B1732,'INSUMOS  JULIO'!$B$6:$CJ$109,55,0),"")</f>
        <v>0</v>
      </c>
      <c r="H1732" s="19">
        <f t="shared" si="104"/>
        <v>0</v>
      </c>
      <c r="I1732" s="1">
        <f t="shared" si="105"/>
        <v>0</v>
      </c>
      <c r="J1732" s="1">
        <f t="shared" si="106"/>
        <v>0</v>
      </c>
      <c r="K1732" s="19">
        <f t="shared" si="107"/>
        <v>0</v>
      </c>
    </row>
    <row r="1733" spans="2:11" ht="15">
      <c r="B1733" s="151">
        <v>132</v>
      </c>
      <c r="C1733" s="7" t="s">
        <v>13</v>
      </c>
      <c r="D1733" s="4" t="s">
        <v>84</v>
      </c>
      <c r="E1733" t="s">
        <v>489</v>
      </c>
      <c r="F1733" s="12" t="str">
        <f>IFERROR(VLOOKUP(B1733,'INSUMOS  JULIO'!$B$6:$CJ$109,54,0),"")</f>
        <v>0</v>
      </c>
      <c r="G1733" s="8">
        <f>IFERROR(VLOOKUP($B1733,'INSUMOS  JULIO'!$B$6:$CJ$109,55,0),"")</f>
        <v>0</v>
      </c>
      <c r="H1733" s="19">
        <f t="shared" si="104"/>
        <v>0</v>
      </c>
      <c r="I1733" s="1">
        <f t="shared" si="105"/>
        <v>0</v>
      </c>
      <c r="J1733" s="1">
        <f t="shared" si="106"/>
        <v>0</v>
      </c>
      <c r="K1733" s="19">
        <f t="shared" si="107"/>
        <v>0</v>
      </c>
    </row>
    <row r="1734" spans="2:11" ht="15">
      <c r="B1734" s="151">
        <v>134</v>
      </c>
      <c r="C1734" s="7" t="s">
        <v>16</v>
      </c>
      <c r="D1734" s="4" t="s">
        <v>85</v>
      </c>
      <c r="E1734" t="s">
        <v>489</v>
      </c>
      <c r="F1734" s="12" t="str">
        <f>IFERROR(VLOOKUP(B1734,'INSUMOS  JULIO'!$B$6:$CJ$109,54,0),"")</f>
        <v>0</v>
      </c>
      <c r="G1734" s="8">
        <f>IFERROR(VLOOKUP($B1734,'INSUMOS  JULIO'!$B$6:$CJ$109,55,0),"")</f>
        <v>0</v>
      </c>
      <c r="H1734" s="19">
        <f t="shared" ref="H1734:H1797" si="108">+F1734*G1734</f>
        <v>0</v>
      </c>
      <c r="I1734" s="1">
        <f t="shared" ref="I1734:I1797" si="109">+H1734*10%</f>
        <v>0</v>
      </c>
      <c r="J1734" s="1">
        <f t="shared" ref="J1734:J1797" si="110">+I1734*19%</f>
        <v>0</v>
      </c>
      <c r="K1734" s="19">
        <f t="shared" ref="K1734:K1797" si="111">SUM(H1734:J1734)</f>
        <v>0</v>
      </c>
    </row>
    <row r="1735" spans="2:11" ht="15">
      <c r="B1735" s="151">
        <v>135</v>
      </c>
      <c r="C1735" s="7" t="s">
        <v>18</v>
      </c>
      <c r="D1735" s="4" t="s">
        <v>86</v>
      </c>
      <c r="E1735" t="s">
        <v>489</v>
      </c>
      <c r="F1735" s="12">
        <f>IFERROR(VLOOKUP(B1735,'INSUMOS  JULIO'!$B$6:$CJ$109,54,0),"")</f>
        <v>0</v>
      </c>
      <c r="G1735" s="8">
        <f>IFERROR(VLOOKUP($B1735,'INSUMOS  JULIO'!$B$6:$CJ$109,55,0),"")</f>
        <v>6229.277</v>
      </c>
      <c r="H1735" s="19">
        <f t="shared" si="108"/>
        <v>0</v>
      </c>
      <c r="I1735" s="1">
        <f t="shared" si="109"/>
        <v>0</v>
      </c>
      <c r="J1735" s="1">
        <f t="shared" si="110"/>
        <v>0</v>
      </c>
      <c r="K1735" s="19">
        <f t="shared" si="111"/>
        <v>0</v>
      </c>
    </row>
    <row r="1736" spans="2:11" ht="15">
      <c r="B1736" s="151">
        <v>137</v>
      </c>
      <c r="C1736" s="7" t="s">
        <v>20</v>
      </c>
      <c r="D1736" s="4" t="s">
        <v>88</v>
      </c>
      <c r="E1736" t="s">
        <v>489</v>
      </c>
      <c r="F1736" s="12" t="str">
        <f>IFERROR(VLOOKUP(B1736,'INSUMOS  JULIO'!$B$6:$CJ$109,54,0),"")</f>
        <v>0</v>
      </c>
      <c r="G1736" s="8">
        <f>IFERROR(VLOOKUP($B1736,'INSUMOS  JULIO'!$B$6:$CJ$109,55,0),"")</f>
        <v>1245.4349999999999</v>
      </c>
      <c r="H1736" s="19">
        <f t="shared" si="108"/>
        <v>0</v>
      </c>
      <c r="I1736" s="1">
        <f t="shared" si="109"/>
        <v>0</v>
      </c>
      <c r="J1736" s="1">
        <f t="shared" si="110"/>
        <v>0</v>
      </c>
      <c r="K1736" s="19">
        <f t="shared" si="111"/>
        <v>0</v>
      </c>
    </row>
    <row r="1737" spans="2:11" ht="15">
      <c r="B1737" s="151">
        <v>139</v>
      </c>
      <c r="C1737" s="7" t="s">
        <v>22</v>
      </c>
      <c r="D1737" s="4" t="s">
        <v>89</v>
      </c>
      <c r="E1737" t="s">
        <v>489</v>
      </c>
      <c r="F1737" s="12">
        <f>IFERROR(VLOOKUP(B1737,'INSUMOS  JULIO'!$B$6:$CJ$109,54,0),"")</f>
        <v>0</v>
      </c>
      <c r="G1737" s="8">
        <f>IFERROR(VLOOKUP($B1737,'INSUMOS  JULIO'!$B$6:$CJ$109,55,0),"")</f>
        <v>25429.996000000003</v>
      </c>
      <c r="H1737" s="19">
        <f t="shared" si="108"/>
        <v>0</v>
      </c>
      <c r="I1737" s="1">
        <f t="shared" si="109"/>
        <v>0</v>
      </c>
      <c r="J1737" s="1">
        <f t="shared" si="110"/>
        <v>0</v>
      </c>
      <c r="K1737" s="19">
        <f t="shared" si="111"/>
        <v>0</v>
      </c>
    </row>
    <row r="1738" spans="2:11" ht="15">
      <c r="B1738" s="151">
        <v>151</v>
      </c>
      <c r="C1738" s="7" t="s">
        <v>18</v>
      </c>
      <c r="D1738" s="4" t="s">
        <v>91</v>
      </c>
      <c r="E1738" t="s">
        <v>489</v>
      </c>
      <c r="F1738" s="12">
        <f>IFERROR(VLOOKUP(B1738,'INSUMOS  JULIO'!$B$6:$CJ$109,54,0),"")</f>
        <v>0</v>
      </c>
      <c r="G1738" s="8">
        <f>IFERROR(VLOOKUP($B1738,'INSUMOS  JULIO'!$B$6:$CJ$109,55,0),"")</f>
        <v>4422.6080000000002</v>
      </c>
      <c r="H1738" s="19">
        <f t="shared" si="108"/>
        <v>0</v>
      </c>
      <c r="I1738" s="1">
        <f t="shared" si="109"/>
        <v>0</v>
      </c>
      <c r="J1738" s="1">
        <f t="shared" si="110"/>
        <v>0</v>
      </c>
      <c r="K1738" s="19">
        <f t="shared" si="111"/>
        <v>0</v>
      </c>
    </row>
    <row r="1739" spans="2:11" ht="15">
      <c r="B1739" s="151">
        <v>152</v>
      </c>
      <c r="C1739" s="7" t="s">
        <v>155</v>
      </c>
      <c r="D1739" s="4" t="s">
        <v>92</v>
      </c>
      <c r="E1739" t="s">
        <v>489</v>
      </c>
      <c r="F1739" s="12" t="str">
        <f>IFERROR(VLOOKUP(B1739,'INSUMOS  JULIO'!$B$6:$CJ$109,54,0),"")</f>
        <v>0</v>
      </c>
      <c r="G1739" s="8">
        <f>IFERROR(VLOOKUP($B1739,'INSUMOS  JULIO'!$B$6:$CJ$109,55,0),"")</f>
        <v>0</v>
      </c>
      <c r="H1739" s="19">
        <f t="shared" si="108"/>
        <v>0</v>
      </c>
      <c r="I1739" s="1">
        <f t="shared" si="109"/>
        <v>0</v>
      </c>
      <c r="J1739" s="1">
        <f t="shared" si="110"/>
        <v>0</v>
      </c>
      <c r="K1739" s="19">
        <f t="shared" si="111"/>
        <v>0</v>
      </c>
    </row>
    <row r="1740" spans="2:11" ht="15">
      <c r="B1740" s="151">
        <v>154</v>
      </c>
      <c r="C1740" s="7" t="s">
        <v>16</v>
      </c>
      <c r="D1740" s="4" t="s">
        <v>94</v>
      </c>
      <c r="E1740" t="s">
        <v>489</v>
      </c>
      <c r="F1740" s="12" t="str">
        <f>IFERROR(VLOOKUP(B1740,'INSUMOS  JULIO'!$B$6:$CJ$109,54,0),"")</f>
        <v>0</v>
      </c>
      <c r="G1740" s="8">
        <f>IFERROR(VLOOKUP($B1740,'INSUMOS  JULIO'!$B$6:$CJ$109,55,0),"")</f>
        <v>0</v>
      </c>
      <c r="H1740" s="19">
        <f t="shared" si="108"/>
        <v>0</v>
      </c>
      <c r="I1740" s="1">
        <f t="shared" si="109"/>
        <v>0</v>
      </c>
      <c r="J1740" s="1">
        <f t="shared" si="110"/>
        <v>0</v>
      </c>
      <c r="K1740" s="19">
        <f t="shared" si="111"/>
        <v>0</v>
      </c>
    </row>
    <row r="1741" spans="2:11" ht="15">
      <c r="B1741" s="151">
        <v>155</v>
      </c>
      <c r="C1741" s="7" t="s">
        <v>27</v>
      </c>
      <c r="D1741" s="4" t="s">
        <v>95</v>
      </c>
      <c r="E1741" t="s">
        <v>489</v>
      </c>
      <c r="F1741" s="12">
        <f>IFERROR(VLOOKUP(B1741,'INSUMOS  JULIO'!$B$6:$CJ$109,54,0),"")</f>
        <v>0</v>
      </c>
      <c r="G1741" s="8">
        <f>IFERROR(VLOOKUP($B1741,'INSUMOS  JULIO'!$B$6:$CJ$109,55,0),"")</f>
        <v>3703.7239999999997</v>
      </c>
      <c r="H1741" s="19">
        <f t="shared" si="108"/>
        <v>0</v>
      </c>
      <c r="I1741" s="1">
        <f t="shared" si="109"/>
        <v>0</v>
      </c>
      <c r="J1741" s="1">
        <f t="shared" si="110"/>
        <v>0</v>
      </c>
      <c r="K1741" s="19">
        <f t="shared" si="111"/>
        <v>0</v>
      </c>
    </row>
    <row r="1742" spans="2:11" ht="15">
      <c r="B1742" s="151">
        <v>156</v>
      </c>
      <c r="C1742" s="7" t="s">
        <v>13</v>
      </c>
      <c r="D1742" s="4" t="s">
        <v>96</v>
      </c>
      <c r="E1742" t="s">
        <v>489</v>
      </c>
      <c r="F1742" s="12" t="str">
        <f>IFERROR(VLOOKUP(B1742,'INSUMOS  JULIO'!$B$6:$CJ$109,54,0),"")</f>
        <v>0</v>
      </c>
      <c r="G1742" s="8">
        <f>IFERROR(VLOOKUP($B1742,'INSUMOS  JULIO'!$B$6:$CJ$109,55,0),"")</f>
        <v>4422.6080000000002</v>
      </c>
      <c r="H1742" s="19">
        <f t="shared" si="108"/>
        <v>0</v>
      </c>
      <c r="I1742" s="1">
        <f t="shared" si="109"/>
        <v>0</v>
      </c>
      <c r="J1742" s="1">
        <f t="shared" si="110"/>
        <v>0</v>
      </c>
      <c r="K1742" s="19">
        <f t="shared" si="111"/>
        <v>0</v>
      </c>
    </row>
    <row r="1743" spans="2:11" ht="15">
      <c r="B1743" s="151">
        <v>157</v>
      </c>
      <c r="C1743" s="7" t="s">
        <v>13</v>
      </c>
      <c r="D1743" s="4" t="s">
        <v>97</v>
      </c>
      <c r="E1743" t="s">
        <v>489</v>
      </c>
      <c r="F1743" s="12">
        <f>IFERROR(VLOOKUP(B1743,'INSUMOS  JULIO'!$B$6:$CJ$109,54,0),"")</f>
        <v>0</v>
      </c>
      <c r="G1743" s="8">
        <f>IFERROR(VLOOKUP($B1743,'INSUMOS  JULIO'!$B$6:$CJ$109,55,0),"")</f>
        <v>5970.7309999999998</v>
      </c>
      <c r="H1743" s="19">
        <f t="shared" si="108"/>
        <v>0</v>
      </c>
      <c r="I1743" s="1">
        <f t="shared" si="109"/>
        <v>0</v>
      </c>
      <c r="J1743" s="1">
        <f t="shared" si="110"/>
        <v>0</v>
      </c>
      <c r="K1743" s="19">
        <f t="shared" si="111"/>
        <v>0</v>
      </c>
    </row>
    <row r="1744" spans="2:11" ht="15">
      <c r="B1744" s="151">
        <v>159</v>
      </c>
      <c r="C1744" s="7" t="s">
        <v>13</v>
      </c>
      <c r="D1744" s="4" t="s">
        <v>98</v>
      </c>
      <c r="E1744" t="s">
        <v>489</v>
      </c>
      <c r="F1744" s="12" t="str">
        <f>IFERROR(VLOOKUP(B1744,'INSUMOS  JULIO'!$B$6:$CJ$109,54,0),"")</f>
        <v>0</v>
      </c>
      <c r="G1744" s="8">
        <f>IFERROR(VLOOKUP($B1744,'INSUMOS  JULIO'!$B$6:$CJ$109,55,0),"")</f>
        <v>6716.8359</v>
      </c>
      <c r="H1744" s="19">
        <f t="shared" si="108"/>
        <v>0</v>
      </c>
      <c r="I1744" s="1">
        <f t="shared" si="109"/>
        <v>0</v>
      </c>
      <c r="J1744" s="1">
        <f t="shared" si="110"/>
        <v>0</v>
      </c>
      <c r="K1744" s="19">
        <f t="shared" si="111"/>
        <v>0</v>
      </c>
    </row>
    <row r="1745" spans="2:11" ht="15">
      <c r="B1745" s="151">
        <v>160</v>
      </c>
      <c r="C1745" s="7" t="s">
        <v>13</v>
      </c>
      <c r="D1745" s="4" t="s">
        <v>99</v>
      </c>
      <c r="E1745" t="s">
        <v>489</v>
      </c>
      <c r="F1745" s="12" t="str">
        <f>IFERROR(VLOOKUP(B1745,'INSUMOS  JULIO'!$B$6:$CJ$109,54,0),"")</f>
        <v>0</v>
      </c>
      <c r="G1745" s="8">
        <f>IFERROR(VLOOKUP($B1745,'INSUMOS  JULIO'!$B$6:$CJ$109,55,0),"")</f>
        <v>2276.4660000000003</v>
      </c>
      <c r="H1745" s="19">
        <f t="shared" si="108"/>
        <v>0</v>
      </c>
      <c r="I1745" s="1">
        <f t="shared" si="109"/>
        <v>0</v>
      </c>
      <c r="J1745" s="1">
        <f t="shared" si="110"/>
        <v>0</v>
      </c>
      <c r="K1745" s="19">
        <f t="shared" si="111"/>
        <v>0</v>
      </c>
    </row>
    <row r="1746" spans="2:11" ht="15">
      <c r="B1746" s="151">
        <v>161</v>
      </c>
      <c r="C1746" s="7" t="s">
        <v>33</v>
      </c>
      <c r="D1746" s="4" t="s">
        <v>100</v>
      </c>
      <c r="E1746" t="s">
        <v>489</v>
      </c>
      <c r="F1746" s="12" t="str">
        <f>IFERROR(VLOOKUP(B1746,'INSUMOS  JULIO'!$B$6:$CJ$109,54,0),"")</f>
        <v>0</v>
      </c>
      <c r="G1746" s="8">
        <f>IFERROR(VLOOKUP($B1746,'INSUMOS  JULIO'!$B$6:$CJ$109,55,0),"")</f>
        <v>2236.5280000000002</v>
      </c>
      <c r="H1746" s="19">
        <f t="shared" si="108"/>
        <v>0</v>
      </c>
      <c r="I1746" s="1">
        <f t="shared" si="109"/>
        <v>0</v>
      </c>
      <c r="J1746" s="1">
        <f t="shared" si="110"/>
        <v>0</v>
      </c>
      <c r="K1746" s="19">
        <f t="shared" si="111"/>
        <v>0</v>
      </c>
    </row>
    <row r="1747" spans="2:11" ht="15">
      <c r="B1747" s="151">
        <v>162</v>
      </c>
      <c r="C1747" s="7" t="s">
        <v>16</v>
      </c>
      <c r="D1747" s="4" t="s">
        <v>101</v>
      </c>
      <c r="E1747" t="s">
        <v>489</v>
      </c>
      <c r="F1747" s="12">
        <f>IFERROR(VLOOKUP(B1747,'INSUMOS  JULIO'!$B$6:$CJ$109,54,0),"")</f>
        <v>0</v>
      </c>
      <c r="G1747" s="8">
        <f>IFERROR(VLOOKUP($B1747,'INSUMOS  JULIO'!$B$6:$CJ$109,55,0),"")</f>
        <v>2684.2539999999999</v>
      </c>
      <c r="H1747" s="19">
        <f t="shared" si="108"/>
        <v>0</v>
      </c>
      <c r="I1747" s="1">
        <f t="shared" si="109"/>
        <v>0</v>
      </c>
      <c r="J1747" s="1">
        <f t="shared" si="110"/>
        <v>0</v>
      </c>
      <c r="K1747" s="19">
        <f t="shared" si="111"/>
        <v>0</v>
      </c>
    </row>
    <row r="1748" spans="2:11" ht="15">
      <c r="B1748" s="151">
        <v>164</v>
      </c>
      <c r="C1748" s="7" t="s">
        <v>36</v>
      </c>
      <c r="D1748" s="4" t="s">
        <v>102</v>
      </c>
      <c r="E1748" t="s">
        <v>489</v>
      </c>
      <c r="F1748" s="12" t="str">
        <f>IFERROR(VLOOKUP(B1748,'INSUMOS  JULIO'!$B$6:$CJ$109,54,0),"")</f>
        <v>0</v>
      </c>
      <c r="G1748" s="8">
        <f>IFERROR(VLOOKUP($B1748,'INSUMOS  JULIO'!$B$6:$CJ$109,55,0),"")</f>
        <v>1658.4780000000001</v>
      </c>
      <c r="H1748" s="19">
        <f t="shared" si="108"/>
        <v>0</v>
      </c>
      <c r="I1748" s="1">
        <f t="shared" si="109"/>
        <v>0</v>
      </c>
      <c r="J1748" s="1">
        <f t="shared" si="110"/>
        <v>0</v>
      </c>
      <c r="K1748" s="19">
        <f t="shared" si="111"/>
        <v>0</v>
      </c>
    </row>
    <row r="1749" spans="2:11" ht="15">
      <c r="B1749" s="151">
        <v>169</v>
      </c>
      <c r="C1749" s="7" t="s">
        <v>36</v>
      </c>
      <c r="D1749" s="4" t="s">
        <v>104</v>
      </c>
      <c r="E1749" t="s">
        <v>489</v>
      </c>
      <c r="F1749" s="12" t="str">
        <f>IFERROR(VLOOKUP(B1749,'INSUMOS  JULIO'!$B$6:$CJ$109,54,0),"")</f>
        <v>0</v>
      </c>
      <c r="G1749" s="8">
        <f>IFERROR(VLOOKUP($B1749,'INSUMOS  JULIO'!$B$6:$CJ$109,55,0),"")</f>
        <v>85897.178999999989</v>
      </c>
      <c r="H1749" s="19">
        <f t="shared" si="108"/>
        <v>0</v>
      </c>
      <c r="I1749" s="1">
        <f t="shared" si="109"/>
        <v>0</v>
      </c>
      <c r="J1749" s="1">
        <f t="shared" si="110"/>
        <v>0</v>
      </c>
      <c r="K1749" s="19">
        <f t="shared" si="111"/>
        <v>0</v>
      </c>
    </row>
    <row r="1750" spans="2:11" ht="15">
      <c r="B1750" s="151">
        <v>170</v>
      </c>
      <c r="C1750" s="7" t="s">
        <v>105</v>
      </c>
      <c r="D1750" s="4" t="s">
        <v>106</v>
      </c>
      <c r="E1750" t="s">
        <v>489</v>
      </c>
      <c r="F1750" s="12">
        <f>IFERROR(VLOOKUP(B1750,'INSUMOS  JULIO'!$B$6:$CJ$109,54,0),"")</f>
        <v>0</v>
      </c>
      <c r="G1750" s="8">
        <f>IFERROR(VLOOKUP($B1750,'INSUMOS  JULIO'!$B$6:$CJ$109,55,0),"")</f>
        <v>19405.664000000001</v>
      </c>
      <c r="H1750" s="19">
        <f t="shared" si="108"/>
        <v>0</v>
      </c>
      <c r="I1750" s="1">
        <f t="shared" si="109"/>
        <v>0</v>
      </c>
      <c r="J1750" s="1">
        <f t="shared" si="110"/>
        <v>0</v>
      </c>
      <c r="K1750" s="19">
        <f t="shared" si="111"/>
        <v>0</v>
      </c>
    </row>
    <row r="1751" spans="2:11" ht="15">
      <c r="B1751" s="151">
        <v>173</v>
      </c>
      <c r="C1751" s="7" t="s">
        <v>105</v>
      </c>
      <c r="D1751" s="4" t="s">
        <v>107</v>
      </c>
      <c r="E1751" t="s">
        <v>489</v>
      </c>
      <c r="F1751" s="12" t="str">
        <f>IFERROR(VLOOKUP(B1751,'INSUMOS  JULIO'!$B$6:$CJ$109,54,0),"")</f>
        <v>0</v>
      </c>
      <c r="G1751" s="8">
        <f>IFERROR(VLOOKUP($B1751,'INSUMOS  JULIO'!$B$6:$CJ$109,55,0),"")</f>
        <v>0</v>
      </c>
      <c r="H1751" s="19">
        <f t="shared" si="108"/>
        <v>0</v>
      </c>
      <c r="I1751" s="1">
        <f t="shared" si="109"/>
        <v>0</v>
      </c>
      <c r="J1751" s="1">
        <f t="shared" si="110"/>
        <v>0</v>
      </c>
      <c r="K1751" s="19">
        <f t="shared" si="111"/>
        <v>0</v>
      </c>
    </row>
    <row r="1752" spans="2:11" ht="15">
      <c r="B1752" s="151">
        <v>174</v>
      </c>
      <c r="C1752" s="7" t="s">
        <v>108</v>
      </c>
      <c r="D1752" s="4" t="s">
        <v>109</v>
      </c>
      <c r="E1752" t="s">
        <v>489</v>
      </c>
      <c r="F1752" s="12" t="str">
        <f>IFERROR(VLOOKUP(B1752,'INSUMOS  JULIO'!$B$6:$CJ$109,54,0),"")</f>
        <v>0</v>
      </c>
      <c r="G1752" s="8">
        <f>IFERROR(VLOOKUP($B1752,'INSUMOS  JULIO'!$B$6:$CJ$109,55,0),"")</f>
        <v>6081.0860000000002</v>
      </c>
      <c r="H1752" s="19">
        <f t="shared" si="108"/>
        <v>0</v>
      </c>
      <c r="I1752" s="1">
        <f t="shared" si="109"/>
        <v>0</v>
      </c>
      <c r="J1752" s="1">
        <f t="shared" si="110"/>
        <v>0</v>
      </c>
      <c r="K1752" s="19">
        <f t="shared" si="111"/>
        <v>0</v>
      </c>
    </row>
    <row r="1753" spans="2:11" ht="15">
      <c r="B1753" s="151">
        <v>176</v>
      </c>
      <c r="C1753" s="7" t="s">
        <v>108</v>
      </c>
      <c r="D1753" s="4" t="s">
        <v>110</v>
      </c>
      <c r="E1753" t="s">
        <v>489</v>
      </c>
      <c r="F1753" s="12" t="str">
        <f>IFERROR(VLOOKUP(B1753,'INSUMOS  JULIO'!$B$6:$CJ$109,54,0),"")</f>
        <v>0</v>
      </c>
      <c r="G1753" s="8">
        <f>IFERROR(VLOOKUP($B1753,'INSUMOS  JULIO'!$B$6:$CJ$109,55,0),"")</f>
        <v>2749.4160000000002</v>
      </c>
      <c r="H1753" s="19">
        <f t="shared" si="108"/>
        <v>0</v>
      </c>
      <c r="I1753" s="1">
        <f t="shared" si="109"/>
        <v>0</v>
      </c>
      <c r="J1753" s="1">
        <f t="shared" si="110"/>
        <v>0</v>
      </c>
      <c r="K1753" s="19">
        <f t="shared" si="111"/>
        <v>0</v>
      </c>
    </row>
    <row r="1754" spans="2:11" ht="15">
      <c r="B1754" s="151">
        <v>192</v>
      </c>
      <c r="C1754" s="7" t="s">
        <v>149</v>
      </c>
      <c r="D1754" s="4" t="s">
        <v>111</v>
      </c>
      <c r="E1754" t="s">
        <v>489</v>
      </c>
      <c r="F1754" s="12">
        <f>IFERROR(VLOOKUP(B1754,'INSUMOS  JULIO'!$B$6:$CJ$109,54,0),"")</f>
        <v>30</v>
      </c>
      <c r="G1754" s="8">
        <f>IFERROR(VLOOKUP($B1754,'INSUMOS  JULIO'!$B$6:$CJ$109,55,0),"")</f>
        <v>6866.2880999999998</v>
      </c>
      <c r="H1754" s="19">
        <f t="shared" si="108"/>
        <v>205988.64299999998</v>
      </c>
      <c r="I1754" s="1">
        <f t="shared" si="109"/>
        <v>20598.864300000001</v>
      </c>
      <c r="J1754" s="1">
        <f t="shared" si="110"/>
        <v>3913.7842170000004</v>
      </c>
      <c r="K1754" s="19">
        <f t="shared" si="111"/>
        <v>230501.29151700001</v>
      </c>
    </row>
    <row r="1755" spans="2:11" ht="15">
      <c r="B1755" s="151">
        <v>195</v>
      </c>
      <c r="C1755" s="7" t="s">
        <v>149</v>
      </c>
      <c r="D1755" s="4" t="s">
        <v>112</v>
      </c>
      <c r="E1755" t="s">
        <v>489</v>
      </c>
      <c r="F1755" s="12">
        <f>IFERROR(VLOOKUP(B1755,'INSUMOS  JULIO'!$B$6:$CJ$109,54,0),"")</f>
        <v>30</v>
      </c>
      <c r="G1755" s="8">
        <f>IFERROR(VLOOKUP($B1755,'INSUMOS  JULIO'!$B$6:$CJ$109,55,0),"")</f>
        <v>10697.1831</v>
      </c>
      <c r="H1755" s="19">
        <f t="shared" si="108"/>
        <v>320915.49300000002</v>
      </c>
      <c r="I1755" s="1">
        <f t="shared" si="109"/>
        <v>32091.549300000002</v>
      </c>
      <c r="J1755" s="1">
        <f t="shared" si="110"/>
        <v>6097.3943670000008</v>
      </c>
      <c r="K1755" s="19">
        <f t="shared" si="111"/>
        <v>359104.43666700006</v>
      </c>
    </row>
    <row r="1756" spans="2:11" ht="15">
      <c r="B1756" s="151">
        <v>204</v>
      </c>
      <c r="C1756" s="7" t="s">
        <v>150</v>
      </c>
      <c r="D1756" s="4" t="s">
        <v>113</v>
      </c>
      <c r="E1756" t="s">
        <v>489</v>
      </c>
      <c r="F1756" s="12">
        <f>IFERROR(VLOOKUP(B1756,'INSUMOS  JULIO'!$B$6:$CJ$109,54,0),"")</f>
        <v>5</v>
      </c>
      <c r="G1756" s="8">
        <f>IFERROR(VLOOKUP($B1756,'INSUMOS  JULIO'!$B$6:$CJ$109,55,0),"")</f>
        <v>25673.6178</v>
      </c>
      <c r="H1756" s="19">
        <f t="shared" si="108"/>
        <v>128368.08900000001</v>
      </c>
      <c r="I1756" s="1">
        <f t="shared" si="109"/>
        <v>12836.808900000002</v>
      </c>
      <c r="J1756" s="1">
        <f t="shared" si="110"/>
        <v>2438.9936910000006</v>
      </c>
      <c r="K1756" s="19">
        <f t="shared" si="111"/>
        <v>143643.89159100002</v>
      </c>
    </row>
    <row r="1757" spans="2:11" ht="27">
      <c r="B1757" s="151">
        <v>205</v>
      </c>
      <c r="C1757" s="7" t="s">
        <v>150</v>
      </c>
      <c r="D1757" s="4" t="s">
        <v>114</v>
      </c>
      <c r="E1757" t="s">
        <v>489</v>
      </c>
      <c r="F1757" s="12" t="str">
        <f>IFERROR(VLOOKUP(B1757,'INSUMOS  JULIO'!$B$6:$CJ$109,54,0),"")</f>
        <v>0</v>
      </c>
      <c r="G1757" s="8">
        <f>IFERROR(VLOOKUP($B1757,'INSUMOS  JULIO'!$B$6:$CJ$109,55,0),"")</f>
        <v>17690.432000000001</v>
      </c>
      <c r="H1757" s="19">
        <f t="shared" si="108"/>
        <v>0</v>
      </c>
      <c r="I1757" s="1">
        <f t="shared" si="109"/>
        <v>0</v>
      </c>
      <c r="J1757" s="1">
        <f t="shared" si="110"/>
        <v>0</v>
      </c>
      <c r="K1757" s="19">
        <f t="shared" si="111"/>
        <v>0</v>
      </c>
    </row>
    <row r="1758" spans="2:11" ht="15">
      <c r="B1758" s="151">
        <v>207</v>
      </c>
      <c r="C1758" s="7" t="s">
        <v>159</v>
      </c>
      <c r="D1758" s="4" t="s">
        <v>115</v>
      </c>
      <c r="E1758" t="s">
        <v>489</v>
      </c>
      <c r="F1758" s="12" t="str">
        <f>IFERROR(VLOOKUP(B1758,'INSUMOS  JULIO'!$B$6:$CJ$109,54,0),"")</f>
        <v>0</v>
      </c>
      <c r="G1758" s="8">
        <f>IFERROR(VLOOKUP($B1758,'INSUMOS  JULIO'!$B$6:$CJ$109,55,0),"")</f>
        <v>7186.7380000000003</v>
      </c>
      <c r="H1758" s="19">
        <f t="shared" si="108"/>
        <v>0</v>
      </c>
      <c r="I1758" s="1">
        <f t="shared" si="109"/>
        <v>0</v>
      </c>
      <c r="J1758" s="1">
        <f t="shared" si="110"/>
        <v>0</v>
      </c>
      <c r="K1758" s="19">
        <f t="shared" si="111"/>
        <v>0</v>
      </c>
    </row>
    <row r="1759" spans="2:11" ht="15">
      <c r="B1759" s="151">
        <v>208</v>
      </c>
      <c r="C1759" s="7" t="s">
        <v>159</v>
      </c>
      <c r="D1759" s="4" t="s">
        <v>634</v>
      </c>
      <c r="E1759" t="s">
        <v>489</v>
      </c>
      <c r="F1759" s="12" t="str">
        <f>IFERROR(VLOOKUP(B1759,'INSUMOS  JULIO'!$B$6:$CJ$109,54,0),"")</f>
        <v>0</v>
      </c>
      <c r="G1759" s="8">
        <f>IFERROR(VLOOKUP($B1759,'INSUMOS  JULIO'!$B$6:$CJ$109,55,0),"")</f>
        <v>50779.065000000002</v>
      </c>
      <c r="H1759" s="19">
        <f t="shared" si="108"/>
        <v>0</v>
      </c>
      <c r="I1759" s="1">
        <f t="shared" si="109"/>
        <v>0</v>
      </c>
      <c r="J1759" s="1">
        <f t="shared" si="110"/>
        <v>0</v>
      </c>
      <c r="K1759" s="19">
        <f t="shared" si="111"/>
        <v>0</v>
      </c>
    </row>
    <row r="1760" spans="2:11" ht="15">
      <c r="B1760" s="151">
        <v>209</v>
      </c>
      <c r="C1760" s="7" t="s">
        <v>159</v>
      </c>
      <c r="D1760" s="4" t="s">
        <v>635</v>
      </c>
      <c r="E1760" t="s">
        <v>489</v>
      </c>
      <c r="F1760" s="12" t="str">
        <f>IFERROR(VLOOKUP(B1760,'INSUMOS  JULIO'!$B$6:$CJ$109,54,0),"")</f>
        <v>0</v>
      </c>
      <c r="G1760" s="8">
        <f>IFERROR(VLOOKUP($B1760,'INSUMOS  JULIO'!$B$6:$CJ$109,55,0),"")</f>
        <v>37357.794999999998</v>
      </c>
      <c r="H1760" s="19">
        <f t="shared" si="108"/>
        <v>0</v>
      </c>
      <c r="I1760" s="1">
        <f t="shared" si="109"/>
        <v>0</v>
      </c>
      <c r="J1760" s="1">
        <f t="shared" si="110"/>
        <v>0</v>
      </c>
      <c r="K1760" s="19">
        <f t="shared" si="111"/>
        <v>0</v>
      </c>
    </row>
    <row r="1761" spans="2:11" ht="15">
      <c r="B1761" s="151">
        <v>210</v>
      </c>
      <c r="C1761" s="7" t="s">
        <v>159</v>
      </c>
      <c r="D1761" s="4" t="s">
        <v>636</v>
      </c>
      <c r="E1761" t="s">
        <v>489</v>
      </c>
      <c r="F1761" s="12" t="str">
        <f>IFERROR(VLOOKUP(B1761,'INSUMOS  JULIO'!$B$6:$CJ$109,54,0),"")</f>
        <v>0</v>
      </c>
      <c r="G1761" s="8">
        <f>IFERROR(VLOOKUP($B1761,'INSUMOS  JULIO'!$B$6:$CJ$109,55,0),"")</f>
        <v>22537.643999999997</v>
      </c>
      <c r="H1761" s="19">
        <f t="shared" si="108"/>
        <v>0</v>
      </c>
      <c r="I1761" s="1">
        <f t="shared" si="109"/>
        <v>0</v>
      </c>
      <c r="J1761" s="1">
        <f t="shared" si="110"/>
        <v>0</v>
      </c>
      <c r="K1761" s="19">
        <f t="shared" si="111"/>
        <v>0</v>
      </c>
    </row>
    <row r="1762" spans="2:11" ht="15">
      <c r="B1762" s="151">
        <v>211</v>
      </c>
      <c r="C1762" s="7" t="s">
        <v>53</v>
      </c>
      <c r="D1762" s="4" t="s">
        <v>637</v>
      </c>
      <c r="E1762" t="s">
        <v>489</v>
      </c>
      <c r="F1762" s="12" t="str">
        <f>IFERROR(VLOOKUP(B1762,'INSUMOS  JULIO'!$B$6:$CJ$109,54,0),"")</f>
        <v>0</v>
      </c>
      <c r="G1762" s="8">
        <f>IFERROR(VLOOKUP($B1762,'INSUMOS  JULIO'!$B$6:$CJ$109,55,0),"")</f>
        <v>15992.016</v>
      </c>
      <c r="H1762" s="19">
        <f t="shared" si="108"/>
        <v>0</v>
      </c>
      <c r="I1762" s="1">
        <f t="shared" si="109"/>
        <v>0</v>
      </c>
      <c r="J1762" s="1">
        <f t="shared" si="110"/>
        <v>0</v>
      </c>
      <c r="K1762" s="19">
        <f t="shared" si="111"/>
        <v>0</v>
      </c>
    </row>
    <row r="1763" spans="2:11" ht="15">
      <c r="B1763" s="151">
        <v>212</v>
      </c>
      <c r="C1763" s="7" t="s">
        <v>53</v>
      </c>
      <c r="D1763" s="4" t="s">
        <v>116</v>
      </c>
      <c r="E1763" t="s">
        <v>489</v>
      </c>
      <c r="F1763" s="12" t="str">
        <f>IFERROR(VLOOKUP(B1763,'INSUMOS  JULIO'!$B$6:$CJ$109,54,0),"")</f>
        <v>0</v>
      </c>
      <c r="G1763" s="8">
        <f>IFERROR(VLOOKUP($B1763,'INSUMOS  JULIO'!$B$6:$CJ$109,55,0),"")</f>
        <v>2505.5839999999998</v>
      </c>
      <c r="H1763" s="19">
        <f t="shared" si="108"/>
        <v>0</v>
      </c>
      <c r="I1763" s="1">
        <f t="shared" si="109"/>
        <v>0</v>
      </c>
      <c r="J1763" s="1">
        <f t="shared" si="110"/>
        <v>0</v>
      </c>
      <c r="K1763" s="19">
        <f t="shared" si="111"/>
        <v>0</v>
      </c>
    </row>
    <row r="1764" spans="2:11" ht="15">
      <c r="B1764" s="151">
        <v>213</v>
      </c>
      <c r="C1764" s="7" t="s">
        <v>53</v>
      </c>
      <c r="D1764" s="4" t="s">
        <v>638</v>
      </c>
      <c r="E1764" t="s">
        <v>489</v>
      </c>
      <c r="F1764" s="12" t="str">
        <f>IFERROR(VLOOKUP(B1764,'INSUMOS  JULIO'!$B$6:$CJ$109,54,0),"")</f>
        <v>0</v>
      </c>
      <c r="G1764" s="8">
        <f>IFERROR(VLOOKUP($B1764,'INSUMOS  JULIO'!$B$6:$CJ$109,55,0),"")</f>
        <v>0</v>
      </c>
      <c r="H1764" s="19">
        <f t="shared" si="108"/>
        <v>0</v>
      </c>
      <c r="I1764" s="1">
        <f t="shared" si="109"/>
        <v>0</v>
      </c>
      <c r="J1764" s="1">
        <f t="shared" si="110"/>
        <v>0</v>
      </c>
      <c r="K1764" s="19">
        <f t="shared" si="111"/>
        <v>0</v>
      </c>
    </row>
    <row r="1765" spans="2:11" ht="15">
      <c r="B1765" s="151">
        <v>215</v>
      </c>
      <c r="C1765" s="7" t="s">
        <v>53</v>
      </c>
      <c r="D1765" s="4" t="s">
        <v>639</v>
      </c>
      <c r="E1765" t="s">
        <v>489</v>
      </c>
      <c r="F1765" s="12" t="str">
        <f>IFERROR(VLOOKUP(B1765,'INSUMOS  JULIO'!$B$6:$CJ$109,54,0),"")</f>
        <v>0</v>
      </c>
      <c r="G1765" s="8">
        <f>IFERROR(VLOOKUP($B1765,'INSUMOS  JULIO'!$B$6:$CJ$109,55,0),"")</f>
        <v>10476.367999999999</v>
      </c>
      <c r="H1765" s="19">
        <f t="shared" si="108"/>
        <v>0</v>
      </c>
      <c r="I1765" s="1">
        <f t="shared" si="109"/>
        <v>0</v>
      </c>
      <c r="J1765" s="1">
        <f t="shared" si="110"/>
        <v>0</v>
      </c>
      <c r="K1765" s="19">
        <f t="shared" si="111"/>
        <v>0</v>
      </c>
    </row>
    <row r="1766" spans="2:11" ht="15">
      <c r="B1766" s="151">
        <v>216</v>
      </c>
      <c r="C1766" s="7" t="s">
        <v>160</v>
      </c>
      <c r="D1766" s="4" t="s">
        <v>640</v>
      </c>
      <c r="E1766" t="s">
        <v>489</v>
      </c>
      <c r="F1766" s="12" t="str">
        <f>IFERROR(VLOOKUP(B1766,'INSUMOS  JULIO'!$B$6:$CJ$109,54,0),"")</f>
        <v>0</v>
      </c>
      <c r="G1766" s="8">
        <f>IFERROR(VLOOKUP($B1766,'INSUMOS  JULIO'!$B$6:$CJ$109,55,0),"")</f>
        <v>3954.9129999999996</v>
      </c>
      <c r="H1766" s="19">
        <f t="shared" si="108"/>
        <v>0</v>
      </c>
      <c r="I1766" s="1">
        <f t="shared" si="109"/>
        <v>0</v>
      </c>
      <c r="J1766" s="1">
        <f t="shared" si="110"/>
        <v>0</v>
      </c>
      <c r="K1766" s="19">
        <f t="shared" si="111"/>
        <v>0</v>
      </c>
    </row>
    <row r="1767" spans="2:11" ht="15">
      <c r="B1767" s="151">
        <v>218</v>
      </c>
      <c r="C1767" s="7" t="s">
        <v>160</v>
      </c>
      <c r="D1767" s="4" t="s">
        <v>117</v>
      </c>
      <c r="E1767" t="s">
        <v>489</v>
      </c>
      <c r="F1767" s="12" t="str">
        <f>IFERROR(VLOOKUP(B1767,'INSUMOS  JULIO'!$B$6:$CJ$109,54,0),"")</f>
        <v>0</v>
      </c>
      <c r="G1767" s="8">
        <f>IFERROR(VLOOKUP($B1767,'INSUMOS  JULIO'!$B$6:$CJ$109,55,0),"")</f>
        <v>1437.768</v>
      </c>
      <c r="H1767" s="19">
        <f t="shared" si="108"/>
        <v>0</v>
      </c>
      <c r="I1767" s="1">
        <f t="shared" si="109"/>
        <v>0</v>
      </c>
      <c r="J1767" s="1">
        <f t="shared" si="110"/>
        <v>0</v>
      </c>
      <c r="K1767" s="19">
        <f t="shared" si="111"/>
        <v>0</v>
      </c>
    </row>
    <row r="1768" spans="2:11" ht="15">
      <c r="B1768" s="151">
        <v>251</v>
      </c>
      <c r="C1768" s="7" t="s">
        <v>60</v>
      </c>
      <c r="D1768" s="4" t="s">
        <v>118</v>
      </c>
      <c r="E1768" t="s">
        <v>489</v>
      </c>
      <c r="F1768" s="12" t="str">
        <f>IFERROR(VLOOKUP(B1768,'INSUMOS  JULIO'!$B$6:$CJ$109,54,0),"")</f>
        <v>0</v>
      </c>
      <c r="G1768" s="8">
        <f>IFERROR(VLOOKUP($B1768,'INSUMOS  JULIO'!$B$6:$CJ$109,55,0),"")</f>
        <v>16031.954000000002</v>
      </c>
      <c r="H1768" s="19">
        <f t="shared" si="108"/>
        <v>0</v>
      </c>
      <c r="I1768" s="1">
        <f t="shared" si="109"/>
        <v>0</v>
      </c>
      <c r="J1768" s="1">
        <f t="shared" si="110"/>
        <v>0</v>
      </c>
      <c r="K1768" s="19">
        <f t="shared" si="111"/>
        <v>0</v>
      </c>
    </row>
    <row r="1769" spans="2:11" ht="15">
      <c r="B1769" s="151">
        <v>255</v>
      </c>
      <c r="C1769" s="7" t="s">
        <v>60</v>
      </c>
      <c r="D1769" s="4" t="s">
        <v>641</v>
      </c>
      <c r="E1769" t="s">
        <v>489</v>
      </c>
      <c r="F1769" s="12" t="str">
        <f>IFERROR(VLOOKUP(B1769,'INSUMOS  JULIO'!$B$6:$CJ$109,54,0),"")</f>
        <v>0</v>
      </c>
      <c r="G1769" s="8">
        <f>IFERROR(VLOOKUP($B1769,'INSUMOS  JULIO'!$B$6:$CJ$109,55,0),"")</f>
        <v>29299.777999999998</v>
      </c>
      <c r="H1769" s="19">
        <f t="shared" si="108"/>
        <v>0</v>
      </c>
      <c r="I1769" s="1">
        <f t="shared" si="109"/>
        <v>0</v>
      </c>
      <c r="J1769" s="1">
        <f t="shared" si="110"/>
        <v>0</v>
      </c>
      <c r="K1769" s="19">
        <f t="shared" si="111"/>
        <v>0</v>
      </c>
    </row>
    <row r="1770" spans="2:11" ht="15">
      <c r="B1770" s="151">
        <v>257</v>
      </c>
      <c r="C1770" s="7" t="s">
        <v>151</v>
      </c>
      <c r="D1770" s="4" t="s">
        <v>642</v>
      </c>
      <c r="E1770" t="s">
        <v>489</v>
      </c>
      <c r="F1770" s="12" t="str">
        <f>IFERROR(VLOOKUP(B1770,'INSUMOS  JULIO'!$B$6:$CJ$109,54,0),"")</f>
        <v>0</v>
      </c>
      <c r="G1770" s="8">
        <f>IFERROR(VLOOKUP($B1770,'INSUMOS  JULIO'!$B$6:$CJ$109,55,0),"")</f>
        <v>18796.084000000003</v>
      </c>
      <c r="H1770" s="19">
        <f t="shared" si="108"/>
        <v>0</v>
      </c>
      <c r="I1770" s="1">
        <f t="shared" si="109"/>
        <v>0</v>
      </c>
      <c r="J1770" s="1">
        <f t="shared" si="110"/>
        <v>0</v>
      </c>
      <c r="K1770" s="19">
        <f t="shared" si="111"/>
        <v>0</v>
      </c>
    </row>
    <row r="1771" spans="2:11" ht="15">
      <c r="B1771" s="151">
        <v>260</v>
      </c>
      <c r="C1771" s="7" t="s">
        <v>160</v>
      </c>
      <c r="D1771" s="4" t="s">
        <v>643</v>
      </c>
      <c r="E1771" t="s">
        <v>489</v>
      </c>
      <c r="F1771" s="12" t="str">
        <f>IFERROR(VLOOKUP(B1771,'INSUMOS  JULIO'!$B$6:$CJ$109,54,0),"")</f>
        <v>0</v>
      </c>
      <c r="G1771" s="8">
        <f>IFERROR(VLOOKUP($B1771,'INSUMOS  JULIO'!$B$6:$CJ$109,55,0),"")</f>
        <v>3417.8520000000008</v>
      </c>
      <c r="H1771" s="19">
        <f t="shared" si="108"/>
        <v>0</v>
      </c>
      <c r="I1771" s="1">
        <f t="shared" si="109"/>
        <v>0</v>
      </c>
      <c r="J1771" s="1">
        <f t="shared" si="110"/>
        <v>0</v>
      </c>
      <c r="K1771" s="19">
        <f t="shared" si="111"/>
        <v>0</v>
      </c>
    </row>
    <row r="1772" spans="2:11" ht="15">
      <c r="B1772" s="151">
        <v>291</v>
      </c>
      <c r="C1772" s="7" t="s">
        <v>60</v>
      </c>
      <c r="D1772" s="4" t="s">
        <v>644</v>
      </c>
      <c r="E1772" t="s">
        <v>489</v>
      </c>
      <c r="F1772" s="12" t="str">
        <f>IFERROR(VLOOKUP(B1772,'INSUMOS  JULIO'!$B$6:$CJ$109,54,0),"")</f>
        <v>0</v>
      </c>
      <c r="G1772" s="8">
        <f>IFERROR(VLOOKUP($B1772,'INSUMOS  JULIO'!$B$6:$CJ$109,55,0),"")</f>
        <v>20454.562000000005</v>
      </c>
      <c r="H1772" s="19">
        <f t="shared" si="108"/>
        <v>0</v>
      </c>
      <c r="I1772" s="1">
        <f t="shared" si="109"/>
        <v>0</v>
      </c>
      <c r="J1772" s="1">
        <f t="shared" si="110"/>
        <v>0</v>
      </c>
      <c r="K1772" s="19">
        <f t="shared" si="111"/>
        <v>0</v>
      </c>
    </row>
    <row r="1773" spans="2:11" ht="15">
      <c r="B1773" s="151">
        <v>3</v>
      </c>
      <c r="C1773" s="7" t="s">
        <v>155</v>
      </c>
      <c r="D1773" s="4" t="s">
        <v>5</v>
      </c>
      <c r="E1773" t="s">
        <v>490</v>
      </c>
      <c r="F1773" s="12" t="str">
        <f>IFERROR(VLOOKUP($B1773,'INSUMOS  JULIO'!$B$6:$CJ$109,57,0),"")</f>
        <v>0</v>
      </c>
      <c r="G1773" s="8">
        <f>IFERROR(VLOOKUP($B1773,'INSUMOS  JULIO'!$B$6:$CJ$109,58,0),"")</f>
        <v>7268.7160000000003</v>
      </c>
      <c r="H1773" s="19">
        <f t="shared" si="108"/>
        <v>0</v>
      </c>
      <c r="I1773" s="1">
        <f t="shared" si="109"/>
        <v>0</v>
      </c>
      <c r="J1773" s="1">
        <f t="shared" si="110"/>
        <v>0</v>
      </c>
      <c r="K1773" s="19">
        <f t="shared" si="111"/>
        <v>0</v>
      </c>
    </row>
    <row r="1774" spans="2:11" ht="15">
      <c r="B1774" s="151">
        <v>5</v>
      </c>
      <c r="C1774" s="7" t="s">
        <v>6</v>
      </c>
      <c r="D1774" s="4" t="s">
        <v>7</v>
      </c>
      <c r="E1774" t="s">
        <v>490</v>
      </c>
      <c r="F1774" s="12" t="str">
        <f>IFERROR(VLOOKUP(B1774,'INSUMOS  JULIO'!$B$6:$CJ$109,57,0),"")</f>
        <v>0</v>
      </c>
      <c r="G1774" s="8">
        <f>IFERROR(VLOOKUP($B1774,'INSUMOS  JULIO'!$B$6:$CJ$109,58,0),"")</f>
        <v>6494.1289999999999</v>
      </c>
      <c r="H1774" s="19">
        <f t="shared" si="108"/>
        <v>0</v>
      </c>
      <c r="I1774" s="1">
        <f t="shared" si="109"/>
        <v>0</v>
      </c>
      <c r="J1774" s="1">
        <f t="shared" si="110"/>
        <v>0</v>
      </c>
      <c r="K1774" s="19">
        <f t="shared" si="111"/>
        <v>0</v>
      </c>
    </row>
    <row r="1775" spans="2:11" ht="15">
      <c r="B1775" s="151">
        <v>8</v>
      </c>
      <c r="C1775" s="7" t="s">
        <v>6</v>
      </c>
      <c r="D1775" s="4" t="s">
        <v>8</v>
      </c>
      <c r="E1775" t="s">
        <v>490</v>
      </c>
      <c r="F1775" s="12">
        <f>IFERROR(VLOOKUP(B1775,'INSUMOS  JULIO'!$B$6:$CJ$109,57,0),"")</f>
        <v>0</v>
      </c>
      <c r="G1775" s="8">
        <f>IFERROR(VLOOKUP($B1775,'INSUMOS  JULIO'!$B$6:$CJ$109,58,0),"")</f>
        <v>2211.3040000000001</v>
      </c>
      <c r="H1775" s="19">
        <f t="shared" si="108"/>
        <v>0</v>
      </c>
      <c r="I1775" s="1">
        <f t="shared" si="109"/>
        <v>0</v>
      </c>
      <c r="J1775" s="1">
        <f t="shared" si="110"/>
        <v>0</v>
      </c>
      <c r="K1775" s="19">
        <f t="shared" si="111"/>
        <v>0</v>
      </c>
    </row>
    <row r="1776" spans="2:11" ht="15">
      <c r="B1776" s="151">
        <v>9</v>
      </c>
      <c r="C1776" s="7" t="s">
        <v>9</v>
      </c>
      <c r="D1776" s="4" t="s">
        <v>10</v>
      </c>
      <c r="E1776" t="s">
        <v>490</v>
      </c>
      <c r="F1776" s="12">
        <f>IFERROR(VLOOKUP(B1776,'INSUMOS  JULIO'!$B$6:$CJ$109,57,0),"")</f>
        <v>2</v>
      </c>
      <c r="G1776" s="8">
        <f>IFERROR(VLOOKUP($B1776,'INSUMOS  JULIO'!$B$6:$CJ$109,58,0),"")</f>
        <v>3298.0379999999996</v>
      </c>
      <c r="H1776" s="19">
        <f t="shared" si="108"/>
        <v>6596.0759999999991</v>
      </c>
      <c r="I1776" s="1">
        <f t="shared" si="109"/>
        <v>659.60759999999993</v>
      </c>
      <c r="J1776" s="1">
        <f t="shared" si="110"/>
        <v>125.32544399999999</v>
      </c>
      <c r="K1776" s="19">
        <f t="shared" si="111"/>
        <v>7381.0090439999994</v>
      </c>
    </row>
    <row r="1777" spans="2:11" ht="15">
      <c r="B1777" s="151">
        <v>11</v>
      </c>
      <c r="C1777" s="7" t="s">
        <v>156</v>
      </c>
      <c r="D1777" s="4" t="s">
        <v>11</v>
      </c>
      <c r="E1777" t="s">
        <v>490</v>
      </c>
      <c r="F1777" s="12" t="str">
        <f>IFERROR(VLOOKUP(B1777,'INSUMOS  JULIO'!$B$6:$CJ$109,57,0),"")</f>
        <v>0</v>
      </c>
      <c r="G1777" s="8">
        <f>IFERROR(VLOOKUP($B1777,'INSUMOS  JULIO'!$B$6:$CJ$109,58,0),"")</f>
        <v>7739.5639999999985</v>
      </c>
      <c r="H1777" s="19">
        <f t="shared" si="108"/>
        <v>0</v>
      </c>
      <c r="I1777" s="1">
        <f t="shared" si="109"/>
        <v>0</v>
      </c>
      <c r="J1777" s="1">
        <f t="shared" si="110"/>
        <v>0</v>
      </c>
      <c r="K1777" s="19">
        <f t="shared" si="111"/>
        <v>0</v>
      </c>
    </row>
    <row r="1778" spans="2:11" ht="15">
      <c r="B1778" s="151">
        <v>13</v>
      </c>
      <c r="C1778" s="7" t="s">
        <v>157</v>
      </c>
      <c r="D1778" s="4" t="s">
        <v>12</v>
      </c>
      <c r="E1778" t="s">
        <v>490</v>
      </c>
      <c r="F1778" s="12">
        <f>IFERROR(VLOOKUP(B1778,'INSUMOS  JULIO'!$B$6:$CJ$109,57,0),"")</f>
        <v>0</v>
      </c>
      <c r="G1778" s="8">
        <f>IFERROR(VLOOKUP($B1778,'INSUMOS  JULIO'!$B$6:$CJ$109,58,0),"")</f>
        <v>6507.7919999999995</v>
      </c>
      <c r="H1778" s="19">
        <f t="shared" si="108"/>
        <v>0</v>
      </c>
      <c r="I1778" s="1">
        <f t="shared" si="109"/>
        <v>0</v>
      </c>
      <c r="J1778" s="1">
        <f t="shared" si="110"/>
        <v>0</v>
      </c>
      <c r="K1778" s="19">
        <f t="shared" si="111"/>
        <v>0</v>
      </c>
    </row>
    <row r="1779" spans="2:11" ht="15">
      <c r="B1779" s="151">
        <v>17</v>
      </c>
      <c r="C1779" s="7" t="s">
        <v>13</v>
      </c>
      <c r="D1779" s="4" t="s">
        <v>14</v>
      </c>
      <c r="E1779" t="s">
        <v>490</v>
      </c>
      <c r="F1779" s="12">
        <f>IFERROR(VLOOKUP(B1779,'INSUMOS  JULIO'!$B$6:$CJ$109,57,0),"")</f>
        <v>0</v>
      </c>
      <c r="G1779" s="8">
        <f>IFERROR(VLOOKUP($B1779,'INSUMOS  JULIO'!$B$6:$CJ$109,58,0),"")</f>
        <v>5647.0229999999992</v>
      </c>
      <c r="H1779" s="19">
        <f t="shared" si="108"/>
        <v>0</v>
      </c>
      <c r="I1779" s="1">
        <f t="shared" si="109"/>
        <v>0</v>
      </c>
      <c r="J1779" s="1">
        <f t="shared" si="110"/>
        <v>0</v>
      </c>
      <c r="K1779" s="19">
        <f t="shared" si="111"/>
        <v>0</v>
      </c>
    </row>
    <row r="1780" spans="2:11" ht="15">
      <c r="B1780" s="151">
        <v>20</v>
      </c>
      <c r="C1780" s="7" t="s">
        <v>13</v>
      </c>
      <c r="D1780" s="4" t="s">
        <v>15</v>
      </c>
      <c r="E1780" t="s">
        <v>490</v>
      </c>
      <c r="F1780" s="12">
        <f>IFERROR(VLOOKUP(B1780,'INSUMOS  JULIO'!$B$6:$CJ$109,57,0),"")</f>
        <v>0</v>
      </c>
      <c r="G1780" s="8">
        <f>IFERROR(VLOOKUP($B1780,'INSUMOS  JULIO'!$B$6:$CJ$109,58,0),"")</f>
        <v>9851.5485000000008</v>
      </c>
      <c r="H1780" s="19">
        <f t="shared" si="108"/>
        <v>0</v>
      </c>
      <c r="I1780" s="1">
        <f t="shared" si="109"/>
        <v>0</v>
      </c>
      <c r="J1780" s="1">
        <f t="shared" si="110"/>
        <v>0</v>
      </c>
      <c r="K1780" s="19">
        <f t="shared" si="111"/>
        <v>0</v>
      </c>
    </row>
    <row r="1781" spans="2:11" ht="15">
      <c r="B1781" s="151">
        <v>21</v>
      </c>
      <c r="C1781" s="7" t="s">
        <v>16</v>
      </c>
      <c r="D1781" s="4" t="s">
        <v>17</v>
      </c>
      <c r="E1781" t="s">
        <v>490</v>
      </c>
      <c r="F1781" s="12">
        <f>IFERROR(VLOOKUP(B1781,'INSUMOS  JULIO'!$B$6:$CJ$109,57,0),"")</f>
        <v>0</v>
      </c>
      <c r="G1781" s="8">
        <f>IFERROR(VLOOKUP($B1781,'INSUMOS  JULIO'!$B$6:$CJ$109,58,0),"")</f>
        <v>5932.8950000000013</v>
      </c>
      <c r="H1781" s="19">
        <f t="shared" si="108"/>
        <v>0</v>
      </c>
      <c r="I1781" s="1">
        <f t="shared" si="109"/>
        <v>0</v>
      </c>
      <c r="J1781" s="1">
        <f t="shared" si="110"/>
        <v>0</v>
      </c>
      <c r="K1781" s="19">
        <f t="shared" si="111"/>
        <v>0</v>
      </c>
    </row>
    <row r="1782" spans="2:11" ht="15">
      <c r="B1782" s="151">
        <v>28</v>
      </c>
      <c r="C1782" s="7" t="s">
        <v>18</v>
      </c>
      <c r="D1782" s="4" t="s">
        <v>19</v>
      </c>
      <c r="E1782" t="s">
        <v>490</v>
      </c>
      <c r="F1782" s="12">
        <f>IFERROR(VLOOKUP(B1782,'INSUMOS  JULIO'!$B$6:$CJ$109,57,0),"")</f>
        <v>0</v>
      </c>
      <c r="G1782" s="8">
        <f>IFERROR(VLOOKUP($B1782,'INSUMOS  JULIO'!$B$6:$CJ$109,58,0),"")</f>
        <v>4229.1188999999995</v>
      </c>
      <c r="H1782" s="19">
        <f t="shared" si="108"/>
        <v>0</v>
      </c>
      <c r="I1782" s="1">
        <f t="shared" si="109"/>
        <v>0</v>
      </c>
      <c r="J1782" s="1">
        <f t="shared" si="110"/>
        <v>0</v>
      </c>
      <c r="K1782" s="19">
        <f t="shared" si="111"/>
        <v>0</v>
      </c>
    </row>
    <row r="1783" spans="2:11" ht="15">
      <c r="B1783" s="151">
        <v>29</v>
      </c>
      <c r="C1783" s="7" t="s">
        <v>20</v>
      </c>
      <c r="D1783" s="4" t="s">
        <v>21</v>
      </c>
      <c r="E1783" t="s">
        <v>490</v>
      </c>
      <c r="F1783" s="12" t="str">
        <f>IFERROR(VLOOKUP(B1783,'INSUMOS  JULIO'!$B$6:$CJ$109,57,0),"")</f>
        <v>0</v>
      </c>
      <c r="G1783" s="8">
        <f>IFERROR(VLOOKUP($B1783,'INSUMOS  JULIO'!$B$6:$CJ$109,58,0),"")</f>
        <v>4829.3450000000012</v>
      </c>
      <c r="H1783" s="19">
        <f t="shared" si="108"/>
        <v>0</v>
      </c>
      <c r="I1783" s="1">
        <f t="shared" si="109"/>
        <v>0</v>
      </c>
      <c r="J1783" s="1">
        <f t="shared" si="110"/>
        <v>0</v>
      </c>
      <c r="K1783" s="19">
        <f t="shared" si="111"/>
        <v>0</v>
      </c>
    </row>
    <row r="1784" spans="2:11" ht="15">
      <c r="B1784" s="151">
        <v>32</v>
      </c>
      <c r="C1784" s="7" t="s">
        <v>22</v>
      </c>
      <c r="D1784" s="4" t="s">
        <v>23</v>
      </c>
      <c r="E1784" t="s">
        <v>490</v>
      </c>
      <c r="F1784" s="12">
        <f>IFERROR(VLOOKUP(B1784,'INSUMOS  JULIO'!$B$6:$CJ$109,57,0),"")</f>
        <v>0</v>
      </c>
      <c r="G1784" s="8">
        <f>IFERROR(VLOOKUP($B1784,'INSUMOS  JULIO'!$B$6:$CJ$109,58,0),"")</f>
        <v>6716.8359</v>
      </c>
      <c r="H1784" s="19">
        <f t="shared" si="108"/>
        <v>0</v>
      </c>
      <c r="I1784" s="1">
        <f t="shared" si="109"/>
        <v>0</v>
      </c>
      <c r="J1784" s="1">
        <f t="shared" si="110"/>
        <v>0</v>
      </c>
      <c r="K1784" s="19">
        <f t="shared" si="111"/>
        <v>0</v>
      </c>
    </row>
    <row r="1785" spans="2:11" ht="15">
      <c r="B1785" s="151">
        <v>38</v>
      </c>
      <c r="C1785" s="7" t="s">
        <v>18</v>
      </c>
      <c r="D1785" s="4" t="s">
        <v>24</v>
      </c>
      <c r="E1785" t="s">
        <v>490</v>
      </c>
      <c r="F1785" s="12" t="str">
        <f>IFERROR(VLOOKUP(B1785,'INSUMOS  JULIO'!$B$6:$CJ$109,57,0),"")</f>
        <v>0</v>
      </c>
      <c r="G1785" s="8">
        <f>IFERROR(VLOOKUP($B1785,'INSUMOS  JULIO'!$B$6:$CJ$109,58,0),"")</f>
        <v>11100.662</v>
      </c>
      <c r="H1785" s="19">
        <f t="shared" si="108"/>
        <v>0</v>
      </c>
      <c r="I1785" s="1">
        <f t="shared" si="109"/>
        <v>0</v>
      </c>
      <c r="J1785" s="1">
        <f t="shared" si="110"/>
        <v>0</v>
      </c>
      <c r="K1785" s="19">
        <f t="shared" si="111"/>
        <v>0</v>
      </c>
    </row>
    <row r="1786" spans="2:11" ht="15">
      <c r="B1786" s="151">
        <v>41</v>
      </c>
      <c r="C1786" s="7" t="s">
        <v>155</v>
      </c>
      <c r="D1786" s="4" t="s">
        <v>25</v>
      </c>
      <c r="E1786" t="s">
        <v>490</v>
      </c>
      <c r="F1786" s="12" t="str">
        <f>IFERROR(VLOOKUP(B1786,'INSUMOS  JULIO'!$B$6:$CJ$109,57,0),"")</f>
        <v>0</v>
      </c>
      <c r="G1786" s="8">
        <f>IFERROR(VLOOKUP($B1786,'INSUMOS  JULIO'!$B$6:$CJ$109,58,0),"")</f>
        <v>7034.3429999999989</v>
      </c>
      <c r="H1786" s="19">
        <f t="shared" si="108"/>
        <v>0</v>
      </c>
      <c r="I1786" s="1">
        <f t="shared" si="109"/>
        <v>0</v>
      </c>
      <c r="J1786" s="1">
        <f t="shared" si="110"/>
        <v>0</v>
      </c>
      <c r="K1786" s="19">
        <f t="shared" si="111"/>
        <v>0</v>
      </c>
    </row>
    <row r="1787" spans="2:11" ht="15">
      <c r="B1787" s="151">
        <v>44</v>
      </c>
      <c r="C1787" s="7" t="s">
        <v>16</v>
      </c>
      <c r="D1787" s="4" t="s">
        <v>26</v>
      </c>
      <c r="E1787" t="s">
        <v>490</v>
      </c>
      <c r="F1787" s="12">
        <f>IFERROR(VLOOKUP(B1787,'INSUMOS  JULIO'!$B$6:$CJ$109,57,0),"")</f>
        <v>0</v>
      </c>
      <c r="G1787" s="8">
        <f>IFERROR(VLOOKUP($B1787,'INSUMOS  JULIO'!$B$6:$CJ$109,58,0),"")</f>
        <v>2787.2520000000004</v>
      </c>
      <c r="H1787" s="19">
        <f t="shared" si="108"/>
        <v>0</v>
      </c>
      <c r="I1787" s="1">
        <f t="shared" si="109"/>
        <v>0</v>
      </c>
      <c r="J1787" s="1">
        <f t="shared" si="110"/>
        <v>0</v>
      </c>
      <c r="K1787" s="19">
        <f t="shared" si="111"/>
        <v>0</v>
      </c>
    </row>
    <row r="1788" spans="2:11" ht="15">
      <c r="B1788" s="151">
        <v>46</v>
      </c>
      <c r="C1788" s="7" t="s">
        <v>27</v>
      </c>
      <c r="D1788" s="4" t="s">
        <v>28</v>
      </c>
      <c r="E1788" t="s">
        <v>490</v>
      </c>
      <c r="F1788" s="12" t="str">
        <f>IFERROR(VLOOKUP(B1788,'INSUMOS  JULIO'!$B$6:$CJ$109,57,0),"")</f>
        <v>0</v>
      </c>
      <c r="G1788" s="8">
        <f>IFERROR(VLOOKUP($B1788,'INSUMOS  JULIO'!$B$6:$CJ$109,58,0),"")</f>
        <v>7739.5640000000021</v>
      </c>
      <c r="H1788" s="19">
        <f t="shared" si="108"/>
        <v>0</v>
      </c>
      <c r="I1788" s="1">
        <f t="shared" si="109"/>
        <v>0</v>
      </c>
      <c r="J1788" s="1">
        <f t="shared" si="110"/>
        <v>0</v>
      </c>
      <c r="K1788" s="19">
        <f t="shared" si="111"/>
        <v>0</v>
      </c>
    </row>
    <row r="1789" spans="2:11" ht="15">
      <c r="B1789" s="151">
        <v>50</v>
      </c>
      <c r="C1789" s="7" t="s">
        <v>13</v>
      </c>
      <c r="D1789" s="4" t="s">
        <v>29</v>
      </c>
      <c r="E1789" t="s">
        <v>490</v>
      </c>
      <c r="F1789" s="12">
        <f>IFERROR(VLOOKUP(B1789,'INSUMOS  JULIO'!$B$6:$CJ$109,57,0),"")</f>
        <v>0</v>
      </c>
      <c r="G1789" s="8">
        <f>IFERROR(VLOOKUP($B1789,'INSUMOS  JULIO'!$B$6:$CJ$109,58,0),"")</f>
        <v>38567.495999999999</v>
      </c>
      <c r="H1789" s="19">
        <f t="shared" si="108"/>
        <v>0</v>
      </c>
      <c r="I1789" s="1">
        <f t="shared" si="109"/>
        <v>0</v>
      </c>
      <c r="J1789" s="1">
        <f t="shared" si="110"/>
        <v>0</v>
      </c>
      <c r="K1789" s="19">
        <f t="shared" si="111"/>
        <v>0</v>
      </c>
    </row>
    <row r="1790" spans="2:11" ht="15">
      <c r="B1790" s="151">
        <v>51</v>
      </c>
      <c r="C1790" s="7" t="s">
        <v>13</v>
      </c>
      <c r="D1790" s="4" t="s">
        <v>30</v>
      </c>
      <c r="E1790" t="s">
        <v>490</v>
      </c>
      <c r="F1790" s="12" t="str">
        <f>IFERROR(VLOOKUP(B1790,'INSUMOS  JULIO'!$B$6:$CJ$109,57,0),"")</f>
        <v>0</v>
      </c>
      <c r="G1790" s="8">
        <f>IFERROR(VLOOKUP($B1790,'INSUMOS  JULIO'!$B$6:$CJ$109,58,0),"")</f>
        <v>7739.5640000000021</v>
      </c>
      <c r="H1790" s="19">
        <f t="shared" si="108"/>
        <v>0</v>
      </c>
      <c r="I1790" s="1">
        <f t="shared" si="109"/>
        <v>0</v>
      </c>
      <c r="J1790" s="1">
        <f t="shared" si="110"/>
        <v>0</v>
      </c>
      <c r="K1790" s="19">
        <f t="shared" si="111"/>
        <v>0</v>
      </c>
    </row>
    <row r="1791" spans="2:11" ht="15">
      <c r="B1791" s="151">
        <v>52</v>
      </c>
      <c r="C1791" s="7" t="s">
        <v>13</v>
      </c>
      <c r="D1791" s="4" t="s">
        <v>31</v>
      </c>
      <c r="E1791" t="s">
        <v>490</v>
      </c>
      <c r="F1791" s="12">
        <f>IFERROR(VLOOKUP(B1791,'INSUMOS  JULIO'!$B$6:$CJ$109,57,0),"")</f>
        <v>0</v>
      </c>
      <c r="G1791" s="8">
        <f>IFERROR(VLOOKUP($B1791,'INSUMOS  JULIO'!$B$6:$CJ$109,58,0),"")</f>
        <v>6412.1509999999998</v>
      </c>
      <c r="H1791" s="19">
        <f t="shared" si="108"/>
        <v>0</v>
      </c>
      <c r="I1791" s="1">
        <f t="shared" si="109"/>
        <v>0</v>
      </c>
      <c r="J1791" s="1">
        <f t="shared" si="110"/>
        <v>0</v>
      </c>
      <c r="K1791" s="19">
        <f t="shared" si="111"/>
        <v>0</v>
      </c>
    </row>
    <row r="1792" spans="2:11" ht="15">
      <c r="B1792" s="151">
        <v>54</v>
      </c>
      <c r="C1792" s="7" t="s">
        <v>13</v>
      </c>
      <c r="D1792" s="4" t="s">
        <v>32</v>
      </c>
      <c r="E1792" t="s">
        <v>490</v>
      </c>
      <c r="F1792" s="12">
        <f>IFERROR(VLOOKUP(B1792,'INSUMOS  JULIO'!$B$6:$CJ$109,57,0),"")</f>
        <v>0</v>
      </c>
      <c r="G1792" s="8">
        <f>IFERROR(VLOOKUP($B1792,'INSUMOS  JULIO'!$B$6:$CJ$109,58,0),"")</f>
        <v>5359.049</v>
      </c>
      <c r="H1792" s="19">
        <f t="shared" si="108"/>
        <v>0</v>
      </c>
      <c r="I1792" s="1">
        <f t="shared" si="109"/>
        <v>0</v>
      </c>
      <c r="J1792" s="1">
        <f t="shared" si="110"/>
        <v>0</v>
      </c>
      <c r="K1792" s="19">
        <f t="shared" si="111"/>
        <v>0</v>
      </c>
    </row>
    <row r="1793" spans="2:11" ht="15">
      <c r="B1793" s="151">
        <v>57</v>
      </c>
      <c r="C1793" s="7" t="s">
        <v>33</v>
      </c>
      <c r="D1793" s="4" t="s">
        <v>34</v>
      </c>
      <c r="E1793" t="s">
        <v>490</v>
      </c>
      <c r="F1793" s="12">
        <f>IFERROR(VLOOKUP(B1793,'INSUMOS  JULIO'!$B$6:$CJ$109,57,0),"")</f>
        <v>0</v>
      </c>
      <c r="G1793" s="8">
        <f>IFERROR(VLOOKUP($B1793,'INSUMOS  JULIO'!$B$6:$CJ$109,58,0),"")</f>
        <v>12823.251000000004</v>
      </c>
      <c r="H1793" s="19">
        <f t="shared" si="108"/>
        <v>0</v>
      </c>
      <c r="I1793" s="1">
        <f t="shared" si="109"/>
        <v>0</v>
      </c>
      <c r="J1793" s="1">
        <f t="shared" si="110"/>
        <v>0</v>
      </c>
      <c r="K1793" s="19">
        <f t="shared" si="111"/>
        <v>0</v>
      </c>
    </row>
    <row r="1794" spans="2:11" ht="15">
      <c r="B1794" s="151">
        <v>59</v>
      </c>
      <c r="C1794" s="7" t="s">
        <v>16</v>
      </c>
      <c r="D1794" s="4" t="s">
        <v>35</v>
      </c>
      <c r="E1794" t="s">
        <v>490</v>
      </c>
      <c r="F1794" s="12" t="str">
        <f>IFERROR(VLOOKUP(B1794,'INSUMOS  JULIO'!$B$6:$CJ$109,57,0),"")</f>
        <v>0</v>
      </c>
      <c r="G1794" s="8">
        <f>IFERROR(VLOOKUP($B1794,'INSUMOS  JULIO'!$B$6:$CJ$109,58,0),"")</f>
        <v>5528.260000000002</v>
      </c>
      <c r="H1794" s="19">
        <f t="shared" si="108"/>
        <v>0</v>
      </c>
      <c r="I1794" s="1">
        <f t="shared" si="109"/>
        <v>0</v>
      </c>
      <c r="J1794" s="1">
        <f t="shared" si="110"/>
        <v>0</v>
      </c>
      <c r="K1794" s="19">
        <f t="shared" si="111"/>
        <v>0</v>
      </c>
    </row>
    <row r="1795" spans="2:11" ht="15">
      <c r="B1795" s="151">
        <v>62</v>
      </c>
      <c r="C1795" s="7" t="s">
        <v>36</v>
      </c>
      <c r="D1795" s="4" t="s">
        <v>37</v>
      </c>
      <c r="E1795" t="s">
        <v>490</v>
      </c>
      <c r="F1795" s="12">
        <f>IFERROR(VLOOKUP(B1795,'INSUMOS  JULIO'!$B$6:$CJ$109,57,0),"")</f>
        <v>3</v>
      </c>
      <c r="G1795" s="8">
        <f>IFERROR(VLOOKUP($B1795,'INSUMOS  JULIO'!$B$6:$CJ$109,58,0),"")</f>
        <v>5167.7669999999998</v>
      </c>
      <c r="H1795" s="19">
        <f t="shared" si="108"/>
        <v>15503.300999999999</v>
      </c>
      <c r="I1795" s="1">
        <f t="shared" si="109"/>
        <v>1550.3301000000001</v>
      </c>
      <c r="J1795" s="1">
        <f t="shared" si="110"/>
        <v>294.56271900000002</v>
      </c>
      <c r="K1795" s="19">
        <f t="shared" si="111"/>
        <v>17348.193819</v>
      </c>
    </row>
    <row r="1796" spans="2:11" ht="15">
      <c r="B1796" s="151">
        <v>63</v>
      </c>
      <c r="C1796" s="7" t="s">
        <v>36</v>
      </c>
      <c r="D1796" s="4" t="s">
        <v>38</v>
      </c>
      <c r="E1796" t="s">
        <v>490</v>
      </c>
      <c r="F1796" s="12">
        <f>IFERROR(VLOOKUP(B1796,'INSUMOS  JULIO'!$B$6:$CJ$109,57,0),"")</f>
        <v>2</v>
      </c>
      <c r="G1796" s="8">
        <f>IFERROR(VLOOKUP($B1796,'INSUMOS  JULIO'!$B$6:$CJ$109,58,0),"")</f>
        <v>8292.39</v>
      </c>
      <c r="H1796" s="19">
        <f t="shared" si="108"/>
        <v>16584.78</v>
      </c>
      <c r="I1796" s="1">
        <f t="shared" si="109"/>
        <v>1658.4780000000001</v>
      </c>
      <c r="J1796" s="1">
        <f t="shared" si="110"/>
        <v>315.11081999999999</v>
      </c>
      <c r="K1796" s="19">
        <f t="shared" si="111"/>
        <v>18558.36882</v>
      </c>
    </row>
    <row r="1797" spans="2:11" ht="15">
      <c r="B1797" s="151">
        <v>64</v>
      </c>
      <c r="C1797" s="7" t="s">
        <v>39</v>
      </c>
      <c r="D1797" s="4" t="s">
        <v>40</v>
      </c>
      <c r="E1797" t="s">
        <v>490</v>
      </c>
      <c r="F1797" s="12">
        <f>IFERROR(VLOOKUP(B1797,'INSUMOS  JULIO'!$B$6:$CJ$109,57,0),"")</f>
        <v>0</v>
      </c>
      <c r="G1797" s="8">
        <f>IFERROR(VLOOKUP($B1797,'INSUMOS  JULIO'!$B$6:$CJ$109,58,0),"")</f>
        <v>13820.650000000001</v>
      </c>
      <c r="H1797" s="19">
        <f t="shared" si="108"/>
        <v>0</v>
      </c>
      <c r="I1797" s="1">
        <f t="shared" si="109"/>
        <v>0</v>
      </c>
      <c r="J1797" s="1">
        <f t="shared" si="110"/>
        <v>0</v>
      </c>
      <c r="K1797" s="19">
        <f t="shared" si="111"/>
        <v>0</v>
      </c>
    </row>
    <row r="1798" spans="2:11" ht="15">
      <c r="B1798" s="151">
        <v>65</v>
      </c>
      <c r="C1798" s="7" t="s">
        <v>39</v>
      </c>
      <c r="D1798" s="4" t="s">
        <v>41</v>
      </c>
      <c r="E1798" t="s">
        <v>490</v>
      </c>
      <c r="F1798" s="12">
        <f>IFERROR(VLOOKUP(B1798,'INSUMOS  JULIO'!$B$6:$CJ$109,57,0),"")</f>
        <v>0</v>
      </c>
      <c r="G1798" s="8">
        <f>IFERROR(VLOOKUP($B1798,'INSUMOS  JULIO'!$B$6:$CJ$109,58,0),"")</f>
        <v>13820.650000000001</v>
      </c>
      <c r="H1798" s="19">
        <f t="shared" ref="H1798:H1861" si="112">+F1798*G1798</f>
        <v>0</v>
      </c>
      <c r="I1798" s="1">
        <f t="shared" ref="I1798:I1861" si="113">+H1798*10%</f>
        <v>0</v>
      </c>
      <c r="J1798" s="1">
        <f t="shared" ref="J1798:J1861" si="114">+I1798*19%</f>
        <v>0</v>
      </c>
      <c r="K1798" s="19">
        <f t="shared" ref="K1798:K1861" si="115">SUM(H1798:J1798)</f>
        <v>0</v>
      </c>
    </row>
    <row r="1799" spans="2:11" ht="15">
      <c r="B1799" s="151">
        <v>66</v>
      </c>
      <c r="C1799" s="7" t="s">
        <v>151</v>
      </c>
      <c r="D1799" s="4" t="s">
        <v>42</v>
      </c>
      <c r="E1799" t="s">
        <v>490</v>
      </c>
      <c r="F1799" s="12">
        <f>IFERROR(VLOOKUP(B1799,'INSUMOS  JULIO'!$B$6:$CJ$109,57,0),"")</f>
        <v>0</v>
      </c>
      <c r="G1799" s="8">
        <f>IFERROR(VLOOKUP($B1799,'INSUMOS  JULIO'!$B$6:$CJ$109,58,0),"")</f>
        <v>4178.9862000000003</v>
      </c>
      <c r="H1799" s="19">
        <f t="shared" si="112"/>
        <v>0</v>
      </c>
      <c r="I1799" s="1">
        <f t="shared" si="113"/>
        <v>0</v>
      </c>
      <c r="J1799" s="1">
        <f t="shared" si="114"/>
        <v>0</v>
      </c>
      <c r="K1799" s="19">
        <f t="shared" si="115"/>
        <v>0</v>
      </c>
    </row>
    <row r="1800" spans="2:11" ht="15">
      <c r="B1800" s="151">
        <v>71</v>
      </c>
      <c r="C1800" s="7" t="s">
        <v>151</v>
      </c>
      <c r="D1800" s="4" t="s">
        <v>43</v>
      </c>
      <c r="E1800" t="s">
        <v>490</v>
      </c>
      <c r="F1800" s="12" t="str">
        <f>IFERROR(VLOOKUP(B1800,'INSUMOS  JULIO'!$B$6:$CJ$109,57,0),"")</f>
        <v>0</v>
      </c>
      <c r="G1800" s="8">
        <f>IFERROR(VLOOKUP($B1800,'INSUMOS  JULIO'!$B$6:$CJ$109,58,0),"")</f>
        <v>5196.1440000000002</v>
      </c>
      <c r="H1800" s="19">
        <f t="shared" si="112"/>
        <v>0</v>
      </c>
      <c r="I1800" s="1">
        <f t="shared" si="113"/>
        <v>0</v>
      </c>
      <c r="J1800" s="1">
        <f t="shared" si="114"/>
        <v>0</v>
      </c>
      <c r="K1800" s="19">
        <f t="shared" si="115"/>
        <v>0</v>
      </c>
    </row>
    <row r="1801" spans="2:11" ht="15">
      <c r="B1801" s="151">
        <v>72</v>
      </c>
      <c r="C1801" s="7" t="s">
        <v>151</v>
      </c>
      <c r="D1801" s="4" t="s">
        <v>44</v>
      </c>
      <c r="E1801" t="s">
        <v>490</v>
      </c>
      <c r="F1801" s="12">
        <f>IFERROR(VLOOKUP(B1801,'INSUMOS  JULIO'!$B$6:$CJ$109,57,0),"")</f>
        <v>0</v>
      </c>
      <c r="G1801" s="8">
        <f>IFERROR(VLOOKUP($B1801,'INSUMOS  JULIO'!$B$6:$CJ$109,58,0),"")</f>
        <v>7861.3749000000007</v>
      </c>
      <c r="H1801" s="19">
        <f t="shared" si="112"/>
        <v>0</v>
      </c>
      <c r="I1801" s="1">
        <f t="shared" si="113"/>
        <v>0</v>
      </c>
      <c r="J1801" s="1">
        <f t="shared" si="114"/>
        <v>0</v>
      </c>
      <c r="K1801" s="19">
        <f t="shared" si="115"/>
        <v>0</v>
      </c>
    </row>
    <row r="1802" spans="2:11" ht="27">
      <c r="B1802" s="151">
        <v>73</v>
      </c>
      <c r="C1802" s="7" t="s">
        <v>151</v>
      </c>
      <c r="D1802" s="4" t="s">
        <v>45</v>
      </c>
      <c r="E1802" t="s">
        <v>490</v>
      </c>
      <c r="F1802" s="12">
        <f>IFERROR(VLOOKUP(B1802,'INSUMOS  JULIO'!$B$6:$CJ$109,57,0),"")</f>
        <v>2</v>
      </c>
      <c r="G1802" s="8">
        <f>IFERROR(VLOOKUP($B1802,'INSUMOS  JULIO'!$B$6:$CJ$109,58,0),"")</f>
        <v>4975.4340000000011</v>
      </c>
      <c r="H1802" s="19">
        <f t="shared" si="112"/>
        <v>9950.8680000000022</v>
      </c>
      <c r="I1802" s="1">
        <f t="shared" si="113"/>
        <v>995.08680000000027</v>
      </c>
      <c r="J1802" s="1">
        <f t="shared" si="114"/>
        <v>189.06649200000004</v>
      </c>
      <c r="K1802" s="19">
        <f t="shared" si="115"/>
        <v>11135.021292000003</v>
      </c>
    </row>
    <row r="1803" spans="2:11" ht="15">
      <c r="B1803" s="151">
        <v>74</v>
      </c>
      <c r="C1803" s="7" t="s">
        <v>46</v>
      </c>
      <c r="D1803" s="4" t="s">
        <v>47</v>
      </c>
      <c r="E1803" t="s">
        <v>490</v>
      </c>
      <c r="F1803" s="12">
        <f>IFERROR(VLOOKUP(B1803,'INSUMOS  JULIO'!$B$6:$CJ$109,57,0),"")</f>
        <v>0</v>
      </c>
      <c r="G1803" s="8">
        <f>IFERROR(VLOOKUP($B1803,'INSUMOS  JULIO'!$B$6:$CJ$109,58,0),"")</f>
        <v>3261.2529999999997</v>
      </c>
      <c r="H1803" s="19">
        <f t="shared" si="112"/>
        <v>0</v>
      </c>
      <c r="I1803" s="1">
        <f t="shared" si="113"/>
        <v>0</v>
      </c>
      <c r="J1803" s="1">
        <f t="shared" si="114"/>
        <v>0</v>
      </c>
      <c r="K1803" s="19">
        <f t="shared" si="115"/>
        <v>0</v>
      </c>
    </row>
    <row r="1804" spans="2:11" ht="15">
      <c r="B1804" s="151">
        <v>79</v>
      </c>
      <c r="C1804" s="7" t="s">
        <v>159</v>
      </c>
      <c r="D1804" s="4" t="s">
        <v>48</v>
      </c>
      <c r="E1804" t="s">
        <v>490</v>
      </c>
      <c r="F1804" s="12">
        <f>IFERROR(VLOOKUP(B1804,'INSUMOS  JULIO'!$B$6:$CJ$109,57,0),"")</f>
        <v>0</v>
      </c>
      <c r="G1804" s="8">
        <f>IFERROR(VLOOKUP($B1804,'INSUMOS  JULIO'!$B$6:$CJ$109,58,0),"")</f>
        <v>541.2650000000001</v>
      </c>
      <c r="H1804" s="19">
        <f t="shared" si="112"/>
        <v>0</v>
      </c>
      <c r="I1804" s="1">
        <f t="shared" si="113"/>
        <v>0</v>
      </c>
      <c r="J1804" s="1">
        <f t="shared" si="114"/>
        <v>0</v>
      </c>
      <c r="K1804" s="19">
        <f t="shared" si="115"/>
        <v>0</v>
      </c>
    </row>
    <row r="1805" spans="2:11" ht="15">
      <c r="B1805" s="151">
        <v>80</v>
      </c>
      <c r="C1805" s="7" t="s">
        <v>159</v>
      </c>
      <c r="D1805" s="4" t="s">
        <v>49</v>
      </c>
      <c r="E1805" t="s">
        <v>490</v>
      </c>
      <c r="F1805" s="12">
        <f>IFERROR(VLOOKUP(B1805,'INSUMOS  JULIO'!$B$6:$CJ$109,57,0),"")</f>
        <v>5</v>
      </c>
      <c r="G1805" s="8">
        <f>IFERROR(VLOOKUP($B1805,'INSUMOS  JULIO'!$B$6:$CJ$109,58,0),"")</f>
        <v>433.01199999999994</v>
      </c>
      <c r="H1805" s="19">
        <f t="shared" si="112"/>
        <v>2165.0599999999995</v>
      </c>
      <c r="I1805" s="1">
        <f t="shared" si="113"/>
        <v>216.50599999999997</v>
      </c>
      <c r="J1805" s="1">
        <f t="shared" si="114"/>
        <v>41.136139999999997</v>
      </c>
      <c r="K1805" s="19">
        <f t="shared" si="115"/>
        <v>2422.7021399999994</v>
      </c>
    </row>
    <row r="1806" spans="2:11" ht="15">
      <c r="B1806" s="151">
        <v>81</v>
      </c>
      <c r="C1806" s="7" t="s">
        <v>159</v>
      </c>
      <c r="D1806" s="4" t="s">
        <v>50</v>
      </c>
      <c r="E1806" t="s">
        <v>490</v>
      </c>
      <c r="F1806" s="12">
        <f>IFERROR(VLOOKUP(B1806,'INSUMOS  JULIO'!$B$6:$CJ$109,57,0),"")</f>
        <v>0</v>
      </c>
      <c r="G1806" s="8">
        <f>IFERROR(VLOOKUP($B1806,'INSUMOS  JULIO'!$B$6:$CJ$109,58,0),"")</f>
        <v>211.251</v>
      </c>
      <c r="H1806" s="19">
        <f t="shared" si="112"/>
        <v>0</v>
      </c>
      <c r="I1806" s="1">
        <f t="shared" si="113"/>
        <v>0</v>
      </c>
      <c r="J1806" s="1">
        <f t="shared" si="114"/>
        <v>0</v>
      </c>
      <c r="K1806" s="19">
        <f t="shared" si="115"/>
        <v>0</v>
      </c>
    </row>
    <row r="1807" spans="2:11" ht="15">
      <c r="B1807" s="151">
        <v>82</v>
      </c>
      <c r="C1807" s="7" t="s">
        <v>159</v>
      </c>
      <c r="D1807" s="4" t="s">
        <v>51</v>
      </c>
      <c r="E1807" t="s">
        <v>490</v>
      </c>
      <c r="F1807" s="12" t="str">
        <f>IFERROR(VLOOKUP(B1807,'INSUMOS  JULIO'!$B$6:$CJ$109,57,0),"")</f>
        <v>0</v>
      </c>
      <c r="G1807" s="8">
        <f>IFERROR(VLOOKUP($B1807,'INSUMOS  JULIO'!$B$6:$CJ$109,58,0),"")</f>
        <v>1003.7049999999999</v>
      </c>
      <c r="H1807" s="19">
        <f t="shared" si="112"/>
        <v>0</v>
      </c>
      <c r="I1807" s="1">
        <f t="shared" si="113"/>
        <v>0</v>
      </c>
      <c r="J1807" s="1">
        <f t="shared" si="114"/>
        <v>0</v>
      </c>
      <c r="K1807" s="19">
        <f t="shared" si="115"/>
        <v>0</v>
      </c>
    </row>
    <row r="1808" spans="2:11" ht="15">
      <c r="B1808" s="151">
        <v>83</v>
      </c>
      <c r="C1808" s="7" t="s">
        <v>159</v>
      </c>
      <c r="D1808" s="4" t="s">
        <v>52</v>
      </c>
      <c r="E1808" t="s">
        <v>490</v>
      </c>
      <c r="F1808" s="12" t="str">
        <f>IFERROR(VLOOKUP(B1808,'INSUMOS  JULIO'!$B$6:$CJ$109,57,0),"")</f>
        <v>0</v>
      </c>
      <c r="G1808" s="8">
        <f>IFERROR(VLOOKUP($B1808,'INSUMOS  JULIO'!$B$6:$CJ$109,58,0),"")</f>
        <v>336.32</v>
      </c>
      <c r="H1808" s="19">
        <f t="shared" si="112"/>
        <v>0</v>
      </c>
      <c r="I1808" s="1">
        <f t="shared" si="113"/>
        <v>0</v>
      </c>
      <c r="J1808" s="1">
        <f t="shared" si="114"/>
        <v>0</v>
      </c>
      <c r="K1808" s="19">
        <f t="shared" si="115"/>
        <v>0</v>
      </c>
    </row>
    <row r="1809" spans="2:11" ht="15">
      <c r="B1809" s="151">
        <v>86</v>
      </c>
      <c r="C1809" s="7" t="s">
        <v>53</v>
      </c>
      <c r="D1809" s="4" t="s">
        <v>54</v>
      </c>
      <c r="E1809" t="s">
        <v>490</v>
      </c>
      <c r="F1809" s="12" t="str">
        <f>IFERROR(VLOOKUP(B1809,'INSUMOS  JULIO'!$B$6:$CJ$109,57,0),"")</f>
        <v>0</v>
      </c>
      <c r="G1809" s="8">
        <f>IFERROR(VLOOKUP($B1809,'INSUMOS  JULIO'!$B$6:$CJ$109,58,0),"")</f>
        <v>2792.5070000000005</v>
      </c>
      <c r="H1809" s="19">
        <f t="shared" si="112"/>
        <v>0</v>
      </c>
      <c r="I1809" s="1">
        <f t="shared" si="113"/>
        <v>0</v>
      </c>
      <c r="J1809" s="1">
        <f t="shared" si="114"/>
        <v>0</v>
      </c>
      <c r="K1809" s="19">
        <f t="shared" si="115"/>
        <v>0</v>
      </c>
    </row>
    <row r="1810" spans="2:11" ht="15">
      <c r="B1810" s="151">
        <v>87</v>
      </c>
      <c r="C1810" s="7" t="s">
        <v>53</v>
      </c>
      <c r="D1810" s="4" t="s">
        <v>55</v>
      </c>
      <c r="E1810" t="s">
        <v>490</v>
      </c>
      <c r="F1810" s="12" t="str">
        <f>IFERROR(VLOOKUP(B1810,'INSUMOS  JULIO'!$B$6:$CJ$109,57,0),"")</f>
        <v>0</v>
      </c>
      <c r="G1810" s="8">
        <f>IFERROR(VLOOKUP($B1810,'INSUMOS  JULIO'!$B$6:$CJ$109,58,0),"")</f>
        <v>0</v>
      </c>
      <c r="H1810" s="19">
        <f t="shared" si="112"/>
        <v>0</v>
      </c>
      <c r="I1810" s="1">
        <f t="shared" si="113"/>
        <v>0</v>
      </c>
      <c r="J1810" s="1">
        <f t="shared" si="114"/>
        <v>0</v>
      </c>
      <c r="K1810" s="19">
        <f t="shared" si="115"/>
        <v>0</v>
      </c>
    </row>
    <row r="1811" spans="2:11" ht="15">
      <c r="B1811" s="151">
        <v>88</v>
      </c>
      <c r="C1811" s="7" t="s">
        <v>53</v>
      </c>
      <c r="D1811" s="4" t="s">
        <v>56</v>
      </c>
      <c r="E1811" t="s">
        <v>490</v>
      </c>
      <c r="F1811" s="12">
        <f>IFERROR(VLOOKUP(B1811,'INSUMOS  JULIO'!$B$6:$CJ$109,57,0),"")</f>
        <v>0</v>
      </c>
      <c r="G1811" s="8">
        <f>IFERROR(VLOOKUP($B1811,'INSUMOS  JULIO'!$B$6:$CJ$109,58,0),"")</f>
        <v>2717.886</v>
      </c>
      <c r="H1811" s="19">
        <f t="shared" si="112"/>
        <v>0</v>
      </c>
      <c r="I1811" s="1">
        <f t="shared" si="113"/>
        <v>0</v>
      </c>
      <c r="J1811" s="1">
        <f t="shared" si="114"/>
        <v>0</v>
      </c>
      <c r="K1811" s="19">
        <f t="shared" si="115"/>
        <v>0</v>
      </c>
    </row>
    <row r="1812" spans="2:11" ht="15">
      <c r="B1812" s="151">
        <v>89</v>
      </c>
      <c r="C1812" s="7" t="s">
        <v>53</v>
      </c>
      <c r="D1812" s="4" t="s">
        <v>57</v>
      </c>
      <c r="E1812" t="s">
        <v>490</v>
      </c>
      <c r="F1812" s="12" t="str">
        <f>IFERROR(VLOOKUP(B1812,'INSUMOS  JULIO'!$B$6:$CJ$109,57,0),"")</f>
        <v>0</v>
      </c>
      <c r="G1812" s="8">
        <f>IFERROR(VLOOKUP($B1812,'INSUMOS  JULIO'!$B$6:$CJ$109,58,0),"")</f>
        <v>2650.6220000000003</v>
      </c>
      <c r="H1812" s="19">
        <f t="shared" si="112"/>
        <v>0</v>
      </c>
      <c r="I1812" s="1">
        <f t="shared" si="113"/>
        <v>0</v>
      </c>
      <c r="J1812" s="1">
        <f t="shared" si="114"/>
        <v>0</v>
      </c>
      <c r="K1812" s="19">
        <f t="shared" si="115"/>
        <v>0</v>
      </c>
    </row>
    <row r="1813" spans="2:11" ht="15">
      <c r="B1813" s="151">
        <v>91</v>
      </c>
      <c r="C1813" s="7" t="s">
        <v>160</v>
      </c>
      <c r="D1813" s="4" t="s">
        <v>58</v>
      </c>
      <c r="E1813" t="s">
        <v>490</v>
      </c>
      <c r="F1813" s="12" t="str">
        <f>IFERROR(VLOOKUP(B1813,'INSUMOS  JULIO'!$B$6:$CJ$109,57,0),"")</f>
        <v>0</v>
      </c>
      <c r="G1813" s="8">
        <f>IFERROR(VLOOKUP($B1813,'INSUMOS  JULIO'!$B$6:$CJ$109,58,0),"")</f>
        <v>4364.8029999999999</v>
      </c>
      <c r="H1813" s="19">
        <f t="shared" si="112"/>
        <v>0</v>
      </c>
      <c r="I1813" s="1">
        <f t="shared" si="113"/>
        <v>0</v>
      </c>
      <c r="J1813" s="1">
        <f t="shared" si="114"/>
        <v>0</v>
      </c>
      <c r="K1813" s="19">
        <f t="shared" si="115"/>
        <v>0</v>
      </c>
    </row>
    <row r="1814" spans="2:11" ht="15">
      <c r="B1814" s="151">
        <v>92</v>
      </c>
      <c r="C1814" s="7" t="s">
        <v>160</v>
      </c>
      <c r="D1814" s="4" t="s">
        <v>59</v>
      </c>
      <c r="E1814" t="s">
        <v>490</v>
      </c>
      <c r="F1814" s="12" t="str">
        <f>IFERROR(VLOOKUP(B1814,'INSUMOS  JULIO'!$B$6:$CJ$109,57,0),"")</f>
        <v>0</v>
      </c>
      <c r="G1814" s="8">
        <f>IFERROR(VLOOKUP($B1814,'INSUMOS  JULIO'!$B$6:$CJ$109,58,0),"")</f>
        <v>2380.5149999999999</v>
      </c>
      <c r="H1814" s="19">
        <f t="shared" si="112"/>
        <v>0</v>
      </c>
      <c r="I1814" s="1">
        <f t="shared" si="113"/>
        <v>0</v>
      </c>
      <c r="J1814" s="1">
        <f t="shared" si="114"/>
        <v>0</v>
      </c>
      <c r="K1814" s="19">
        <f t="shared" si="115"/>
        <v>0</v>
      </c>
    </row>
    <row r="1815" spans="2:11" ht="15">
      <c r="B1815" s="151">
        <v>94</v>
      </c>
      <c r="C1815" s="7" t="s">
        <v>60</v>
      </c>
      <c r="D1815" s="4" t="s">
        <v>61</v>
      </c>
      <c r="E1815" t="s">
        <v>490</v>
      </c>
      <c r="F1815" s="12" t="str">
        <f>IFERROR(VLOOKUP(B1815,'INSUMOS  JULIO'!$B$6:$CJ$109,57,0),"")</f>
        <v>0</v>
      </c>
      <c r="G1815" s="8">
        <f>IFERROR(VLOOKUP($B1815,'INSUMOS  JULIO'!$B$6:$CJ$109,58,0),"")</f>
        <v>3316.9560000000001</v>
      </c>
      <c r="H1815" s="19">
        <f t="shared" si="112"/>
        <v>0</v>
      </c>
      <c r="I1815" s="1">
        <f t="shared" si="113"/>
        <v>0</v>
      </c>
      <c r="J1815" s="1">
        <f t="shared" si="114"/>
        <v>0</v>
      </c>
      <c r="K1815" s="19">
        <f t="shared" si="115"/>
        <v>0</v>
      </c>
    </row>
    <row r="1816" spans="2:11" ht="15">
      <c r="B1816" s="151">
        <v>95</v>
      </c>
      <c r="C1816" s="7" t="s">
        <v>60</v>
      </c>
      <c r="D1816" s="4" t="s">
        <v>62</v>
      </c>
      <c r="E1816" t="s">
        <v>490</v>
      </c>
      <c r="F1816" s="12" t="str">
        <f>IFERROR(VLOOKUP(B1816,'INSUMOS  JULIO'!$B$6:$CJ$109,57,0),"")</f>
        <v>0</v>
      </c>
      <c r="G1816" s="8">
        <f>IFERROR(VLOOKUP($B1816,'INSUMOS  JULIO'!$B$6:$CJ$109,58,0),"")</f>
        <v>11056.52</v>
      </c>
      <c r="H1816" s="19">
        <f t="shared" si="112"/>
        <v>0</v>
      </c>
      <c r="I1816" s="1">
        <f t="shared" si="113"/>
        <v>0</v>
      </c>
      <c r="J1816" s="1">
        <f t="shared" si="114"/>
        <v>0</v>
      </c>
      <c r="K1816" s="19">
        <f t="shared" si="115"/>
        <v>0</v>
      </c>
    </row>
    <row r="1817" spans="2:11" ht="15">
      <c r="B1817" s="151">
        <v>98</v>
      </c>
      <c r="C1817" s="7" t="s">
        <v>151</v>
      </c>
      <c r="D1817" s="4" t="s">
        <v>63</v>
      </c>
      <c r="E1817" t="s">
        <v>490</v>
      </c>
      <c r="F1817" s="12">
        <f>IFERROR(VLOOKUP(B1817,'INSUMOS  JULIO'!$B$6:$CJ$109,57,0),"")</f>
        <v>0</v>
      </c>
      <c r="G1817" s="8">
        <f>IFERROR(VLOOKUP($B1817,'INSUMOS  JULIO'!$B$6:$CJ$109,58,0),"")</f>
        <v>6633.9120000000003</v>
      </c>
      <c r="H1817" s="19">
        <f t="shared" si="112"/>
        <v>0</v>
      </c>
      <c r="I1817" s="1">
        <f t="shared" si="113"/>
        <v>0</v>
      </c>
      <c r="J1817" s="1">
        <f t="shared" si="114"/>
        <v>0</v>
      </c>
      <c r="K1817" s="19">
        <f t="shared" si="115"/>
        <v>0</v>
      </c>
    </row>
    <row r="1818" spans="2:11" ht="15">
      <c r="B1818" s="151">
        <v>100</v>
      </c>
      <c r="C1818" s="7" t="s">
        <v>160</v>
      </c>
      <c r="D1818" s="4" t="s">
        <v>64</v>
      </c>
      <c r="E1818" t="s">
        <v>490</v>
      </c>
      <c r="F1818" s="12" t="str">
        <f>IFERROR(VLOOKUP(B1818,'INSUMOS  JULIO'!$B$6:$CJ$109,57,0),"")</f>
        <v>0</v>
      </c>
      <c r="G1818" s="8">
        <f>IFERROR(VLOOKUP($B1818,'INSUMOS  JULIO'!$B$6:$CJ$109,58,0),"")</f>
        <v>4364.8029999999999</v>
      </c>
      <c r="H1818" s="19">
        <f t="shared" si="112"/>
        <v>0</v>
      </c>
      <c r="I1818" s="1">
        <f t="shared" si="113"/>
        <v>0</v>
      </c>
      <c r="J1818" s="1">
        <f t="shared" si="114"/>
        <v>0</v>
      </c>
      <c r="K1818" s="19">
        <f t="shared" si="115"/>
        <v>0</v>
      </c>
    </row>
    <row r="1819" spans="2:11" ht="15">
      <c r="B1819" s="151">
        <v>102</v>
      </c>
      <c r="C1819" s="7" t="s">
        <v>60</v>
      </c>
      <c r="D1819" s="4" t="s">
        <v>65</v>
      </c>
      <c r="E1819" t="s">
        <v>490</v>
      </c>
      <c r="F1819" s="12" t="str">
        <f>IFERROR(VLOOKUP(B1819,'INSUMOS  JULIO'!$B$6:$CJ$109,57,0),"")</f>
        <v>0</v>
      </c>
      <c r="G1819" s="8">
        <f>IFERROR(VLOOKUP($B1819,'INSUMOS  JULIO'!$B$6:$CJ$109,58,0),"")</f>
        <v>3811.9770000000003</v>
      </c>
      <c r="H1819" s="19">
        <f t="shared" si="112"/>
        <v>0</v>
      </c>
      <c r="I1819" s="1">
        <f t="shared" si="113"/>
        <v>0</v>
      </c>
      <c r="J1819" s="1">
        <f t="shared" si="114"/>
        <v>0</v>
      </c>
      <c r="K1819" s="19">
        <f t="shared" si="115"/>
        <v>0</v>
      </c>
    </row>
    <row r="1820" spans="2:11" ht="15">
      <c r="B1820" s="151">
        <v>103</v>
      </c>
      <c r="C1820" s="7" t="s">
        <v>66</v>
      </c>
      <c r="D1820" s="4" t="s">
        <v>67</v>
      </c>
      <c r="E1820" t="s">
        <v>490</v>
      </c>
      <c r="F1820" s="12" t="str">
        <f>IFERROR(VLOOKUP(B1820,'INSUMOS  JULIO'!$B$6:$CJ$109,57,0),"")</f>
        <v>0</v>
      </c>
      <c r="G1820" s="8">
        <f>IFERROR(VLOOKUP($B1820,'INSUMOS  JULIO'!$B$6:$CJ$109,58,0),"")</f>
        <v>18022.547999999999</v>
      </c>
      <c r="H1820" s="19">
        <f t="shared" si="112"/>
        <v>0</v>
      </c>
      <c r="I1820" s="1">
        <f t="shared" si="113"/>
        <v>0</v>
      </c>
      <c r="J1820" s="1">
        <f t="shared" si="114"/>
        <v>0</v>
      </c>
      <c r="K1820" s="19">
        <f t="shared" si="115"/>
        <v>0</v>
      </c>
    </row>
    <row r="1821" spans="2:11" ht="15">
      <c r="B1821" s="151">
        <v>104</v>
      </c>
      <c r="C1821" s="7" t="s">
        <v>66</v>
      </c>
      <c r="D1821" s="4" t="s">
        <v>68</v>
      </c>
      <c r="E1821" t="s">
        <v>490</v>
      </c>
      <c r="F1821" s="12" t="str">
        <f>IFERROR(VLOOKUP(B1821,'INSUMOS  JULIO'!$B$6:$CJ$109,57,0),"")</f>
        <v>0</v>
      </c>
      <c r="G1821" s="8">
        <f>IFERROR(VLOOKUP($B1821,'INSUMOS  JULIO'!$B$6:$CJ$109,58,0),"")</f>
        <v>18022.547999999999</v>
      </c>
      <c r="H1821" s="19">
        <f t="shared" si="112"/>
        <v>0</v>
      </c>
      <c r="I1821" s="1">
        <f t="shared" si="113"/>
        <v>0</v>
      </c>
      <c r="J1821" s="1">
        <f t="shared" si="114"/>
        <v>0</v>
      </c>
      <c r="K1821" s="19">
        <f t="shared" si="115"/>
        <v>0</v>
      </c>
    </row>
    <row r="1822" spans="2:11" ht="15">
      <c r="B1822" s="151">
        <v>105</v>
      </c>
      <c r="C1822" s="7" t="s">
        <v>66</v>
      </c>
      <c r="D1822" s="4" t="s">
        <v>69</v>
      </c>
      <c r="E1822" t="s">
        <v>490</v>
      </c>
      <c r="F1822" s="12" t="str">
        <f>IFERROR(VLOOKUP(B1822,'INSUMOS  JULIO'!$B$6:$CJ$109,57,0),"")</f>
        <v>0</v>
      </c>
      <c r="G1822" s="8">
        <f>IFERROR(VLOOKUP($B1822,'INSUMOS  JULIO'!$B$6:$CJ$109,58,0),"")</f>
        <v>27641.3</v>
      </c>
      <c r="H1822" s="19">
        <f t="shared" si="112"/>
        <v>0</v>
      </c>
      <c r="I1822" s="1">
        <f t="shared" si="113"/>
        <v>0</v>
      </c>
      <c r="J1822" s="1">
        <f t="shared" si="114"/>
        <v>0</v>
      </c>
      <c r="K1822" s="19">
        <f t="shared" si="115"/>
        <v>0</v>
      </c>
    </row>
    <row r="1823" spans="2:11" ht="15">
      <c r="B1823" s="151">
        <v>106</v>
      </c>
      <c r="C1823" s="7" t="s">
        <v>66</v>
      </c>
      <c r="D1823" s="4" t="s">
        <v>70</v>
      </c>
      <c r="E1823" t="s">
        <v>490</v>
      </c>
      <c r="F1823" s="12" t="str">
        <f>IFERROR(VLOOKUP(B1823,'INSUMOS  JULIO'!$B$6:$CJ$109,57,0),"")</f>
        <v>0</v>
      </c>
      <c r="G1823" s="8">
        <f>IFERROR(VLOOKUP($B1823,'INSUMOS  JULIO'!$B$6:$CJ$109,58,0),"")</f>
        <v>0</v>
      </c>
      <c r="H1823" s="19">
        <f t="shared" si="112"/>
        <v>0</v>
      </c>
      <c r="I1823" s="1">
        <f t="shared" si="113"/>
        <v>0</v>
      </c>
      <c r="J1823" s="1">
        <f t="shared" si="114"/>
        <v>0</v>
      </c>
      <c r="K1823" s="19">
        <f t="shared" si="115"/>
        <v>0</v>
      </c>
    </row>
    <row r="1824" spans="2:11" ht="15">
      <c r="B1824" s="151">
        <v>108</v>
      </c>
      <c r="C1824" s="7" t="s">
        <v>66</v>
      </c>
      <c r="D1824" s="4" t="s">
        <v>71</v>
      </c>
      <c r="E1824" t="s">
        <v>490</v>
      </c>
      <c r="F1824" s="12" t="str">
        <f>IFERROR(VLOOKUP(B1824,'INSUMOS  JULIO'!$B$6:$CJ$109,57,0),"")</f>
        <v>0</v>
      </c>
      <c r="G1824" s="8">
        <f>IFERROR(VLOOKUP($B1824,'INSUMOS  JULIO'!$B$6:$CJ$109,58,0),"")</f>
        <v>38697.82</v>
      </c>
      <c r="H1824" s="19">
        <f t="shared" si="112"/>
        <v>0</v>
      </c>
      <c r="I1824" s="1">
        <f t="shared" si="113"/>
        <v>0</v>
      </c>
      <c r="J1824" s="1">
        <f t="shared" si="114"/>
        <v>0</v>
      </c>
      <c r="K1824" s="19">
        <f t="shared" si="115"/>
        <v>0</v>
      </c>
    </row>
    <row r="1825" spans="2:11" ht="15">
      <c r="B1825" s="151">
        <v>109</v>
      </c>
      <c r="C1825" s="7" t="s">
        <v>66</v>
      </c>
      <c r="D1825" s="4" t="s">
        <v>72</v>
      </c>
      <c r="E1825" t="s">
        <v>490</v>
      </c>
      <c r="F1825" s="12" t="str">
        <f>IFERROR(VLOOKUP(B1825,'INSUMOS  JULIO'!$B$6:$CJ$109,57,0),"")</f>
        <v>0</v>
      </c>
      <c r="G1825" s="8">
        <f>IFERROR(VLOOKUP($B1825,'INSUMOS  JULIO'!$B$6:$CJ$109,58,0),"")</f>
        <v>49754.340000000004</v>
      </c>
      <c r="H1825" s="19">
        <f t="shared" si="112"/>
        <v>0</v>
      </c>
      <c r="I1825" s="1">
        <f t="shared" si="113"/>
        <v>0</v>
      </c>
      <c r="J1825" s="1">
        <f t="shared" si="114"/>
        <v>0</v>
      </c>
      <c r="K1825" s="19">
        <f t="shared" si="115"/>
        <v>0</v>
      </c>
    </row>
    <row r="1826" spans="2:11" ht="15">
      <c r="B1826" s="151">
        <v>110</v>
      </c>
      <c r="C1826" s="7" t="s">
        <v>158</v>
      </c>
      <c r="D1826" s="4" t="s">
        <v>73</v>
      </c>
      <c r="E1826" t="s">
        <v>490</v>
      </c>
      <c r="F1826" s="12">
        <f>IFERROR(VLOOKUP(B1826,'INSUMOS  JULIO'!$B$6:$CJ$109,57,0),"")</f>
        <v>50</v>
      </c>
      <c r="G1826" s="8">
        <f>IFERROR(VLOOKUP($B1826,'INSUMOS  JULIO'!$B$6:$CJ$109,58,0),"")</f>
        <v>470.84799999999996</v>
      </c>
      <c r="H1826" s="19">
        <f t="shared" si="112"/>
        <v>23542.399999999998</v>
      </c>
      <c r="I1826" s="1">
        <f t="shared" si="113"/>
        <v>2354.2399999999998</v>
      </c>
      <c r="J1826" s="1">
        <f t="shared" si="114"/>
        <v>447.30559999999997</v>
      </c>
      <c r="K1826" s="19">
        <f t="shared" si="115"/>
        <v>26343.945599999999</v>
      </c>
    </row>
    <row r="1827" spans="2:11" ht="15">
      <c r="B1827" s="151">
        <v>118</v>
      </c>
      <c r="C1827" s="7" t="s">
        <v>158</v>
      </c>
      <c r="D1827" s="4" t="s">
        <v>74</v>
      </c>
      <c r="E1827" t="s">
        <v>490</v>
      </c>
      <c r="F1827" s="12">
        <f>IFERROR(VLOOKUP(B1827,'INSUMOS  JULIO'!$B$6:$CJ$109,57,0),"")</f>
        <v>0</v>
      </c>
      <c r="G1827" s="8">
        <f>IFERROR(VLOOKUP($B1827,'INSUMOS  JULIO'!$B$6:$CJ$109,58,0),"")</f>
        <v>2455.136</v>
      </c>
      <c r="H1827" s="19">
        <f t="shared" si="112"/>
        <v>0</v>
      </c>
      <c r="I1827" s="1">
        <f t="shared" si="113"/>
        <v>0</v>
      </c>
      <c r="J1827" s="1">
        <f t="shared" si="114"/>
        <v>0</v>
      </c>
      <c r="K1827" s="19">
        <f t="shared" si="115"/>
        <v>0</v>
      </c>
    </row>
    <row r="1828" spans="2:11" ht="15">
      <c r="B1828" s="151">
        <v>119</v>
      </c>
      <c r="C1828" s="7" t="s">
        <v>158</v>
      </c>
      <c r="D1828" s="4" t="s">
        <v>75</v>
      </c>
      <c r="E1828" t="s">
        <v>490</v>
      </c>
      <c r="F1828" s="12" t="str">
        <f>IFERROR(VLOOKUP(B1828,'INSUMOS  JULIO'!$B$6:$CJ$109,57,0),"")</f>
        <v>0</v>
      </c>
      <c r="G1828" s="8">
        <f>IFERROR(VLOOKUP($B1828,'INSUMOS  JULIO'!$B$6:$CJ$109,58,0),"")</f>
        <v>2821.9350000000004</v>
      </c>
      <c r="H1828" s="19">
        <f t="shared" si="112"/>
        <v>0</v>
      </c>
      <c r="I1828" s="1">
        <f t="shared" si="113"/>
        <v>0</v>
      </c>
      <c r="J1828" s="1">
        <f t="shared" si="114"/>
        <v>0</v>
      </c>
      <c r="K1828" s="19">
        <f t="shared" si="115"/>
        <v>0</v>
      </c>
    </row>
    <row r="1829" spans="2:11" ht="15">
      <c r="B1829" s="151">
        <v>120</v>
      </c>
      <c r="C1829" s="7" t="s">
        <v>158</v>
      </c>
      <c r="D1829" s="4" t="s">
        <v>76</v>
      </c>
      <c r="E1829" t="s">
        <v>490</v>
      </c>
      <c r="F1829" s="12" t="str">
        <f>IFERROR(VLOOKUP(B1829,'INSUMOS  JULIO'!$B$6:$CJ$109,57,0),"")</f>
        <v>0</v>
      </c>
      <c r="G1829" s="8">
        <f>IFERROR(VLOOKUP($B1829,'INSUMOS  JULIO'!$B$6:$CJ$109,58,0),"")</f>
        <v>2821.9350000000004</v>
      </c>
      <c r="H1829" s="19">
        <f t="shared" si="112"/>
        <v>0</v>
      </c>
      <c r="I1829" s="1">
        <f t="shared" si="113"/>
        <v>0</v>
      </c>
      <c r="J1829" s="1">
        <f t="shared" si="114"/>
        <v>0</v>
      </c>
      <c r="K1829" s="19">
        <f t="shared" si="115"/>
        <v>0</v>
      </c>
    </row>
    <row r="1830" spans="2:11" ht="15">
      <c r="B1830" s="151">
        <v>122</v>
      </c>
      <c r="C1830" s="7" t="s">
        <v>158</v>
      </c>
      <c r="D1830" s="4" t="s">
        <v>77</v>
      </c>
      <c r="E1830" t="s">
        <v>490</v>
      </c>
      <c r="F1830" s="12" t="str">
        <f>IFERROR(VLOOKUP(B1830,'INSUMOS  JULIO'!$B$6:$CJ$109,57,0),"")</f>
        <v>0</v>
      </c>
      <c r="G1830" s="8">
        <f>IFERROR(VLOOKUP($B1830,'INSUMOS  JULIO'!$B$6:$CJ$109,58,0),"")</f>
        <v>5223.4699999999993</v>
      </c>
      <c r="H1830" s="19">
        <f t="shared" si="112"/>
        <v>0</v>
      </c>
      <c r="I1830" s="1">
        <f t="shared" si="113"/>
        <v>0</v>
      </c>
      <c r="J1830" s="1">
        <f t="shared" si="114"/>
        <v>0</v>
      </c>
      <c r="K1830" s="19">
        <f t="shared" si="115"/>
        <v>0</v>
      </c>
    </row>
    <row r="1831" spans="2:11" ht="15">
      <c r="B1831" s="151">
        <v>123</v>
      </c>
      <c r="C1831" s="7" t="s">
        <v>158</v>
      </c>
      <c r="D1831" s="4" t="s">
        <v>78</v>
      </c>
      <c r="E1831" t="s">
        <v>490</v>
      </c>
      <c r="F1831" s="12" t="str">
        <f>IFERROR(VLOOKUP(B1831,'INSUMOS  JULIO'!$B$6:$CJ$109,57,0),"")</f>
        <v>0</v>
      </c>
      <c r="G1831" s="8">
        <f>IFERROR(VLOOKUP($B1831,'INSUMOS  JULIO'!$B$6:$CJ$109,58,0),"")</f>
        <v>5765.7860000000001</v>
      </c>
      <c r="H1831" s="19">
        <f t="shared" si="112"/>
        <v>0</v>
      </c>
      <c r="I1831" s="1">
        <f t="shared" si="113"/>
        <v>0</v>
      </c>
      <c r="J1831" s="1">
        <f t="shared" si="114"/>
        <v>0</v>
      </c>
      <c r="K1831" s="19">
        <f t="shared" si="115"/>
        <v>0</v>
      </c>
    </row>
    <row r="1832" spans="2:11" ht="15">
      <c r="B1832" s="151">
        <v>124</v>
      </c>
      <c r="C1832" s="7" t="s">
        <v>158</v>
      </c>
      <c r="D1832" s="4" t="s">
        <v>79</v>
      </c>
      <c r="E1832" t="s">
        <v>490</v>
      </c>
      <c r="F1832" s="12" t="str">
        <f>IFERROR(VLOOKUP(B1832,'INSUMOS  JULIO'!$B$6:$CJ$109,57,0),"")</f>
        <v>0</v>
      </c>
      <c r="G1832" s="8">
        <f>IFERROR(VLOOKUP($B1832,'INSUMOS  JULIO'!$B$6:$CJ$109,58,0),"")</f>
        <v>5765.7860000000001</v>
      </c>
      <c r="H1832" s="19">
        <f t="shared" si="112"/>
        <v>0</v>
      </c>
      <c r="I1832" s="1">
        <f t="shared" si="113"/>
        <v>0</v>
      </c>
      <c r="J1832" s="1">
        <f t="shared" si="114"/>
        <v>0</v>
      </c>
      <c r="K1832" s="19">
        <f t="shared" si="115"/>
        <v>0</v>
      </c>
    </row>
    <row r="1833" spans="2:11" ht="15">
      <c r="B1833" s="151">
        <v>126</v>
      </c>
      <c r="C1833" s="7" t="s">
        <v>9</v>
      </c>
      <c r="D1833" s="4" t="s">
        <v>80</v>
      </c>
      <c r="E1833" t="s">
        <v>490</v>
      </c>
      <c r="F1833" s="12" t="str">
        <f>IFERROR(VLOOKUP(B1833,'INSUMOS  JULIO'!$B$6:$CJ$109,57,0),"")</f>
        <v>0</v>
      </c>
      <c r="G1833" s="8">
        <f>IFERROR(VLOOKUP($B1833,'INSUMOS  JULIO'!$B$6:$CJ$109,58,0),"")</f>
        <v>3316.9560000000001</v>
      </c>
      <c r="H1833" s="19">
        <f t="shared" si="112"/>
        <v>0</v>
      </c>
      <c r="I1833" s="1">
        <f t="shared" si="113"/>
        <v>0</v>
      </c>
      <c r="J1833" s="1">
        <f t="shared" si="114"/>
        <v>0</v>
      </c>
      <c r="K1833" s="19">
        <f t="shared" si="115"/>
        <v>0</v>
      </c>
    </row>
    <row r="1834" spans="2:11" ht="15">
      <c r="B1834" s="151">
        <v>127</v>
      </c>
      <c r="C1834" s="7" t="s">
        <v>156</v>
      </c>
      <c r="D1834" s="4" t="s">
        <v>81</v>
      </c>
      <c r="E1834" t="s">
        <v>490</v>
      </c>
      <c r="F1834" s="12" t="str">
        <f>IFERROR(VLOOKUP(B1834,'INSUMOS  JULIO'!$B$6:$CJ$109,57,0),"")</f>
        <v>0</v>
      </c>
      <c r="G1834" s="8">
        <f>IFERROR(VLOOKUP($B1834,'INSUMOS  JULIO'!$B$6:$CJ$109,58,0),"")</f>
        <v>3316.9560000000001</v>
      </c>
      <c r="H1834" s="19">
        <f t="shared" si="112"/>
        <v>0</v>
      </c>
      <c r="I1834" s="1">
        <f t="shared" si="113"/>
        <v>0</v>
      </c>
      <c r="J1834" s="1">
        <f t="shared" si="114"/>
        <v>0</v>
      </c>
      <c r="K1834" s="19">
        <f t="shared" si="115"/>
        <v>0</v>
      </c>
    </row>
    <row r="1835" spans="2:11" ht="15">
      <c r="B1835" s="151">
        <v>129</v>
      </c>
      <c r="C1835" s="7" t="s">
        <v>157</v>
      </c>
      <c r="D1835" s="4" t="s">
        <v>82</v>
      </c>
      <c r="E1835" t="s">
        <v>490</v>
      </c>
      <c r="F1835" s="12" t="str">
        <f>IFERROR(VLOOKUP(B1835,'INSUMOS  JULIO'!$B$6:$CJ$109,57,0),"")</f>
        <v>0</v>
      </c>
      <c r="G1835" s="8">
        <f>IFERROR(VLOOKUP($B1835,'INSUMOS  JULIO'!$B$6:$CJ$109,58,0),"")</f>
        <v>3787.8040000000001</v>
      </c>
      <c r="H1835" s="19">
        <f t="shared" si="112"/>
        <v>0</v>
      </c>
      <c r="I1835" s="1">
        <f t="shared" si="113"/>
        <v>0</v>
      </c>
      <c r="J1835" s="1">
        <f t="shared" si="114"/>
        <v>0</v>
      </c>
      <c r="K1835" s="19">
        <f t="shared" si="115"/>
        <v>0</v>
      </c>
    </row>
    <row r="1836" spans="2:11" ht="15">
      <c r="B1836" s="151">
        <v>131</v>
      </c>
      <c r="C1836" s="7" t="s">
        <v>13</v>
      </c>
      <c r="D1836" s="4" t="s">
        <v>83</v>
      </c>
      <c r="E1836" t="s">
        <v>490</v>
      </c>
      <c r="F1836" s="12" t="str">
        <f>IFERROR(VLOOKUP(B1836,'INSUMOS  JULIO'!$B$6:$CJ$109,57,0),"")</f>
        <v>0</v>
      </c>
      <c r="G1836" s="8">
        <f>IFERROR(VLOOKUP($B1836,'INSUMOS  JULIO'!$B$6:$CJ$109,58,0),"")</f>
        <v>0</v>
      </c>
      <c r="H1836" s="19">
        <f t="shared" si="112"/>
        <v>0</v>
      </c>
      <c r="I1836" s="1">
        <f t="shared" si="113"/>
        <v>0</v>
      </c>
      <c r="J1836" s="1">
        <f t="shared" si="114"/>
        <v>0</v>
      </c>
      <c r="K1836" s="19">
        <f t="shared" si="115"/>
        <v>0</v>
      </c>
    </row>
    <row r="1837" spans="2:11" ht="15">
      <c r="B1837" s="151">
        <v>132</v>
      </c>
      <c r="C1837" s="7" t="s">
        <v>13</v>
      </c>
      <c r="D1837" s="4" t="s">
        <v>84</v>
      </c>
      <c r="E1837" t="s">
        <v>490</v>
      </c>
      <c r="F1837" s="12" t="str">
        <f>IFERROR(VLOOKUP(B1837,'INSUMOS  JULIO'!$B$6:$CJ$109,57,0),"")</f>
        <v>0</v>
      </c>
      <c r="G1837" s="8">
        <f>IFERROR(VLOOKUP($B1837,'INSUMOS  JULIO'!$B$6:$CJ$109,58,0),"")</f>
        <v>0</v>
      </c>
      <c r="H1837" s="19">
        <f t="shared" si="112"/>
        <v>0</v>
      </c>
      <c r="I1837" s="1">
        <f t="shared" si="113"/>
        <v>0</v>
      </c>
      <c r="J1837" s="1">
        <f t="shared" si="114"/>
        <v>0</v>
      </c>
      <c r="K1837" s="19">
        <f t="shared" si="115"/>
        <v>0</v>
      </c>
    </row>
    <row r="1838" spans="2:11" ht="15">
      <c r="B1838" s="151">
        <v>134</v>
      </c>
      <c r="C1838" s="7" t="s">
        <v>16</v>
      </c>
      <c r="D1838" s="4" t="s">
        <v>85</v>
      </c>
      <c r="E1838" t="s">
        <v>490</v>
      </c>
      <c r="F1838" s="12" t="str">
        <f>IFERROR(VLOOKUP(B1838,'INSUMOS  JULIO'!$B$6:$CJ$109,57,0),"")</f>
        <v>0</v>
      </c>
      <c r="G1838" s="8">
        <f>IFERROR(VLOOKUP($B1838,'INSUMOS  JULIO'!$B$6:$CJ$109,58,0),"")</f>
        <v>0</v>
      </c>
      <c r="H1838" s="19">
        <f t="shared" si="112"/>
        <v>0</v>
      </c>
      <c r="I1838" s="1">
        <f t="shared" si="113"/>
        <v>0</v>
      </c>
      <c r="J1838" s="1">
        <f t="shared" si="114"/>
        <v>0</v>
      </c>
      <c r="K1838" s="19">
        <f t="shared" si="115"/>
        <v>0</v>
      </c>
    </row>
    <row r="1839" spans="2:11" ht="15">
      <c r="B1839" s="151">
        <v>135</v>
      </c>
      <c r="C1839" s="7" t="s">
        <v>18</v>
      </c>
      <c r="D1839" s="4" t="s">
        <v>86</v>
      </c>
      <c r="E1839" t="s">
        <v>490</v>
      </c>
      <c r="F1839" s="12">
        <f>IFERROR(VLOOKUP(B1839,'INSUMOS  JULIO'!$B$6:$CJ$109,57,0),"")</f>
        <v>0</v>
      </c>
      <c r="G1839" s="8">
        <f>IFERROR(VLOOKUP($B1839,'INSUMOS  JULIO'!$B$6:$CJ$109,58,0),"")</f>
        <v>6229.277</v>
      </c>
      <c r="H1839" s="19">
        <f t="shared" si="112"/>
        <v>0</v>
      </c>
      <c r="I1839" s="1">
        <f t="shared" si="113"/>
        <v>0</v>
      </c>
      <c r="J1839" s="1">
        <f t="shared" si="114"/>
        <v>0</v>
      </c>
      <c r="K1839" s="19">
        <f t="shared" si="115"/>
        <v>0</v>
      </c>
    </row>
    <row r="1840" spans="2:11" ht="15">
      <c r="B1840" s="151">
        <v>137</v>
      </c>
      <c r="C1840" s="7" t="s">
        <v>20</v>
      </c>
      <c r="D1840" s="4" t="s">
        <v>88</v>
      </c>
      <c r="E1840" t="s">
        <v>490</v>
      </c>
      <c r="F1840" s="12" t="str">
        <f>IFERROR(VLOOKUP(B1840,'INSUMOS  JULIO'!$B$6:$CJ$109,57,0),"")</f>
        <v>0</v>
      </c>
      <c r="G1840" s="8">
        <f>IFERROR(VLOOKUP($B1840,'INSUMOS  JULIO'!$B$6:$CJ$109,58,0),"")</f>
        <v>1245.4349999999999</v>
      </c>
      <c r="H1840" s="19">
        <f t="shared" si="112"/>
        <v>0</v>
      </c>
      <c r="I1840" s="1">
        <f t="shared" si="113"/>
        <v>0</v>
      </c>
      <c r="J1840" s="1">
        <f t="shared" si="114"/>
        <v>0</v>
      </c>
      <c r="K1840" s="19">
        <f t="shared" si="115"/>
        <v>0</v>
      </c>
    </row>
    <row r="1841" spans="2:11" ht="15">
      <c r="B1841" s="151">
        <v>139</v>
      </c>
      <c r="C1841" s="7" t="s">
        <v>22</v>
      </c>
      <c r="D1841" s="4" t="s">
        <v>89</v>
      </c>
      <c r="E1841" t="s">
        <v>490</v>
      </c>
      <c r="F1841" s="12">
        <f>IFERROR(VLOOKUP(B1841,'INSUMOS  JULIO'!$B$6:$CJ$109,57,0),"")</f>
        <v>0</v>
      </c>
      <c r="G1841" s="8">
        <f>IFERROR(VLOOKUP($B1841,'INSUMOS  JULIO'!$B$6:$CJ$109,58,0),"")</f>
        <v>25429.996000000003</v>
      </c>
      <c r="H1841" s="19">
        <f t="shared" si="112"/>
        <v>0</v>
      </c>
      <c r="I1841" s="1">
        <f t="shared" si="113"/>
        <v>0</v>
      </c>
      <c r="J1841" s="1">
        <f t="shared" si="114"/>
        <v>0</v>
      </c>
      <c r="K1841" s="19">
        <f t="shared" si="115"/>
        <v>0</v>
      </c>
    </row>
    <row r="1842" spans="2:11" ht="15">
      <c r="B1842" s="151">
        <v>151</v>
      </c>
      <c r="C1842" s="7" t="s">
        <v>18</v>
      </c>
      <c r="D1842" s="4" t="s">
        <v>91</v>
      </c>
      <c r="E1842" t="s">
        <v>490</v>
      </c>
      <c r="F1842" s="12">
        <f>IFERROR(VLOOKUP(B1842,'INSUMOS  JULIO'!$B$6:$CJ$109,57,0),"")</f>
        <v>80</v>
      </c>
      <c r="G1842" s="8">
        <f>IFERROR(VLOOKUP($B1842,'INSUMOS  JULIO'!$B$6:$CJ$109,58,0),"")</f>
        <v>4422.6080000000002</v>
      </c>
      <c r="H1842" s="19">
        <f t="shared" si="112"/>
        <v>353808.64000000001</v>
      </c>
      <c r="I1842" s="1">
        <f t="shared" si="113"/>
        <v>35380.864000000001</v>
      </c>
      <c r="J1842" s="1">
        <f t="shared" si="114"/>
        <v>6722.3641600000001</v>
      </c>
      <c r="K1842" s="19">
        <f t="shared" si="115"/>
        <v>395911.86816000001</v>
      </c>
    </row>
    <row r="1843" spans="2:11" ht="15">
      <c r="B1843" s="151">
        <v>152</v>
      </c>
      <c r="C1843" s="7" t="s">
        <v>155</v>
      </c>
      <c r="D1843" s="4" t="s">
        <v>92</v>
      </c>
      <c r="E1843" t="s">
        <v>490</v>
      </c>
      <c r="F1843" s="12" t="str">
        <f>IFERROR(VLOOKUP(B1843,'INSUMOS  JULIO'!$B$6:$CJ$109,57,0),"")</f>
        <v>0</v>
      </c>
      <c r="G1843" s="8">
        <f>IFERROR(VLOOKUP($B1843,'INSUMOS  JULIO'!$B$6:$CJ$109,58,0),"")</f>
        <v>0</v>
      </c>
      <c r="H1843" s="19">
        <f t="shared" si="112"/>
        <v>0</v>
      </c>
      <c r="I1843" s="1">
        <f t="shared" si="113"/>
        <v>0</v>
      </c>
      <c r="J1843" s="1">
        <f t="shared" si="114"/>
        <v>0</v>
      </c>
      <c r="K1843" s="19">
        <f t="shared" si="115"/>
        <v>0</v>
      </c>
    </row>
    <row r="1844" spans="2:11" ht="15">
      <c r="B1844" s="151">
        <v>154</v>
      </c>
      <c r="C1844" s="7" t="s">
        <v>16</v>
      </c>
      <c r="D1844" s="4" t="s">
        <v>94</v>
      </c>
      <c r="E1844" t="s">
        <v>490</v>
      </c>
      <c r="F1844" s="12" t="str">
        <f>IFERROR(VLOOKUP(B1844,'INSUMOS  JULIO'!$B$6:$CJ$109,57,0),"")</f>
        <v>0</v>
      </c>
      <c r="G1844" s="8">
        <f>IFERROR(VLOOKUP($B1844,'INSUMOS  JULIO'!$B$6:$CJ$109,58,0),"")</f>
        <v>0</v>
      </c>
      <c r="H1844" s="19">
        <f t="shared" si="112"/>
        <v>0</v>
      </c>
      <c r="I1844" s="1">
        <f t="shared" si="113"/>
        <v>0</v>
      </c>
      <c r="J1844" s="1">
        <f t="shared" si="114"/>
        <v>0</v>
      </c>
      <c r="K1844" s="19">
        <f t="shared" si="115"/>
        <v>0</v>
      </c>
    </row>
    <row r="1845" spans="2:11" ht="15">
      <c r="B1845" s="151">
        <v>155</v>
      </c>
      <c r="C1845" s="7" t="s">
        <v>27</v>
      </c>
      <c r="D1845" s="4" t="s">
        <v>95</v>
      </c>
      <c r="E1845" t="s">
        <v>490</v>
      </c>
      <c r="F1845" s="12">
        <f>IFERROR(VLOOKUP(B1845,'INSUMOS  JULIO'!$B$6:$CJ$109,57,0),"")</f>
        <v>0</v>
      </c>
      <c r="G1845" s="8">
        <f>IFERROR(VLOOKUP($B1845,'INSUMOS  JULIO'!$B$6:$CJ$109,58,0),"")</f>
        <v>3703.7239999999997</v>
      </c>
      <c r="H1845" s="19">
        <f t="shared" si="112"/>
        <v>0</v>
      </c>
      <c r="I1845" s="1">
        <f t="shared" si="113"/>
        <v>0</v>
      </c>
      <c r="J1845" s="1">
        <f t="shared" si="114"/>
        <v>0</v>
      </c>
      <c r="K1845" s="19">
        <f t="shared" si="115"/>
        <v>0</v>
      </c>
    </row>
    <row r="1846" spans="2:11" ht="15">
      <c r="B1846" s="151">
        <v>156</v>
      </c>
      <c r="C1846" s="7" t="s">
        <v>13</v>
      </c>
      <c r="D1846" s="4" t="s">
        <v>96</v>
      </c>
      <c r="E1846" t="s">
        <v>490</v>
      </c>
      <c r="F1846" s="12" t="str">
        <f>IFERROR(VLOOKUP(B1846,'INSUMOS  JULIO'!$B$6:$CJ$109,57,0),"")</f>
        <v>0</v>
      </c>
      <c r="G1846" s="8">
        <f>IFERROR(VLOOKUP($B1846,'INSUMOS  JULIO'!$B$6:$CJ$109,58,0),"")</f>
        <v>4422.6080000000002</v>
      </c>
      <c r="H1846" s="19">
        <f t="shared" si="112"/>
        <v>0</v>
      </c>
      <c r="I1846" s="1">
        <f t="shared" si="113"/>
        <v>0</v>
      </c>
      <c r="J1846" s="1">
        <f t="shared" si="114"/>
        <v>0</v>
      </c>
      <c r="K1846" s="19">
        <f t="shared" si="115"/>
        <v>0</v>
      </c>
    </row>
    <row r="1847" spans="2:11" ht="15">
      <c r="B1847" s="151">
        <v>157</v>
      </c>
      <c r="C1847" s="7" t="s">
        <v>13</v>
      </c>
      <c r="D1847" s="4" t="s">
        <v>97</v>
      </c>
      <c r="E1847" t="s">
        <v>490</v>
      </c>
      <c r="F1847" s="12">
        <f>IFERROR(VLOOKUP(B1847,'INSUMOS  JULIO'!$B$6:$CJ$109,57,0),"")</f>
        <v>0</v>
      </c>
      <c r="G1847" s="8">
        <f>IFERROR(VLOOKUP($B1847,'INSUMOS  JULIO'!$B$6:$CJ$109,58,0),"")</f>
        <v>5970.7309999999998</v>
      </c>
      <c r="H1847" s="19">
        <f t="shared" si="112"/>
        <v>0</v>
      </c>
      <c r="I1847" s="1">
        <f t="shared" si="113"/>
        <v>0</v>
      </c>
      <c r="J1847" s="1">
        <f t="shared" si="114"/>
        <v>0</v>
      </c>
      <c r="K1847" s="19">
        <f t="shared" si="115"/>
        <v>0</v>
      </c>
    </row>
    <row r="1848" spans="2:11" ht="15">
      <c r="B1848" s="151">
        <v>159</v>
      </c>
      <c r="C1848" s="7" t="s">
        <v>13</v>
      </c>
      <c r="D1848" s="4" t="s">
        <v>98</v>
      </c>
      <c r="E1848" t="s">
        <v>490</v>
      </c>
      <c r="F1848" s="12" t="str">
        <f>IFERROR(VLOOKUP(B1848,'INSUMOS  JULIO'!$B$6:$CJ$109,57,0),"")</f>
        <v>0</v>
      </c>
      <c r="G1848" s="8">
        <f>IFERROR(VLOOKUP($B1848,'INSUMOS  JULIO'!$B$6:$CJ$109,58,0),"")</f>
        <v>0</v>
      </c>
      <c r="H1848" s="19">
        <f t="shared" si="112"/>
        <v>0</v>
      </c>
      <c r="I1848" s="1">
        <f t="shared" si="113"/>
        <v>0</v>
      </c>
      <c r="J1848" s="1">
        <f t="shared" si="114"/>
        <v>0</v>
      </c>
      <c r="K1848" s="19">
        <f t="shared" si="115"/>
        <v>0</v>
      </c>
    </row>
    <row r="1849" spans="2:11" ht="15">
      <c r="B1849" s="151">
        <v>160</v>
      </c>
      <c r="C1849" s="7" t="s">
        <v>13</v>
      </c>
      <c r="D1849" s="4" t="s">
        <v>99</v>
      </c>
      <c r="E1849" t="s">
        <v>490</v>
      </c>
      <c r="F1849" s="12" t="str">
        <f>IFERROR(VLOOKUP(B1849,'INSUMOS  JULIO'!$B$6:$CJ$109,57,0),"")</f>
        <v>0</v>
      </c>
      <c r="G1849" s="8">
        <f>IFERROR(VLOOKUP($B1849,'INSUMOS  JULIO'!$B$6:$CJ$109,58,0),"")</f>
        <v>2276.4660000000003</v>
      </c>
      <c r="H1849" s="19">
        <f t="shared" si="112"/>
        <v>0</v>
      </c>
      <c r="I1849" s="1">
        <f t="shared" si="113"/>
        <v>0</v>
      </c>
      <c r="J1849" s="1">
        <f t="shared" si="114"/>
        <v>0</v>
      </c>
      <c r="K1849" s="19">
        <f t="shared" si="115"/>
        <v>0</v>
      </c>
    </row>
    <row r="1850" spans="2:11" ht="15">
      <c r="B1850" s="151">
        <v>161</v>
      </c>
      <c r="C1850" s="7" t="s">
        <v>33</v>
      </c>
      <c r="D1850" s="4" t="s">
        <v>100</v>
      </c>
      <c r="E1850" t="s">
        <v>490</v>
      </c>
      <c r="F1850" s="12" t="str">
        <f>IFERROR(VLOOKUP(B1850,'INSUMOS  JULIO'!$B$6:$CJ$109,57,0),"")</f>
        <v>0</v>
      </c>
      <c r="G1850" s="8">
        <f>IFERROR(VLOOKUP($B1850,'INSUMOS  JULIO'!$B$6:$CJ$109,58,0),"")</f>
        <v>2236.5280000000002</v>
      </c>
      <c r="H1850" s="19">
        <f t="shared" si="112"/>
        <v>0</v>
      </c>
      <c r="I1850" s="1">
        <f t="shared" si="113"/>
        <v>0</v>
      </c>
      <c r="J1850" s="1">
        <f t="shared" si="114"/>
        <v>0</v>
      </c>
      <c r="K1850" s="19">
        <f t="shared" si="115"/>
        <v>0</v>
      </c>
    </row>
    <row r="1851" spans="2:11" ht="15">
      <c r="B1851" s="151">
        <v>162</v>
      </c>
      <c r="C1851" s="7" t="s">
        <v>16</v>
      </c>
      <c r="D1851" s="4" t="s">
        <v>101</v>
      </c>
      <c r="E1851" t="s">
        <v>490</v>
      </c>
      <c r="F1851" s="12">
        <f>IFERROR(VLOOKUP(B1851,'INSUMOS  JULIO'!$B$6:$CJ$109,57,0),"")</f>
        <v>0</v>
      </c>
      <c r="G1851" s="8">
        <f>IFERROR(VLOOKUP($B1851,'INSUMOS  JULIO'!$B$6:$CJ$109,58,0),"")</f>
        <v>2684.2539999999999</v>
      </c>
      <c r="H1851" s="19">
        <f t="shared" si="112"/>
        <v>0</v>
      </c>
      <c r="I1851" s="1">
        <f t="shared" si="113"/>
        <v>0</v>
      </c>
      <c r="J1851" s="1">
        <f t="shared" si="114"/>
        <v>0</v>
      </c>
      <c r="K1851" s="19">
        <f t="shared" si="115"/>
        <v>0</v>
      </c>
    </row>
    <row r="1852" spans="2:11" ht="15">
      <c r="B1852" s="151">
        <v>164</v>
      </c>
      <c r="C1852" s="7" t="s">
        <v>36</v>
      </c>
      <c r="D1852" s="4" t="s">
        <v>102</v>
      </c>
      <c r="E1852" t="s">
        <v>490</v>
      </c>
      <c r="F1852" s="12" t="str">
        <f>IFERROR(VLOOKUP(B1852,'INSUMOS  JULIO'!$B$6:$CJ$109,57,0),"")</f>
        <v>0</v>
      </c>
      <c r="G1852" s="8">
        <f>IFERROR(VLOOKUP($B1852,'INSUMOS  JULIO'!$B$6:$CJ$109,58,0),"")</f>
        <v>1658.4780000000001</v>
      </c>
      <c r="H1852" s="19">
        <f t="shared" si="112"/>
        <v>0</v>
      </c>
      <c r="I1852" s="1">
        <f t="shared" si="113"/>
        <v>0</v>
      </c>
      <c r="J1852" s="1">
        <f t="shared" si="114"/>
        <v>0</v>
      </c>
      <c r="K1852" s="19">
        <f t="shared" si="115"/>
        <v>0</v>
      </c>
    </row>
    <row r="1853" spans="2:11" ht="15">
      <c r="B1853" s="151">
        <v>169</v>
      </c>
      <c r="C1853" s="7" t="s">
        <v>36</v>
      </c>
      <c r="D1853" s="4" t="s">
        <v>104</v>
      </c>
      <c r="E1853" t="s">
        <v>490</v>
      </c>
      <c r="F1853" s="12" t="str">
        <f>IFERROR(VLOOKUP(B1853,'INSUMOS  JULIO'!$B$6:$CJ$109,57,0),"")</f>
        <v>0</v>
      </c>
      <c r="G1853" s="8">
        <f>IFERROR(VLOOKUP($B1853,'INSUMOS  JULIO'!$B$6:$CJ$109,58,0),"")</f>
        <v>85897.178999999989</v>
      </c>
      <c r="H1853" s="19">
        <f t="shared" si="112"/>
        <v>0</v>
      </c>
      <c r="I1853" s="1">
        <f t="shared" si="113"/>
        <v>0</v>
      </c>
      <c r="J1853" s="1">
        <f t="shared" si="114"/>
        <v>0</v>
      </c>
      <c r="K1853" s="19">
        <f t="shared" si="115"/>
        <v>0</v>
      </c>
    </row>
    <row r="1854" spans="2:11" ht="15">
      <c r="B1854" s="151">
        <v>170</v>
      </c>
      <c r="C1854" s="7" t="s">
        <v>105</v>
      </c>
      <c r="D1854" s="4" t="s">
        <v>106</v>
      </c>
      <c r="E1854" t="s">
        <v>490</v>
      </c>
      <c r="F1854" s="12">
        <f>IFERROR(VLOOKUP(B1854,'INSUMOS  JULIO'!$B$6:$CJ$109,57,0),"")</f>
        <v>0</v>
      </c>
      <c r="G1854" s="8">
        <f>IFERROR(VLOOKUP($B1854,'INSUMOS  JULIO'!$B$6:$CJ$109,58,0),"")</f>
        <v>19405.664000000001</v>
      </c>
      <c r="H1854" s="19">
        <f t="shared" si="112"/>
        <v>0</v>
      </c>
      <c r="I1854" s="1">
        <f t="shared" si="113"/>
        <v>0</v>
      </c>
      <c r="J1854" s="1">
        <f t="shared" si="114"/>
        <v>0</v>
      </c>
      <c r="K1854" s="19">
        <f t="shared" si="115"/>
        <v>0</v>
      </c>
    </row>
    <row r="1855" spans="2:11" ht="15">
      <c r="B1855" s="151">
        <v>173</v>
      </c>
      <c r="C1855" s="7" t="s">
        <v>105</v>
      </c>
      <c r="D1855" s="4" t="s">
        <v>107</v>
      </c>
      <c r="E1855" t="s">
        <v>490</v>
      </c>
      <c r="F1855" s="12" t="str">
        <f>IFERROR(VLOOKUP(B1855,'INSUMOS  JULIO'!$B$6:$CJ$109,57,0),"")</f>
        <v>0</v>
      </c>
      <c r="G1855" s="8">
        <f>IFERROR(VLOOKUP($B1855,'INSUMOS  JULIO'!$B$6:$CJ$109,58,0),"")</f>
        <v>0</v>
      </c>
      <c r="H1855" s="19">
        <f t="shared" si="112"/>
        <v>0</v>
      </c>
      <c r="I1855" s="1">
        <f t="shared" si="113"/>
        <v>0</v>
      </c>
      <c r="J1855" s="1">
        <f t="shared" si="114"/>
        <v>0</v>
      </c>
      <c r="K1855" s="19">
        <f t="shared" si="115"/>
        <v>0</v>
      </c>
    </row>
    <row r="1856" spans="2:11" ht="15">
      <c r="B1856" s="151">
        <v>174</v>
      </c>
      <c r="C1856" s="7" t="s">
        <v>108</v>
      </c>
      <c r="D1856" s="4" t="s">
        <v>109</v>
      </c>
      <c r="E1856" t="s">
        <v>490</v>
      </c>
      <c r="F1856" s="12" t="str">
        <f>IFERROR(VLOOKUP(B1856,'INSUMOS  JULIO'!$B$6:$CJ$109,57,0),"")</f>
        <v>0</v>
      </c>
      <c r="G1856" s="8">
        <f>IFERROR(VLOOKUP($B1856,'INSUMOS  JULIO'!$B$6:$CJ$109,58,0),"")</f>
        <v>6081.0860000000002</v>
      </c>
      <c r="H1856" s="19">
        <f t="shared" si="112"/>
        <v>0</v>
      </c>
      <c r="I1856" s="1">
        <f t="shared" si="113"/>
        <v>0</v>
      </c>
      <c r="J1856" s="1">
        <f t="shared" si="114"/>
        <v>0</v>
      </c>
      <c r="K1856" s="19">
        <f t="shared" si="115"/>
        <v>0</v>
      </c>
    </row>
    <row r="1857" spans="2:11" ht="15">
      <c r="B1857" s="151">
        <v>176</v>
      </c>
      <c r="C1857" s="7" t="s">
        <v>108</v>
      </c>
      <c r="D1857" s="4" t="s">
        <v>110</v>
      </c>
      <c r="E1857" t="s">
        <v>490</v>
      </c>
      <c r="F1857" s="12" t="str">
        <f>IFERROR(VLOOKUP(B1857,'INSUMOS  JULIO'!$B$6:$CJ$109,57,0),"")</f>
        <v>0</v>
      </c>
      <c r="G1857" s="8">
        <f>IFERROR(VLOOKUP($B1857,'INSUMOS  JULIO'!$B$6:$CJ$109,58,0),"")</f>
        <v>2749.4160000000002</v>
      </c>
      <c r="H1857" s="19">
        <f t="shared" si="112"/>
        <v>0</v>
      </c>
      <c r="I1857" s="1">
        <f t="shared" si="113"/>
        <v>0</v>
      </c>
      <c r="J1857" s="1">
        <f t="shared" si="114"/>
        <v>0</v>
      </c>
      <c r="K1857" s="19">
        <f t="shared" si="115"/>
        <v>0</v>
      </c>
    </row>
    <row r="1858" spans="2:11" ht="15">
      <c r="B1858" s="151">
        <v>192</v>
      </c>
      <c r="C1858" s="7" t="s">
        <v>149</v>
      </c>
      <c r="D1858" s="4" t="s">
        <v>111</v>
      </c>
      <c r="E1858" t="s">
        <v>490</v>
      </c>
      <c r="F1858" s="12">
        <f>IFERROR(VLOOKUP(B1858,'INSUMOS  JULIO'!$B$6:$CJ$109,57,0),"")</f>
        <v>40</v>
      </c>
      <c r="G1858" s="8">
        <f>IFERROR(VLOOKUP($B1858,'INSUMOS  JULIO'!$B$6:$CJ$109,58,0),"")</f>
        <v>3930.7400000000002</v>
      </c>
      <c r="H1858" s="19">
        <f t="shared" si="112"/>
        <v>157229.6</v>
      </c>
      <c r="I1858" s="1">
        <f t="shared" si="113"/>
        <v>15722.960000000001</v>
      </c>
      <c r="J1858" s="1">
        <f t="shared" si="114"/>
        <v>2987.3624000000004</v>
      </c>
      <c r="K1858" s="19">
        <f t="shared" si="115"/>
        <v>175939.92240000001</v>
      </c>
    </row>
    <row r="1859" spans="2:11" ht="15">
      <c r="B1859" s="151">
        <v>195</v>
      </c>
      <c r="C1859" s="7" t="s">
        <v>149</v>
      </c>
      <c r="D1859" s="4" t="s">
        <v>112</v>
      </c>
      <c r="E1859" t="s">
        <v>490</v>
      </c>
      <c r="F1859" s="12">
        <f>IFERROR(VLOOKUP(B1859,'INSUMOS  JULIO'!$B$6:$CJ$109,57,0),"")</f>
        <v>40</v>
      </c>
      <c r="G1859" s="8">
        <f>IFERROR(VLOOKUP($B1859,'INSUMOS  JULIO'!$B$6:$CJ$109,58,0),"")</f>
        <v>10697.1831</v>
      </c>
      <c r="H1859" s="19">
        <f t="shared" si="112"/>
        <v>427887.32400000002</v>
      </c>
      <c r="I1859" s="1">
        <f t="shared" si="113"/>
        <v>42788.732400000008</v>
      </c>
      <c r="J1859" s="1">
        <f t="shared" si="114"/>
        <v>8129.8591560000013</v>
      </c>
      <c r="K1859" s="19">
        <f t="shared" si="115"/>
        <v>478805.91555600002</v>
      </c>
    </row>
    <row r="1860" spans="2:11" ht="15">
      <c r="B1860" s="151">
        <v>204</v>
      </c>
      <c r="C1860" s="7" t="s">
        <v>150</v>
      </c>
      <c r="D1860" s="4" t="s">
        <v>113</v>
      </c>
      <c r="E1860" t="s">
        <v>490</v>
      </c>
      <c r="F1860" s="12">
        <f>IFERROR(VLOOKUP(B1860,'INSUMOS  JULIO'!$B$6:$CJ$109,57,0),"")</f>
        <v>12</v>
      </c>
      <c r="G1860" s="8">
        <f>IFERROR(VLOOKUP($B1860,'INSUMOS  JULIO'!$B$6:$CJ$109,58,0),"")</f>
        <v>14760.243999999999</v>
      </c>
      <c r="H1860" s="19">
        <f t="shared" si="112"/>
        <v>177122.92799999999</v>
      </c>
      <c r="I1860" s="1">
        <f t="shared" si="113"/>
        <v>17712.292799999999</v>
      </c>
      <c r="J1860" s="1">
        <f t="shared" si="114"/>
        <v>3365.3356319999998</v>
      </c>
      <c r="K1860" s="19">
        <f t="shared" si="115"/>
        <v>198200.55643199998</v>
      </c>
    </row>
    <row r="1861" spans="2:11" ht="27">
      <c r="B1861" s="151">
        <v>205</v>
      </c>
      <c r="C1861" s="7" t="s">
        <v>150</v>
      </c>
      <c r="D1861" s="4" t="s">
        <v>114</v>
      </c>
      <c r="E1861" t="s">
        <v>490</v>
      </c>
      <c r="F1861" s="12" t="str">
        <f>IFERROR(VLOOKUP(B1861,'INSUMOS  JULIO'!$B$6:$CJ$109,57,0),"")</f>
        <v>0</v>
      </c>
      <c r="G1861" s="8">
        <f>IFERROR(VLOOKUP($B1861,'INSUMOS  JULIO'!$B$6:$CJ$109,58,0),"")</f>
        <v>17690.432000000001</v>
      </c>
      <c r="H1861" s="19">
        <f t="shared" si="112"/>
        <v>0</v>
      </c>
      <c r="I1861" s="1">
        <f t="shared" si="113"/>
        <v>0</v>
      </c>
      <c r="J1861" s="1">
        <f t="shared" si="114"/>
        <v>0</v>
      </c>
      <c r="K1861" s="19">
        <f t="shared" si="115"/>
        <v>0</v>
      </c>
    </row>
    <row r="1862" spans="2:11" ht="15">
      <c r="B1862" s="151">
        <v>207</v>
      </c>
      <c r="C1862" s="7" t="s">
        <v>159</v>
      </c>
      <c r="D1862" s="4" t="s">
        <v>115</v>
      </c>
      <c r="E1862" t="s">
        <v>490</v>
      </c>
      <c r="F1862" s="12" t="str">
        <f>IFERROR(VLOOKUP(B1862,'INSUMOS  JULIO'!$B$6:$CJ$109,57,0),"")</f>
        <v>0</v>
      </c>
      <c r="G1862" s="8">
        <f>IFERROR(VLOOKUP($B1862,'INSUMOS  JULIO'!$B$6:$CJ$109,58,0),"")</f>
        <v>7186.7380000000003</v>
      </c>
      <c r="H1862" s="19">
        <f t="shared" ref="H1862:H1925" si="116">+F1862*G1862</f>
        <v>0</v>
      </c>
      <c r="I1862" s="1">
        <f t="shared" ref="I1862:I1925" si="117">+H1862*10%</f>
        <v>0</v>
      </c>
      <c r="J1862" s="1">
        <f t="shared" ref="J1862:J1925" si="118">+I1862*19%</f>
        <v>0</v>
      </c>
      <c r="K1862" s="19">
        <f t="shared" ref="K1862:K1925" si="119">SUM(H1862:J1862)</f>
        <v>0</v>
      </c>
    </row>
    <row r="1863" spans="2:11" ht="15">
      <c r="B1863" s="151">
        <v>208</v>
      </c>
      <c r="C1863" s="7" t="s">
        <v>159</v>
      </c>
      <c r="D1863" s="4" t="s">
        <v>634</v>
      </c>
      <c r="E1863" t="s">
        <v>490</v>
      </c>
      <c r="F1863" s="12" t="str">
        <f>IFERROR(VLOOKUP(B1863,'INSUMOS  JULIO'!$B$6:$CJ$109,57,0),"")</f>
        <v>0</v>
      </c>
      <c r="G1863" s="8">
        <f>IFERROR(VLOOKUP($B1863,'INSUMOS  JULIO'!$B$6:$CJ$109,58,0),"")</f>
        <v>50779.065000000002</v>
      </c>
      <c r="H1863" s="19">
        <f t="shared" si="116"/>
        <v>0</v>
      </c>
      <c r="I1863" s="1">
        <f t="shared" si="117"/>
        <v>0</v>
      </c>
      <c r="J1863" s="1">
        <f t="shared" si="118"/>
        <v>0</v>
      </c>
      <c r="K1863" s="19">
        <f t="shared" si="119"/>
        <v>0</v>
      </c>
    </row>
    <row r="1864" spans="2:11" ht="15">
      <c r="B1864" s="151">
        <v>209</v>
      </c>
      <c r="C1864" s="7" t="s">
        <v>159</v>
      </c>
      <c r="D1864" s="4" t="s">
        <v>635</v>
      </c>
      <c r="E1864" t="s">
        <v>490</v>
      </c>
      <c r="F1864" s="12" t="str">
        <f>IFERROR(VLOOKUP(B1864,'INSUMOS  JULIO'!$B$6:$CJ$109,57,0),"")</f>
        <v>0</v>
      </c>
      <c r="G1864" s="8">
        <f>IFERROR(VLOOKUP($B1864,'INSUMOS  JULIO'!$B$6:$CJ$109,58,0),"")</f>
        <v>37357.794999999998</v>
      </c>
      <c r="H1864" s="19">
        <f t="shared" si="116"/>
        <v>0</v>
      </c>
      <c r="I1864" s="1">
        <f t="shared" si="117"/>
        <v>0</v>
      </c>
      <c r="J1864" s="1">
        <f t="shared" si="118"/>
        <v>0</v>
      </c>
      <c r="K1864" s="19">
        <f t="shared" si="119"/>
        <v>0</v>
      </c>
    </row>
    <row r="1865" spans="2:11" ht="15">
      <c r="B1865" s="151">
        <v>210</v>
      </c>
      <c r="C1865" s="7" t="s">
        <v>159</v>
      </c>
      <c r="D1865" s="4" t="s">
        <v>636</v>
      </c>
      <c r="E1865" t="s">
        <v>490</v>
      </c>
      <c r="F1865" s="12" t="str">
        <f>IFERROR(VLOOKUP(B1865,'INSUMOS  JULIO'!$B$6:$CJ$109,57,0),"")</f>
        <v>0</v>
      </c>
      <c r="G1865" s="8">
        <f>IFERROR(VLOOKUP($B1865,'INSUMOS  JULIO'!$B$6:$CJ$109,58,0),"")</f>
        <v>22537.643999999997</v>
      </c>
      <c r="H1865" s="19">
        <f t="shared" si="116"/>
        <v>0</v>
      </c>
      <c r="I1865" s="1">
        <f t="shared" si="117"/>
        <v>0</v>
      </c>
      <c r="J1865" s="1">
        <f t="shared" si="118"/>
        <v>0</v>
      </c>
      <c r="K1865" s="19">
        <f t="shared" si="119"/>
        <v>0</v>
      </c>
    </row>
    <row r="1866" spans="2:11" ht="15">
      <c r="B1866" s="151">
        <v>211</v>
      </c>
      <c r="C1866" s="7" t="s">
        <v>53</v>
      </c>
      <c r="D1866" s="4" t="s">
        <v>637</v>
      </c>
      <c r="E1866" t="s">
        <v>490</v>
      </c>
      <c r="F1866" s="12" t="str">
        <f>IFERROR(VLOOKUP(B1866,'INSUMOS  JULIO'!$B$6:$CJ$109,57,0),"")</f>
        <v>0</v>
      </c>
      <c r="G1866" s="8">
        <f>IFERROR(VLOOKUP($B1866,'INSUMOS  JULIO'!$B$6:$CJ$109,58,0),"")</f>
        <v>15992.016</v>
      </c>
      <c r="H1866" s="19">
        <f t="shared" si="116"/>
        <v>0</v>
      </c>
      <c r="I1866" s="1">
        <f t="shared" si="117"/>
        <v>0</v>
      </c>
      <c r="J1866" s="1">
        <f t="shared" si="118"/>
        <v>0</v>
      </c>
      <c r="K1866" s="19">
        <f t="shared" si="119"/>
        <v>0</v>
      </c>
    </row>
    <row r="1867" spans="2:11" ht="15">
      <c r="B1867" s="151">
        <v>212</v>
      </c>
      <c r="C1867" s="7" t="s">
        <v>53</v>
      </c>
      <c r="D1867" s="4" t="s">
        <v>116</v>
      </c>
      <c r="E1867" t="s">
        <v>490</v>
      </c>
      <c r="F1867" s="12" t="str">
        <f>IFERROR(VLOOKUP(B1867,'INSUMOS  JULIO'!$B$6:$CJ$109,57,0),"")</f>
        <v>0</v>
      </c>
      <c r="G1867" s="8">
        <f>IFERROR(VLOOKUP($B1867,'INSUMOS  JULIO'!$B$6:$CJ$109,58,0),"")</f>
        <v>2505.5839999999998</v>
      </c>
      <c r="H1867" s="19">
        <f t="shared" si="116"/>
        <v>0</v>
      </c>
      <c r="I1867" s="1">
        <f t="shared" si="117"/>
        <v>0</v>
      </c>
      <c r="J1867" s="1">
        <f t="shared" si="118"/>
        <v>0</v>
      </c>
      <c r="K1867" s="19">
        <f t="shared" si="119"/>
        <v>0</v>
      </c>
    </row>
    <row r="1868" spans="2:11" ht="15">
      <c r="B1868" s="151">
        <v>213</v>
      </c>
      <c r="C1868" s="7" t="s">
        <v>53</v>
      </c>
      <c r="D1868" s="4" t="s">
        <v>638</v>
      </c>
      <c r="E1868" t="s">
        <v>490</v>
      </c>
      <c r="F1868" s="12" t="str">
        <f>IFERROR(VLOOKUP(B1868,'INSUMOS  JULIO'!$B$6:$CJ$109,57,0),"")</f>
        <v>0</v>
      </c>
      <c r="G1868" s="8">
        <f>IFERROR(VLOOKUP($B1868,'INSUMOS  JULIO'!$B$6:$CJ$109,58,0),"")</f>
        <v>0</v>
      </c>
      <c r="H1868" s="19">
        <f t="shared" si="116"/>
        <v>0</v>
      </c>
      <c r="I1868" s="1">
        <f t="shared" si="117"/>
        <v>0</v>
      </c>
      <c r="J1868" s="1">
        <f t="shared" si="118"/>
        <v>0</v>
      </c>
      <c r="K1868" s="19">
        <f t="shared" si="119"/>
        <v>0</v>
      </c>
    </row>
    <row r="1869" spans="2:11" ht="15">
      <c r="B1869" s="151">
        <v>215</v>
      </c>
      <c r="C1869" s="7" t="s">
        <v>53</v>
      </c>
      <c r="D1869" s="4" t="s">
        <v>639</v>
      </c>
      <c r="E1869" t="s">
        <v>490</v>
      </c>
      <c r="F1869" s="12" t="str">
        <f>IFERROR(VLOOKUP(B1869,'INSUMOS  JULIO'!$B$6:$CJ$109,57,0),"")</f>
        <v>0</v>
      </c>
      <c r="G1869" s="8">
        <f>IFERROR(VLOOKUP($B1869,'INSUMOS  JULIO'!$B$6:$CJ$109,58,0),"")</f>
        <v>10476.367999999999</v>
      </c>
      <c r="H1869" s="19">
        <f t="shared" si="116"/>
        <v>0</v>
      </c>
      <c r="I1869" s="1">
        <f t="shared" si="117"/>
        <v>0</v>
      </c>
      <c r="J1869" s="1">
        <f t="shared" si="118"/>
        <v>0</v>
      </c>
      <c r="K1869" s="19">
        <f t="shared" si="119"/>
        <v>0</v>
      </c>
    </row>
    <row r="1870" spans="2:11" ht="15">
      <c r="B1870" s="151">
        <v>216</v>
      </c>
      <c r="C1870" s="7" t="s">
        <v>160</v>
      </c>
      <c r="D1870" s="4" t="s">
        <v>640</v>
      </c>
      <c r="E1870" t="s">
        <v>490</v>
      </c>
      <c r="F1870" s="12" t="str">
        <f>IFERROR(VLOOKUP(B1870,'INSUMOS  JULIO'!$B$6:$CJ$109,57,0),"")</f>
        <v>0</v>
      </c>
      <c r="G1870" s="8">
        <f>IFERROR(VLOOKUP($B1870,'INSUMOS  JULIO'!$B$6:$CJ$109,58,0),"")</f>
        <v>3954.9129999999996</v>
      </c>
      <c r="H1870" s="19">
        <f t="shared" si="116"/>
        <v>0</v>
      </c>
      <c r="I1870" s="1">
        <f t="shared" si="117"/>
        <v>0</v>
      </c>
      <c r="J1870" s="1">
        <f t="shared" si="118"/>
        <v>0</v>
      </c>
      <c r="K1870" s="19">
        <f t="shared" si="119"/>
        <v>0</v>
      </c>
    </row>
    <row r="1871" spans="2:11" ht="15">
      <c r="B1871" s="151">
        <v>218</v>
      </c>
      <c r="C1871" s="7" t="s">
        <v>160</v>
      </c>
      <c r="D1871" s="4" t="s">
        <v>117</v>
      </c>
      <c r="E1871" t="s">
        <v>490</v>
      </c>
      <c r="F1871" s="12" t="str">
        <f>IFERROR(VLOOKUP(B1871,'INSUMOS  JULIO'!$B$6:$CJ$109,57,0),"")</f>
        <v>0</v>
      </c>
      <c r="G1871" s="8">
        <f>IFERROR(VLOOKUP($B1871,'INSUMOS  JULIO'!$B$6:$CJ$109,58,0),"")</f>
        <v>1437.768</v>
      </c>
      <c r="H1871" s="19">
        <f t="shared" si="116"/>
        <v>0</v>
      </c>
      <c r="I1871" s="1">
        <f t="shared" si="117"/>
        <v>0</v>
      </c>
      <c r="J1871" s="1">
        <f t="shared" si="118"/>
        <v>0</v>
      </c>
      <c r="K1871" s="19">
        <f t="shared" si="119"/>
        <v>0</v>
      </c>
    </row>
    <row r="1872" spans="2:11" ht="15">
      <c r="B1872" s="151">
        <v>251</v>
      </c>
      <c r="C1872" s="7" t="s">
        <v>60</v>
      </c>
      <c r="D1872" s="4" t="s">
        <v>118</v>
      </c>
      <c r="E1872" t="s">
        <v>490</v>
      </c>
      <c r="F1872" s="12" t="str">
        <f>IFERROR(VLOOKUP(B1872,'INSUMOS  JULIO'!$B$6:$CJ$109,57,0),"")</f>
        <v>0</v>
      </c>
      <c r="G1872" s="8">
        <f>IFERROR(VLOOKUP($B1872,'INSUMOS  JULIO'!$B$6:$CJ$109,58,0),"")</f>
        <v>16031.954000000002</v>
      </c>
      <c r="H1872" s="19">
        <f t="shared" si="116"/>
        <v>0</v>
      </c>
      <c r="I1872" s="1">
        <f t="shared" si="117"/>
        <v>0</v>
      </c>
      <c r="J1872" s="1">
        <f t="shared" si="118"/>
        <v>0</v>
      </c>
      <c r="K1872" s="19">
        <f t="shared" si="119"/>
        <v>0</v>
      </c>
    </row>
    <row r="1873" spans="2:11" ht="15">
      <c r="B1873" s="151">
        <v>255</v>
      </c>
      <c r="C1873" s="7" t="s">
        <v>60</v>
      </c>
      <c r="D1873" s="4" t="s">
        <v>641</v>
      </c>
      <c r="E1873" t="s">
        <v>490</v>
      </c>
      <c r="F1873" s="12" t="str">
        <f>IFERROR(VLOOKUP(B1873,'INSUMOS  JULIO'!$B$6:$CJ$109,57,0),"")</f>
        <v>0</v>
      </c>
      <c r="G1873" s="8">
        <f>IFERROR(VLOOKUP($B1873,'INSUMOS  JULIO'!$B$6:$CJ$109,58,0),"")</f>
        <v>29299.777999999998</v>
      </c>
      <c r="H1873" s="19">
        <f t="shared" si="116"/>
        <v>0</v>
      </c>
      <c r="I1873" s="1">
        <f t="shared" si="117"/>
        <v>0</v>
      </c>
      <c r="J1873" s="1">
        <f t="shared" si="118"/>
        <v>0</v>
      </c>
      <c r="K1873" s="19">
        <f t="shared" si="119"/>
        <v>0</v>
      </c>
    </row>
    <row r="1874" spans="2:11" ht="15">
      <c r="B1874" s="151">
        <v>257</v>
      </c>
      <c r="C1874" s="7" t="s">
        <v>151</v>
      </c>
      <c r="D1874" s="4" t="s">
        <v>642</v>
      </c>
      <c r="E1874" t="s">
        <v>490</v>
      </c>
      <c r="F1874" s="12" t="str">
        <f>IFERROR(VLOOKUP(B1874,'INSUMOS  JULIO'!$B$6:$CJ$109,57,0),"")</f>
        <v>0</v>
      </c>
      <c r="G1874" s="8">
        <f>IFERROR(VLOOKUP($B1874,'INSUMOS  JULIO'!$B$6:$CJ$109,58,0),"")</f>
        <v>18796.084000000003</v>
      </c>
      <c r="H1874" s="19">
        <f t="shared" si="116"/>
        <v>0</v>
      </c>
      <c r="I1874" s="1">
        <f t="shared" si="117"/>
        <v>0</v>
      </c>
      <c r="J1874" s="1">
        <f t="shared" si="118"/>
        <v>0</v>
      </c>
      <c r="K1874" s="19">
        <f t="shared" si="119"/>
        <v>0</v>
      </c>
    </row>
    <row r="1875" spans="2:11" ht="15">
      <c r="B1875" s="151">
        <v>260</v>
      </c>
      <c r="C1875" s="7" t="s">
        <v>160</v>
      </c>
      <c r="D1875" s="4" t="s">
        <v>643</v>
      </c>
      <c r="E1875" t="s">
        <v>490</v>
      </c>
      <c r="F1875" s="12" t="str">
        <f>IFERROR(VLOOKUP(B1875,'INSUMOS  JULIO'!$B$6:$CJ$109,57,0),"")</f>
        <v>0</v>
      </c>
      <c r="G1875" s="8">
        <f>IFERROR(VLOOKUP($B1875,'INSUMOS  JULIO'!$B$6:$CJ$109,58,0),"")</f>
        <v>3417.8520000000008</v>
      </c>
      <c r="H1875" s="19">
        <f t="shared" si="116"/>
        <v>0</v>
      </c>
      <c r="I1875" s="1">
        <f t="shared" si="117"/>
        <v>0</v>
      </c>
      <c r="J1875" s="1">
        <f t="shared" si="118"/>
        <v>0</v>
      </c>
      <c r="K1875" s="19">
        <f t="shared" si="119"/>
        <v>0</v>
      </c>
    </row>
    <row r="1876" spans="2:11" ht="15">
      <c r="B1876" s="151">
        <v>291</v>
      </c>
      <c r="C1876" s="7" t="s">
        <v>60</v>
      </c>
      <c r="D1876" s="4" t="s">
        <v>644</v>
      </c>
      <c r="E1876" t="s">
        <v>490</v>
      </c>
      <c r="F1876" s="12" t="str">
        <f>IFERROR(VLOOKUP(B1876,'INSUMOS  JULIO'!$B$6:$CJ$109,57,0),"")</f>
        <v>0</v>
      </c>
      <c r="G1876" s="8">
        <f>IFERROR(VLOOKUP($B1876,'INSUMOS  JULIO'!$B$6:$CJ$109,58,0),"")</f>
        <v>20454.562000000005</v>
      </c>
      <c r="H1876" s="19">
        <f t="shared" si="116"/>
        <v>0</v>
      </c>
      <c r="I1876" s="1">
        <f t="shared" si="117"/>
        <v>0</v>
      </c>
      <c r="J1876" s="1">
        <f t="shared" si="118"/>
        <v>0</v>
      </c>
      <c r="K1876" s="19">
        <f t="shared" si="119"/>
        <v>0</v>
      </c>
    </row>
    <row r="1877" spans="2:11" ht="15">
      <c r="B1877" s="151">
        <v>3</v>
      </c>
      <c r="C1877" s="7" t="s">
        <v>155</v>
      </c>
      <c r="D1877" s="4" t="s">
        <v>5</v>
      </c>
      <c r="E1877" t="s">
        <v>491</v>
      </c>
      <c r="F1877" s="12" t="str">
        <f>IFERROR(VLOOKUP($B1877,'INSUMOS  JULIO'!$B$6:$CJ$109,60,0),"")</f>
        <v>0</v>
      </c>
      <c r="G1877" s="8">
        <f>IFERROR(VLOOKUP($B1877,'INSUMOS  JULIO'!$B$6:$CJ$109,61,0),"")</f>
        <v>7268.7160000000003</v>
      </c>
      <c r="H1877" s="19">
        <f t="shared" si="116"/>
        <v>0</v>
      </c>
      <c r="I1877" s="1">
        <f t="shared" si="117"/>
        <v>0</v>
      </c>
      <c r="J1877" s="1">
        <f t="shared" si="118"/>
        <v>0</v>
      </c>
      <c r="K1877" s="19">
        <f t="shared" si="119"/>
        <v>0</v>
      </c>
    </row>
    <row r="1878" spans="2:11" ht="15">
      <c r="B1878" s="151">
        <v>5</v>
      </c>
      <c r="C1878" s="7" t="s">
        <v>6</v>
      </c>
      <c r="D1878" s="4" t="s">
        <v>7</v>
      </c>
      <c r="E1878" t="s">
        <v>491</v>
      </c>
      <c r="F1878" s="12" t="str">
        <f>IFERROR(VLOOKUP(B1878,'INSUMOS  JULIO'!$B$6:$CJ$109,60,0),"")</f>
        <v>0</v>
      </c>
      <c r="G1878" s="8">
        <f>IFERROR(VLOOKUP($B1878,'INSUMOS  JULIO'!$B$6:$CJ$109,61,0),"")</f>
        <v>6494.1289999999999</v>
      </c>
      <c r="H1878" s="19">
        <f t="shared" si="116"/>
        <v>0</v>
      </c>
      <c r="I1878" s="1">
        <f t="shared" si="117"/>
        <v>0</v>
      </c>
      <c r="J1878" s="1">
        <f t="shared" si="118"/>
        <v>0</v>
      </c>
      <c r="K1878" s="19">
        <f t="shared" si="119"/>
        <v>0</v>
      </c>
    </row>
    <row r="1879" spans="2:11" ht="15">
      <c r="B1879" s="151">
        <v>8</v>
      </c>
      <c r="C1879" s="7" t="s">
        <v>6</v>
      </c>
      <c r="D1879" s="4" t="s">
        <v>8</v>
      </c>
      <c r="E1879" t="s">
        <v>491</v>
      </c>
      <c r="F1879" s="12">
        <f>IFERROR(VLOOKUP(B1879,'INSUMOS  JULIO'!$B$6:$CJ$109,60,0),"")</f>
        <v>0</v>
      </c>
      <c r="G1879" s="8">
        <f>IFERROR(VLOOKUP($B1879,'INSUMOS  JULIO'!$B$6:$CJ$109,61,0),"")</f>
        <v>2211.3040000000001</v>
      </c>
      <c r="H1879" s="19">
        <f t="shared" si="116"/>
        <v>0</v>
      </c>
      <c r="I1879" s="1">
        <f t="shared" si="117"/>
        <v>0</v>
      </c>
      <c r="J1879" s="1">
        <f t="shared" si="118"/>
        <v>0</v>
      </c>
      <c r="K1879" s="19">
        <f t="shared" si="119"/>
        <v>0</v>
      </c>
    </row>
    <row r="1880" spans="2:11" ht="15">
      <c r="B1880" s="151">
        <v>9</v>
      </c>
      <c r="C1880" s="7" t="s">
        <v>9</v>
      </c>
      <c r="D1880" s="4" t="s">
        <v>10</v>
      </c>
      <c r="E1880" t="s">
        <v>491</v>
      </c>
      <c r="F1880" s="12">
        <f>IFERROR(VLOOKUP(B1880,'INSUMOS  JULIO'!$B$6:$CJ$109,60,0),"")</f>
        <v>0</v>
      </c>
      <c r="G1880" s="8">
        <f>IFERROR(VLOOKUP($B1880,'INSUMOS  JULIO'!$B$6:$CJ$109,61,0),"")</f>
        <v>3298.0379999999996</v>
      </c>
      <c r="H1880" s="19">
        <f t="shared" si="116"/>
        <v>0</v>
      </c>
      <c r="I1880" s="1">
        <f t="shared" si="117"/>
        <v>0</v>
      </c>
      <c r="J1880" s="1">
        <f t="shared" si="118"/>
        <v>0</v>
      </c>
      <c r="K1880" s="19">
        <f t="shared" si="119"/>
        <v>0</v>
      </c>
    </row>
    <row r="1881" spans="2:11" ht="15">
      <c r="B1881" s="151">
        <v>11</v>
      </c>
      <c r="C1881" s="7" t="s">
        <v>156</v>
      </c>
      <c r="D1881" s="4" t="s">
        <v>11</v>
      </c>
      <c r="E1881" t="s">
        <v>491</v>
      </c>
      <c r="F1881" s="12" t="str">
        <f>IFERROR(VLOOKUP(B1881,'INSUMOS  JULIO'!$B$6:$CJ$109,60,0),"")</f>
        <v>0</v>
      </c>
      <c r="G1881" s="8">
        <f>IFERROR(VLOOKUP($B1881,'INSUMOS  JULIO'!$B$6:$CJ$109,61,0),"")</f>
        <v>7739.5639999999985</v>
      </c>
      <c r="H1881" s="19">
        <f t="shared" si="116"/>
        <v>0</v>
      </c>
      <c r="I1881" s="1">
        <f t="shared" si="117"/>
        <v>0</v>
      </c>
      <c r="J1881" s="1">
        <f t="shared" si="118"/>
        <v>0</v>
      </c>
      <c r="K1881" s="19">
        <f t="shared" si="119"/>
        <v>0</v>
      </c>
    </row>
    <row r="1882" spans="2:11" ht="15">
      <c r="B1882" s="151">
        <v>13</v>
      </c>
      <c r="C1882" s="7" t="s">
        <v>157</v>
      </c>
      <c r="D1882" s="4" t="s">
        <v>12</v>
      </c>
      <c r="E1882" t="s">
        <v>491</v>
      </c>
      <c r="F1882" s="12">
        <f>IFERROR(VLOOKUP(B1882,'INSUMOS  JULIO'!$B$6:$CJ$109,60,0),"")</f>
        <v>0</v>
      </c>
      <c r="G1882" s="8">
        <f>IFERROR(VLOOKUP($B1882,'INSUMOS  JULIO'!$B$6:$CJ$109,61,0),"")</f>
        <v>6507.7919999999995</v>
      </c>
      <c r="H1882" s="19">
        <f t="shared" si="116"/>
        <v>0</v>
      </c>
      <c r="I1882" s="1">
        <f t="shared" si="117"/>
        <v>0</v>
      </c>
      <c r="J1882" s="1">
        <f t="shared" si="118"/>
        <v>0</v>
      </c>
      <c r="K1882" s="19">
        <f t="shared" si="119"/>
        <v>0</v>
      </c>
    </row>
    <row r="1883" spans="2:11" ht="15">
      <c r="B1883" s="151">
        <v>17</v>
      </c>
      <c r="C1883" s="7" t="s">
        <v>13</v>
      </c>
      <c r="D1883" s="4" t="s">
        <v>14</v>
      </c>
      <c r="E1883" t="s">
        <v>491</v>
      </c>
      <c r="F1883" s="12">
        <f>IFERROR(VLOOKUP(B1883,'INSUMOS  JULIO'!$B$6:$CJ$109,60,0),"")</f>
        <v>0</v>
      </c>
      <c r="G1883" s="8">
        <f>IFERROR(VLOOKUP($B1883,'INSUMOS  JULIO'!$B$6:$CJ$109,61,0),"")</f>
        <v>5647.0229999999992</v>
      </c>
      <c r="H1883" s="19">
        <f t="shared" si="116"/>
        <v>0</v>
      </c>
      <c r="I1883" s="1">
        <f t="shared" si="117"/>
        <v>0</v>
      </c>
      <c r="J1883" s="1">
        <f t="shared" si="118"/>
        <v>0</v>
      </c>
      <c r="K1883" s="19">
        <f t="shared" si="119"/>
        <v>0</v>
      </c>
    </row>
    <row r="1884" spans="2:11" ht="15">
      <c r="B1884" s="151">
        <v>20</v>
      </c>
      <c r="C1884" s="7" t="s">
        <v>13</v>
      </c>
      <c r="D1884" s="4" t="s">
        <v>15</v>
      </c>
      <c r="E1884" t="s">
        <v>491</v>
      </c>
      <c r="F1884" s="12">
        <f>IFERROR(VLOOKUP(B1884,'INSUMOS  JULIO'!$B$6:$CJ$109,60,0),"")</f>
        <v>0</v>
      </c>
      <c r="G1884" s="8">
        <f>IFERROR(VLOOKUP($B1884,'INSUMOS  JULIO'!$B$6:$CJ$109,61,0),"")</f>
        <v>9851.5485000000008</v>
      </c>
      <c r="H1884" s="19">
        <f t="shared" si="116"/>
        <v>0</v>
      </c>
      <c r="I1884" s="1">
        <f t="shared" si="117"/>
        <v>0</v>
      </c>
      <c r="J1884" s="1">
        <f t="shared" si="118"/>
        <v>0</v>
      </c>
      <c r="K1884" s="19">
        <f t="shared" si="119"/>
        <v>0</v>
      </c>
    </row>
    <row r="1885" spans="2:11" ht="15">
      <c r="B1885" s="151">
        <v>21</v>
      </c>
      <c r="C1885" s="7" t="s">
        <v>16</v>
      </c>
      <c r="D1885" s="4" t="s">
        <v>17</v>
      </c>
      <c r="E1885" t="s">
        <v>491</v>
      </c>
      <c r="F1885" s="12">
        <f>IFERROR(VLOOKUP(B1885,'INSUMOS  JULIO'!$B$6:$CJ$109,60,0),"")</f>
        <v>0</v>
      </c>
      <c r="G1885" s="8">
        <f>IFERROR(VLOOKUP($B1885,'INSUMOS  JULIO'!$B$6:$CJ$109,61,0),"")</f>
        <v>5932.8950000000013</v>
      </c>
      <c r="H1885" s="19">
        <f t="shared" si="116"/>
        <v>0</v>
      </c>
      <c r="I1885" s="1">
        <f t="shared" si="117"/>
        <v>0</v>
      </c>
      <c r="J1885" s="1">
        <f t="shared" si="118"/>
        <v>0</v>
      </c>
      <c r="K1885" s="19">
        <f t="shared" si="119"/>
        <v>0</v>
      </c>
    </row>
    <row r="1886" spans="2:11" ht="15">
      <c r="B1886" s="151">
        <v>28</v>
      </c>
      <c r="C1886" s="7" t="s">
        <v>18</v>
      </c>
      <c r="D1886" s="4" t="s">
        <v>19</v>
      </c>
      <c r="E1886" t="s">
        <v>491</v>
      </c>
      <c r="F1886" s="12">
        <f>IFERROR(VLOOKUP(B1886,'INSUMOS  JULIO'!$B$6:$CJ$109,60,0),"")</f>
        <v>10</v>
      </c>
      <c r="G1886" s="8">
        <f>IFERROR(VLOOKUP($B1886,'INSUMOS  JULIO'!$B$6:$CJ$109,61,0),"")</f>
        <v>2764.13</v>
      </c>
      <c r="H1886" s="19">
        <f t="shared" si="116"/>
        <v>27641.300000000003</v>
      </c>
      <c r="I1886" s="1">
        <f t="shared" si="117"/>
        <v>2764.1300000000006</v>
      </c>
      <c r="J1886" s="1">
        <f t="shared" si="118"/>
        <v>525.18470000000013</v>
      </c>
      <c r="K1886" s="19">
        <f t="shared" si="119"/>
        <v>30930.614700000006</v>
      </c>
    </row>
    <row r="1887" spans="2:11" ht="15">
      <c r="B1887" s="151">
        <v>29</v>
      </c>
      <c r="C1887" s="7" t="s">
        <v>20</v>
      </c>
      <c r="D1887" s="4" t="s">
        <v>21</v>
      </c>
      <c r="E1887" t="s">
        <v>491</v>
      </c>
      <c r="F1887" s="12" t="str">
        <f>IFERROR(VLOOKUP(B1887,'INSUMOS  JULIO'!$B$6:$CJ$109,60,0),"")</f>
        <v>0</v>
      </c>
      <c r="G1887" s="8">
        <f>IFERROR(VLOOKUP($B1887,'INSUMOS  JULIO'!$B$6:$CJ$109,61,0),"")</f>
        <v>4829.3450000000012</v>
      </c>
      <c r="H1887" s="19">
        <f t="shared" si="116"/>
        <v>0</v>
      </c>
      <c r="I1887" s="1">
        <f t="shared" si="117"/>
        <v>0</v>
      </c>
      <c r="J1887" s="1">
        <f t="shared" si="118"/>
        <v>0</v>
      </c>
      <c r="K1887" s="19">
        <f t="shared" si="119"/>
        <v>0</v>
      </c>
    </row>
    <row r="1888" spans="2:11" ht="15">
      <c r="B1888" s="151">
        <v>32</v>
      </c>
      <c r="C1888" s="7" t="s">
        <v>22</v>
      </c>
      <c r="D1888" s="4" t="s">
        <v>23</v>
      </c>
      <c r="E1888" t="s">
        <v>491</v>
      </c>
      <c r="F1888" s="12">
        <f>IFERROR(VLOOKUP(B1888,'INSUMOS  JULIO'!$B$6:$CJ$109,60,0),"")</f>
        <v>0</v>
      </c>
      <c r="G1888" s="8">
        <f>IFERROR(VLOOKUP($B1888,'INSUMOS  JULIO'!$B$6:$CJ$109,61,0),"")</f>
        <v>4115.7160000000003</v>
      </c>
      <c r="H1888" s="19">
        <f t="shared" si="116"/>
        <v>0</v>
      </c>
      <c r="I1888" s="1">
        <f t="shared" si="117"/>
        <v>0</v>
      </c>
      <c r="J1888" s="1">
        <f t="shared" si="118"/>
        <v>0</v>
      </c>
      <c r="K1888" s="19">
        <f t="shared" si="119"/>
        <v>0</v>
      </c>
    </row>
    <row r="1889" spans="2:11" ht="15">
      <c r="B1889" s="151">
        <v>38</v>
      </c>
      <c r="C1889" s="7" t="s">
        <v>18</v>
      </c>
      <c r="D1889" s="4" t="s">
        <v>24</v>
      </c>
      <c r="E1889" t="s">
        <v>491</v>
      </c>
      <c r="F1889" s="12" t="str">
        <f>IFERROR(VLOOKUP(B1889,'INSUMOS  JULIO'!$B$6:$CJ$109,60,0),"")</f>
        <v>0</v>
      </c>
      <c r="G1889" s="8">
        <f>IFERROR(VLOOKUP($B1889,'INSUMOS  JULIO'!$B$6:$CJ$109,61,0),"")</f>
        <v>11100.662</v>
      </c>
      <c r="H1889" s="19">
        <f t="shared" si="116"/>
        <v>0</v>
      </c>
      <c r="I1889" s="1">
        <f t="shared" si="117"/>
        <v>0</v>
      </c>
      <c r="J1889" s="1">
        <f t="shared" si="118"/>
        <v>0</v>
      </c>
      <c r="K1889" s="19">
        <f t="shared" si="119"/>
        <v>0</v>
      </c>
    </row>
    <row r="1890" spans="2:11" ht="15">
      <c r="B1890" s="151">
        <v>41</v>
      </c>
      <c r="C1890" s="7" t="s">
        <v>155</v>
      </c>
      <c r="D1890" s="4" t="s">
        <v>25</v>
      </c>
      <c r="E1890" t="s">
        <v>491</v>
      </c>
      <c r="F1890" s="12" t="str">
        <f>IFERROR(VLOOKUP(B1890,'INSUMOS  JULIO'!$B$6:$CJ$109,60,0),"")</f>
        <v>0</v>
      </c>
      <c r="G1890" s="8">
        <f>IFERROR(VLOOKUP($B1890,'INSUMOS  JULIO'!$B$6:$CJ$109,61,0),"")</f>
        <v>7034.3429999999989</v>
      </c>
      <c r="H1890" s="19">
        <f t="shared" si="116"/>
        <v>0</v>
      </c>
      <c r="I1890" s="1">
        <f t="shared" si="117"/>
        <v>0</v>
      </c>
      <c r="J1890" s="1">
        <f t="shared" si="118"/>
        <v>0</v>
      </c>
      <c r="K1890" s="19">
        <f t="shared" si="119"/>
        <v>0</v>
      </c>
    </row>
    <row r="1891" spans="2:11" ht="15">
      <c r="B1891" s="151">
        <v>44</v>
      </c>
      <c r="C1891" s="7" t="s">
        <v>16</v>
      </c>
      <c r="D1891" s="4" t="s">
        <v>26</v>
      </c>
      <c r="E1891" t="s">
        <v>491</v>
      </c>
      <c r="F1891" s="12">
        <f>IFERROR(VLOOKUP(B1891,'INSUMOS  JULIO'!$B$6:$CJ$109,60,0),"")</f>
        <v>0</v>
      </c>
      <c r="G1891" s="8">
        <f>IFERROR(VLOOKUP($B1891,'INSUMOS  JULIO'!$B$6:$CJ$109,61,0),"")</f>
        <v>2787.2520000000004</v>
      </c>
      <c r="H1891" s="19">
        <f t="shared" si="116"/>
        <v>0</v>
      </c>
      <c r="I1891" s="1">
        <f t="shared" si="117"/>
        <v>0</v>
      </c>
      <c r="J1891" s="1">
        <f t="shared" si="118"/>
        <v>0</v>
      </c>
      <c r="K1891" s="19">
        <f t="shared" si="119"/>
        <v>0</v>
      </c>
    </row>
    <row r="1892" spans="2:11" ht="15">
      <c r="B1892" s="151">
        <v>46</v>
      </c>
      <c r="C1892" s="7" t="s">
        <v>27</v>
      </c>
      <c r="D1892" s="4" t="s">
        <v>28</v>
      </c>
      <c r="E1892" t="s">
        <v>491</v>
      </c>
      <c r="F1892" s="12" t="str">
        <f>IFERROR(VLOOKUP(B1892,'INSUMOS  JULIO'!$B$6:$CJ$109,60,0),"")</f>
        <v>0</v>
      </c>
      <c r="G1892" s="8">
        <f>IFERROR(VLOOKUP($B1892,'INSUMOS  JULIO'!$B$6:$CJ$109,61,0),"")</f>
        <v>7739.5640000000021</v>
      </c>
      <c r="H1892" s="19">
        <f t="shared" si="116"/>
        <v>0</v>
      </c>
      <c r="I1892" s="1">
        <f t="shared" si="117"/>
        <v>0</v>
      </c>
      <c r="J1892" s="1">
        <f t="shared" si="118"/>
        <v>0</v>
      </c>
      <c r="K1892" s="19">
        <f t="shared" si="119"/>
        <v>0</v>
      </c>
    </row>
    <row r="1893" spans="2:11" ht="15">
      <c r="B1893" s="151">
        <v>50</v>
      </c>
      <c r="C1893" s="7" t="s">
        <v>13</v>
      </c>
      <c r="D1893" s="4" t="s">
        <v>29</v>
      </c>
      <c r="E1893" t="s">
        <v>491</v>
      </c>
      <c r="F1893" s="12">
        <f>IFERROR(VLOOKUP(B1893,'INSUMOS  JULIO'!$B$6:$CJ$109,60,0),"")</f>
        <v>0</v>
      </c>
      <c r="G1893" s="8">
        <f>IFERROR(VLOOKUP($B1893,'INSUMOS  JULIO'!$B$6:$CJ$109,61,0),"")</f>
        <v>38567.495999999999</v>
      </c>
      <c r="H1893" s="19">
        <f t="shared" si="116"/>
        <v>0</v>
      </c>
      <c r="I1893" s="1">
        <f t="shared" si="117"/>
        <v>0</v>
      </c>
      <c r="J1893" s="1">
        <f t="shared" si="118"/>
        <v>0</v>
      </c>
      <c r="K1893" s="19">
        <f t="shared" si="119"/>
        <v>0</v>
      </c>
    </row>
    <row r="1894" spans="2:11" ht="15">
      <c r="B1894" s="151">
        <v>51</v>
      </c>
      <c r="C1894" s="7" t="s">
        <v>13</v>
      </c>
      <c r="D1894" s="4" t="s">
        <v>30</v>
      </c>
      <c r="E1894" t="s">
        <v>491</v>
      </c>
      <c r="F1894" s="12" t="str">
        <f>IFERROR(VLOOKUP(B1894,'INSUMOS  JULIO'!$B$6:$CJ$109,60,0),"")</f>
        <v>0</v>
      </c>
      <c r="G1894" s="8">
        <f>IFERROR(VLOOKUP($B1894,'INSUMOS  JULIO'!$B$6:$CJ$109,61,0),"")</f>
        <v>7739.5640000000021</v>
      </c>
      <c r="H1894" s="19">
        <f t="shared" si="116"/>
        <v>0</v>
      </c>
      <c r="I1894" s="1">
        <f t="shared" si="117"/>
        <v>0</v>
      </c>
      <c r="J1894" s="1">
        <f t="shared" si="118"/>
        <v>0</v>
      </c>
      <c r="K1894" s="19">
        <f t="shared" si="119"/>
        <v>0</v>
      </c>
    </row>
    <row r="1895" spans="2:11" ht="15">
      <c r="B1895" s="151">
        <v>52</v>
      </c>
      <c r="C1895" s="7" t="s">
        <v>13</v>
      </c>
      <c r="D1895" s="4" t="s">
        <v>31</v>
      </c>
      <c r="E1895" t="s">
        <v>491</v>
      </c>
      <c r="F1895" s="12">
        <f>IFERROR(VLOOKUP(B1895,'INSUMOS  JULIO'!$B$6:$CJ$109,60,0),"")</f>
        <v>0</v>
      </c>
      <c r="G1895" s="8">
        <f>IFERROR(VLOOKUP($B1895,'INSUMOS  JULIO'!$B$6:$CJ$109,61,0),"")</f>
        <v>6412.1509999999998</v>
      </c>
      <c r="H1895" s="19">
        <f t="shared" si="116"/>
        <v>0</v>
      </c>
      <c r="I1895" s="1">
        <f t="shared" si="117"/>
        <v>0</v>
      </c>
      <c r="J1895" s="1">
        <f t="shared" si="118"/>
        <v>0</v>
      </c>
      <c r="K1895" s="19">
        <f t="shared" si="119"/>
        <v>0</v>
      </c>
    </row>
    <row r="1896" spans="2:11" ht="15">
      <c r="B1896" s="151">
        <v>54</v>
      </c>
      <c r="C1896" s="7" t="s">
        <v>13</v>
      </c>
      <c r="D1896" s="4" t="s">
        <v>32</v>
      </c>
      <c r="E1896" t="s">
        <v>491</v>
      </c>
      <c r="F1896" s="12">
        <f>IFERROR(VLOOKUP(B1896,'INSUMOS  JULIO'!$B$6:$CJ$109,60,0),"")</f>
        <v>5</v>
      </c>
      <c r="G1896" s="8">
        <f>IFERROR(VLOOKUP($B1896,'INSUMOS  JULIO'!$B$6:$CJ$109,61,0),"")</f>
        <v>5359.049</v>
      </c>
      <c r="H1896" s="19">
        <f t="shared" si="116"/>
        <v>26795.244999999999</v>
      </c>
      <c r="I1896" s="1">
        <f t="shared" si="117"/>
        <v>2679.5245</v>
      </c>
      <c r="J1896" s="1">
        <f t="shared" si="118"/>
        <v>509.10965500000003</v>
      </c>
      <c r="K1896" s="19">
        <f t="shared" si="119"/>
        <v>29983.879154999999</v>
      </c>
    </row>
    <row r="1897" spans="2:11" ht="15">
      <c r="B1897" s="151">
        <v>57</v>
      </c>
      <c r="C1897" s="7" t="s">
        <v>33</v>
      </c>
      <c r="D1897" s="4" t="s">
        <v>34</v>
      </c>
      <c r="E1897" t="s">
        <v>491</v>
      </c>
      <c r="F1897" s="12">
        <f>IFERROR(VLOOKUP(B1897,'INSUMOS  JULIO'!$B$6:$CJ$109,60,0),"")</f>
        <v>0</v>
      </c>
      <c r="G1897" s="8">
        <f>IFERROR(VLOOKUP($B1897,'INSUMOS  JULIO'!$B$6:$CJ$109,61,0),"")</f>
        <v>12823.251000000004</v>
      </c>
      <c r="H1897" s="19">
        <f t="shared" si="116"/>
        <v>0</v>
      </c>
      <c r="I1897" s="1">
        <f t="shared" si="117"/>
        <v>0</v>
      </c>
      <c r="J1897" s="1">
        <f t="shared" si="118"/>
        <v>0</v>
      </c>
      <c r="K1897" s="19">
        <f t="shared" si="119"/>
        <v>0</v>
      </c>
    </row>
    <row r="1898" spans="2:11" ht="15">
      <c r="B1898" s="151">
        <v>59</v>
      </c>
      <c r="C1898" s="7" t="s">
        <v>16</v>
      </c>
      <c r="D1898" s="4" t="s">
        <v>35</v>
      </c>
      <c r="E1898" t="s">
        <v>491</v>
      </c>
      <c r="F1898" s="12" t="str">
        <f>IFERROR(VLOOKUP(B1898,'INSUMOS  JULIO'!$B$6:$CJ$109,60,0),"")</f>
        <v>0</v>
      </c>
      <c r="G1898" s="8">
        <f>IFERROR(VLOOKUP($B1898,'INSUMOS  JULIO'!$B$6:$CJ$109,61,0),"")</f>
        <v>5528.260000000002</v>
      </c>
      <c r="H1898" s="19">
        <f t="shared" si="116"/>
        <v>0</v>
      </c>
      <c r="I1898" s="1">
        <f t="shared" si="117"/>
        <v>0</v>
      </c>
      <c r="J1898" s="1">
        <f t="shared" si="118"/>
        <v>0</v>
      </c>
      <c r="K1898" s="19">
        <f t="shared" si="119"/>
        <v>0</v>
      </c>
    </row>
    <row r="1899" spans="2:11" ht="15">
      <c r="B1899" s="151">
        <v>62</v>
      </c>
      <c r="C1899" s="7" t="s">
        <v>36</v>
      </c>
      <c r="D1899" s="4" t="s">
        <v>37</v>
      </c>
      <c r="E1899" t="s">
        <v>491</v>
      </c>
      <c r="F1899" s="12">
        <f>IFERROR(VLOOKUP(B1899,'INSUMOS  JULIO'!$B$6:$CJ$109,60,0),"")</f>
        <v>0</v>
      </c>
      <c r="G1899" s="8">
        <f>IFERROR(VLOOKUP($B1899,'INSUMOS  JULIO'!$B$6:$CJ$109,61,0),"")</f>
        <v>5167.7669999999998</v>
      </c>
      <c r="H1899" s="19">
        <f t="shared" si="116"/>
        <v>0</v>
      </c>
      <c r="I1899" s="1">
        <f t="shared" si="117"/>
        <v>0</v>
      </c>
      <c r="J1899" s="1">
        <f t="shared" si="118"/>
        <v>0</v>
      </c>
      <c r="K1899" s="19">
        <f t="shared" si="119"/>
        <v>0</v>
      </c>
    </row>
    <row r="1900" spans="2:11" ht="15">
      <c r="B1900" s="151">
        <v>63</v>
      </c>
      <c r="C1900" s="7" t="s">
        <v>36</v>
      </c>
      <c r="D1900" s="4" t="s">
        <v>38</v>
      </c>
      <c r="E1900" t="s">
        <v>491</v>
      </c>
      <c r="F1900" s="12">
        <f>IFERROR(VLOOKUP(B1900,'INSUMOS  JULIO'!$B$6:$CJ$109,60,0),"")</f>
        <v>10</v>
      </c>
      <c r="G1900" s="8">
        <f>IFERROR(VLOOKUP($B1900,'INSUMOS  JULIO'!$B$6:$CJ$109,61,0),"")</f>
        <v>11443.4982</v>
      </c>
      <c r="H1900" s="19">
        <f t="shared" si="116"/>
        <v>114434.982</v>
      </c>
      <c r="I1900" s="1">
        <f t="shared" si="117"/>
        <v>11443.498200000002</v>
      </c>
      <c r="J1900" s="1">
        <f t="shared" si="118"/>
        <v>2174.2646580000005</v>
      </c>
      <c r="K1900" s="19">
        <f t="shared" si="119"/>
        <v>128052.74485800001</v>
      </c>
    </row>
    <row r="1901" spans="2:11" ht="15">
      <c r="B1901" s="151">
        <v>64</v>
      </c>
      <c r="C1901" s="7" t="s">
        <v>39</v>
      </c>
      <c r="D1901" s="4" t="s">
        <v>40</v>
      </c>
      <c r="E1901" t="s">
        <v>491</v>
      </c>
      <c r="F1901" s="12">
        <f>IFERROR(VLOOKUP(B1901,'INSUMOS  JULIO'!$B$6:$CJ$109,60,0),"")</f>
        <v>0</v>
      </c>
      <c r="G1901" s="8">
        <f>IFERROR(VLOOKUP($B1901,'INSUMOS  JULIO'!$B$6:$CJ$109,61,0),"")</f>
        <v>13820.650000000001</v>
      </c>
      <c r="H1901" s="19">
        <f t="shared" si="116"/>
        <v>0</v>
      </c>
      <c r="I1901" s="1">
        <f t="shared" si="117"/>
        <v>0</v>
      </c>
      <c r="J1901" s="1">
        <f t="shared" si="118"/>
        <v>0</v>
      </c>
      <c r="K1901" s="19">
        <f t="shared" si="119"/>
        <v>0</v>
      </c>
    </row>
    <row r="1902" spans="2:11" ht="15">
      <c r="B1902" s="151">
        <v>65</v>
      </c>
      <c r="C1902" s="7" t="s">
        <v>39</v>
      </c>
      <c r="D1902" s="4" t="s">
        <v>41</v>
      </c>
      <c r="E1902" t="s">
        <v>491</v>
      </c>
      <c r="F1902" s="12">
        <f>IFERROR(VLOOKUP(B1902,'INSUMOS  JULIO'!$B$6:$CJ$109,60,0),"")</f>
        <v>0</v>
      </c>
      <c r="G1902" s="8">
        <f>IFERROR(VLOOKUP($B1902,'INSUMOS  JULIO'!$B$6:$CJ$109,61,0),"")</f>
        <v>13820.650000000001</v>
      </c>
      <c r="H1902" s="19">
        <f t="shared" si="116"/>
        <v>0</v>
      </c>
      <c r="I1902" s="1">
        <f t="shared" si="117"/>
        <v>0</v>
      </c>
      <c r="J1902" s="1">
        <f t="shared" si="118"/>
        <v>0</v>
      </c>
      <c r="K1902" s="19">
        <f t="shared" si="119"/>
        <v>0</v>
      </c>
    </row>
    <row r="1903" spans="2:11" ht="15">
      <c r="B1903" s="151">
        <v>66</v>
      </c>
      <c r="C1903" s="7" t="s">
        <v>151</v>
      </c>
      <c r="D1903" s="4" t="s">
        <v>42</v>
      </c>
      <c r="E1903" t="s">
        <v>491</v>
      </c>
      <c r="F1903" s="12">
        <f>IFERROR(VLOOKUP(B1903,'INSUMOS  JULIO'!$B$6:$CJ$109,60,0),"")</f>
        <v>0</v>
      </c>
      <c r="G1903" s="8">
        <f>IFERROR(VLOOKUP($B1903,'INSUMOS  JULIO'!$B$6:$CJ$109,61,0),"")</f>
        <v>2887.0970000000002</v>
      </c>
      <c r="H1903" s="19">
        <f t="shared" si="116"/>
        <v>0</v>
      </c>
      <c r="I1903" s="1">
        <f t="shared" si="117"/>
        <v>0</v>
      </c>
      <c r="J1903" s="1">
        <f t="shared" si="118"/>
        <v>0</v>
      </c>
      <c r="K1903" s="19">
        <f t="shared" si="119"/>
        <v>0</v>
      </c>
    </row>
    <row r="1904" spans="2:11" ht="15">
      <c r="B1904" s="151">
        <v>71</v>
      </c>
      <c r="C1904" s="7" t="s">
        <v>151</v>
      </c>
      <c r="D1904" s="4" t="s">
        <v>43</v>
      </c>
      <c r="E1904" t="s">
        <v>491</v>
      </c>
      <c r="F1904" s="12" t="str">
        <f>IFERROR(VLOOKUP(B1904,'INSUMOS  JULIO'!$B$6:$CJ$109,60,0),"")</f>
        <v>0</v>
      </c>
      <c r="G1904" s="8">
        <f>IFERROR(VLOOKUP($B1904,'INSUMOS  JULIO'!$B$6:$CJ$109,61,0),"")</f>
        <v>5196.1440000000002</v>
      </c>
      <c r="H1904" s="19">
        <f t="shared" si="116"/>
        <v>0</v>
      </c>
      <c r="I1904" s="1">
        <f t="shared" si="117"/>
        <v>0</v>
      </c>
      <c r="J1904" s="1">
        <f t="shared" si="118"/>
        <v>0</v>
      </c>
      <c r="K1904" s="19">
        <f t="shared" si="119"/>
        <v>0</v>
      </c>
    </row>
    <row r="1905" spans="2:11" ht="15">
      <c r="B1905" s="151">
        <v>72</v>
      </c>
      <c r="C1905" s="7" t="s">
        <v>151</v>
      </c>
      <c r="D1905" s="4" t="s">
        <v>44</v>
      </c>
      <c r="E1905" t="s">
        <v>491</v>
      </c>
      <c r="F1905" s="12">
        <f>IFERROR(VLOOKUP(B1905,'INSUMOS  JULIO'!$B$6:$CJ$109,60,0),"")</f>
        <v>0</v>
      </c>
      <c r="G1905" s="8">
        <f>IFERROR(VLOOKUP($B1905,'INSUMOS  JULIO'!$B$6:$CJ$109,61,0),"")</f>
        <v>5196.1440000000002</v>
      </c>
      <c r="H1905" s="19">
        <f t="shared" si="116"/>
        <v>0</v>
      </c>
      <c r="I1905" s="1">
        <f t="shared" si="117"/>
        <v>0</v>
      </c>
      <c r="J1905" s="1">
        <f t="shared" si="118"/>
        <v>0</v>
      </c>
      <c r="K1905" s="19">
        <f t="shared" si="119"/>
        <v>0</v>
      </c>
    </row>
    <row r="1906" spans="2:11" ht="27">
      <c r="B1906" s="151">
        <v>73</v>
      </c>
      <c r="C1906" s="7" t="s">
        <v>151</v>
      </c>
      <c r="D1906" s="4" t="s">
        <v>45</v>
      </c>
      <c r="E1906" t="s">
        <v>491</v>
      </c>
      <c r="F1906" s="12">
        <f>IFERROR(VLOOKUP(B1906,'INSUMOS  JULIO'!$B$6:$CJ$109,60,0),"")</f>
        <v>0</v>
      </c>
      <c r="G1906" s="8">
        <f>IFERROR(VLOOKUP($B1906,'INSUMOS  JULIO'!$B$6:$CJ$109,61,0),"")</f>
        <v>4975.4340000000011</v>
      </c>
      <c r="H1906" s="19">
        <f t="shared" si="116"/>
        <v>0</v>
      </c>
      <c r="I1906" s="1">
        <f t="shared" si="117"/>
        <v>0</v>
      </c>
      <c r="J1906" s="1">
        <f t="shared" si="118"/>
        <v>0</v>
      </c>
      <c r="K1906" s="19">
        <f t="shared" si="119"/>
        <v>0</v>
      </c>
    </row>
    <row r="1907" spans="2:11" ht="15">
      <c r="B1907" s="151">
        <v>74</v>
      </c>
      <c r="C1907" s="7" t="s">
        <v>46</v>
      </c>
      <c r="D1907" s="4" t="s">
        <v>47</v>
      </c>
      <c r="E1907" t="s">
        <v>491</v>
      </c>
      <c r="F1907" s="12">
        <f>IFERROR(VLOOKUP(B1907,'INSUMOS  JULIO'!$B$6:$CJ$109,60,0),"")</f>
        <v>0</v>
      </c>
      <c r="G1907" s="8">
        <f>IFERROR(VLOOKUP($B1907,'INSUMOS  JULIO'!$B$6:$CJ$109,61,0),"")</f>
        <v>3261.2529999999997</v>
      </c>
      <c r="H1907" s="19">
        <f t="shared" si="116"/>
        <v>0</v>
      </c>
      <c r="I1907" s="1">
        <f t="shared" si="117"/>
        <v>0</v>
      </c>
      <c r="J1907" s="1">
        <f t="shared" si="118"/>
        <v>0</v>
      </c>
      <c r="K1907" s="19">
        <f t="shared" si="119"/>
        <v>0</v>
      </c>
    </row>
    <row r="1908" spans="2:11" ht="15">
      <c r="B1908" s="151">
        <v>79</v>
      </c>
      <c r="C1908" s="7" t="s">
        <v>159</v>
      </c>
      <c r="D1908" s="4" t="s">
        <v>48</v>
      </c>
      <c r="E1908" t="s">
        <v>491</v>
      </c>
      <c r="F1908" s="12">
        <f>IFERROR(VLOOKUP(B1908,'INSUMOS  JULIO'!$B$6:$CJ$109,60,0),"")</f>
        <v>0</v>
      </c>
      <c r="G1908" s="8">
        <f>IFERROR(VLOOKUP($B1908,'INSUMOS  JULIO'!$B$6:$CJ$109,61,0),"")</f>
        <v>541.2650000000001</v>
      </c>
      <c r="H1908" s="19">
        <f t="shared" si="116"/>
        <v>0</v>
      </c>
      <c r="I1908" s="1">
        <f t="shared" si="117"/>
        <v>0</v>
      </c>
      <c r="J1908" s="1">
        <f t="shared" si="118"/>
        <v>0</v>
      </c>
      <c r="K1908" s="19">
        <f t="shared" si="119"/>
        <v>0</v>
      </c>
    </row>
    <row r="1909" spans="2:11" ht="15">
      <c r="B1909" s="151">
        <v>80</v>
      </c>
      <c r="C1909" s="7" t="s">
        <v>159</v>
      </c>
      <c r="D1909" s="4" t="s">
        <v>49</v>
      </c>
      <c r="E1909" t="s">
        <v>491</v>
      </c>
      <c r="F1909" s="12">
        <f>IFERROR(VLOOKUP(B1909,'INSUMOS  JULIO'!$B$6:$CJ$109,60,0),"")</f>
        <v>0</v>
      </c>
      <c r="G1909" s="8">
        <f>IFERROR(VLOOKUP($B1909,'INSUMOS  JULIO'!$B$6:$CJ$109,61,0),"")</f>
        <v>433.01199999999994</v>
      </c>
      <c r="H1909" s="19">
        <f t="shared" si="116"/>
        <v>0</v>
      </c>
      <c r="I1909" s="1">
        <f t="shared" si="117"/>
        <v>0</v>
      </c>
      <c r="J1909" s="1">
        <f t="shared" si="118"/>
        <v>0</v>
      </c>
      <c r="K1909" s="19">
        <f t="shared" si="119"/>
        <v>0</v>
      </c>
    </row>
    <row r="1910" spans="2:11" ht="15">
      <c r="B1910" s="151">
        <v>81</v>
      </c>
      <c r="C1910" s="7" t="s">
        <v>159</v>
      </c>
      <c r="D1910" s="4" t="s">
        <v>50</v>
      </c>
      <c r="E1910" t="s">
        <v>491</v>
      </c>
      <c r="F1910" s="12">
        <f>IFERROR(VLOOKUP(B1910,'INSUMOS  JULIO'!$B$6:$CJ$109,60,0),"")</f>
        <v>0</v>
      </c>
      <c r="G1910" s="8">
        <f>IFERROR(VLOOKUP($B1910,'INSUMOS  JULIO'!$B$6:$CJ$109,61,0),"")</f>
        <v>211.251</v>
      </c>
      <c r="H1910" s="19">
        <f t="shared" si="116"/>
        <v>0</v>
      </c>
      <c r="I1910" s="1">
        <f t="shared" si="117"/>
        <v>0</v>
      </c>
      <c r="J1910" s="1">
        <f t="shared" si="118"/>
        <v>0</v>
      </c>
      <c r="K1910" s="19">
        <f t="shared" si="119"/>
        <v>0</v>
      </c>
    </row>
    <row r="1911" spans="2:11" ht="15">
      <c r="B1911" s="151">
        <v>82</v>
      </c>
      <c r="C1911" s="7" t="s">
        <v>159</v>
      </c>
      <c r="D1911" s="4" t="s">
        <v>51</v>
      </c>
      <c r="E1911" t="s">
        <v>491</v>
      </c>
      <c r="F1911" s="12" t="str">
        <f>IFERROR(VLOOKUP(B1911,'INSUMOS  JULIO'!$B$6:$CJ$109,60,0),"")</f>
        <v>0</v>
      </c>
      <c r="G1911" s="8">
        <f>IFERROR(VLOOKUP($B1911,'INSUMOS  JULIO'!$B$6:$CJ$109,61,0),"")</f>
        <v>1003.7049999999999</v>
      </c>
      <c r="H1911" s="19">
        <f t="shared" si="116"/>
        <v>0</v>
      </c>
      <c r="I1911" s="1">
        <f t="shared" si="117"/>
        <v>0</v>
      </c>
      <c r="J1911" s="1">
        <f t="shared" si="118"/>
        <v>0</v>
      </c>
      <c r="K1911" s="19">
        <f t="shared" si="119"/>
        <v>0</v>
      </c>
    </row>
    <row r="1912" spans="2:11" ht="15">
      <c r="B1912" s="151">
        <v>83</v>
      </c>
      <c r="C1912" s="7" t="s">
        <v>159</v>
      </c>
      <c r="D1912" s="4" t="s">
        <v>52</v>
      </c>
      <c r="E1912" t="s">
        <v>491</v>
      </c>
      <c r="F1912" s="12" t="str">
        <f>IFERROR(VLOOKUP(B1912,'INSUMOS  JULIO'!$B$6:$CJ$109,60,0),"")</f>
        <v>0</v>
      </c>
      <c r="G1912" s="8">
        <f>IFERROR(VLOOKUP($B1912,'INSUMOS  JULIO'!$B$6:$CJ$109,61,0),"")</f>
        <v>336.32</v>
      </c>
      <c r="H1912" s="19">
        <f t="shared" si="116"/>
        <v>0</v>
      </c>
      <c r="I1912" s="1">
        <f t="shared" si="117"/>
        <v>0</v>
      </c>
      <c r="J1912" s="1">
        <f t="shared" si="118"/>
        <v>0</v>
      </c>
      <c r="K1912" s="19">
        <f t="shared" si="119"/>
        <v>0</v>
      </c>
    </row>
    <row r="1913" spans="2:11" ht="15">
      <c r="B1913" s="151">
        <v>86</v>
      </c>
      <c r="C1913" s="7" t="s">
        <v>53</v>
      </c>
      <c r="D1913" s="4" t="s">
        <v>54</v>
      </c>
      <c r="E1913" t="s">
        <v>491</v>
      </c>
      <c r="F1913" s="12" t="str">
        <f>IFERROR(VLOOKUP(B1913,'INSUMOS  JULIO'!$B$6:$CJ$109,60,0),"")</f>
        <v>0</v>
      </c>
      <c r="G1913" s="8">
        <f>IFERROR(VLOOKUP($B1913,'INSUMOS  JULIO'!$B$6:$CJ$109,61,0),"")</f>
        <v>2792.5070000000005</v>
      </c>
      <c r="H1913" s="19">
        <f t="shared" si="116"/>
        <v>0</v>
      </c>
      <c r="I1913" s="1">
        <f t="shared" si="117"/>
        <v>0</v>
      </c>
      <c r="J1913" s="1">
        <f t="shared" si="118"/>
        <v>0</v>
      </c>
      <c r="K1913" s="19">
        <f t="shared" si="119"/>
        <v>0</v>
      </c>
    </row>
    <row r="1914" spans="2:11" ht="15">
      <c r="B1914" s="151">
        <v>87</v>
      </c>
      <c r="C1914" s="7" t="s">
        <v>53</v>
      </c>
      <c r="D1914" s="4" t="s">
        <v>55</v>
      </c>
      <c r="E1914" t="s">
        <v>491</v>
      </c>
      <c r="F1914" s="12" t="str">
        <f>IFERROR(VLOOKUP(B1914,'INSUMOS  JULIO'!$B$6:$CJ$109,60,0),"")</f>
        <v>0</v>
      </c>
      <c r="G1914" s="8">
        <f>IFERROR(VLOOKUP($B1914,'INSUMOS  JULIO'!$B$6:$CJ$109,61,0),"")</f>
        <v>0</v>
      </c>
      <c r="H1914" s="19">
        <f t="shared" si="116"/>
        <v>0</v>
      </c>
      <c r="I1914" s="1">
        <f t="shared" si="117"/>
        <v>0</v>
      </c>
      <c r="J1914" s="1">
        <f t="shared" si="118"/>
        <v>0</v>
      </c>
      <c r="K1914" s="19">
        <f t="shared" si="119"/>
        <v>0</v>
      </c>
    </row>
    <row r="1915" spans="2:11" ht="15">
      <c r="B1915" s="151">
        <v>88</v>
      </c>
      <c r="C1915" s="7" t="s">
        <v>53</v>
      </c>
      <c r="D1915" s="4" t="s">
        <v>56</v>
      </c>
      <c r="E1915" t="s">
        <v>491</v>
      </c>
      <c r="F1915" s="12">
        <f>IFERROR(VLOOKUP(B1915,'INSUMOS  JULIO'!$B$6:$CJ$109,60,0),"")</f>
        <v>0</v>
      </c>
      <c r="G1915" s="8">
        <f>IFERROR(VLOOKUP($B1915,'INSUMOS  JULIO'!$B$6:$CJ$109,61,0),"")</f>
        <v>2717.886</v>
      </c>
      <c r="H1915" s="19">
        <f t="shared" si="116"/>
        <v>0</v>
      </c>
      <c r="I1915" s="1">
        <f t="shared" si="117"/>
        <v>0</v>
      </c>
      <c r="J1915" s="1">
        <f t="shared" si="118"/>
        <v>0</v>
      </c>
      <c r="K1915" s="19">
        <f t="shared" si="119"/>
        <v>0</v>
      </c>
    </row>
    <row r="1916" spans="2:11" ht="15">
      <c r="B1916" s="151">
        <v>89</v>
      </c>
      <c r="C1916" s="7" t="s">
        <v>53</v>
      </c>
      <c r="D1916" s="4" t="s">
        <v>57</v>
      </c>
      <c r="E1916" t="s">
        <v>491</v>
      </c>
      <c r="F1916" s="12" t="str">
        <f>IFERROR(VLOOKUP(B1916,'INSUMOS  JULIO'!$B$6:$CJ$109,60,0),"")</f>
        <v>0</v>
      </c>
      <c r="G1916" s="8">
        <f>IFERROR(VLOOKUP($B1916,'INSUMOS  JULIO'!$B$6:$CJ$109,61,0),"")</f>
        <v>2650.6220000000003</v>
      </c>
      <c r="H1916" s="19">
        <f t="shared" si="116"/>
        <v>0</v>
      </c>
      <c r="I1916" s="1">
        <f t="shared" si="117"/>
        <v>0</v>
      </c>
      <c r="J1916" s="1">
        <f t="shared" si="118"/>
        <v>0</v>
      </c>
      <c r="K1916" s="19">
        <f t="shared" si="119"/>
        <v>0</v>
      </c>
    </row>
    <row r="1917" spans="2:11" ht="15">
      <c r="B1917" s="151">
        <v>91</v>
      </c>
      <c r="C1917" s="7" t="s">
        <v>160</v>
      </c>
      <c r="D1917" s="4" t="s">
        <v>58</v>
      </c>
      <c r="E1917" t="s">
        <v>491</v>
      </c>
      <c r="F1917" s="12" t="str">
        <f>IFERROR(VLOOKUP(B1917,'INSUMOS  JULIO'!$B$6:$CJ$109,60,0),"")</f>
        <v>0</v>
      </c>
      <c r="G1917" s="8">
        <f>IFERROR(VLOOKUP($B1917,'INSUMOS  JULIO'!$B$6:$CJ$109,61,0),"")</f>
        <v>4364.8029999999999</v>
      </c>
      <c r="H1917" s="19">
        <f t="shared" si="116"/>
        <v>0</v>
      </c>
      <c r="I1917" s="1">
        <f t="shared" si="117"/>
        <v>0</v>
      </c>
      <c r="J1917" s="1">
        <f t="shared" si="118"/>
        <v>0</v>
      </c>
      <c r="K1917" s="19">
        <f t="shared" si="119"/>
        <v>0</v>
      </c>
    </row>
    <row r="1918" spans="2:11" ht="15">
      <c r="B1918" s="151">
        <v>92</v>
      </c>
      <c r="C1918" s="7" t="s">
        <v>160</v>
      </c>
      <c r="D1918" s="4" t="s">
        <v>59</v>
      </c>
      <c r="E1918" t="s">
        <v>491</v>
      </c>
      <c r="F1918" s="12" t="str">
        <f>IFERROR(VLOOKUP(B1918,'INSUMOS  JULIO'!$B$6:$CJ$109,60,0),"")</f>
        <v>0</v>
      </c>
      <c r="G1918" s="8">
        <f>IFERROR(VLOOKUP($B1918,'INSUMOS  JULIO'!$B$6:$CJ$109,61,0),"")</f>
        <v>2380.5149999999999</v>
      </c>
      <c r="H1918" s="19">
        <f t="shared" si="116"/>
        <v>0</v>
      </c>
      <c r="I1918" s="1">
        <f t="shared" si="117"/>
        <v>0</v>
      </c>
      <c r="J1918" s="1">
        <f t="shared" si="118"/>
        <v>0</v>
      </c>
      <c r="K1918" s="19">
        <f t="shared" si="119"/>
        <v>0</v>
      </c>
    </row>
    <row r="1919" spans="2:11" ht="15">
      <c r="B1919" s="151">
        <v>94</v>
      </c>
      <c r="C1919" s="7" t="s">
        <v>60</v>
      </c>
      <c r="D1919" s="4" t="s">
        <v>61</v>
      </c>
      <c r="E1919" t="s">
        <v>491</v>
      </c>
      <c r="F1919" s="12" t="str">
        <f>IFERROR(VLOOKUP(B1919,'INSUMOS  JULIO'!$B$6:$CJ$109,60,0),"")</f>
        <v>0</v>
      </c>
      <c r="G1919" s="8">
        <f>IFERROR(VLOOKUP($B1919,'INSUMOS  JULIO'!$B$6:$CJ$109,61,0),"")</f>
        <v>3316.9560000000001</v>
      </c>
      <c r="H1919" s="19">
        <f t="shared" si="116"/>
        <v>0</v>
      </c>
      <c r="I1919" s="1">
        <f t="shared" si="117"/>
        <v>0</v>
      </c>
      <c r="J1919" s="1">
        <f t="shared" si="118"/>
        <v>0</v>
      </c>
      <c r="K1919" s="19">
        <f t="shared" si="119"/>
        <v>0</v>
      </c>
    </row>
    <row r="1920" spans="2:11" ht="15">
      <c r="B1920" s="151">
        <v>95</v>
      </c>
      <c r="C1920" s="7" t="s">
        <v>60</v>
      </c>
      <c r="D1920" s="4" t="s">
        <v>62</v>
      </c>
      <c r="E1920" t="s">
        <v>491</v>
      </c>
      <c r="F1920" s="12" t="str">
        <f>IFERROR(VLOOKUP(B1920,'INSUMOS  JULIO'!$B$6:$CJ$109,60,0),"")</f>
        <v>0</v>
      </c>
      <c r="G1920" s="8">
        <f>IFERROR(VLOOKUP($B1920,'INSUMOS  JULIO'!$B$6:$CJ$109,61,0),"")</f>
        <v>11056.52</v>
      </c>
      <c r="H1920" s="19">
        <f t="shared" si="116"/>
        <v>0</v>
      </c>
      <c r="I1920" s="1">
        <f t="shared" si="117"/>
        <v>0</v>
      </c>
      <c r="J1920" s="1">
        <f t="shared" si="118"/>
        <v>0</v>
      </c>
      <c r="K1920" s="19">
        <f t="shared" si="119"/>
        <v>0</v>
      </c>
    </row>
    <row r="1921" spans="2:11" ht="15">
      <c r="B1921" s="151">
        <v>98</v>
      </c>
      <c r="C1921" s="7" t="s">
        <v>151</v>
      </c>
      <c r="D1921" s="4" t="s">
        <v>63</v>
      </c>
      <c r="E1921" t="s">
        <v>491</v>
      </c>
      <c r="F1921" s="12">
        <f>IFERROR(VLOOKUP(B1921,'INSUMOS  JULIO'!$B$6:$CJ$109,60,0),"")</f>
        <v>0</v>
      </c>
      <c r="G1921" s="8">
        <f>IFERROR(VLOOKUP($B1921,'INSUMOS  JULIO'!$B$6:$CJ$109,61,0),"")</f>
        <v>6633.9120000000003</v>
      </c>
      <c r="H1921" s="19">
        <f t="shared" si="116"/>
        <v>0</v>
      </c>
      <c r="I1921" s="1">
        <f t="shared" si="117"/>
        <v>0</v>
      </c>
      <c r="J1921" s="1">
        <f t="shared" si="118"/>
        <v>0</v>
      </c>
      <c r="K1921" s="19">
        <f t="shared" si="119"/>
        <v>0</v>
      </c>
    </row>
    <row r="1922" spans="2:11" ht="15">
      <c r="B1922" s="151">
        <v>100</v>
      </c>
      <c r="C1922" s="7" t="s">
        <v>160</v>
      </c>
      <c r="D1922" s="4" t="s">
        <v>64</v>
      </c>
      <c r="E1922" t="s">
        <v>491</v>
      </c>
      <c r="F1922" s="12" t="str">
        <f>IFERROR(VLOOKUP(B1922,'INSUMOS  JULIO'!$B$6:$CJ$109,60,0),"")</f>
        <v>0</v>
      </c>
      <c r="G1922" s="8">
        <f>IFERROR(VLOOKUP($B1922,'INSUMOS  JULIO'!$B$6:$CJ$109,61,0),"")</f>
        <v>4364.8029999999999</v>
      </c>
      <c r="H1922" s="19">
        <f t="shared" si="116"/>
        <v>0</v>
      </c>
      <c r="I1922" s="1">
        <f t="shared" si="117"/>
        <v>0</v>
      </c>
      <c r="J1922" s="1">
        <f t="shared" si="118"/>
        <v>0</v>
      </c>
      <c r="K1922" s="19">
        <f t="shared" si="119"/>
        <v>0</v>
      </c>
    </row>
    <row r="1923" spans="2:11" ht="15">
      <c r="B1923" s="151">
        <v>102</v>
      </c>
      <c r="C1923" s="7" t="s">
        <v>60</v>
      </c>
      <c r="D1923" s="4" t="s">
        <v>65</v>
      </c>
      <c r="E1923" t="s">
        <v>491</v>
      </c>
      <c r="F1923" s="12" t="str">
        <f>IFERROR(VLOOKUP(B1923,'INSUMOS  JULIO'!$B$6:$CJ$109,60,0),"")</f>
        <v>0</v>
      </c>
      <c r="G1923" s="8">
        <f>IFERROR(VLOOKUP($B1923,'INSUMOS  JULIO'!$B$6:$CJ$109,61,0),"")</f>
        <v>3811.9770000000003</v>
      </c>
      <c r="H1923" s="19">
        <f t="shared" si="116"/>
        <v>0</v>
      </c>
      <c r="I1923" s="1">
        <f t="shared" si="117"/>
        <v>0</v>
      </c>
      <c r="J1923" s="1">
        <f t="shared" si="118"/>
        <v>0</v>
      </c>
      <c r="K1923" s="19">
        <f t="shared" si="119"/>
        <v>0</v>
      </c>
    </row>
    <row r="1924" spans="2:11" ht="15">
      <c r="B1924" s="151">
        <v>103</v>
      </c>
      <c r="C1924" s="7" t="s">
        <v>66</v>
      </c>
      <c r="D1924" s="4" t="s">
        <v>67</v>
      </c>
      <c r="E1924" t="s">
        <v>491</v>
      </c>
      <c r="F1924" s="12" t="str">
        <f>IFERROR(VLOOKUP(B1924,'INSUMOS  JULIO'!$B$6:$CJ$109,60,0),"")</f>
        <v>0</v>
      </c>
      <c r="G1924" s="8">
        <f>IFERROR(VLOOKUP($B1924,'INSUMOS  JULIO'!$B$6:$CJ$109,61,0),"")</f>
        <v>18022.547999999999</v>
      </c>
      <c r="H1924" s="19">
        <f t="shared" si="116"/>
        <v>0</v>
      </c>
      <c r="I1924" s="1">
        <f t="shared" si="117"/>
        <v>0</v>
      </c>
      <c r="J1924" s="1">
        <f t="shared" si="118"/>
        <v>0</v>
      </c>
      <c r="K1924" s="19">
        <f t="shared" si="119"/>
        <v>0</v>
      </c>
    </row>
    <row r="1925" spans="2:11" ht="15">
      <c r="B1925" s="151">
        <v>104</v>
      </c>
      <c r="C1925" s="7" t="s">
        <v>66</v>
      </c>
      <c r="D1925" s="4" t="s">
        <v>68</v>
      </c>
      <c r="E1925" t="s">
        <v>491</v>
      </c>
      <c r="F1925" s="12" t="str">
        <f>IFERROR(VLOOKUP(B1925,'INSUMOS  JULIO'!$B$6:$CJ$109,60,0),"")</f>
        <v>0</v>
      </c>
      <c r="G1925" s="8">
        <f>IFERROR(VLOOKUP($B1925,'INSUMOS  JULIO'!$B$6:$CJ$109,61,0),"")</f>
        <v>18022.547999999999</v>
      </c>
      <c r="H1925" s="19">
        <f t="shared" si="116"/>
        <v>0</v>
      </c>
      <c r="I1925" s="1">
        <f t="shared" si="117"/>
        <v>0</v>
      </c>
      <c r="J1925" s="1">
        <f t="shared" si="118"/>
        <v>0</v>
      </c>
      <c r="K1925" s="19">
        <f t="shared" si="119"/>
        <v>0</v>
      </c>
    </row>
    <row r="1926" spans="2:11" ht="15">
      <c r="B1926" s="151">
        <v>105</v>
      </c>
      <c r="C1926" s="7" t="s">
        <v>66</v>
      </c>
      <c r="D1926" s="4" t="s">
        <v>69</v>
      </c>
      <c r="E1926" t="s">
        <v>491</v>
      </c>
      <c r="F1926" s="12" t="str">
        <f>IFERROR(VLOOKUP(B1926,'INSUMOS  JULIO'!$B$6:$CJ$109,60,0),"")</f>
        <v>0</v>
      </c>
      <c r="G1926" s="8">
        <f>IFERROR(VLOOKUP($B1926,'INSUMOS  JULIO'!$B$6:$CJ$109,61,0),"")</f>
        <v>27641.3</v>
      </c>
      <c r="H1926" s="19">
        <f t="shared" ref="H1926:H1989" si="120">+F1926*G1926</f>
        <v>0</v>
      </c>
      <c r="I1926" s="1">
        <f t="shared" ref="I1926:I1989" si="121">+H1926*10%</f>
        <v>0</v>
      </c>
      <c r="J1926" s="1">
        <f t="shared" ref="J1926:J1989" si="122">+I1926*19%</f>
        <v>0</v>
      </c>
      <c r="K1926" s="19">
        <f t="shared" ref="K1926:K1989" si="123">SUM(H1926:J1926)</f>
        <v>0</v>
      </c>
    </row>
    <row r="1927" spans="2:11" ht="15">
      <c r="B1927" s="151">
        <v>106</v>
      </c>
      <c r="C1927" s="7" t="s">
        <v>66</v>
      </c>
      <c r="D1927" s="4" t="s">
        <v>70</v>
      </c>
      <c r="E1927" t="s">
        <v>491</v>
      </c>
      <c r="F1927" s="12" t="str">
        <f>IFERROR(VLOOKUP(B1927,'INSUMOS  JULIO'!$B$6:$CJ$109,60,0),"")</f>
        <v>0</v>
      </c>
      <c r="G1927" s="8">
        <f>IFERROR(VLOOKUP($B1927,'INSUMOS  JULIO'!$B$6:$CJ$109,61,0),"")</f>
        <v>0</v>
      </c>
      <c r="H1927" s="19">
        <f t="shared" si="120"/>
        <v>0</v>
      </c>
      <c r="I1927" s="1">
        <f t="shared" si="121"/>
        <v>0</v>
      </c>
      <c r="J1927" s="1">
        <f t="shared" si="122"/>
        <v>0</v>
      </c>
      <c r="K1927" s="19">
        <f t="shared" si="123"/>
        <v>0</v>
      </c>
    </row>
    <row r="1928" spans="2:11" ht="15">
      <c r="B1928" s="151">
        <v>108</v>
      </c>
      <c r="C1928" s="7" t="s">
        <v>66</v>
      </c>
      <c r="D1928" s="4" t="s">
        <v>71</v>
      </c>
      <c r="E1928" t="s">
        <v>491</v>
      </c>
      <c r="F1928" s="12" t="str">
        <f>IFERROR(VLOOKUP(B1928,'INSUMOS  JULIO'!$B$6:$CJ$109,60,0),"")</f>
        <v>0</v>
      </c>
      <c r="G1928" s="8">
        <f>IFERROR(VLOOKUP($B1928,'INSUMOS  JULIO'!$B$6:$CJ$109,61,0),"")</f>
        <v>38697.82</v>
      </c>
      <c r="H1928" s="19">
        <f t="shared" si="120"/>
        <v>0</v>
      </c>
      <c r="I1928" s="1">
        <f t="shared" si="121"/>
        <v>0</v>
      </c>
      <c r="J1928" s="1">
        <f t="shared" si="122"/>
        <v>0</v>
      </c>
      <c r="K1928" s="19">
        <f t="shared" si="123"/>
        <v>0</v>
      </c>
    </row>
    <row r="1929" spans="2:11" ht="15">
      <c r="B1929" s="151">
        <v>109</v>
      </c>
      <c r="C1929" s="7" t="s">
        <v>66</v>
      </c>
      <c r="D1929" s="4" t="s">
        <v>72</v>
      </c>
      <c r="E1929" t="s">
        <v>491</v>
      </c>
      <c r="F1929" s="12" t="str">
        <f>IFERROR(VLOOKUP(B1929,'INSUMOS  JULIO'!$B$6:$CJ$109,60,0),"")</f>
        <v>0</v>
      </c>
      <c r="G1929" s="8">
        <f>IFERROR(VLOOKUP($B1929,'INSUMOS  JULIO'!$B$6:$CJ$109,61,0),"")</f>
        <v>49754.340000000004</v>
      </c>
      <c r="H1929" s="19">
        <f t="shared" si="120"/>
        <v>0</v>
      </c>
      <c r="I1929" s="1">
        <f t="shared" si="121"/>
        <v>0</v>
      </c>
      <c r="J1929" s="1">
        <f t="shared" si="122"/>
        <v>0</v>
      </c>
      <c r="K1929" s="19">
        <f t="shared" si="123"/>
        <v>0</v>
      </c>
    </row>
    <row r="1930" spans="2:11" ht="15">
      <c r="B1930" s="151">
        <v>110</v>
      </c>
      <c r="C1930" s="7" t="s">
        <v>158</v>
      </c>
      <c r="D1930" s="4" t="s">
        <v>73</v>
      </c>
      <c r="E1930" t="s">
        <v>491</v>
      </c>
      <c r="F1930" s="12">
        <f>IFERROR(VLOOKUP(B1930,'INSUMOS  JULIO'!$B$6:$CJ$109,60,0),"")</f>
        <v>0</v>
      </c>
      <c r="G1930" s="8">
        <f>IFERROR(VLOOKUP($B1930,'INSUMOS  JULIO'!$B$6:$CJ$109,61,0),"")</f>
        <v>1442.4974999999999</v>
      </c>
      <c r="H1930" s="19">
        <f t="shared" si="120"/>
        <v>0</v>
      </c>
      <c r="I1930" s="1">
        <f t="shared" si="121"/>
        <v>0</v>
      </c>
      <c r="J1930" s="1">
        <f t="shared" si="122"/>
        <v>0</v>
      </c>
      <c r="K1930" s="19">
        <f t="shared" si="123"/>
        <v>0</v>
      </c>
    </row>
    <row r="1931" spans="2:11" ht="15">
      <c r="B1931" s="151">
        <v>118</v>
      </c>
      <c r="C1931" s="7" t="s">
        <v>158</v>
      </c>
      <c r="D1931" s="4" t="s">
        <v>74</v>
      </c>
      <c r="E1931" t="s">
        <v>491</v>
      </c>
      <c r="F1931" s="12">
        <f>IFERROR(VLOOKUP(B1931,'INSUMOS  JULIO'!$B$6:$CJ$109,60,0),"")</f>
        <v>0</v>
      </c>
      <c r="G1931" s="8">
        <f>IFERROR(VLOOKUP($B1931,'INSUMOS  JULIO'!$B$6:$CJ$109,61,0),"")</f>
        <v>2455.136</v>
      </c>
      <c r="H1931" s="19">
        <f t="shared" si="120"/>
        <v>0</v>
      </c>
      <c r="I1931" s="1">
        <f t="shared" si="121"/>
        <v>0</v>
      </c>
      <c r="J1931" s="1">
        <f t="shared" si="122"/>
        <v>0</v>
      </c>
      <c r="K1931" s="19">
        <f t="shared" si="123"/>
        <v>0</v>
      </c>
    </row>
    <row r="1932" spans="2:11" ht="15">
      <c r="B1932" s="151">
        <v>119</v>
      </c>
      <c r="C1932" s="7" t="s">
        <v>158</v>
      </c>
      <c r="D1932" s="4" t="s">
        <v>75</v>
      </c>
      <c r="E1932" t="s">
        <v>491</v>
      </c>
      <c r="F1932" s="12" t="str">
        <f>IFERROR(VLOOKUP(B1932,'INSUMOS  JULIO'!$B$6:$CJ$109,60,0),"")</f>
        <v>0</v>
      </c>
      <c r="G1932" s="8">
        <f>IFERROR(VLOOKUP($B1932,'INSUMOS  JULIO'!$B$6:$CJ$109,61,0),"")</f>
        <v>2821.9350000000004</v>
      </c>
      <c r="H1932" s="19">
        <f t="shared" si="120"/>
        <v>0</v>
      </c>
      <c r="I1932" s="1">
        <f t="shared" si="121"/>
        <v>0</v>
      </c>
      <c r="J1932" s="1">
        <f t="shared" si="122"/>
        <v>0</v>
      </c>
      <c r="K1932" s="19">
        <f t="shared" si="123"/>
        <v>0</v>
      </c>
    </row>
    <row r="1933" spans="2:11" ht="15">
      <c r="B1933" s="151">
        <v>120</v>
      </c>
      <c r="C1933" s="7" t="s">
        <v>158</v>
      </c>
      <c r="D1933" s="4" t="s">
        <v>76</v>
      </c>
      <c r="E1933" t="s">
        <v>491</v>
      </c>
      <c r="F1933" s="12" t="str">
        <f>IFERROR(VLOOKUP(B1933,'INSUMOS  JULIO'!$B$6:$CJ$109,60,0),"")</f>
        <v>0</v>
      </c>
      <c r="G1933" s="8">
        <f>IFERROR(VLOOKUP($B1933,'INSUMOS  JULIO'!$B$6:$CJ$109,61,0),"")</f>
        <v>2821.9350000000004</v>
      </c>
      <c r="H1933" s="19">
        <f t="shared" si="120"/>
        <v>0</v>
      </c>
      <c r="I1933" s="1">
        <f t="shared" si="121"/>
        <v>0</v>
      </c>
      <c r="J1933" s="1">
        <f t="shared" si="122"/>
        <v>0</v>
      </c>
      <c r="K1933" s="19">
        <f t="shared" si="123"/>
        <v>0</v>
      </c>
    </row>
    <row r="1934" spans="2:11" ht="15">
      <c r="B1934" s="151">
        <v>122</v>
      </c>
      <c r="C1934" s="7" t="s">
        <v>158</v>
      </c>
      <c r="D1934" s="4" t="s">
        <v>77</v>
      </c>
      <c r="E1934" t="s">
        <v>491</v>
      </c>
      <c r="F1934" s="12" t="str">
        <f>IFERROR(VLOOKUP(B1934,'INSUMOS  JULIO'!$B$6:$CJ$109,60,0),"")</f>
        <v>0</v>
      </c>
      <c r="G1934" s="8">
        <f>IFERROR(VLOOKUP($B1934,'INSUMOS  JULIO'!$B$6:$CJ$109,61,0),"")</f>
        <v>5223.4699999999993</v>
      </c>
      <c r="H1934" s="19">
        <f t="shared" si="120"/>
        <v>0</v>
      </c>
      <c r="I1934" s="1">
        <f t="shared" si="121"/>
        <v>0</v>
      </c>
      <c r="J1934" s="1">
        <f t="shared" si="122"/>
        <v>0</v>
      </c>
      <c r="K1934" s="19">
        <f t="shared" si="123"/>
        <v>0</v>
      </c>
    </row>
    <row r="1935" spans="2:11" ht="15">
      <c r="B1935" s="151">
        <v>123</v>
      </c>
      <c r="C1935" s="7" t="s">
        <v>158</v>
      </c>
      <c r="D1935" s="4" t="s">
        <v>78</v>
      </c>
      <c r="E1935" t="s">
        <v>491</v>
      </c>
      <c r="F1935" s="12" t="str">
        <f>IFERROR(VLOOKUP(B1935,'INSUMOS  JULIO'!$B$6:$CJ$109,60,0),"")</f>
        <v>0</v>
      </c>
      <c r="G1935" s="8">
        <f>IFERROR(VLOOKUP($B1935,'INSUMOS  JULIO'!$B$6:$CJ$109,61,0),"")</f>
        <v>5765.7860000000001</v>
      </c>
      <c r="H1935" s="19">
        <f t="shared" si="120"/>
        <v>0</v>
      </c>
      <c r="I1935" s="1">
        <f t="shared" si="121"/>
        <v>0</v>
      </c>
      <c r="J1935" s="1">
        <f t="shared" si="122"/>
        <v>0</v>
      </c>
      <c r="K1935" s="19">
        <f t="shared" si="123"/>
        <v>0</v>
      </c>
    </row>
    <row r="1936" spans="2:11" ht="15">
      <c r="B1936" s="151">
        <v>124</v>
      </c>
      <c r="C1936" s="7" t="s">
        <v>158</v>
      </c>
      <c r="D1936" s="4" t="s">
        <v>79</v>
      </c>
      <c r="E1936" t="s">
        <v>491</v>
      </c>
      <c r="F1936" s="12" t="str">
        <f>IFERROR(VLOOKUP(B1936,'INSUMOS  JULIO'!$B$6:$CJ$109,60,0),"")</f>
        <v>0</v>
      </c>
      <c r="G1936" s="8">
        <f>IFERROR(VLOOKUP($B1936,'INSUMOS  JULIO'!$B$6:$CJ$109,61,0),"")</f>
        <v>5765.7860000000001</v>
      </c>
      <c r="H1936" s="19">
        <f t="shared" si="120"/>
        <v>0</v>
      </c>
      <c r="I1936" s="1">
        <f t="shared" si="121"/>
        <v>0</v>
      </c>
      <c r="J1936" s="1">
        <f t="shared" si="122"/>
        <v>0</v>
      </c>
      <c r="K1936" s="19">
        <f t="shared" si="123"/>
        <v>0</v>
      </c>
    </row>
    <row r="1937" spans="2:11" ht="15">
      <c r="B1937" s="151">
        <v>126</v>
      </c>
      <c r="C1937" s="7" t="s">
        <v>9</v>
      </c>
      <c r="D1937" s="4" t="s">
        <v>80</v>
      </c>
      <c r="E1937" t="s">
        <v>491</v>
      </c>
      <c r="F1937" s="12" t="str">
        <f>IFERROR(VLOOKUP(B1937,'INSUMOS  JULIO'!$B$6:$CJ$109,60,0),"")</f>
        <v>0</v>
      </c>
      <c r="G1937" s="8">
        <f>IFERROR(VLOOKUP($B1937,'INSUMOS  JULIO'!$B$6:$CJ$109,61,0),"")</f>
        <v>3316.9560000000001</v>
      </c>
      <c r="H1937" s="19">
        <f t="shared" si="120"/>
        <v>0</v>
      </c>
      <c r="I1937" s="1">
        <f t="shared" si="121"/>
        <v>0</v>
      </c>
      <c r="J1937" s="1">
        <f t="shared" si="122"/>
        <v>0</v>
      </c>
      <c r="K1937" s="19">
        <f t="shared" si="123"/>
        <v>0</v>
      </c>
    </row>
    <row r="1938" spans="2:11" ht="15">
      <c r="B1938" s="151">
        <v>127</v>
      </c>
      <c r="C1938" s="7" t="s">
        <v>156</v>
      </c>
      <c r="D1938" s="4" t="s">
        <v>81</v>
      </c>
      <c r="E1938" t="s">
        <v>491</v>
      </c>
      <c r="F1938" s="12" t="str">
        <f>IFERROR(VLOOKUP(B1938,'INSUMOS  JULIO'!$B$6:$CJ$109,60,0),"")</f>
        <v>0</v>
      </c>
      <c r="G1938" s="8">
        <f>IFERROR(VLOOKUP($B1938,'INSUMOS  JULIO'!$B$6:$CJ$109,61,0),"")</f>
        <v>3316.9560000000001</v>
      </c>
      <c r="H1938" s="19">
        <f t="shared" si="120"/>
        <v>0</v>
      </c>
      <c r="I1938" s="1">
        <f t="shared" si="121"/>
        <v>0</v>
      </c>
      <c r="J1938" s="1">
        <f t="shared" si="122"/>
        <v>0</v>
      </c>
      <c r="K1938" s="19">
        <f t="shared" si="123"/>
        <v>0</v>
      </c>
    </row>
    <row r="1939" spans="2:11" ht="15">
      <c r="B1939" s="151">
        <v>129</v>
      </c>
      <c r="C1939" s="7" t="s">
        <v>157</v>
      </c>
      <c r="D1939" s="4" t="s">
        <v>82</v>
      </c>
      <c r="E1939" t="s">
        <v>491</v>
      </c>
      <c r="F1939" s="12" t="str">
        <f>IFERROR(VLOOKUP(B1939,'INSUMOS  JULIO'!$B$6:$CJ$109,60,0),"")</f>
        <v>0</v>
      </c>
      <c r="G1939" s="8">
        <f>IFERROR(VLOOKUP($B1939,'INSUMOS  JULIO'!$B$6:$CJ$109,61,0),"")</f>
        <v>3787.8040000000001</v>
      </c>
      <c r="H1939" s="19">
        <f t="shared" si="120"/>
        <v>0</v>
      </c>
      <c r="I1939" s="1">
        <f t="shared" si="121"/>
        <v>0</v>
      </c>
      <c r="J1939" s="1">
        <f t="shared" si="122"/>
        <v>0</v>
      </c>
      <c r="K1939" s="19">
        <f t="shared" si="123"/>
        <v>0</v>
      </c>
    </row>
    <row r="1940" spans="2:11" ht="15">
      <c r="B1940" s="151">
        <v>131</v>
      </c>
      <c r="C1940" s="7" t="s">
        <v>13</v>
      </c>
      <c r="D1940" s="4" t="s">
        <v>83</v>
      </c>
      <c r="E1940" t="s">
        <v>491</v>
      </c>
      <c r="F1940" s="12" t="str">
        <f>IFERROR(VLOOKUP(B1940,'INSUMOS  JULIO'!$B$6:$CJ$109,60,0),"")</f>
        <v>0</v>
      </c>
      <c r="G1940" s="8">
        <f>IFERROR(VLOOKUP($B1940,'INSUMOS  JULIO'!$B$6:$CJ$109,61,0),"")</f>
        <v>0</v>
      </c>
      <c r="H1940" s="19">
        <f t="shared" si="120"/>
        <v>0</v>
      </c>
      <c r="I1940" s="1">
        <f t="shared" si="121"/>
        <v>0</v>
      </c>
      <c r="J1940" s="1">
        <f t="shared" si="122"/>
        <v>0</v>
      </c>
      <c r="K1940" s="19">
        <f t="shared" si="123"/>
        <v>0</v>
      </c>
    </row>
    <row r="1941" spans="2:11" ht="15">
      <c r="B1941" s="151">
        <v>132</v>
      </c>
      <c r="C1941" s="7" t="s">
        <v>13</v>
      </c>
      <c r="D1941" s="4" t="s">
        <v>84</v>
      </c>
      <c r="E1941" t="s">
        <v>491</v>
      </c>
      <c r="F1941" s="12" t="str">
        <f>IFERROR(VLOOKUP(B1941,'INSUMOS  JULIO'!$B$6:$CJ$109,60,0),"")</f>
        <v>0</v>
      </c>
      <c r="G1941" s="8">
        <f>IFERROR(VLOOKUP($B1941,'INSUMOS  JULIO'!$B$6:$CJ$109,61,0),"")</f>
        <v>0</v>
      </c>
      <c r="H1941" s="19">
        <f t="shared" si="120"/>
        <v>0</v>
      </c>
      <c r="I1941" s="1">
        <f t="shared" si="121"/>
        <v>0</v>
      </c>
      <c r="J1941" s="1">
        <f t="shared" si="122"/>
        <v>0</v>
      </c>
      <c r="K1941" s="19">
        <f t="shared" si="123"/>
        <v>0</v>
      </c>
    </row>
    <row r="1942" spans="2:11" ht="15">
      <c r="B1942" s="151">
        <v>134</v>
      </c>
      <c r="C1942" s="7" t="s">
        <v>16</v>
      </c>
      <c r="D1942" s="4" t="s">
        <v>85</v>
      </c>
      <c r="E1942" t="s">
        <v>491</v>
      </c>
      <c r="F1942" s="12" t="str">
        <f>IFERROR(VLOOKUP(B1942,'INSUMOS  JULIO'!$B$6:$CJ$109,60,0),"")</f>
        <v>0</v>
      </c>
      <c r="G1942" s="8">
        <f>IFERROR(VLOOKUP($B1942,'INSUMOS  JULIO'!$B$6:$CJ$109,61,0),"")</f>
        <v>0</v>
      </c>
      <c r="H1942" s="19">
        <f t="shared" si="120"/>
        <v>0</v>
      </c>
      <c r="I1942" s="1">
        <f t="shared" si="121"/>
        <v>0</v>
      </c>
      <c r="J1942" s="1">
        <f t="shared" si="122"/>
        <v>0</v>
      </c>
      <c r="K1942" s="19">
        <f t="shared" si="123"/>
        <v>0</v>
      </c>
    </row>
    <row r="1943" spans="2:11" ht="15">
      <c r="B1943" s="151">
        <v>135</v>
      </c>
      <c r="C1943" s="7" t="s">
        <v>18</v>
      </c>
      <c r="D1943" s="4" t="s">
        <v>86</v>
      </c>
      <c r="E1943" t="s">
        <v>491</v>
      </c>
      <c r="F1943" s="12">
        <f>IFERROR(VLOOKUP(B1943,'INSUMOS  JULIO'!$B$6:$CJ$109,60,0),"")</f>
        <v>0</v>
      </c>
      <c r="G1943" s="8">
        <f>IFERROR(VLOOKUP($B1943,'INSUMOS  JULIO'!$B$6:$CJ$109,61,0),"")</f>
        <v>6229.277</v>
      </c>
      <c r="H1943" s="19">
        <f t="shared" si="120"/>
        <v>0</v>
      </c>
      <c r="I1943" s="1">
        <f t="shared" si="121"/>
        <v>0</v>
      </c>
      <c r="J1943" s="1">
        <f t="shared" si="122"/>
        <v>0</v>
      </c>
      <c r="K1943" s="19">
        <f t="shared" si="123"/>
        <v>0</v>
      </c>
    </row>
    <row r="1944" spans="2:11" ht="15">
      <c r="B1944" s="151">
        <v>137</v>
      </c>
      <c r="C1944" s="7" t="s">
        <v>20</v>
      </c>
      <c r="D1944" s="4" t="s">
        <v>88</v>
      </c>
      <c r="E1944" t="s">
        <v>491</v>
      </c>
      <c r="F1944" s="12" t="str">
        <f>IFERROR(VLOOKUP(B1944,'INSUMOS  JULIO'!$B$6:$CJ$109,60,0),"")</f>
        <v>0</v>
      </c>
      <c r="G1944" s="8">
        <f>IFERROR(VLOOKUP($B1944,'INSUMOS  JULIO'!$B$6:$CJ$109,61,0),"")</f>
        <v>1245.4349999999999</v>
      </c>
      <c r="H1944" s="19">
        <f t="shared" si="120"/>
        <v>0</v>
      </c>
      <c r="I1944" s="1">
        <f t="shared" si="121"/>
        <v>0</v>
      </c>
      <c r="J1944" s="1">
        <f t="shared" si="122"/>
        <v>0</v>
      </c>
      <c r="K1944" s="19">
        <f t="shared" si="123"/>
        <v>0</v>
      </c>
    </row>
    <row r="1945" spans="2:11" ht="15">
      <c r="B1945" s="151">
        <v>139</v>
      </c>
      <c r="C1945" s="7" t="s">
        <v>22</v>
      </c>
      <c r="D1945" s="4" t="s">
        <v>89</v>
      </c>
      <c r="E1945" t="s">
        <v>491</v>
      </c>
      <c r="F1945" s="12">
        <f>IFERROR(VLOOKUP(B1945,'INSUMOS  JULIO'!$B$6:$CJ$109,60,0),"")</f>
        <v>0</v>
      </c>
      <c r="G1945" s="8">
        <f>IFERROR(VLOOKUP($B1945,'INSUMOS  JULIO'!$B$6:$CJ$109,61,0),"")</f>
        <v>25429.996000000003</v>
      </c>
      <c r="H1945" s="19">
        <f t="shared" si="120"/>
        <v>0</v>
      </c>
      <c r="I1945" s="1">
        <f t="shared" si="121"/>
        <v>0</v>
      </c>
      <c r="J1945" s="1">
        <f t="shared" si="122"/>
        <v>0</v>
      </c>
      <c r="K1945" s="19">
        <f t="shared" si="123"/>
        <v>0</v>
      </c>
    </row>
    <row r="1946" spans="2:11" ht="15">
      <c r="B1946" s="151">
        <v>151</v>
      </c>
      <c r="C1946" s="7" t="s">
        <v>18</v>
      </c>
      <c r="D1946" s="4" t="s">
        <v>91</v>
      </c>
      <c r="E1946" t="s">
        <v>491</v>
      </c>
      <c r="F1946" s="12">
        <f>IFERROR(VLOOKUP(B1946,'INSUMOS  JULIO'!$B$6:$CJ$109,60,0),"")</f>
        <v>20</v>
      </c>
      <c r="G1946" s="8">
        <f>IFERROR(VLOOKUP($B1946,'INSUMOS  JULIO'!$B$6:$CJ$109,61,0),"")</f>
        <v>4422.6080000000002</v>
      </c>
      <c r="H1946" s="19">
        <f t="shared" si="120"/>
        <v>88452.160000000003</v>
      </c>
      <c r="I1946" s="1">
        <f t="shared" si="121"/>
        <v>8845.2160000000003</v>
      </c>
      <c r="J1946" s="1">
        <f t="shared" si="122"/>
        <v>1680.59104</v>
      </c>
      <c r="K1946" s="19">
        <f t="shared" si="123"/>
        <v>98977.967040000003</v>
      </c>
    </row>
    <row r="1947" spans="2:11" ht="15">
      <c r="B1947" s="151">
        <v>152</v>
      </c>
      <c r="C1947" s="7" t="s">
        <v>155</v>
      </c>
      <c r="D1947" s="4" t="s">
        <v>92</v>
      </c>
      <c r="E1947" t="s">
        <v>491</v>
      </c>
      <c r="F1947" s="12" t="str">
        <f>IFERROR(VLOOKUP(B1947,'INSUMOS  JULIO'!$B$6:$CJ$109,60,0),"")</f>
        <v>0</v>
      </c>
      <c r="G1947" s="8">
        <f>IFERROR(VLOOKUP($B1947,'INSUMOS  JULIO'!$B$6:$CJ$109,61,0),"")</f>
        <v>0</v>
      </c>
      <c r="H1947" s="19">
        <f t="shared" si="120"/>
        <v>0</v>
      </c>
      <c r="I1947" s="1">
        <f t="shared" si="121"/>
        <v>0</v>
      </c>
      <c r="J1947" s="1">
        <f t="shared" si="122"/>
        <v>0</v>
      </c>
      <c r="K1947" s="19">
        <f t="shared" si="123"/>
        <v>0</v>
      </c>
    </row>
    <row r="1948" spans="2:11" ht="15">
      <c r="B1948" s="151">
        <v>154</v>
      </c>
      <c r="C1948" s="7" t="s">
        <v>16</v>
      </c>
      <c r="D1948" s="4" t="s">
        <v>94</v>
      </c>
      <c r="E1948" t="s">
        <v>491</v>
      </c>
      <c r="F1948" s="12" t="str">
        <f>IFERROR(VLOOKUP(B1948,'INSUMOS  JULIO'!$B$6:$CJ$109,60,0),"")</f>
        <v>0</v>
      </c>
      <c r="G1948" s="8">
        <f>IFERROR(VLOOKUP($B1948,'INSUMOS  JULIO'!$B$6:$CJ$109,61,0),"")</f>
        <v>0</v>
      </c>
      <c r="H1948" s="19">
        <f t="shared" si="120"/>
        <v>0</v>
      </c>
      <c r="I1948" s="1">
        <f t="shared" si="121"/>
        <v>0</v>
      </c>
      <c r="J1948" s="1">
        <f t="shared" si="122"/>
        <v>0</v>
      </c>
      <c r="K1948" s="19">
        <f t="shared" si="123"/>
        <v>0</v>
      </c>
    </row>
    <row r="1949" spans="2:11" ht="15">
      <c r="B1949" s="151">
        <v>155</v>
      </c>
      <c r="C1949" s="7" t="s">
        <v>27</v>
      </c>
      <c r="D1949" s="4" t="s">
        <v>95</v>
      </c>
      <c r="E1949" t="s">
        <v>491</v>
      </c>
      <c r="F1949" s="12">
        <f>IFERROR(VLOOKUP(B1949,'INSUMOS  JULIO'!$B$6:$CJ$109,60,0),"")</f>
        <v>80</v>
      </c>
      <c r="G1949" s="8">
        <f>IFERROR(VLOOKUP($B1949,'INSUMOS  JULIO'!$B$6:$CJ$109,61,0),"")</f>
        <v>5005.7028</v>
      </c>
      <c r="H1949" s="19">
        <f t="shared" si="120"/>
        <v>400456.22399999999</v>
      </c>
      <c r="I1949" s="1">
        <f t="shared" si="121"/>
        <v>40045.6224</v>
      </c>
      <c r="J1949" s="1">
        <f t="shared" si="122"/>
        <v>7608.6682559999999</v>
      </c>
      <c r="K1949" s="19">
        <f t="shared" si="123"/>
        <v>448110.51465599996</v>
      </c>
    </row>
    <row r="1950" spans="2:11" ht="15">
      <c r="B1950" s="151">
        <v>156</v>
      </c>
      <c r="C1950" s="7" t="s">
        <v>13</v>
      </c>
      <c r="D1950" s="4" t="s">
        <v>96</v>
      </c>
      <c r="E1950" t="s">
        <v>491</v>
      </c>
      <c r="F1950" s="12" t="str">
        <f>IFERROR(VLOOKUP(B1950,'INSUMOS  JULIO'!$B$6:$CJ$109,60,0),"")</f>
        <v>0</v>
      </c>
      <c r="G1950" s="8">
        <f>IFERROR(VLOOKUP($B1950,'INSUMOS  JULIO'!$B$6:$CJ$109,61,0),"")</f>
        <v>4422.6080000000002</v>
      </c>
      <c r="H1950" s="19">
        <f t="shared" si="120"/>
        <v>0</v>
      </c>
      <c r="I1950" s="1">
        <f t="shared" si="121"/>
        <v>0</v>
      </c>
      <c r="J1950" s="1">
        <f t="shared" si="122"/>
        <v>0</v>
      </c>
      <c r="K1950" s="19">
        <f t="shared" si="123"/>
        <v>0</v>
      </c>
    </row>
    <row r="1951" spans="2:11" ht="15">
      <c r="B1951" s="151">
        <v>157</v>
      </c>
      <c r="C1951" s="7" t="s">
        <v>13</v>
      </c>
      <c r="D1951" s="4" t="s">
        <v>97</v>
      </c>
      <c r="E1951" t="s">
        <v>491</v>
      </c>
      <c r="F1951" s="12">
        <f>IFERROR(VLOOKUP(B1951,'INSUMOS  JULIO'!$B$6:$CJ$109,60,0),"")</f>
        <v>0</v>
      </c>
      <c r="G1951" s="8">
        <f>IFERROR(VLOOKUP($B1951,'INSUMOS  JULIO'!$B$6:$CJ$109,61,0),"")</f>
        <v>5970.7309999999998</v>
      </c>
      <c r="H1951" s="19">
        <f t="shared" si="120"/>
        <v>0</v>
      </c>
      <c r="I1951" s="1">
        <f t="shared" si="121"/>
        <v>0</v>
      </c>
      <c r="J1951" s="1">
        <f t="shared" si="122"/>
        <v>0</v>
      </c>
      <c r="K1951" s="19">
        <f t="shared" si="123"/>
        <v>0</v>
      </c>
    </row>
    <row r="1952" spans="2:11" ht="15">
      <c r="B1952" s="151">
        <v>159</v>
      </c>
      <c r="C1952" s="7" t="s">
        <v>13</v>
      </c>
      <c r="D1952" s="4" t="s">
        <v>98</v>
      </c>
      <c r="E1952" t="s">
        <v>491</v>
      </c>
      <c r="F1952" s="12" t="str">
        <f>IFERROR(VLOOKUP(B1952,'INSUMOS  JULIO'!$B$6:$CJ$109,60,0),"")</f>
        <v>0</v>
      </c>
      <c r="G1952" s="8">
        <f>IFERROR(VLOOKUP($B1952,'INSUMOS  JULIO'!$B$6:$CJ$109,61,0),"")</f>
        <v>0</v>
      </c>
      <c r="H1952" s="19">
        <f t="shared" si="120"/>
        <v>0</v>
      </c>
      <c r="I1952" s="1">
        <f t="shared" si="121"/>
        <v>0</v>
      </c>
      <c r="J1952" s="1">
        <f t="shared" si="122"/>
        <v>0</v>
      </c>
      <c r="K1952" s="19">
        <f t="shared" si="123"/>
        <v>0</v>
      </c>
    </row>
    <row r="1953" spans="2:11" ht="15">
      <c r="B1953" s="151">
        <v>160</v>
      </c>
      <c r="C1953" s="7" t="s">
        <v>13</v>
      </c>
      <c r="D1953" s="4" t="s">
        <v>99</v>
      </c>
      <c r="E1953" t="s">
        <v>491</v>
      </c>
      <c r="F1953" s="12" t="str">
        <f>IFERROR(VLOOKUP(B1953,'INSUMOS  JULIO'!$B$6:$CJ$109,60,0),"")</f>
        <v>0</v>
      </c>
      <c r="G1953" s="8">
        <f>IFERROR(VLOOKUP($B1953,'INSUMOS  JULIO'!$B$6:$CJ$109,61,0),"")</f>
        <v>2276.4660000000003</v>
      </c>
      <c r="H1953" s="19">
        <f t="shared" si="120"/>
        <v>0</v>
      </c>
      <c r="I1953" s="1">
        <f t="shared" si="121"/>
        <v>0</v>
      </c>
      <c r="J1953" s="1">
        <f t="shared" si="122"/>
        <v>0</v>
      </c>
      <c r="K1953" s="19">
        <f t="shared" si="123"/>
        <v>0</v>
      </c>
    </row>
    <row r="1954" spans="2:11" ht="15">
      <c r="B1954" s="151">
        <v>161</v>
      </c>
      <c r="C1954" s="7" t="s">
        <v>33</v>
      </c>
      <c r="D1954" s="4" t="s">
        <v>100</v>
      </c>
      <c r="E1954" t="s">
        <v>491</v>
      </c>
      <c r="F1954" s="12" t="str">
        <f>IFERROR(VLOOKUP(B1954,'INSUMOS  JULIO'!$B$6:$CJ$109,60,0),"")</f>
        <v>0</v>
      </c>
      <c r="G1954" s="8">
        <f>IFERROR(VLOOKUP($B1954,'INSUMOS  JULIO'!$B$6:$CJ$109,61,0),"")</f>
        <v>2236.5280000000002</v>
      </c>
      <c r="H1954" s="19">
        <f t="shared" si="120"/>
        <v>0</v>
      </c>
      <c r="I1954" s="1">
        <f t="shared" si="121"/>
        <v>0</v>
      </c>
      <c r="J1954" s="1">
        <f t="shared" si="122"/>
        <v>0</v>
      </c>
      <c r="K1954" s="19">
        <f t="shared" si="123"/>
        <v>0</v>
      </c>
    </row>
    <row r="1955" spans="2:11" ht="15">
      <c r="B1955" s="151">
        <v>162</v>
      </c>
      <c r="C1955" s="7" t="s">
        <v>16</v>
      </c>
      <c r="D1955" s="4" t="s">
        <v>101</v>
      </c>
      <c r="E1955" t="s">
        <v>491</v>
      </c>
      <c r="F1955" s="12">
        <f>IFERROR(VLOOKUP(B1955,'INSUMOS  JULIO'!$B$6:$CJ$109,60,0),"")</f>
        <v>0</v>
      </c>
      <c r="G1955" s="8">
        <f>IFERROR(VLOOKUP($B1955,'INSUMOS  JULIO'!$B$6:$CJ$109,61,0),"")</f>
        <v>2684.2539999999999</v>
      </c>
      <c r="H1955" s="19">
        <f t="shared" si="120"/>
        <v>0</v>
      </c>
      <c r="I1955" s="1">
        <f t="shared" si="121"/>
        <v>0</v>
      </c>
      <c r="J1955" s="1">
        <f t="shared" si="122"/>
        <v>0</v>
      </c>
      <c r="K1955" s="19">
        <f t="shared" si="123"/>
        <v>0</v>
      </c>
    </row>
    <row r="1956" spans="2:11" ht="15">
      <c r="B1956" s="151">
        <v>164</v>
      </c>
      <c r="C1956" s="7" t="s">
        <v>36</v>
      </c>
      <c r="D1956" s="4" t="s">
        <v>102</v>
      </c>
      <c r="E1956" t="s">
        <v>491</v>
      </c>
      <c r="F1956" s="12" t="str">
        <f>IFERROR(VLOOKUP(B1956,'INSUMOS  JULIO'!$B$6:$CJ$109,60,0),"")</f>
        <v>0</v>
      </c>
      <c r="G1956" s="8">
        <f>IFERROR(VLOOKUP($B1956,'INSUMOS  JULIO'!$B$6:$CJ$109,61,0),"")</f>
        <v>1658.4780000000001</v>
      </c>
      <c r="H1956" s="19">
        <f t="shared" si="120"/>
        <v>0</v>
      </c>
      <c r="I1956" s="1">
        <f t="shared" si="121"/>
        <v>0</v>
      </c>
      <c r="J1956" s="1">
        <f t="shared" si="122"/>
        <v>0</v>
      </c>
      <c r="K1956" s="19">
        <f t="shared" si="123"/>
        <v>0</v>
      </c>
    </row>
    <row r="1957" spans="2:11" ht="15">
      <c r="B1957" s="151">
        <v>169</v>
      </c>
      <c r="C1957" s="7" t="s">
        <v>36</v>
      </c>
      <c r="D1957" s="4" t="s">
        <v>104</v>
      </c>
      <c r="E1957" t="s">
        <v>491</v>
      </c>
      <c r="F1957" s="12" t="str">
        <f>IFERROR(VLOOKUP(B1957,'INSUMOS  JULIO'!$B$6:$CJ$109,60,0),"")</f>
        <v>0</v>
      </c>
      <c r="G1957" s="8">
        <f>IFERROR(VLOOKUP($B1957,'INSUMOS  JULIO'!$B$6:$CJ$109,61,0),"")</f>
        <v>85897.178999999989</v>
      </c>
      <c r="H1957" s="19">
        <f t="shared" si="120"/>
        <v>0</v>
      </c>
      <c r="I1957" s="1">
        <f t="shared" si="121"/>
        <v>0</v>
      </c>
      <c r="J1957" s="1">
        <f t="shared" si="122"/>
        <v>0</v>
      </c>
      <c r="K1957" s="19">
        <f t="shared" si="123"/>
        <v>0</v>
      </c>
    </row>
    <row r="1958" spans="2:11" ht="15">
      <c r="B1958" s="151">
        <v>170</v>
      </c>
      <c r="C1958" s="7" t="s">
        <v>105</v>
      </c>
      <c r="D1958" s="4" t="s">
        <v>106</v>
      </c>
      <c r="E1958" t="s">
        <v>491</v>
      </c>
      <c r="F1958" s="12">
        <f>IFERROR(VLOOKUP(B1958,'INSUMOS  JULIO'!$B$6:$CJ$109,60,0),"")</f>
        <v>0</v>
      </c>
      <c r="G1958" s="8">
        <f>IFERROR(VLOOKUP($B1958,'INSUMOS  JULIO'!$B$6:$CJ$109,61,0),"")</f>
        <v>19405.664000000001</v>
      </c>
      <c r="H1958" s="19">
        <f t="shared" si="120"/>
        <v>0</v>
      </c>
      <c r="I1958" s="1">
        <f t="shared" si="121"/>
        <v>0</v>
      </c>
      <c r="J1958" s="1">
        <f t="shared" si="122"/>
        <v>0</v>
      </c>
      <c r="K1958" s="19">
        <f t="shared" si="123"/>
        <v>0</v>
      </c>
    </row>
    <row r="1959" spans="2:11" ht="15">
      <c r="B1959" s="151">
        <v>173</v>
      </c>
      <c r="C1959" s="7" t="s">
        <v>105</v>
      </c>
      <c r="D1959" s="4" t="s">
        <v>107</v>
      </c>
      <c r="E1959" t="s">
        <v>491</v>
      </c>
      <c r="F1959" s="12" t="str">
        <f>IFERROR(VLOOKUP(B1959,'INSUMOS  JULIO'!$B$6:$CJ$109,60,0),"")</f>
        <v>0</v>
      </c>
      <c r="G1959" s="8">
        <f>IFERROR(VLOOKUP($B1959,'INSUMOS  JULIO'!$B$6:$CJ$109,61,0),"")</f>
        <v>0</v>
      </c>
      <c r="H1959" s="19">
        <f t="shared" si="120"/>
        <v>0</v>
      </c>
      <c r="I1959" s="1">
        <f t="shared" si="121"/>
        <v>0</v>
      </c>
      <c r="J1959" s="1">
        <f t="shared" si="122"/>
        <v>0</v>
      </c>
      <c r="K1959" s="19">
        <f t="shared" si="123"/>
        <v>0</v>
      </c>
    </row>
    <row r="1960" spans="2:11" ht="15">
      <c r="B1960" s="151">
        <v>174</v>
      </c>
      <c r="C1960" s="7" t="s">
        <v>108</v>
      </c>
      <c r="D1960" s="4" t="s">
        <v>109</v>
      </c>
      <c r="E1960" t="s">
        <v>491</v>
      </c>
      <c r="F1960" s="12" t="str">
        <f>IFERROR(VLOOKUP(B1960,'INSUMOS  JULIO'!$B$6:$CJ$109,60,0),"")</f>
        <v>0</v>
      </c>
      <c r="G1960" s="8">
        <f>IFERROR(VLOOKUP($B1960,'INSUMOS  JULIO'!$B$6:$CJ$109,61,0),"")</f>
        <v>6081.0860000000002</v>
      </c>
      <c r="H1960" s="19">
        <f t="shared" si="120"/>
        <v>0</v>
      </c>
      <c r="I1960" s="1">
        <f t="shared" si="121"/>
        <v>0</v>
      </c>
      <c r="J1960" s="1">
        <f t="shared" si="122"/>
        <v>0</v>
      </c>
      <c r="K1960" s="19">
        <f t="shared" si="123"/>
        <v>0</v>
      </c>
    </row>
    <row r="1961" spans="2:11" ht="15">
      <c r="B1961" s="151">
        <v>176</v>
      </c>
      <c r="C1961" s="7" t="s">
        <v>108</v>
      </c>
      <c r="D1961" s="4" t="s">
        <v>110</v>
      </c>
      <c r="E1961" t="s">
        <v>491</v>
      </c>
      <c r="F1961" s="12" t="str">
        <f>IFERROR(VLOOKUP(B1961,'INSUMOS  JULIO'!$B$6:$CJ$109,60,0),"")</f>
        <v>0</v>
      </c>
      <c r="G1961" s="8">
        <f>IFERROR(VLOOKUP($B1961,'INSUMOS  JULIO'!$B$6:$CJ$109,61,0),"")</f>
        <v>2749.4160000000002</v>
      </c>
      <c r="H1961" s="19">
        <f t="shared" si="120"/>
        <v>0</v>
      </c>
      <c r="I1961" s="1">
        <f t="shared" si="121"/>
        <v>0</v>
      </c>
      <c r="J1961" s="1">
        <f t="shared" si="122"/>
        <v>0</v>
      </c>
      <c r="K1961" s="19">
        <f t="shared" si="123"/>
        <v>0</v>
      </c>
    </row>
    <row r="1962" spans="2:11" ht="15">
      <c r="B1962" s="151">
        <v>192</v>
      </c>
      <c r="C1962" s="7" t="s">
        <v>149</v>
      </c>
      <c r="D1962" s="4" t="s">
        <v>111</v>
      </c>
      <c r="E1962" t="s">
        <v>491</v>
      </c>
      <c r="F1962" s="12">
        <f>IFERROR(VLOOKUP(B1962,'INSUMOS  JULIO'!$B$6:$CJ$109,60,0),"")</f>
        <v>0</v>
      </c>
      <c r="G1962" s="8">
        <f>IFERROR(VLOOKUP($B1962,'INSUMOS  JULIO'!$B$6:$CJ$109,61,0),"")</f>
        <v>3930.7400000000002</v>
      </c>
      <c r="H1962" s="19">
        <f t="shared" si="120"/>
        <v>0</v>
      </c>
      <c r="I1962" s="1">
        <f t="shared" si="121"/>
        <v>0</v>
      </c>
      <c r="J1962" s="1">
        <f t="shared" si="122"/>
        <v>0</v>
      </c>
      <c r="K1962" s="19">
        <f t="shared" si="123"/>
        <v>0</v>
      </c>
    </row>
    <row r="1963" spans="2:11" ht="15">
      <c r="B1963" s="151">
        <v>195</v>
      </c>
      <c r="C1963" s="7" t="s">
        <v>149</v>
      </c>
      <c r="D1963" s="4" t="s">
        <v>112</v>
      </c>
      <c r="E1963" t="s">
        <v>491</v>
      </c>
      <c r="F1963" s="12">
        <f>IFERROR(VLOOKUP(B1963,'INSUMOS  JULIO'!$B$6:$CJ$109,60,0),"")</f>
        <v>40</v>
      </c>
      <c r="G1963" s="8">
        <f>IFERROR(VLOOKUP($B1963,'INSUMOS  JULIO'!$B$6:$CJ$109,61,0),"")</f>
        <v>6431.0690000000004</v>
      </c>
      <c r="H1963" s="19">
        <f t="shared" si="120"/>
        <v>257242.76</v>
      </c>
      <c r="I1963" s="1">
        <f t="shared" si="121"/>
        <v>25724.276000000002</v>
      </c>
      <c r="J1963" s="1">
        <f t="shared" si="122"/>
        <v>4887.6124400000008</v>
      </c>
      <c r="K1963" s="19">
        <f t="shared" si="123"/>
        <v>287854.64844000002</v>
      </c>
    </row>
    <row r="1964" spans="2:11" ht="15">
      <c r="B1964" s="151">
        <v>204</v>
      </c>
      <c r="C1964" s="7" t="s">
        <v>150</v>
      </c>
      <c r="D1964" s="4" t="s">
        <v>113</v>
      </c>
      <c r="E1964" t="s">
        <v>491</v>
      </c>
      <c r="F1964" s="12">
        <f>IFERROR(VLOOKUP(B1964,'INSUMOS  JULIO'!$B$6:$CJ$109,60,0),"")</f>
        <v>10</v>
      </c>
      <c r="G1964" s="8">
        <f>IFERROR(VLOOKUP($B1964,'INSUMOS  JULIO'!$B$6:$CJ$109,61,0),"")</f>
        <v>14760.243999999999</v>
      </c>
      <c r="H1964" s="19">
        <f t="shared" si="120"/>
        <v>147602.44</v>
      </c>
      <c r="I1964" s="1">
        <f t="shared" si="121"/>
        <v>14760.244000000001</v>
      </c>
      <c r="J1964" s="1">
        <f t="shared" si="122"/>
        <v>2804.4463600000004</v>
      </c>
      <c r="K1964" s="19">
        <f t="shared" si="123"/>
        <v>165167.13036000001</v>
      </c>
    </row>
    <row r="1965" spans="2:11" ht="27">
      <c r="B1965" s="151">
        <v>205</v>
      </c>
      <c r="C1965" s="7" t="s">
        <v>150</v>
      </c>
      <c r="D1965" s="4" t="s">
        <v>114</v>
      </c>
      <c r="E1965" t="s">
        <v>491</v>
      </c>
      <c r="F1965" s="12" t="str">
        <f>IFERROR(VLOOKUP(B1965,'INSUMOS  JULIO'!$B$6:$CJ$109,60,0),"")</f>
        <v>0</v>
      </c>
      <c r="G1965" s="8">
        <f>IFERROR(VLOOKUP($B1965,'INSUMOS  JULIO'!$B$6:$CJ$109,61,0),"")</f>
        <v>17690.432000000001</v>
      </c>
      <c r="H1965" s="19">
        <f t="shared" si="120"/>
        <v>0</v>
      </c>
      <c r="I1965" s="1">
        <f t="shared" si="121"/>
        <v>0</v>
      </c>
      <c r="J1965" s="1">
        <f t="shared" si="122"/>
        <v>0</v>
      </c>
      <c r="K1965" s="19">
        <f t="shared" si="123"/>
        <v>0</v>
      </c>
    </row>
    <row r="1966" spans="2:11" ht="15">
      <c r="B1966" s="151">
        <v>207</v>
      </c>
      <c r="C1966" s="7" t="s">
        <v>159</v>
      </c>
      <c r="D1966" s="4" t="s">
        <v>115</v>
      </c>
      <c r="E1966" t="s">
        <v>491</v>
      </c>
      <c r="F1966" s="12" t="str">
        <f>IFERROR(VLOOKUP(B1966,'INSUMOS  JULIO'!$B$6:$CJ$109,60,0),"")</f>
        <v>0</v>
      </c>
      <c r="G1966" s="8">
        <f>IFERROR(VLOOKUP($B1966,'INSUMOS  JULIO'!$B$6:$CJ$109,61,0),"")</f>
        <v>7186.7380000000003</v>
      </c>
      <c r="H1966" s="19">
        <f t="shared" si="120"/>
        <v>0</v>
      </c>
      <c r="I1966" s="1">
        <f t="shared" si="121"/>
        <v>0</v>
      </c>
      <c r="J1966" s="1">
        <f t="shared" si="122"/>
        <v>0</v>
      </c>
      <c r="K1966" s="19">
        <f t="shared" si="123"/>
        <v>0</v>
      </c>
    </row>
    <row r="1967" spans="2:11" ht="15">
      <c r="B1967" s="151">
        <v>208</v>
      </c>
      <c r="C1967" s="7" t="s">
        <v>159</v>
      </c>
      <c r="D1967" s="4" t="s">
        <v>634</v>
      </c>
      <c r="E1967" t="s">
        <v>491</v>
      </c>
      <c r="F1967" s="12" t="str">
        <f>IFERROR(VLOOKUP(B1967,'INSUMOS  JULIO'!$B$6:$CJ$109,60,0),"")</f>
        <v>0</v>
      </c>
      <c r="G1967" s="8">
        <f>IFERROR(VLOOKUP($B1967,'INSUMOS  JULIO'!$B$6:$CJ$109,61,0),"")</f>
        <v>50779.065000000002</v>
      </c>
      <c r="H1967" s="19">
        <f t="shared" si="120"/>
        <v>0</v>
      </c>
      <c r="I1967" s="1">
        <f t="shared" si="121"/>
        <v>0</v>
      </c>
      <c r="J1967" s="1">
        <f t="shared" si="122"/>
        <v>0</v>
      </c>
      <c r="K1967" s="19">
        <f t="shared" si="123"/>
        <v>0</v>
      </c>
    </row>
    <row r="1968" spans="2:11" ht="15">
      <c r="B1968" s="151">
        <v>209</v>
      </c>
      <c r="C1968" s="7" t="s">
        <v>159</v>
      </c>
      <c r="D1968" s="4" t="s">
        <v>635</v>
      </c>
      <c r="E1968" t="s">
        <v>491</v>
      </c>
      <c r="F1968" s="12" t="str">
        <f>IFERROR(VLOOKUP(B1968,'INSUMOS  JULIO'!$B$6:$CJ$109,60,0),"")</f>
        <v>0</v>
      </c>
      <c r="G1968" s="8">
        <f>IFERROR(VLOOKUP($B1968,'INSUMOS  JULIO'!$B$6:$CJ$109,61,0),"")</f>
        <v>37357.794999999998</v>
      </c>
      <c r="H1968" s="19">
        <f t="shared" si="120"/>
        <v>0</v>
      </c>
      <c r="I1968" s="1">
        <f t="shared" si="121"/>
        <v>0</v>
      </c>
      <c r="J1968" s="1">
        <f t="shared" si="122"/>
        <v>0</v>
      </c>
      <c r="K1968" s="19">
        <f t="shared" si="123"/>
        <v>0</v>
      </c>
    </row>
    <row r="1969" spans="2:11" ht="15">
      <c r="B1969" s="151">
        <v>210</v>
      </c>
      <c r="C1969" s="7" t="s">
        <v>159</v>
      </c>
      <c r="D1969" s="4" t="s">
        <v>636</v>
      </c>
      <c r="E1969" t="s">
        <v>491</v>
      </c>
      <c r="F1969" s="12" t="str">
        <f>IFERROR(VLOOKUP(B1969,'INSUMOS  JULIO'!$B$6:$CJ$109,60,0),"")</f>
        <v>0</v>
      </c>
      <c r="G1969" s="8">
        <f>IFERROR(VLOOKUP($B1969,'INSUMOS  JULIO'!$B$6:$CJ$109,61,0),"")</f>
        <v>22537.643999999997</v>
      </c>
      <c r="H1969" s="19">
        <f t="shared" si="120"/>
        <v>0</v>
      </c>
      <c r="I1969" s="1">
        <f t="shared" si="121"/>
        <v>0</v>
      </c>
      <c r="J1969" s="1">
        <f t="shared" si="122"/>
        <v>0</v>
      </c>
      <c r="K1969" s="19">
        <f t="shared" si="123"/>
        <v>0</v>
      </c>
    </row>
    <row r="1970" spans="2:11" ht="15">
      <c r="B1970" s="151">
        <v>211</v>
      </c>
      <c r="C1970" s="7" t="s">
        <v>53</v>
      </c>
      <c r="D1970" s="4" t="s">
        <v>637</v>
      </c>
      <c r="E1970" t="s">
        <v>491</v>
      </c>
      <c r="F1970" s="12" t="str">
        <f>IFERROR(VLOOKUP(B1970,'INSUMOS  JULIO'!$B$6:$CJ$109,60,0),"")</f>
        <v>0</v>
      </c>
      <c r="G1970" s="8">
        <f>IFERROR(VLOOKUP($B1970,'INSUMOS  JULIO'!$B$6:$CJ$109,61,0),"")</f>
        <v>15992.016</v>
      </c>
      <c r="H1970" s="19">
        <f t="shared" si="120"/>
        <v>0</v>
      </c>
      <c r="I1970" s="1">
        <f t="shared" si="121"/>
        <v>0</v>
      </c>
      <c r="J1970" s="1">
        <f t="shared" si="122"/>
        <v>0</v>
      </c>
      <c r="K1970" s="19">
        <f t="shared" si="123"/>
        <v>0</v>
      </c>
    </row>
    <row r="1971" spans="2:11" ht="15">
      <c r="B1971" s="151">
        <v>212</v>
      </c>
      <c r="C1971" s="7" t="s">
        <v>53</v>
      </c>
      <c r="D1971" s="4" t="s">
        <v>116</v>
      </c>
      <c r="E1971" t="s">
        <v>491</v>
      </c>
      <c r="F1971" s="12" t="str">
        <f>IFERROR(VLOOKUP(B1971,'INSUMOS  JULIO'!$B$6:$CJ$109,60,0),"")</f>
        <v>0</v>
      </c>
      <c r="G1971" s="8">
        <f>IFERROR(VLOOKUP($B1971,'INSUMOS  JULIO'!$B$6:$CJ$109,61,0),"")</f>
        <v>2505.5839999999998</v>
      </c>
      <c r="H1971" s="19">
        <f t="shared" si="120"/>
        <v>0</v>
      </c>
      <c r="I1971" s="1">
        <f t="shared" si="121"/>
        <v>0</v>
      </c>
      <c r="J1971" s="1">
        <f t="shared" si="122"/>
        <v>0</v>
      </c>
      <c r="K1971" s="19">
        <f t="shared" si="123"/>
        <v>0</v>
      </c>
    </row>
    <row r="1972" spans="2:11" ht="15">
      <c r="B1972" s="151">
        <v>213</v>
      </c>
      <c r="C1972" s="7" t="s">
        <v>53</v>
      </c>
      <c r="D1972" s="4" t="s">
        <v>638</v>
      </c>
      <c r="E1972" t="s">
        <v>491</v>
      </c>
      <c r="F1972" s="12" t="str">
        <f>IFERROR(VLOOKUP(B1972,'INSUMOS  JULIO'!$B$6:$CJ$109,60,0),"")</f>
        <v>0</v>
      </c>
      <c r="G1972" s="8">
        <f>IFERROR(VLOOKUP($B1972,'INSUMOS  JULIO'!$B$6:$CJ$109,61,0),"")</f>
        <v>0</v>
      </c>
      <c r="H1972" s="19">
        <f t="shared" si="120"/>
        <v>0</v>
      </c>
      <c r="I1972" s="1">
        <f t="shared" si="121"/>
        <v>0</v>
      </c>
      <c r="J1972" s="1">
        <f t="shared" si="122"/>
        <v>0</v>
      </c>
      <c r="K1972" s="19">
        <f t="shared" si="123"/>
        <v>0</v>
      </c>
    </row>
    <row r="1973" spans="2:11" ht="15">
      <c r="B1973" s="151">
        <v>215</v>
      </c>
      <c r="C1973" s="7" t="s">
        <v>53</v>
      </c>
      <c r="D1973" s="4" t="s">
        <v>639</v>
      </c>
      <c r="E1973" t="s">
        <v>491</v>
      </c>
      <c r="F1973" s="12" t="str">
        <f>IFERROR(VLOOKUP(B1973,'INSUMOS  JULIO'!$B$6:$CJ$109,60,0),"")</f>
        <v>0</v>
      </c>
      <c r="G1973" s="8">
        <f>IFERROR(VLOOKUP($B1973,'INSUMOS  JULIO'!$B$6:$CJ$109,61,0),"")</f>
        <v>10476.367999999999</v>
      </c>
      <c r="H1973" s="19">
        <f t="shared" si="120"/>
        <v>0</v>
      </c>
      <c r="I1973" s="1">
        <f t="shared" si="121"/>
        <v>0</v>
      </c>
      <c r="J1973" s="1">
        <f t="shared" si="122"/>
        <v>0</v>
      </c>
      <c r="K1973" s="19">
        <f t="shared" si="123"/>
        <v>0</v>
      </c>
    </row>
    <row r="1974" spans="2:11" ht="15">
      <c r="B1974" s="151">
        <v>216</v>
      </c>
      <c r="C1974" s="7" t="s">
        <v>160</v>
      </c>
      <c r="D1974" s="4" t="s">
        <v>640</v>
      </c>
      <c r="E1974" t="s">
        <v>491</v>
      </c>
      <c r="F1974" s="12" t="str">
        <f>IFERROR(VLOOKUP(B1974,'INSUMOS  JULIO'!$B$6:$CJ$109,60,0),"")</f>
        <v>0</v>
      </c>
      <c r="G1974" s="8">
        <f>IFERROR(VLOOKUP($B1974,'INSUMOS  JULIO'!$B$6:$CJ$109,61,0),"")</f>
        <v>3954.9129999999996</v>
      </c>
      <c r="H1974" s="19">
        <f t="shared" si="120"/>
        <v>0</v>
      </c>
      <c r="I1974" s="1">
        <f t="shared" si="121"/>
        <v>0</v>
      </c>
      <c r="J1974" s="1">
        <f t="shared" si="122"/>
        <v>0</v>
      </c>
      <c r="K1974" s="19">
        <f t="shared" si="123"/>
        <v>0</v>
      </c>
    </row>
    <row r="1975" spans="2:11" ht="15">
      <c r="B1975" s="151">
        <v>218</v>
      </c>
      <c r="C1975" s="7" t="s">
        <v>160</v>
      </c>
      <c r="D1975" s="4" t="s">
        <v>117</v>
      </c>
      <c r="E1975" t="s">
        <v>491</v>
      </c>
      <c r="F1975" s="12" t="str">
        <f>IFERROR(VLOOKUP(B1975,'INSUMOS  JULIO'!$B$6:$CJ$109,60,0),"")</f>
        <v>0</v>
      </c>
      <c r="G1975" s="8">
        <f>IFERROR(VLOOKUP($B1975,'INSUMOS  JULIO'!$B$6:$CJ$109,61,0),"")</f>
        <v>1437.768</v>
      </c>
      <c r="H1975" s="19">
        <f t="shared" si="120"/>
        <v>0</v>
      </c>
      <c r="I1975" s="1">
        <f t="shared" si="121"/>
        <v>0</v>
      </c>
      <c r="J1975" s="1">
        <f t="shared" si="122"/>
        <v>0</v>
      </c>
      <c r="K1975" s="19">
        <f t="shared" si="123"/>
        <v>0</v>
      </c>
    </row>
    <row r="1976" spans="2:11" ht="15">
      <c r="B1976" s="151">
        <v>251</v>
      </c>
      <c r="C1976" s="7" t="s">
        <v>60</v>
      </c>
      <c r="D1976" s="4" t="s">
        <v>118</v>
      </c>
      <c r="E1976" t="s">
        <v>491</v>
      </c>
      <c r="F1976" s="12" t="str">
        <f>IFERROR(VLOOKUP(B1976,'INSUMOS  JULIO'!$B$6:$CJ$109,60,0),"")</f>
        <v>0</v>
      </c>
      <c r="G1976" s="8">
        <f>IFERROR(VLOOKUP($B1976,'INSUMOS  JULIO'!$B$6:$CJ$109,61,0),"")</f>
        <v>16031.954000000002</v>
      </c>
      <c r="H1976" s="19">
        <f t="shared" si="120"/>
        <v>0</v>
      </c>
      <c r="I1976" s="1">
        <f t="shared" si="121"/>
        <v>0</v>
      </c>
      <c r="J1976" s="1">
        <f t="shared" si="122"/>
        <v>0</v>
      </c>
      <c r="K1976" s="19">
        <f t="shared" si="123"/>
        <v>0</v>
      </c>
    </row>
    <row r="1977" spans="2:11" ht="15">
      <c r="B1977" s="151">
        <v>255</v>
      </c>
      <c r="C1977" s="7" t="s">
        <v>60</v>
      </c>
      <c r="D1977" s="4" t="s">
        <v>641</v>
      </c>
      <c r="E1977" t="s">
        <v>491</v>
      </c>
      <c r="F1977" s="12" t="str">
        <f>IFERROR(VLOOKUP(B1977,'INSUMOS  JULIO'!$B$6:$CJ$109,60,0),"")</f>
        <v>0</v>
      </c>
      <c r="G1977" s="8">
        <f>IFERROR(VLOOKUP($B1977,'INSUMOS  JULIO'!$B$6:$CJ$109,61,0),"")</f>
        <v>29299.777999999998</v>
      </c>
      <c r="H1977" s="19">
        <f t="shared" si="120"/>
        <v>0</v>
      </c>
      <c r="I1977" s="1">
        <f t="shared" si="121"/>
        <v>0</v>
      </c>
      <c r="J1977" s="1">
        <f t="shared" si="122"/>
        <v>0</v>
      </c>
      <c r="K1977" s="19">
        <f t="shared" si="123"/>
        <v>0</v>
      </c>
    </row>
    <row r="1978" spans="2:11" ht="15">
      <c r="B1978" s="151">
        <v>257</v>
      </c>
      <c r="C1978" s="7" t="s">
        <v>151</v>
      </c>
      <c r="D1978" s="4" t="s">
        <v>642</v>
      </c>
      <c r="E1978" t="s">
        <v>491</v>
      </c>
      <c r="F1978" s="12" t="str">
        <f>IFERROR(VLOOKUP(B1978,'INSUMOS  JULIO'!$B$6:$CJ$109,60,0),"")</f>
        <v>0</v>
      </c>
      <c r="G1978" s="8">
        <f>IFERROR(VLOOKUP($B1978,'INSUMOS  JULIO'!$B$6:$CJ$109,61,0),"")</f>
        <v>18796.084000000003</v>
      </c>
      <c r="H1978" s="19">
        <f t="shared" si="120"/>
        <v>0</v>
      </c>
      <c r="I1978" s="1">
        <f t="shared" si="121"/>
        <v>0</v>
      </c>
      <c r="J1978" s="1">
        <f t="shared" si="122"/>
        <v>0</v>
      </c>
      <c r="K1978" s="19">
        <f t="shared" si="123"/>
        <v>0</v>
      </c>
    </row>
    <row r="1979" spans="2:11" ht="15">
      <c r="B1979" s="151">
        <v>260</v>
      </c>
      <c r="C1979" s="7" t="s">
        <v>160</v>
      </c>
      <c r="D1979" s="4" t="s">
        <v>643</v>
      </c>
      <c r="E1979" t="s">
        <v>491</v>
      </c>
      <c r="F1979" s="12" t="str">
        <f>IFERROR(VLOOKUP(B1979,'INSUMOS  JULIO'!$B$6:$CJ$109,60,0),"")</f>
        <v>0</v>
      </c>
      <c r="G1979" s="8">
        <f>IFERROR(VLOOKUP($B1979,'INSUMOS  JULIO'!$B$6:$CJ$109,61,0),"")</f>
        <v>3417.8520000000008</v>
      </c>
      <c r="H1979" s="19">
        <f t="shared" si="120"/>
        <v>0</v>
      </c>
      <c r="I1979" s="1">
        <f t="shared" si="121"/>
        <v>0</v>
      </c>
      <c r="J1979" s="1">
        <f t="shared" si="122"/>
        <v>0</v>
      </c>
      <c r="K1979" s="19">
        <f t="shared" si="123"/>
        <v>0</v>
      </c>
    </row>
    <row r="1980" spans="2:11" ht="15">
      <c r="B1980" s="151">
        <v>291</v>
      </c>
      <c r="C1980" s="7" t="s">
        <v>60</v>
      </c>
      <c r="D1980" s="4" t="s">
        <v>644</v>
      </c>
      <c r="E1980" t="s">
        <v>491</v>
      </c>
      <c r="F1980" s="12" t="str">
        <f>IFERROR(VLOOKUP(B1980,'INSUMOS  JULIO'!$B$6:$CJ$109,60,0),"")</f>
        <v>0</v>
      </c>
      <c r="G1980" s="8">
        <f>IFERROR(VLOOKUP($B1980,'INSUMOS  JULIO'!$B$6:$CJ$109,61,0),"")</f>
        <v>20454.562000000005</v>
      </c>
      <c r="H1980" s="19">
        <f t="shared" si="120"/>
        <v>0</v>
      </c>
      <c r="I1980" s="1">
        <f t="shared" si="121"/>
        <v>0</v>
      </c>
      <c r="J1980" s="1">
        <f t="shared" si="122"/>
        <v>0</v>
      </c>
      <c r="K1980" s="19">
        <f t="shared" si="123"/>
        <v>0</v>
      </c>
    </row>
    <row r="1981" spans="2:11" ht="15">
      <c r="B1981" s="151">
        <v>3</v>
      </c>
      <c r="C1981" s="7" t="s">
        <v>155</v>
      </c>
      <c r="D1981" s="4" t="s">
        <v>5</v>
      </c>
      <c r="E1981" t="s">
        <v>492</v>
      </c>
      <c r="F1981" s="12" t="str">
        <f>IFERROR(VLOOKUP($B1981,'INSUMOS  JULIO'!$B$6:$CJ$109,63,0),"")</f>
        <v>0</v>
      </c>
      <c r="G1981" s="8">
        <f>IFERROR(VLOOKUP($B1981,'INSUMOS  JULIO'!$B$6:$CJ$109,64,0),"")</f>
        <v>7268.7160000000003</v>
      </c>
      <c r="H1981" s="19">
        <f t="shared" si="120"/>
        <v>0</v>
      </c>
      <c r="I1981" s="1">
        <f t="shared" si="121"/>
        <v>0</v>
      </c>
      <c r="J1981" s="1">
        <f t="shared" si="122"/>
        <v>0</v>
      </c>
      <c r="K1981" s="19">
        <f t="shared" si="123"/>
        <v>0</v>
      </c>
    </row>
    <row r="1982" spans="2:11" ht="15">
      <c r="B1982" s="151">
        <v>5</v>
      </c>
      <c r="C1982" s="7" t="s">
        <v>6</v>
      </c>
      <c r="D1982" s="4" t="s">
        <v>7</v>
      </c>
      <c r="E1982" t="s">
        <v>492</v>
      </c>
      <c r="F1982" s="12" t="str">
        <f>IFERROR(VLOOKUP(B1982,'INSUMOS  JULIO'!$B$6:$CJ$109,63,0),"")</f>
        <v>0</v>
      </c>
      <c r="G1982" s="8">
        <f>IFERROR(VLOOKUP($B1982,'INSUMOS  JULIO'!$B$6:$CJ$109,64,0),"")</f>
        <v>6494.1289999999999</v>
      </c>
      <c r="H1982" s="19">
        <f t="shared" si="120"/>
        <v>0</v>
      </c>
      <c r="I1982" s="1">
        <f t="shared" si="121"/>
        <v>0</v>
      </c>
      <c r="J1982" s="1">
        <f t="shared" si="122"/>
        <v>0</v>
      </c>
      <c r="K1982" s="19">
        <f t="shared" si="123"/>
        <v>0</v>
      </c>
    </row>
    <row r="1983" spans="2:11" ht="15">
      <c r="B1983" s="151">
        <v>8</v>
      </c>
      <c r="C1983" s="7" t="s">
        <v>6</v>
      </c>
      <c r="D1983" s="4" t="s">
        <v>8</v>
      </c>
      <c r="E1983" t="s">
        <v>492</v>
      </c>
      <c r="F1983" s="12">
        <f>IFERROR(VLOOKUP(B1983,'INSUMOS  JULIO'!$B$6:$CJ$109,63,0),"")</f>
        <v>0</v>
      </c>
      <c r="G1983" s="8">
        <f>IFERROR(VLOOKUP($B1983,'INSUMOS  JULIO'!$B$6:$CJ$109,64,0),"")</f>
        <v>2211.3040000000001</v>
      </c>
      <c r="H1983" s="19">
        <f t="shared" si="120"/>
        <v>0</v>
      </c>
      <c r="I1983" s="1">
        <f t="shared" si="121"/>
        <v>0</v>
      </c>
      <c r="J1983" s="1">
        <f t="shared" si="122"/>
        <v>0</v>
      </c>
      <c r="K1983" s="19">
        <f t="shared" si="123"/>
        <v>0</v>
      </c>
    </row>
    <row r="1984" spans="2:11" ht="15">
      <c r="B1984" s="151">
        <v>9</v>
      </c>
      <c r="C1984" s="7" t="s">
        <v>9</v>
      </c>
      <c r="D1984" s="4" t="s">
        <v>10</v>
      </c>
      <c r="E1984" t="s">
        <v>492</v>
      </c>
      <c r="F1984" s="12">
        <f>IFERROR(VLOOKUP(B1984,'INSUMOS  JULIO'!$B$6:$CJ$109,63,0),"")</f>
        <v>0</v>
      </c>
      <c r="G1984" s="8">
        <f>IFERROR(VLOOKUP($B1984,'INSUMOS  JULIO'!$B$6:$CJ$109,64,0),"")</f>
        <v>3298.0379999999996</v>
      </c>
      <c r="H1984" s="19">
        <f t="shared" si="120"/>
        <v>0</v>
      </c>
      <c r="I1984" s="1">
        <f t="shared" si="121"/>
        <v>0</v>
      </c>
      <c r="J1984" s="1">
        <f t="shared" si="122"/>
        <v>0</v>
      </c>
      <c r="K1984" s="19">
        <f t="shared" si="123"/>
        <v>0</v>
      </c>
    </row>
    <row r="1985" spans="2:11" ht="15">
      <c r="B1985" s="151">
        <v>11</v>
      </c>
      <c r="C1985" s="7" t="s">
        <v>156</v>
      </c>
      <c r="D1985" s="4" t="s">
        <v>11</v>
      </c>
      <c r="E1985" t="s">
        <v>492</v>
      </c>
      <c r="F1985" s="12" t="str">
        <f>IFERROR(VLOOKUP(B1985,'INSUMOS  JULIO'!$B$6:$CJ$109,63,0),"")</f>
        <v>0</v>
      </c>
      <c r="G1985" s="8">
        <f>IFERROR(VLOOKUP($B1985,'INSUMOS  JULIO'!$B$6:$CJ$109,64,0),"")</f>
        <v>7739.5639999999985</v>
      </c>
      <c r="H1985" s="19">
        <f t="shared" si="120"/>
        <v>0</v>
      </c>
      <c r="I1985" s="1">
        <f t="shared" si="121"/>
        <v>0</v>
      </c>
      <c r="J1985" s="1">
        <f t="shared" si="122"/>
        <v>0</v>
      </c>
      <c r="K1985" s="19">
        <f t="shared" si="123"/>
        <v>0</v>
      </c>
    </row>
    <row r="1986" spans="2:11" ht="15">
      <c r="B1986" s="151">
        <v>13</v>
      </c>
      <c r="C1986" s="7" t="s">
        <v>157</v>
      </c>
      <c r="D1986" s="4" t="s">
        <v>12</v>
      </c>
      <c r="E1986" t="s">
        <v>492</v>
      </c>
      <c r="F1986" s="12">
        <f>IFERROR(VLOOKUP(B1986,'INSUMOS  JULIO'!$B$6:$CJ$109,63,0),"")</f>
        <v>0</v>
      </c>
      <c r="G1986" s="8">
        <f>IFERROR(VLOOKUP($B1986,'INSUMOS  JULIO'!$B$6:$CJ$109,64,0),"")</f>
        <v>6507.7919999999995</v>
      </c>
      <c r="H1986" s="19">
        <f t="shared" si="120"/>
        <v>0</v>
      </c>
      <c r="I1986" s="1">
        <f t="shared" si="121"/>
        <v>0</v>
      </c>
      <c r="J1986" s="1">
        <f t="shared" si="122"/>
        <v>0</v>
      </c>
      <c r="K1986" s="19">
        <f t="shared" si="123"/>
        <v>0</v>
      </c>
    </row>
    <row r="1987" spans="2:11" ht="15">
      <c r="B1987" s="151">
        <v>17</v>
      </c>
      <c r="C1987" s="7" t="s">
        <v>13</v>
      </c>
      <c r="D1987" s="4" t="s">
        <v>14</v>
      </c>
      <c r="E1987" t="s">
        <v>492</v>
      </c>
      <c r="F1987" s="12">
        <f>IFERROR(VLOOKUP(B1987,'INSUMOS  JULIO'!$B$6:$CJ$109,63,0),"")</f>
        <v>0</v>
      </c>
      <c r="G1987" s="8">
        <f>IFERROR(VLOOKUP($B1987,'INSUMOS  JULIO'!$B$6:$CJ$109,64,0),"")</f>
        <v>5647.0229999999992</v>
      </c>
      <c r="H1987" s="19">
        <f t="shared" si="120"/>
        <v>0</v>
      </c>
      <c r="I1987" s="1">
        <f t="shared" si="121"/>
        <v>0</v>
      </c>
      <c r="J1987" s="1">
        <f t="shared" si="122"/>
        <v>0</v>
      </c>
      <c r="K1987" s="19">
        <f t="shared" si="123"/>
        <v>0</v>
      </c>
    </row>
    <row r="1988" spans="2:11" ht="15">
      <c r="B1988" s="151">
        <v>20</v>
      </c>
      <c r="C1988" s="7" t="s">
        <v>13</v>
      </c>
      <c r="D1988" s="4" t="s">
        <v>15</v>
      </c>
      <c r="E1988" t="s">
        <v>492</v>
      </c>
      <c r="F1988" s="12">
        <f>IFERROR(VLOOKUP(B1988,'INSUMOS  JULIO'!$B$6:$CJ$109,63,0),"")</f>
        <v>0</v>
      </c>
      <c r="G1988" s="8">
        <f>IFERROR(VLOOKUP($B1988,'INSUMOS  JULIO'!$B$6:$CJ$109,64,0),"")</f>
        <v>0</v>
      </c>
      <c r="H1988" s="19">
        <f t="shared" si="120"/>
        <v>0</v>
      </c>
      <c r="I1988" s="1">
        <f t="shared" si="121"/>
        <v>0</v>
      </c>
      <c r="J1988" s="1">
        <f t="shared" si="122"/>
        <v>0</v>
      </c>
      <c r="K1988" s="19">
        <f t="shared" si="123"/>
        <v>0</v>
      </c>
    </row>
    <row r="1989" spans="2:11" ht="15">
      <c r="B1989" s="151">
        <v>21</v>
      </c>
      <c r="C1989" s="7" t="s">
        <v>16</v>
      </c>
      <c r="D1989" s="4" t="s">
        <v>17</v>
      </c>
      <c r="E1989" t="s">
        <v>492</v>
      </c>
      <c r="F1989" s="12">
        <f>IFERROR(VLOOKUP(B1989,'INSUMOS  JULIO'!$B$6:$CJ$109,63,0),"")</f>
        <v>0</v>
      </c>
      <c r="G1989" s="8">
        <f>IFERROR(VLOOKUP($B1989,'INSUMOS  JULIO'!$B$6:$CJ$109,64,0),"")</f>
        <v>5932.8950000000013</v>
      </c>
      <c r="H1989" s="19">
        <f t="shared" si="120"/>
        <v>0</v>
      </c>
      <c r="I1989" s="1">
        <f t="shared" si="121"/>
        <v>0</v>
      </c>
      <c r="J1989" s="1">
        <f t="shared" si="122"/>
        <v>0</v>
      </c>
      <c r="K1989" s="19">
        <f t="shared" si="123"/>
        <v>0</v>
      </c>
    </row>
    <row r="1990" spans="2:11" ht="15">
      <c r="B1990" s="151">
        <v>28</v>
      </c>
      <c r="C1990" s="7" t="s">
        <v>18</v>
      </c>
      <c r="D1990" s="4" t="s">
        <v>19</v>
      </c>
      <c r="E1990" t="s">
        <v>492</v>
      </c>
      <c r="F1990" s="12">
        <f>IFERROR(VLOOKUP(B1990,'INSUMOS  JULIO'!$B$6:$CJ$109,63,0),"")</f>
        <v>0</v>
      </c>
      <c r="G1990" s="8">
        <f>IFERROR(VLOOKUP($B1990,'INSUMOS  JULIO'!$B$6:$CJ$109,64,0),"")</f>
        <v>2764.13</v>
      </c>
      <c r="H1990" s="19">
        <f t="shared" ref="H1990:H2053" si="124">+F1990*G1990</f>
        <v>0</v>
      </c>
      <c r="I1990" s="1">
        <f t="shared" ref="I1990:I2053" si="125">+H1990*10%</f>
        <v>0</v>
      </c>
      <c r="J1990" s="1">
        <f t="shared" ref="J1990:J2053" si="126">+I1990*19%</f>
        <v>0</v>
      </c>
      <c r="K1990" s="19">
        <f t="shared" ref="K1990:K2053" si="127">SUM(H1990:J1990)</f>
        <v>0</v>
      </c>
    </row>
    <row r="1991" spans="2:11" ht="15">
      <c r="B1991" s="151">
        <v>29</v>
      </c>
      <c r="C1991" s="7" t="s">
        <v>20</v>
      </c>
      <c r="D1991" s="4" t="s">
        <v>21</v>
      </c>
      <c r="E1991" t="s">
        <v>492</v>
      </c>
      <c r="F1991" s="12" t="str">
        <f>IFERROR(VLOOKUP(B1991,'INSUMOS  JULIO'!$B$6:$CJ$109,63,0),"")</f>
        <v>0</v>
      </c>
      <c r="G1991" s="8">
        <f>IFERROR(VLOOKUP($B1991,'INSUMOS  JULIO'!$B$6:$CJ$109,64,0),"")</f>
        <v>4829.3450000000012</v>
      </c>
      <c r="H1991" s="19">
        <f t="shared" si="124"/>
        <v>0</v>
      </c>
      <c r="I1991" s="1">
        <f t="shared" si="125"/>
        <v>0</v>
      </c>
      <c r="J1991" s="1">
        <f t="shared" si="126"/>
        <v>0</v>
      </c>
      <c r="K1991" s="19">
        <f t="shared" si="127"/>
        <v>0</v>
      </c>
    </row>
    <row r="1992" spans="2:11" ht="15">
      <c r="B1992" s="151">
        <v>32</v>
      </c>
      <c r="C1992" s="7" t="s">
        <v>22</v>
      </c>
      <c r="D1992" s="4" t="s">
        <v>23</v>
      </c>
      <c r="E1992" t="s">
        <v>492</v>
      </c>
      <c r="F1992" s="12">
        <f>IFERROR(VLOOKUP(B1992,'INSUMOS  JULIO'!$B$6:$CJ$109,63,0),"")</f>
        <v>0</v>
      </c>
      <c r="G1992" s="8">
        <f>IFERROR(VLOOKUP($B1992,'INSUMOS  JULIO'!$B$6:$CJ$109,64,0),"")</f>
        <v>4115.7160000000003</v>
      </c>
      <c r="H1992" s="19">
        <f t="shared" si="124"/>
        <v>0</v>
      </c>
      <c r="I1992" s="1">
        <f t="shared" si="125"/>
        <v>0</v>
      </c>
      <c r="J1992" s="1">
        <f t="shared" si="126"/>
        <v>0</v>
      </c>
      <c r="K1992" s="19">
        <f t="shared" si="127"/>
        <v>0</v>
      </c>
    </row>
    <row r="1993" spans="2:11" ht="15">
      <c r="B1993" s="151">
        <v>38</v>
      </c>
      <c r="C1993" s="7" t="s">
        <v>18</v>
      </c>
      <c r="D1993" s="4" t="s">
        <v>24</v>
      </c>
      <c r="E1993" t="s">
        <v>492</v>
      </c>
      <c r="F1993" s="12" t="str">
        <f>IFERROR(VLOOKUP(B1993,'INSUMOS  JULIO'!$B$6:$CJ$109,63,0),"")</f>
        <v>0</v>
      </c>
      <c r="G1993" s="8">
        <f>IFERROR(VLOOKUP($B1993,'INSUMOS  JULIO'!$B$6:$CJ$109,64,0),"")</f>
        <v>15622.484399999999</v>
      </c>
      <c r="H1993" s="19">
        <f t="shared" si="124"/>
        <v>0</v>
      </c>
      <c r="I1993" s="1">
        <f t="shared" si="125"/>
        <v>0</v>
      </c>
      <c r="J1993" s="1">
        <f t="shared" si="126"/>
        <v>0</v>
      </c>
      <c r="K1993" s="19">
        <f t="shared" si="127"/>
        <v>0</v>
      </c>
    </row>
    <row r="1994" spans="2:11" ht="15">
      <c r="B1994" s="151">
        <v>41</v>
      </c>
      <c r="C1994" s="7" t="s">
        <v>155</v>
      </c>
      <c r="D1994" s="4" t="s">
        <v>25</v>
      </c>
      <c r="E1994" t="s">
        <v>492</v>
      </c>
      <c r="F1994" s="12" t="str">
        <f>IFERROR(VLOOKUP(B1994,'INSUMOS  JULIO'!$B$6:$CJ$109,63,0),"")</f>
        <v>0</v>
      </c>
      <c r="G1994" s="8">
        <f>IFERROR(VLOOKUP($B1994,'INSUMOS  JULIO'!$B$6:$CJ$109,64,0),"")</f>
        <v>7034.3429999999989</v>
      </c>
      <c r="H1994" s="19">
        <f t="shared" si="124"/>
        <v>0</v>
      </c>
      <c r="I1994" s="1">
        <f t="shared" si="125"/>
        <v>0</v>
      </c>
      <c r="J1994" s="1">
        <f t="shared" si="126"/>
        <v>0</v>
      </c>
      <c r="K1994" s="19">
        <f t="shared" si="127"/>
        <v>0</v>
      </c>
    </row>
    <row r="1995" spans="2:11" ht="15">
      <c r="B1995" s="151">
        <v>44</v>
      </c>
      <c r="C1995" s="7" t="s">
        <v>16</v>
      </c>
      <c r="D1995" s="4" t="s">
        <v>26</v>
      </c>
      <c r="E1995" t="s">
        <v>492</v>
      </c>
      <c r="F1995" s="12">
        <f>IFERROR(VLOOKUP(B1995,'INSUMOS  JULIO'!$B$6:$CJ$109,63,0),"")</f>
        <v>0</v>
      </c>
      <c r="G1995" s="8">
        <f>IFERROR(VLOOKUP($B1995,'INSUMOS  JULIO'!$B$6:$CJ$109,64,0),"")</f>
        <v>2787.2520000000004</v>
      </c>
      <c r="H1995" s="19">
        <f t="shared" si="124"/>
        <v>0</v>
      </c>
      <c r="I1995" s="1">
        <f t="shared" si="125"/>
        <v>0</v>
      </c>
      <c r="J1995" s="1">
        <f t="shared" si="126"/>
        <v>0</v>
      </c>
      <c r="K1995" s="19">
        <f t="shared" si="127"/>
        <v>0</v>
      </c>
    </row>
    <row r="1996" spans="2:11" ht="15">
      <c r="B1996" s="151">
        <v>46</v>
      </c>
      <c r="C1996" s="7" t="s">
        <v>27</v>
      </c>
      <c r="D1996" s="4" t="s">
        <v>28</v>
      </c>
      <c r="E1996" t="s">
        <v>492</v>
      </c>
      <c r="F1996" s="12" t="str">
        <f>IFERROR(VLOOKUP(B1996,'INSUMOS  JULIO'!$B$6:$CJ$109,63,0),"")</f>
        <v>0</v>
      </c>
      <c r="G1996" s="8">
        <f>IFERROR(VLOOKUP($B1996,'INSUMOS  JULIO'!$B$6:$CJ$109,64,0),"")</f>
        <v>7739.5640000000021</v>
      </c>
      <c r="H1996" s="19">
        <f t="shared" si="124"/>
        <v>0</v>
      </c>
      <c r="I1996" s="1">
        <f t="shared" si="125"/>
        <v>0</v>
      </c>
      <c r="J1996" s="1">
        <f t="shared" si="126"/>
        <v>0</v>
      </c>
      <c r="K1996" s="19">
        <f t="shared" si="127"/>
        <v>0</v>
      </c>
    </row>
    <row r="1997" spans="2:11" ht="15">
      <c r="B1997" s="151">
        <v>50</v>
      </c>
      <c r="C1997" s="7" t="s">
        <v>13</v>
      </c>
      <c r="D1997" s="4" t="s">
        <v>29</v>
      </c>
      <c r="E1997" t="s">
        <v>492</v>
      </c>
      <c r="F1997" s="12">
        <f>IFERROR(VLOOKUP(B1997,'INSUMOS  JULIO'!$B$6:$CJ$109,63,0),"")</f>
        <v>0</v>
      </c>
      <c r="G1997" s="8">
        <f>IFERROR(VLOOKUP($B1997,'INSUMOS  JULIO'!$B$6:$CJ$109,64,0),"")</f>
        <v>38567.495999999999</v>
      </c>
      <c r="H1997" s="19">
        <f t="shared" si="124"/>
        <v>0</v>
      </c>
      <c r="I1997" s="1">
        <f t="shared" si="125"/>
        <v>0</v>
      </c>
      <c r="J1997" s="1">
        <f t="shared" si="126"/>
        <v>0</v>
      </c>
      <c r="K1997" s="19">
        <f t="shared" si="127"/>
        <v>0</v>
      </c>
    </row>
    <row r="1998" spans="2:11" ht="15">
      <c r="B1998" s="151">
        <v>51</v>
      </c>
      <c r="C1998" s="7" t="s">
        <v>13</v>
      </c>
      <c r="D1998" s="4" t="s">
        <v>30</v>
      </c>
      <c r="E1998" t="s">
        <v>492</v>
      </c>
      <c r="F1998" s="12" t="str">
        <f>IFERROR(VLOOKUP(B1998,'INSUMOS  JULIO'!$B$6:$CJ$109,63,0),"")</f>
        <v>0</v>
      </c>
      <c r="G1998" s="8">
        <f>IFERROR(VLOOKUP($B1998,'INSUMOS  JULIO'!$B$6:$CJ$109,64,0),"")</f>
        <v>7739.5640000000021</v>
      </c>
      <c r="H1998" s="19">
        <f t="shared" si="124"/>
        <v>0</v>
      </c>
      <c r="I1998" s="1">
        <f t="shared" si="125"/>
        <v>0</v>
      </c>
      <c r="J1998" s="1">
        <f t="shared" si="126"/>
        <v>0</v>
      </c>
      <c r="K1998" s="19">
        <f t="shared" si="127"/>
        <v>0</v>
      </c>
    </row>
    <row r="1999" spans="2:11" ht="15">
      <c r="B1999" s="151">
        <v>52</v>
      </c>
      <c r="C1999" s="7" t="s">
        <v>13</v>
      </c>
      <c r="D1999" s="4" t="s">
        <v>31</v>
      </c>
      <c r="E1999" t="s">
        <v>492</v>
      </c>
      <c r="F1999" s="12">
        <f>IFERROR(VLOOKUP(B1999,'INSUMOS  JULIO'!$B$6:$CJ$109,63,0),"")</f>
        <v>0</v>
      </c>
      <c r="G1999" s="8">
        <f>IFERROR(VLOOKUP($B1999,'INSUMOS  JULIO'!$B$6:$CJ$109,64,0),"")</f>
        <v>6412.1509999999998</v>
      </c>
      <c r="H1999" s="19">
        <f t="shared" si="124"/>
        <v>0</v>
      </c>
      <c r="I1999" s="1">
        <f t="shared" si="125"/>
        <v>0</v>
      </c>
      <c r="J1999" s="1">
        <f t="shared" si="126"/>
        <v>0</v>
      </c>
      <c r="K1999" s="19">
        <f t="shared" si="127"/>
        <v>0</v>
      </c>
    </row>
    <row r="2000" spans="2:11" ht="15">
      <c r="B2000" s="151">
        <v>54</v>
      </c>
      <c r="C2000" s="7" t="s">
        <v>13</v>
      </c>
      <c r="D2000" s="4" t="s">
        <v>32</v>
      </c>
      <c r="E2000" t="s">
        <v>492</v>
      </c>
      <c r="F2000" s="12">
        <f>IFERROR(VLOOKUP(B2000,'INSUMOS  JULIO'!$B$6:$CJ$109,63,0),"")</f>
        <v>0</v>
      </c>
      <c r="G2000" s="8">
        <f>IFERROR(VLOOKUP($B2000,'INSUMOS  JULIO'!$B$6:$CJ$109,64,0),"")</f>
        <v>5359.049</v>
      </c>
      <c r="H2000" s="19">
        <f t="shared" si="124"/>
        <v>0</v>
      </c>
      <c r="I2000" s="1">
        <f t="shared" si="125"/>
        <v>0</v>
      </c>
      <c r="J2000" s="1">
        <f t="shared" si="126"/>
        <v>0</v>
      </c>
      <c r="K2000" s="19">
        <f t="shared" si="127"/>
        <v>0</v>
      </c>
    </row>
    <row r="2001" spans="2:11" ht="15">
      <c r="B2001" s="151">
        <v>57</v>
      </c>
      <c r="C2001" s="7" t="s">
        <v>33</v>
      </c>
      <c r="D2001" s="4" t="s">
        <v>34</v>
      </c>
      <c r="E2001" t="s">
        <v>492</v>
      </c>
      <c r="F2001" s="12">
        <f>IFERROR(VLOOKUP(B2001,'INSUMOS  JULIO'!$B$6:$CJ$109,63,0),"")</f>
        <v>0</v>
      </c>
      <c r="G2001" s="8">
        <f>IFERROR(VLOOKUP($B2001,'INSUMOS  JULIO'!$B$6:$CJ$109,64,0),"")</f>
        <v>12823.251000000004</v>
      </c>
      <c r="H2001" s="19">
        <f t="shared" si="124"/>
        <v>0</v>
      </c>
      <c r="I2001" s="1">
        <f t="shared" si="125"/>
        <v>0</v>
      </c>
      <c r="J2001" s="1">
        <f t="shared" si="126"/>
        <v>0</v>
      </c>
      <c r="K2001" s="19">
        <f t="shared" si="127"/>
        <v>0</v>
      </c>
    </row>
    <row r="2002" spans="2:11" ht="15">
      <c r="B2002" s="151">
        <v>59</v>
      </c>
      <c r="C2002" s="7" t="s">
        <v>16</v>
      </c>
      <c r="D2002" s="4" t="s">
        <v>35</v>
      </c>
      <c r="E2002" t="s">
        <v>492</v>
      </c>
      <c r="F2002" s="12" t="str">
        <f>IFERROR(VLOOKUP(B2002,'INSUMOS  JULIO'!$B$6:$CJ$109,63,0),"")</f>
        <v>0</v>
      </c>
      <c r="G2002" s="8">
        <f>IFERROR(VLOOKUP($B2002,'INSUMOS  JULIO'!$B$6:$CJ$109,64,0),"")</f>
        <v>5528.260000000002</v>
      </c>
      <c r="H2002" s="19">
        <f t="shared" si="124"/>
        <v>0</v>
      </c>
      <c r="I2002" s="1">
        <f t="shared" si="125"/>
        <v>0</v>
      </c>
      <c r="J2002" s="1">
        <f t="shared" si="126"/>
        <v>0</v>
      </c>
      <c r="K2002" s="19">
        <f t="shared" si="127"/>
        <v>0</v>
      </c>
    </row>
    <row r="2003" spans="2:11" ht="15">
      <c r="B2003" s="151">
        <v>62</v>
      </c>
      <c r="C2003" s="7" t="s">
        <v>36</v>
      </c>
      <c r="D2003" s="4" t="s">
        <v>37</v>
      </c>
      <c r="E2003" t="s">
        <v>492</v>
      </c>
      <c r="F2003" s="12">
        <f>IFERROR(VLOOKUP(B2003,'INSUMOS  JULIO'!$B$6:$CJ$109,63,0),"")</f>
        <v>0</v>
      </c>
      <c r="G2003" s="8">
        <f>IFERROR(VLOOKUP($B2003,'INSUMOS  JULIO'!$B$6:$CJ$109,64,0),"")</f>
        <v>10100.3202</v>
      </c>
      <c r="H2003" s="19">
        <f t="shared" si="124"/>
        <v>0</v>
      </c>
      <c r="I2003" s="1">
        <f t="shared" si="125"/>
        <v>0</v>
      </c>
      <c r="J2003" s="1">
        <f t="shared" si="126"/>
        <v>0</v>
      </c>
      <c r="K2003" s="19">
        <f t="shared" si="127"/>
        <v>0</v>
      </c>
    </row>
    <row r="2004" spans="2:11" ht="15">
      <c r="B2004" s="151">
        <v>63</v>
      </c>
      <c r="C2004" s="7" t="s">
        <v>36</v>
      </c>
      <c r="D2004" s="4" t="s">
        <v>38</v>
      </c>
      <c r="E2004" t="s">
        <v>492</v>
      </c>
      <c r="F2004" s="12">
        <f>IFERROR(VLOOKUP(B2004,'INSUMOS  JULIO'!$B$6:$CJ$109,63,0),"")</f>
        <v>0</v>
      </c>
      <c r="G2004" s="8">
        <f>IFERROR(VLOOKUP($B2004,'INSUMOS  JULIO'!$B$6:$CJ$109,64,0),"")</f>
        <v>8292.39</v>
      </c>
      <c r="H2004" s="19">
        <f t="shared" si="124"/>
        <v>0</v>
      </c>
      <c r="I2004" s="1">
        <f t="shared" si="125"/>
        <v>0</v>
      </c>
      <c r="J2004" s="1">
        <f t="shared" si="126"/>
        <v>0</v>
      </c>
      <c r="K2004" s="19">
        <f t="shared" si="127"/>
        <v>0</v>
      </c>
    </row>
    <row r="2005" spans="2:11" ht="15">
      <c r="B2005" s="151">
        <v>64</v>
      </c>
      <c r="C2005" s="7" t="s">
        <v>39</v>
      </c>
      <c r="D2005" s="4" t="s">
        <v>40</v>
      </c>
      <c r="E2005" t="s">
        <v>492</v>
      </c>
      <c r="F2005" s="12">
        <f>IFERROR(VLOOKUP(B2005,'INSUMOS  JULIO'!$B$6:$CJ$109,63,0),"")</f>
        <v>0</v>
      </c>
      <c r="G2005" s="8">
        <f>IFERROR(VLOOKUP($B2005,'INSUMOS  JULIO'!$B$6:$CJ$109,64,0),"")</f>
        <v>13820.650000000001</v>
      </c>
      <c r="H2005" s="19">
        <f t="shared" si="124"/>
        <v>0</v>
      </c>
      <c r="I2005" s="1">
        <f t="shared" si="125"/>
        <v>0</v>
      </c>
      <c r="J2005" s="1">
        <f t="shared" si="126"/>
        <v>0</v>
      </c>
      <c r="K2005" s="19">
        <f t="shared" si="127"/>
        <v>0</v>
      </c>
    </row>
    <row r="2006" spans="2:11" ht="15">
      <c r="B2006" s="151">
        <v>65</v>
      </c>
      <c r="C2006" s="7" t="s">
        <v>39</v>
      </c>
      <c r="D2006" s="4" t="s">
        <v>41</v>
      </c>
      <c r="E2006" t="s">
        <v>492</v>
      </c>
      <c r="F2006" s="12">
        <f>IFERROR(VLOOKUP(B2006,'INSUMOS  JULIO'!$B$6:$CJ$109,63,0),"")</f>
        <v>0</v>
      </c>
      <c r="G2006" s="8">
        <f>IFERROR(VLOOKUP($B2006,'INSUMOS  JULIO'!$B$6:$CJ$109,64,0),"")</f>
        <v>13820.650000000001</v>
      </c>
      <c r="H2006" s="19">
        <f t="shared" si="124"/>
        <v>0</v>
      </c>
      <c r="I2006" s="1">
        <f t="shared" si="125"/>
        <v>0</v>
      </c>
      <c r="J2006" s="1">
        <f t="shared" si="126"/>
        <v>0</v>
      </c>
      <c r="K2006" s="19">
        <f t="shared" si="127"/>
        <v>0</v>
      </c>
    </row>
    <row r="2007" spans="2:11" ht="15">
      <c r="B2007" s="151">
        <v>66</v>
      </c>
      <c r="C2007" s="7" t="s">
        <v>151</v>
      </c>
      <c r="D2007" s="4" t="s">
        <v>42</v>
      </c>
      <c r="E2007" t="s">
        <v>492</v>
      </c>
      <c r="F2007" s="12">
        <f>IFERROR(VLOOKUP(B2007,'INSUMOS  JULIO'!$B$6:$CJ$109,63,0),"")</f>
        <v>0</v>
      </c>
      <c r="G2007" s="8">
        <f>IFERROR(VLOOKUP($B2007,'INSUMOS  JULIO'!$B$6:$CJ$109,64,0),"")</f>
        <v>2887.0970000000002</v>
      </c>
      <c r="H2007" s="19">
        <f t="shared" si="124"/>
        <v>0</v>
      </c>
      <c r="I2007" s="1">
        <f t="shared" si="125"/>
        <v>0</v>
      </c>
      <c r="J2007" s="1">
        <f t="shared" si="126"/>
        <v>0</v>
      </c>
      <c r="K2007" s="19">
        <f t="shared" si="127"/>
        <v>0</v>
      </c>
    </row>
    <row r="2008" spans="2:11" ht="15">
      <c r="B2008" s="151">
        <v>71</v>
      </c>
      <c r="C2008" s="7" t="s">
        <v>151</v>
      </c>
      <c r="D2008" s="4" t="s">
        <v>43</v>
      </c>
      <c r="E2008" t="s">
        <v>492</v>
      </c>
      <c r="F2008" s="12" t="str">
        <f>IFERROR(VLOOKUP(B2008,'INSUMOS  JULIO'!$B$6:$CJ$109,63,0),"")</f>
        <v>0</v>
      </c>
      <c r="G2008" s="8">
        <f>IFERROR(VLOOKUP($B2008,'INSUMOS  JULIO'!$B$6:$CJ$109,64,0),"")</f>
        <v>5196.1440000000002</v>
      </c>
      <c r="H2008" s="19">
        <f t="shared" si="124"/>
        <v>0</v>
      </c>
      <c r="I2008" s="1">
        <f t="shared" si="125"/>
        <v>0</v>
      </c>
      <c r="J2008" s="1">
        <f t="shared" si="126"/>
        <v>0</v>
      </c>
      <c r="K2008" s="19">
        <f t="shared" si="127"/>
        <v>0</v>
      </c>
    </row>
    <row r="2009" spans="2:11" ht="15">
      <c r="B2009" s="151">
        <v>72</v>
      </c>
      <c r="C2009" s="7" t="s">
        <v>151</v>
      </c>
      <c r="D2009" s="4" t="s">
        <v>44</v>
      </c>
      <c r="E2009" t="s">
        <v>492</v>
      </c>
      <c r="F2009" s="12">
        <f>IFERROR(VLOOKUP(B2009,'INSUMOS  JULIO'!$B$6:$CJ$109,63,0),"")</f>
        <v>0</v>
      </c>
      <c r="G2009" s="8">
        <f>IFERROR(VLOOKUP($B2009,'INSUMOS  JULIO'!$B$6:$CJ$109,64,0),"")</f>
        <v>5196.1440000000002</v>
      </c>
      <c r="H2009" s="19">
        <f t="shared" si="124"/>
        <v>0</v>
      </c>
      <c r="I2009" s="1">
        <f t="shared" si="125"/>
        <v>0</v>
      </c>
      <c r="J2009" s="1">
        <f t="shared" si="126"/>
        <v>0</v>
      </c>
      <c r="K2009" s="19">
        <f t="shared" si="127"/>
        <v>0</v>
      </c>
    </row>
    <row r="2010" spans="2:11" ht="27">
      <c r="B2010" s="151">
        <v>73</v>
      </c>
      <c r="C2010" s="7" t="s">
        <v>151</v>
      </c>
      <c r="D2010" s="4" t="s">
        <v>45</v>
      </c>
      <c r="E2010" t="s">
        <v>492</v>
      </c>
      <c r="F2010" s="12">
        <f>IFERROR(VLOOKUP(B2010,'INSUMOS  JULIO'!$B$6:$CJ$109,63,0),"")</f>
        <v>0</v>
      </c>
      <c r="G2010" s="8">
        <f>IFERROR(VLOOKUP($B2010,'INSUMOS  JULIO'!$B$6:$CJ$109,64,0),"")</f>
        <v>4975.4340000000011</v>
      </c>
      <c r="H2010" s="19">
        <f t="shared" si="124"/>
        <v>0</v>
      </c>
      <c r="I2010" s="1">
        <f t="shared" si="125"/>
        <v>0</v>
      </c>
      <c r="J2010" s="1">
        <f t="shared" si="126"/>
        <v>0</v>
      </c>
      <c r="K2010" s="19">
        <f t="shared" si="127"/>
        <v>0</v>
      </c>
    </row>
    <row r="2011" spans="2:11" ht="15">
      <c r="B2011" s="151">
        <v>74</v>
      </c>
      <c r="C2011" s="7" t="s">
        <v>46</v>
      </c>
      <c r="D2011" s="4" t="s">
        <v>47</v>
      </c>
      <c r="E2011" t="s">
        <v>492</v>
      </c>
      <c r="F2011" s="12">
        <f>IFERROR(VLOOKUP(B2011,'INSUMOS  JULIO'!$B$6:$CJ$109,63,0),"")</f>
        <v>0</v>
      </c>
      <c r="G2011" s="8">
        <f>IFERROR(VLOOKUP($B2011,'INSUMOS  JULIO'!$B$6:$CJ$109,64,0),"")</f>
        <v>3261.2529999999997</v>
      </c>
      <c r="H2011" s="19">
        <f t="shared" si="124"/>
        <v>0</v>
      </c>
      <c r="I2011" s="1">
        <f t="shared" si="125"/>
        <v>0</v>
      </c>
      <c r="J2011" s="1">
        <f t="shared" si="126"/>
        <v>0</v>
      </c>
      <c r="K2011" s="19">
        <f t="shared" si="127"/>
        <v>0</v>
      </c>
    </row>
    <row r="2012" spans="2:11" ht="15">
      <c r="B2012" s="151">
        <v>79</v>
      </c>
      <c r="C2012" s="7" t="s">
        <v>159</v>
      </c>
      <c r="D2012" s="4" t="s">
        <v>48</v>
      </c>
      <c r="E2012" t="s">
        <v>492</v>
      </c>
      <c r="F2012" s="12">
        <f>IFERROR(VLOOKUP(B2012,'INSUMOS  JULIO'!$B$6:$CJ$109,63,0),"")</f>
        <v>0</v>
      </c>
      <c r="G2012" s="8">
        <f>IFERROR(VLOOKUP($B2012,'INSUMOS  JULIO'!$B$6:$CJ$109,64,0),"")</f>
        <v>541.2650000000001</v>
      </c>
      <c r="H2012" s="19">
        <f t="shared" si="124"/>
        <v>0</v>
      </c>
      <c r="I2012" s="1">
        <f t="shared" si="125"/>
        <v>0</v>
      </c>
      <c r="J2012" s="1">
        <f t="shared" si="126"/>
        <v>0</v>
      </c>
      <c r="K2012" s="19">
        <f t="shared" si="127"/>
        <v>0</v>
      </c>
    </row>
    <row r="2013" spans="2:11" ht="15">
      <c r="B2013" s="151">
        <v>80</v>
      </c>
      <c r="C2013" s="7" t="s">
        <v>159</v>
      </c>
      <c r="D2013" s="4" t="s">
        <v>49</v>
      </c>
      <c r="E2013" t="s">
        <v>492</v>
      </c>
      <c r="F2013" s="12">
        <f>IFERROR(VLOOKUP(B2013,'INSUMOS  JULIO'!$B$6:$CJ$109,63,0),"")</f>
        <v>0</v>
      </c>
      <c r="G2013" s="8">
        <f>IFERROR(VLOOKUP($B2013,'INSUMOS  JULIO'!$B$6:$CJ$109,64,0),"")</f>
        <v>433.01199999999994</v>
      </c>
      <c r="H2013" s="19">
        <f t="shared" si="124"/>
        <v>0</v>
      </c>
      <c r="I2013" s="1">
        <f t="shared" si="125"/>
        <v>0</v>
      </c>
      <c r="J2013" s="1">
        <f t="shared" si="126"/>
        <v>0</v>
      </c>
      <c r="K2013" s="19">
        <f t="shared" si="127"/>
        <v>0</v>
      </c>
    </row>
    <row r="2014" spans="2:11" ht="15">
      <c r="B2014" s="151">
        <v>81</v>
      </c>
      <c r="C2014" s="7" t="s">
        <v>159</v>
      </c>
      <c r="D2014" s="4" t="s">
        <v>50</v>
      </c>
      <c r="E2014" t="s">
        <v>492</v>
      </c>
      <c r="F2014" s="12">
        <f>IFERROR(VLOOKUP(B2014,'INSUMOS  JULIO'!$B$6:$CJ$109,63,0),"")</f>
        <v>0</v>
      </c>
      <c r="G2014" s="8">
        <f>IFERROR(VLOOKUP($B2014,'INSUMOS  JULIO'!$B$6:$CJ$109,64,0),"")</f>
        <v>211.251</v>
      </c>
      <c r="H2014" s="19">
        <f t="shared" si="124"/>
        <v>0</v>
      </c>
      <c r="I2014" s="1">
        <f t="shared" si="125"/>
        <v>0</v>
      </c>
      <c r="J2014" s="1">
        <f t="shared" si="126"/>
        <v>0</v>
      </c>
      <c r="K2014" s="19">
        <f t="shared" si="127"/>
        <v>0</v>
      </c>
    </row>
    <row r="2015" spans="2:11" ht="15">
      <c r="B2015" s="151">
        <v>82</v>
      </c>
      <c r="C2015" s="7" t="s">
        <v>159</v>
      </c>
      <c r="D2015" s="4" t="s">
        <v>51</v>
      </c>
      <c r="E2015" t="s">
        <v>492</v>
      </c>
      <c r="F2015" s="12" t="str">
        <f>IFERROR(VLOOKUP(B2015,'INSUMOS  JULIO'!$B$6:$CJ$109,63,0),"")</f>
        <v>0</v>
      </c>
      <c r="G2015" s="8">
        <f>IFERROR(VLOOKUP($B2015,'INSUMOS  JULIO'!$B$6:$CJ$109,64,0),"")</f>
        <v>1003.7049999999999</v>
      </c>
      <c r="H2015" s="19">
        <f t="shared" si="124"/>
        <v>0</v>
      </c>
      <c r="I2015" s="1">
        <f t="shared" si="125"/>
        <v>0</v>
      </c>
      <c r="J2015" s="1">
        <f t="shared" si="126"/>
        <v>0</v>
      </c>
      <c r="K2015" s="19">
        <f t="shared" si="127"/>
        <v>0</v>
      </c>
    </row>
    <row r="2016" spans="2:11" ht="15">
      <c r="B2016" s="151">
        <v>83</v>
      </c>
      <c r="C2016" s="7" t="s">
        <v>159</v>
      </c>
      <c r="D2016" s="4" t="s">
        <v>52</v>
      </c>
      <c r="E2016" t="s">
        <v>492</v>
      </c>
      <c r="F2016" s="12" t="str">
        <f>IFERROR(VLOOKUP(B2016,'INSUMOS  JULIO'!$B$6:$CJ$109,63,0),"")</f>
        <v>0</v>
      </c>
      <c r="G2016" s="8">
        <f>IFERROR(VLOOKUP($B2016,'INSUMOS  JULIO'!$B$6:$CJ$109,64,0),"")</f>
        <v>336.32</v>
      </c>
      <c r="H2016" s="19">
        <f t="shared" si="124"/>
        <v>0</v>
      </c>
      <c r="I2016" s="1">
        <f t="shared" si="125"/>
        <v>0</v>
      </c>
      <c r="J2016" s="1">
        <f t="shared" si="126"/>
        <v>0</v>
      </c>
      <c r="K2016" s="19">
        <f t="shared" si="127"/>
        <v>0</v>
      </c>
    </row>
    <row r="2017" spans="2:11" ht="15">
      <c r="B2017" s="151">
        <v>86</v>
      </c>
      <c r="C2017" s="7" t="s">
        <v>53</v>
      </c>
      <c r="D2017" s="4" t="s">
        <v>54</v>
      </c>
      <c r="E2017" t="s">
        <v>492</v>
      </c>
      <c r="F2017" s="12" t="str">
        <f>IFERROR(VLOOKUP(B2017,'INSUMOS  JULIO'!$B$6:$CJ$109,63,0),"")</f>
        <v>0</v>
      </c>
      <c r="G2017" s="8">
        <f>IFERROR(VLOOKUP($B2017,'INSUMOS  JULIO'!$B$6:$CJ$109,64,0),"")</f>
        <v>2792.5070000000005</v>
      </c>
      <c r="H2017" s="19">
        <f t="shared" si="124"/>
        <v>0</v>
      </c>
      <c r="I2017" s="1">
        <f t="shared" si="125"/>
        <v>0</v>
      </c>
      <c r="J2017" s="1">
        <f t="shared" si="126"/>
        <v>0</v>
      </c>
      <c r="K2017" s="19">
        <f t="shared" si="127"/>
        <v>0</v>
      </c>
    </row>
    <row r="2018" spans="2:11" ht="15">
      <c r="B2018" s="151">
        <v>87</v>
      </c>
      <c r="C2018" s="7" t="s">
        <v>53</v>
      </c>
      <c r="D2018" s="4" t="s">
        <v>55</v>
      </c>
      <c r="E2018" t="s">
        <v>492</v>
      </c>
      <c r="F2018" s="12" t="str">
        <f>IFERROR(VLOOKUP(B2018,'INSUMOS  JULIO'!$B$6:$CJ$109,63,0),"")</f>
        <v>0</v>
      </c>
      <c r="G2018" s="8">
        <f>IFERROR(VLOOKUP($B2018,'INSUMOS  JULIO'!$B$6:$CJ$109,64,0),"")</f>
        <v>0</v>
      </c>
      <c r="H2018" s="19">
        <f t="shared" si="124"/>
        <v>0</v>
      </c>
      <c r="I2018" s="1">
        <f t="shared" si="125"/>
        <v>0</v>
      </c>
      <c r="J2018" s="1">
        <f t="shared" si="126"/>
        <v>0</v>
      </c>
      <c r="K2018" s="19">
        <f t="shared" si="127"/>
        <v>0</v>
      </c>
    </row>
    <row r="2019" spans="2:11" ht="15">
      <c r="B2019" s="151">
        <v>88</v>
      </c>
      <c r="C2019" s="7" t="s">
        <v>53</v>
      </c>
      <c r="D2019" s="4" t="s">
        <v>56</v>
      </c>
      <c r="E2019" t="s">
        <v>492</v>
      </c>
      <c r="F2019" s="12">
        <f>IFERROR(VLOOKUP(B2019,'INSUMOS  JULIO'!$B$6:$CJ$109,63,0),"")</f>
        <v>0</v>
      </c>
      <c r="G2019" s="8">
        <f>IFERROR(VLOOKUP($B2019,'INSUMOS  JULIO'!$B$6:$CJ$109,64,0),"")</f>
        <v>2717.886</v>
      </c>
      <c r="H2019" s="19">
        <f t="shared" si="124"/>
        <v>0</v>
      </c>
      <c r="I2019" s="1">
        <f t="shared" si="125"/>
        <v>0</v>
      </c>
      <c r="J2019" s="1">
        <f t="shared" si="126"/>
        <v>0</v>
      </c>
      <c r="K2019" s="19">
        <f t="shared" si="127"/>
        <v>0</v>
      </c>
    </row>
    <row r="2020" spans="2:11" ht="15">
      <c r="B2020" s="151">
        <v>89</v>
      </c>
      <c r="C2020" s="7" t="s">
        <v>53</v>
      </c>
      <c r="D2020" s="4" t="s">
        <v>57</v>
      </c>
      <c r="E2020" t="s">
        <v>492</v>
      </c>
      <c r="F2020" s="12" t="str">
        <f>IFERROR(VLOOKUP(B2020,'INSUMOS  JULIO'!$B$6:$CJ$109,63,0),"")</f>
        <v>0</v>
      </c>
      <c r="G2020" s="8">
        <f>IFERROR(VLOOKUP($B2020,'INSUMOS  JULIO'!$B$6:$CJ$109,64,0),"")</f>
        <v>2650.6220000000003</v>
      </c>
      <c r="H2020" s="19">
        <f t="shared" si="124"/>
        <v>0</v>
      </c>
      <c r="I2020" s="1">
        <f t="shared" si="125"/>
        <v>0</v>
      </c>
      <c r="J2020" s="1">
        <f t="shared" si="126"/>
        <v>0</v>
      </c>
      <c r="K2020" s="19">
        <f t="shared" si="127"/>
        <v>0</v>
      </c>
    </row>
    <row r="2021" spans="2:11" ht="15">
      <c r="B2021" s="151">
        <v>91</v>
      </c>
      <c r="C2021" s="7" t="s">
        <v>160</v>
      </c>
      <c r="D2021" s="4" t="s">
        <v>58</v>
      </c>
      <c r="E2021" t="s">
        <v>492</v>
      </c>
      <c r="F2021" s="12" t="str">
        <f>IFERROR(VLOOKUP(B2021,'INSUMOS  JULIO'!$B$6:$CJ$109,63,0),"")</f>
        <v>0</v>
      </c>
      <c r="G2021" s="8">
        <f>IFERROR(VLOOKUP($B2021,'INSUMOS  JULIO'!$B$6:$CJ$109,64,0),"")</f>
        <v>4364.8029999999999</v>
      </c>
      <c r="H2021" s="19">
        <f t="shared" si="124"/>
        <v>0</v>
      </c>
      <c r="I2021" s="1">
        <f t="shared" si="125"/>
        <v>0</v>
      </c>
      <c r="J2021" s="1">
        <f t="shared" si="126"/>
        <v>0</v>
      </c>
      <c r="K2021" s="19">
        <f t="shared" si="127"/>
        <v>0</v>
      </c>
    </row>
    <row r="2022" spans="2:11" ht="15">
      <c r="B2022" s="151">
        <v>92</v>
      </c>
      <c r="C2022" s="7" t="s">
        <v>160</v>
      </c>
      <c r="D2022" s="4" t="s">
        <v>59</v>
      </c>
      <c r="E2022" t="s">
        <v>492</v>
      </c>
      <c r="F2022" s="12" t="str">
        <f>IFERROR(VLOOKUP(B2022,'INSUMOS  JULIO'!$B$6:$CJ$109,63,0),"")</f>
        <v>0</v>
      </c>
      <c r="G2022" s="8">
        <f>IFERROR(VLOOKUP($B2022,'INSUMOS  JULIO'!$B$6:$CJ$109,64,0),"")</f>
        <v>2380.5149999999999</v>
      </c>
      <c r="H2022" s="19">
        <f t="shared" si="124"/>
        <v>0</v>
      </c>
      <c r="I2022" s="1">
        <f t="shared" si="125"/>
        <v>0</v>
      </c>
      <c r="J2022" s="1">
        <f t="shared" si="126"/>
        <v>0</v>
      </c>
      <c r="K2022" s="19">
        <f t="shared" si="127"/>
        <v>0</v>
      </c>
    </row>
    <row r="2023" spans="2:11" ht="15">
      <c r="B2023" s="151">
        <v>94</v>
      </c>
      <c r="C2023" s="7" t="s">
        <v>60</v>
      </c>
      <c r="D2023" s="4" t="s">
        <v>61</v>
      </c>
      <c r="E2023" t="s">
        <v>492</v>
      </c>
      <c r="F2023" s="12" t="str">
        <f>IFERROR(VLOOKUP(B2023,'INSUMOS  JULIO'!$B$6:$CJ$109,63,0),"")</f>
        <v>0</v>
      </c>
      <c r="G2023" s="8">
        <f>IFERROR(VLOOKUP($B2023,'INSUMOS  JULIO'!$B$6:$CJ$109,64,0),"")</f>
        <v>3316.9560000000001</v>
      </c>
      <c r="H2023" s="19">
        <f t="shared" si="124"/>
        <v>0</v>
      </c>
      <c r="I2023" s="1">
        <f t="shared" si="125"/>
        <v>0</v>
      </c>
      <c r="J2023" s="1">
        <f t="shared" si="126"/>
        <v>0</v>
      </c>
      <c r="K2023" s="19">
        <f t="shared" si="127"/>
        <v>0</v>
      </c>
    </row>
    <row r="2024" spans="2:11" ht="15">
      <c r="B2024" s="151">
        <v>95</v>
      </c>
      <c r="C2024" s="7" t="s">
        <v>60</v>
      </c>
      <c r="D2024" s="4" t="s">
        <v>62</v>
      </c>
      <c r="E2024" t="s">
        <v>492</v>
      </c>
      <c r="F2024" s="12" t="str">
        <f>IFERROR(VLOOKUP(B2024,'INSUMOS  JULIO'!$B$6:$CJ$109,63,0),"")</f>
        <v>0</v>
      </c>
      <c r="G2024" s="8">
        <f>IFERROR(VLOOKUP($B2024,'INSUMOS  JULIO'!$B$6:$CJ$109,64,0),"")</f>
        <v>11056.52</v>
      </c>
      <c r="H2024" s="19">
        <f t="shared" si="124"/>
        <v>0</v>
      </c>
      <c r="I2024" s="1">
        <f t="shared" si="125"/>
        <v>0</v>
      </c>
      <c r="J2024" s="1">
        <f t="shared" si="126"/>
        <v>0</v>
      </c>
      <c r="K2024" s="19">
        <f t="shared" si="127"/>
        <v>0</v>
      </c>
    </row>
    <row r="2025" spans="2:11" ht="15">
      <c r="B2025" s="151">
        <v>98</v>
      </c>
      <c r="C2025" s="7" t="s">
        <v>151</v>
      </c>
      <c r="D2025" s="4" t="s">
        <v>63</v>
      </c>
      <c r="E2025" t="s">
        <v>492</v>
      </c>
      <c r="F2025" s="12">
        <f>IFERROR(VLOOKUP(B2025,'INSUMOS  JULIO'!$B$6:$CJ$109,63,0),"")</f>
        <v>0</v>
      </c>
      <c r="G2025" s="8">
        <f>IFERROR(VLOOKUP($B2025,'INSUMOS  JULIO'!$B$6:$CJ$109,64,0),"")</f>
        <v>6633.9120000000003</v>
      </c>
      <c r="H2025" s="19">
        <f t="shared" si="124"/>
        <v>0</v>
      </c>
      <c r="I2025" s="1">
        <f t="shared" si="125"/>
        <v>0</v>
      </c>
      <c r="J2025" s="1">
        <f t="shared" si="126"/>
        <v>0</v>
      </c>
      <c r="K2025" s="19">
        <f t="shared" si="127"/>
        <v>0</v>
      </c>
    </row>
    <row r="2026" spans="2:11" ht="15">
      <c r="B2026" s="151">
        <v>100</v>
      </c>
      <c r="C2026" s="7" t="s">
        <v>160</v>
      </c>
      <c r="D2026" s="4" t="s">
        <v>64</v>
      </c>
      <c r="E2026" t="s">
        <v>492</v>
      </c>
      <c r="F2026" s="12" t="str">
        <f>IFERROR(VLOOKUP(B2026,'INSUMOS  JULIO'!$B$6:$CJ$109,63,0),"")</f>
        <v>0</v>
      </c>
      <c r="G2026" s="8">
        <f>IFERROR(VLOOKUP($B2026,'INSUMOS  JULIO'!$B$6:$CJ$109,64,0),"")</f>
        <v>4364.8029999999999</v>
      </c>
      <c r="H2026" s="19">
        <f t="shared" si="124"/>
        <v>0</v>
      </c>
      <c r="I2026" s="1">
        <f t="shared" si="125"/>
        <v>0</v>
      </c>
      <c r="J2026" s="1">
        <f t="shared" si="126"/>
        <v>0</v>
      </c>
      <c r="K2026" s="19">
        <f t="shared" si="127"/>
        <v>0</v>
      </c>
    </row>
    <row r="2027" spans="2:11" ht="15">
      <c r="B2027" s="151">
        <v>102</v>
      </c>
      <c r="C2027" s="7" t="s">
        <v>60</v>
      </c>
      <c r="D2027" s="4" t="s">
        <v>65</v>
      </c>
      <c r="E2027" t="s">
        <v>492</v>
      </c>
      <c r="F2027" s="12" t="str">
        <f>IFERROR(VLOOKUP(B2027,'INSUMOS  JULIO'!$B$6:$CJ$109,63,0),"")</f>
        <v>0</v>
      </c>
      <c r="G2027" s="8">
        <f>IFERROR(VLOOKUP($B2027,'INSUMOS  JULIO'!$B$6:$CJ$109,64,0),"")</f>
        <v>3811.9770000000003</v>
      </c>
      <c r="H2027" s="19">
        <f t="shared" si="124"/>
        <v>0</v>
      </c>
      <c r="I2027" s="1">
        <f t="shared" si="125"/>
        <v>0</v>
      </c>
      <c r="J2027" s="1">
        <f t="shared" si="126"/>
        <v>0</v>
      </c>
      <c r="K2027" s="19">
        <f t="shared" si="127"/>
        <v>0</v>
      </c>
    </row>
    <row r="2028" spans="2:11" ht="15">
      <c r="B2028" s="151">
        <v>103</v>
      </c>
      <c r="C2028" s="7" t="s">
        <v>66</v>
      </c>
      <c r="D2028" s="4" t="s">
        <v>67</v>
      </c>
      <c r="E2028" t="s">
        <v>492</v>
      </c>
      <c r="F2028" s="12" t="str">
        <f>IFERROR(VLOOKUP(B2028,'INSUMOS  JULIO'!$B$6:$CJ$109,63,0),"")</f>
        <v>0</v>
      </c>
      <c r="G2028" s="8">
        <f>IFERROR(VLOOKUP($B2028,'INSUMOS  JULIO'!$B$6:$CJ$109,64,0),"")</f>
        <v>18022.547999999999</v>
      </c>
      <c r="H2028" s="19">
        <f t="shared" si="124"/>
        <v>0</v>
      </c>
      <c r="I2028" s="1">
        <f t="shared" si="125"/>
        <v>0</v>
      </c>
      <c r="J2028" s="1">
        <f t="shared" si="126"/>
        <v>0</v>
      </c>
      <c r="K2028" s="19">
        <f t="shared" si="127"/>
        <v>0</v>
      </c>
    </row>
    <row r="2029" spans="2:11" ht="15">
      <c r="B2029" s="151">
        <v>104</v>
      </c>
      <c r="C2029" s="7" t="s">
        <v>66</v>
      </c>
      <c r="D2029" s="4" t="s">
        <v>68</v>
      </c>
      <c r="E2029" t="s">
        <v>492</v>
      </c>
      <c r="F2029" s="12" t="str">
        <f>IFERROR(VLOOKUP(B2029,'INSUMOS  JULIO'!$B$6:$CJ$109,63,0),"")</f>
        <v>0</v>
      </c>
      <c r="G2029" s="8">
        <f>IFERROR(VLOOKUP($B2029,'INSUMOS  JULIO'!$B$6:$CJ$109,64,0),"")</f>
        <v>18022.547999999999</v>
      </c>
      <c r="H2029" s="19">
        <f t="shared" si="124"/>
        <v>0</v>
      </c>
      <c r="I2029" s="1">
        <f t="shared" si="125"/>
        <v>0</v>
      </c>
      <c r="J2029" s="1">
        <f t="shared" si="126"/>
        <v>0</v>
      </c>
      <c r="K2029" s="19">
        <f t="shared" si="127"/>
        <v>0</v>
      </c>
    </row>
    <row r="2030" spans="2:11" ht="15">
      <c r="B2030" s="151">
        <v>105</v>
      </c>
      <c r="C2030" s="7" t="s">
        <v>66</v>
      </c>
      <c r="D2030" s="4" t="s">
        <v>69</v>
      </c>
      <c r="E2030" t="s">
        <v>492</v>
      </c>
      <c r="F2030" s="12" t="str">
        <f>IFERROR(VLOOKUP(B2030,'INSUMOS  JULIO'!$B$6:$CJ$109,63,0),"")</f>
        <v>0</v>
      </c>
      <c r="G2030" s="8">
        <f>IFERROR(VLOOKUP($B2030,'INSUMOS  JULIO'!$B$6:$CJ$109,64,0),"")</f>
        <v>27641.3</v>
      </c>
      <c r="H2030" s="19">
        <f t="shared" si="124"/>
        <v>0</v>
      </c>
      <c r="I2030" s="1">
        <f t="shared" si="125"/>
        <v>0</v>
      </c>
      <c r="J2030" s="1">
        <f t="shared" si="126"/>
        <v>0</v>
      </c>
      <c r="K2030" s="19">
        <f t="shared" si="127"/>
        <v>0</v>
      </c>
    </row>
    <row r="2031" spans="2:11" ht="15">
      <c r="B2031" s="151">
        <v>106</v>
      </c>
      <c r="C2031" s="7" t="s">
        <v>66</v>
      </c>
      <c r="D2031" s="4" t="s">
        <v>70</v>
      </c>
      <c r="E2031" t="s">
        <v>492</v>
      </c>
      <c r="F2031" s="12" t="str">
        <f>IFERROR(VLOOKUP(B2031,'INSUMOS  JULIO'!$B$6:$CJ$109,63,0),"")</f>
        <v>0</v>
      </c>
      <c r="G2031" s="8">
        <f>IFERROR(VLOOKUP($B2031,'INSUMOS  JULIO'!$B$6:$CJ$109,64,0),"")</f>
        <v>0</v>
      </c>
      <c r="H2031" s="19">
        <f t="shared" si="124"/>
        <v>0</v>
      </c>
      <c r="I2031" s="1">
        <f t="shared" si="125"/>
        <v>0</v>
      </c>
      <c r="J2031" s="1">
        <f t="shared" si="126"/>
        <v>0</v>
      </c>
      <c r="K2031" s="19">
        <f t="shared" si="127"/>
        <v>0</v>
      </c>
    </row>
    <row r="2032" spans="2:11" ht="15">
      <c r="B2032" s="151">
        <v>108</v>
      </c>
      <c r="C2032" s="7" t="s">
        <v>66</v>
      </c>
      <c r="D2032" s="4" t="s">
        <v>71</v>
      </c>
      <c r="E2032" t="s">
        <v>492</v>
      </c>
      <c r="F2032" s="12" t="str">
        <f>IFERROR(VLOOKUP(B2032,'INSUMOS  JULIO'!$B$6:$CJ$109,63,0),"")</f>
        <v>0</v>
      </c>
      <c r="G2032" s="8">
        <f>IFERROR(VLOOKUP($B2032,'INSUMOS  JULIO'!$B$6:$CJ$109,64,0),"")</f>
        <v>38697.82</v>
      </c>
      <c r="H2032" s="19">
        <f t="shared" si="124"/>
        <v>0</v>
      </c>
      <c r="I2032" s="1">
        <f t="shared" si="125"/>
        <v>0</v>
      </c>
      <c r="J2032" s="1">
        <f t="shared" si="126"/>
        <v>0</v>
      </c>
      <c r="K2032" s="19">
        <f t="shared" si="127"/>
        <v>0</v>
      </c>
    </row>
    <row r="2033" spans="2:11" ht="15">
      <c r="B2033" s="151">
        <v>109</v>
      </c>
      <c r="C2033" s="7" t="s">
        <v>66</v>
      </c>
      <c r="D2033" s="4" t="s">
        <v>72</v>
      </c>
      <c r="E2033" t="s">
        <v>492</v>
      </c>
      <c r="F2033" s="12" t="str">
        <f>IFERROR(VLOOKUP(B2033,'INSUMOS  JULIO'!$B$6:$CJ$109,63,0),"")</f>
        <v>0</v>
      </c>
      <c r="G2033" s="8">
        <f>IFERROR(VLOOKUP($B2033,'INSUMOS  JULIO'!$B$6:$CJ$109,64,0),"")</f>
        <v>49754.340000000004</v>
      </c>
      <c r="H2033" s="19">
        <f t="shared" si="124"/>
        <v>0</v>
      </c>
      <c r="I2033" s="1">
        <f t="shared" si="125"/>
        <v>0</v>
      </c>
      <c r="J2033" s="1">
        <f t="shared" si="126"/>
        <v>0</v>
      </c>
      <c r="K2033" s="19">
        <f t="shared" si="127"/>
        <v>0</v>
      </c>
    </row>
    <row r="2034" spans="2:11" ht="15">
      <c r="B2034" s="151">
        <v>110</v>
      </c>
      <c r="C2034" s="7" t="s">
        <v>158</v>
      </c>
      <c r="D2034" s="4" t="s">
        <v>73</v>
      </c>
      <c r="E2034" t="s">
        <v>492</v>
      </c>
      <c r="F2034" s="12">
        <f>IFERROR(VLOOKUP(B2034,'INSUMOS  JULIO'!$B$6:$CJ$109,63,0),"")</f>
        <v>0</v>
      </c>
      <c r="G2034" s="8">
        <f>IFERROR(VLOOKUP($B2034,'INSUMOS  JULIO'!$B$6:$CJ$109,64,0),"")</f>
        <v>470.84799999999996</v>
      </c>
      <c r="H2034" s="19">
        <f t="shared" si="124"/>
        <v>0</v>
      </c>
      <c r="I2034" s="1">
        <f t="shared" si="125"/>
        <v>0</v>
      </c>
      <c r="J2034" s="1">
        <f t="shared" si="126"/>
        <v>0</v>
      </c>
      <c r="K2034" s="19">
        <f t="shared" si="127"/>
        <v>0</v>
      </c>
    </row>
    <row r="2035" spans="2:11" ht="15">
      <c r="B2035" s="151">
        <v>118</v>
      </c>
      <c r="C2035" s="7" t="s">
        <v>158</v>
      </c>
      <c r="D2035" s="4" t="s">
        <v>74</v>
      </c>
      <c r="E2035" t="s">
        <v>492</v>
      </c>
      <c r="F2035" s="12">
        <f>IFERROR(VLOOKUP(B2035,'INSUMOS  JULIO'!$B$6:$CJ$109,63,0),"")</f>
        <v>0</v>
      </c>
      <c r="G2035" s="8">
        <f>IFERROR(VLOOKUP($B2035,'INSUMOS  JULIO'!$B$6:$CJ$109,64,0),"")</f>
        <v>2455.136</v>
      </c>
      <c r="H2035" s="19">
        <f t="shared" si="124"/>
        <v>0</v>
      </c>
      <c r="I2035" s="1">
        <f t="shared" si="125"/>
        <v>0</v>
      </c>
      <c r="J2035" s="1">
        <f t="shared" si="126"/>
        <v>0</v>
      </c>
      <c r="K2035" s="19">
        <f t="shared" si="127"/>
        <v>0</v>
      </c>
    </row>
    <row r="2036" spans="2:11" ht="15">
      <c r="B2036" s="151">
        <v>119</v>
      </c>
      <c r="C2036" s="7" t="s">
        <v>158</v>
      </c>
      <c r="D2036" s="4" t="s">
        <v>75</v>
      </c>
      <c r="E2036" t="s">
        <v>492</v>
      </c>
      <c r="F2036" s="12" t="str">
        <f>IFERROR(VLOOKUP(B2036,'INSUMOS  JULIO'!$B$6:$CJ$109,63,0),"")</f>
        <v>0</v>
      </c>
      <c r="G2036" s="8">
        <f>IFERROR(VLOOKUP($B2036,'INSUMOS  JULIO'!$B$6:$CJ$109,64,0),"")</f>
        <v>2821.9350000000004</v>
      </c>
      <c r="H2036" s="19">
        <f t="shared" si="124"/>
        <v>0</v>
      </c>
      <c r="I2036" s="1">
        <f t="shared" si="125"/>
        <v>0</v>
      </c>
      <c r="J2036" s="1">
        <f t="shared" si="126"/>
        <v>0</v>
      </c>
      <c r="K2036" s="19">
        <f t="shared" si="127"/>
        <v>0</v>
      </c>
    </row>
    <row r="2037" spans="2:11" ht="15">
      <c r="B2037" s="151">
        <v>120</v>
      </c>
      <c r="C2037" s="7" t="s">
        <v>158</v>
      </c>
      <c r="D2037" s="4" t="s">
        <v>76</v>
      </c>
      <c r="E2037" t="s">
        <v>492</v>
      </c>
      <c r="F2037" s="12" t="str">
        <f>IFERROR(VLOOKUP(B2037,'INSUMOS  JULIO'!$B$6:$CJ$109,63,0),"")</f>
        <v>0</v>
      </c>
      <c r="G2037" s="8">
        <f>IFERROR(VLOOKUP($B2037,'INSUMOS  JULIO'!$B$6:$CJ$109,64,0),"")</f>
        <v>2821.9350000000004</v>
      </c>
      <c r="H2037" s="19">
        <f t="shared" si="124"/>
        <v>0</v>
      </c>
      <c r="I2037" s="1">
        <f t="shared" si="125"/>
        <v>0</v>
      </c>
      <c r="J2037" s="1">
        <f t="shared" si="126"/>
        <v>0</v>
      </c>
      <c r="K2037" s="19">
        <f t="shared" si="127"/>
        <v>0</v>
      </c>
    </row>
    <row r="2038" spans="2:11" ht="15">
      <c r="B2038" s="151">
        <v>122</v>
      </c>
      <c r="C2038" s="7" t="s">
        <v>158</v>
      </c>
      <c r="D2038" s="4" t="s">
        <v>77</v>
      </c>
      <c r="E2038" t="s">
        <v>492</v>
      </c>
      <c r="F2038" s="12" t="str">
        <f>IFERROR(VLOOKUP(B2038,'INSUMOS  JULIO'!$B$6:$CJ$109,63,0),"")</f>
        <v>0</v>
      </c>
      <c r="G2038" s="8">
        <f>IFERROR(VLOOKUP($B2038,'INSUMOS  JULIO'!$B$6:$CJ$109,64,0),"")</f>
        <v>5223.4699999999993</v>
      </c>
      <c r="H2038" s="19">
        <f t="shared" si="124"/>
        <v>0</v>
      </c>
      <c r="I2038" s="1">
        <f t="shared" si="125"/>
        <v>0</v>
      </c>
      <c r="J2038" s="1">
        <f t="shared" si="126"/>
        <v>0</v>
      </c>
      <c r="K2038" s="19">
        <f t="shared" si="127"/>
        <v>0</v>
      </c>
    </row>
    <row r="2039" spans="2:11" ht="15">
      <c r="B2039" s="151">
        <v>123</v>
      </c>
      <c r="C2039" s="7" t="s">
        <v>158</v>
      </c>
      <c r="D2039" s="4" t="s">
        <v>78</v>
      </c>
      <c r="E2039" t="s">
        <v>492</v>
      </c>
      <c r="F2039" s="12" t="str">
        <f>IFERROR(VLOOKUP(B2039,'INSUMOS  JULIO'!$B$6:$CJ$109,63,0),"")</f>
        <v>0</v>
      </c>
      <c r="G2039" s="8">
        <f>IFERROR(VLOOKUP($B2039,'INSUMOS  JULIO'!$B$6:$CJ$109,64,0),"")</f>
        <v>5765.7860000000001</v>
      </c>
      <c r="H2039" s="19">
        <f t="shared" si="124"/>
        <v>0</v>
      </c>
      <c r="I2039" s="1">
        <f t="shared" si="125"/>
        <v>0</v>
      </c>
      <c r="J2039" s="1">
        <f t="shared" si="126"/>
        <v>0</v>
      </c>
      <c r="K2039" s="19">
        <f t="shared" si="127"/>
        <v>0</v>
      </c>
    </row>
    <row r="2040" spans="2:11" ht="15">
      <c r="B2040" s="151">
        <v>124</v>
      </c>
      <c r="C2040" s="7" t="s">
        <v>158</v>
      </c>
      <c r="D2040" s="4" t="s">
        <v>79</v>
      </c>
      <c r="E2040" t="s">
        <v>492</v>
      </c>
      <c r="F2040" s="12" t="str">
        <f>IFERROR(VLOOKUP(B2040,'INSUMOS  JULIO'!$B$6:$CJ$109,63,0),"")</f>
        <v>0</v>
      </c>
      <c r="G2040" s="8">
        <f>IFERROR(VLOOKUP($B2040,'INSUMOS  JULIO'!$B$6:$CJ$109,64,0),"")</f>
        <v>5765.7860000000001</v>
      </c>
      <c r="H2040" s="19">
        <f t="shared" si="124"/>
        <v>0</v>
      </c>
      <c r="I2040" s="1">
        <f t="shared" si="125"/>
        <v>0</v>
      </c>
      <c r="J2040" s="1">
        <f t="shared" si="126"/>
        <v>0</v>
      </c>
      <c r="K2040" s="19">
        <f t="shared" si="127"/>
        <v>0</v>
      </c>
    </row>
    <row r="2041" spans="2:11" ht="15">
      <c r="B2041" s="151">
        <v>126</v>
      </c>
      <c r="C2041" s="7" t="s">
        <v>9</v>
      </c>
      <c r="D2041" s="4" t="s">
        <v>80</v>
      </c>
      <c r="E2041" t="s">
        <v>492</v>
      </c>
      <c r="F2041" s="12" t="str">
        <f>IFERROR(VLOOKUP(B2041,'INSUMOS  JULIO'!$B$6:$CJ$109,63,0),"")</f>
        <v>0</v>
      </c>
      <c r="G2041" s="8">
        <f>IFERROR(VLOOKUP($B2041,'INSUMOS  JULIO'!$B$6:$CJ$109,64,0),"")</f>
        <v>3316.9560000000001</v>
      </c>
      <c r="H2041" s="19">
        <f t="shared" si="124"/>
        <v>0</v>
      </c>
      <c r="I2041" s="1">
        <f t="shared" si="125"/>
        <v>0</v>
      </c>
      <c r="J2041" s="1">
        <f t="shared" si="126"/>
        <v>0</v>
      </c>
      <c r="K2041" s="19">
        <f t="shared" si="127"/>
        <v>0</v>
      </c>
    </row>
    <row r="2042" spans="2:11" ht="15">
      <c r="B2042" s="151">
        <v>127</v>
      </c>
      <c r="C2042" s="7" t="s">
        <v>156</v>
      </c>
      <c r="D2042" s="4" t="s">
        <v>81</v>
      </c>
      <c r="E2042" t="s">
        <v>492</v>
      </c>
      <c r="F2042" s="12" t="str">
        <f>IFERROR(VLOOKUP(B2042,'INSUMOS  JULIO'!$B$6:$CJ$109,63,0),"")</f>
        <v>0</v>
      </c>
      <c r="G2042" s="8">
        <f>IFERROR(VLOOKUP($B2042,'INSUMOS  JULIO'!$B$6:$CJ$109,64,0),"")</f>
        <v>3316.9560000000001</v>
      </c>
      <c r="H2042" s="19">
        <f t="shared" si="124"/>
        <v>0</v>
      </c>
      <c r="I2042" s="1">
        <f t="shared" si="125"/>
        <v>0</v>
      </c>
      <c r="J2042" s="1">
        <f t="shared" si="126"/>
        <v>0</v>
      </c>
      <c r="K2042" s="19">
        <f t="shared" si="127"/>
        <v>0</v>
      </c>
    </row>
    <row r="2043" spans="2:11" ht="15">
      <c r="B2043" s="151">
        <v>129</v>
      </c>
      <c r="C2043" s="7" t="s">
        <v>157</v>
      </c>
      <c r="D2043" s="4" t="s">
        <v>82</v>
      </c>
      <c r="E2043" t="s">
        <v>492</v>
      </c>
      <c r="F2043" s="12" t="str">
        <f>IFERROR(VLOOKUP(B2043,'INSUMOS  JULIO'!$B$6:$CJ$109,63,0),"")</f>
        <v>0</v>
      </c>
      <c r="G2043" s="8">
        <f>IFERROR(VLOOKUP($B2043,'INSUMOS  JULIO'!$B$6:$CJ$109,64,0),"")</f>
        <v>3787.8040000000001</v>
      </c>
      <c r="H2043" s="19">
        <f t="shared" si="124"/>
        <v>0</v>
      </c>
      <c r="I2043" s="1">
        <f t="shared" si="125"/>
        <v>0</v>
      </c>
      <c r="J2043" s="1">
        <f t="shared" si="126"/>
        <v>0</v>
      </c>
      <c r="K2043" s="19">
        <f t="shared" si="127"/>
        <v>0</v>
      </c>
    </row>
    <row r="2044" spans="2:11" ht="15">
      <c r="B2044" s="151">
        <v>131</v>
      </c>
      <c r="C2044" s="7" t="s">
        <v>13</v>
      </c>
      <c r="D2044" s="4" t="s">
        <v>83</v>
      </c>
      <c r="E2044" t="s">
        <v>492</v>
      </c>
      <c r="F2044" s="12" t="str">
        <f>IFERROR(VLOOKUP(B2044,'INSUMOS  JULIO'!$B$6:$CJ$109,63,0),"")</f>
        <v>0</v>
      </c>
      <c r="G2044" s="8">
        <f>IFERROR(VLOOKUP($B2044,'INSUMOS  JULIO'!$B$6:$CJ$109,64,0),"")</f>
        <v>0</v>
      </c>
      <c r="H2044" s="19">
        <f t="shared" si="124"/>
        <v>0</v>
      </c>
      <c r="I2044" s="1">
        <f t="shared" si="125"/>
        <v>0</v>
      </c>
      <c r="J2044" s="1">
        <f t="shared" si="126"/>
        <v>0</v>
      </c>
      <c r="K2044" s="19">
        <f t="shared" si="127"/>
        <v>0</v>
      </c>
    </row>
    <row r="2045" spans="2:11" ht="15">
      <c r="B2045" s="151">
        <v>132</v>
      </c>
      <c r="C2045" s="7" t="s">
        <v>13</v>
      </c>
      <c r="D2045" s="4" t="s">
        <v>84</v>
      </c>
      <c r="E2045" t="s">
        <v>492</v>
      </c>
      <c r="F2045" s="12" t="str">
        <f>IFERROR(VLOOKUP(B2045,'INSUMOS  JULIO'!$B$6:$CJ$109,63,0),"")</f>
        <v>0</v>
      </c>
      <c r="G2045" s="8">
        <f>IFERROR(VLOOKUP($B2045,'INSUMOS  JULIO'!$B$6:$CJ$109,64,0),"")</f>
        <v>0</v>
      </c>
      <c r="H2045" s="19">
        <f t="shared" si="124"/>
        <v>0</v>
      </c>
      <c r="I2045" s="1">
        <f t="shared" si="125"/>
        <v>0</v>
      </c>
      <c r="J2045" s="1">
        <f t="shared" si="126"/>
        <v>0</v>
      </c>
      <c r="K2045" s="19">
        <f t="shared" si="127"/>
        <v>0</v>
      </c>
    </row>
    <row r="2046" spans="2:11" ht="15">
      <c r="B2046" s="151">
        <v>134</v>
      </c>
      <c r="C2046" s="7" t="s">
        <v>16</v>
      </c>
      <c r="D2046" s="4" t="s">
        <v>85</v>
      </c>
      <c r="E2046" t="s">
        <v>492</v>
      </c>
      <c r="F2046" s="12" t="str">
        <f>IFERROR(VLOOKUP(B2046,'INSUMOS  JULIO'!$B$6:$CJ$109,63,0),"")</f>
        <v>0</v>
      </c>
      <c r="G2046" s="8">
        <f>IFERROR(VLOOKUP($B2046,'INSUMOS  JULIO'!$B$6:$CJ$109,64,0),"")</f>
        <v>0</v>
      </c>
      <c r="H2046" s="19">
        <f t="shared" si="124"/>
        <v>0</v>
      </c>
      <c r="I2046" s="1">
        <f t="shared" si="125"/>
        <v>0</v>
      </c>
      <c r="J2046" s="1">
        <f t="shared" si="126"/>
        <v>0</v>
      </c>
      <c r="K2046" s="19">
        <f t="shared" si="127"/>
        <v>0</v>
      </c>
    </row>
    <row r="2047" spans="2:11" ht="15">
      <c r="B2047" s="151">
        <v>135</v>
      </c>
      <c r="C2047" s="7" t="s">
        <v>18</v>
      </c>
      <c r="D2047" s="4" t="s">
        <v>86</v>
      </c>
      <c r="E2047" t="s">
        <v>492</v>
      </c>
      <c r="F2047" s="12">
        <f>IFERROR(VLOOKUP(B2047,'INSUMOS  JULIO'!$B$6:$CJ$109,63,0),"")</f>
        <v>0</v>
      </c>
      <c r="G2047" s="8">
        <f>IFERROR(VLOOKUP($B2047,'INSUMOS  JULIO'!$B$6:$CJ$109,64,0),"")</f>
        <v>6229.277</v>
      </c>
      <c r="H2047" s="19">
        <f t="shared" si="124"/>
        <v>0</v>
      </c>
      <c r="I2047" s="1">
        <f t="shared" si="125"/>
        <v>0</v>
      </c>
      <c r="J2047" s="1">
        <f t="shared" si="126"/>
        <v>0</v>
      </c>
      <c r="K2047" s="19">
        <f t="shared" si="127"/>
        <v>0</v>
      </c>
    </row>
    <row r="2048" spans="2:11" ht="15">
      <c r="B2048" s="151">
        <v>137</v>
      </c>
      <c r="C2048" s="7" t="s">
        <v>20</v>
      </c>
      <c r="D2048" s="4" t="s">
        <v>88</v>
      </c>
      <c r="E2048" t="s">
        <v>492</v>
      </c>
      <c r="F2048" s="12" t="str">
        <f>IFERROR(VLOOKUP(B2048,'INSUMOS  JULIO'!$B$6:$CJ$109,63,0),"")</f>
        <v>0</v>
      </c>
      <c r="G2048" s="8">
        <f>IFERROR(VLOOKUP($B2048,'INSUMOS  JULIO'!$B$6:$CJ$109,64,0),"")</f>
        <v>1245.4349999999999</v>
      </c>
      <c r="H2048" s="19">
        <f t="shared" si="124"/>
        <v>0</v>
      </c>
      <c r="I2048" s="1">
        <f t="shared" si="125"/>
        <v>0</v>
      </c>
      <c r="J2048" s="1">
        <f t="shared" si="126"/>
        <v>0</v>
      </c>
      <c r="K2048" s="19">
        <f t="shared" si="127"/>
        <v>0</v>
      </c>
    </row>
    <row r="2049" spans="2:11" ht="15">
      <c r="B2049" s="151">
        <v>139</v>
      </c>
      <c r="C2049" s="7" t="s">
        <v>22</v>
      </c>
      <c r="D2049" s="4" t="s">
        <v>89</v>
      </c>
      <c r="E2049" t="s">
        <v>492</v>
      </c>
      <c r="F2049" s="12">
        <f>IFERROR(VLOOKUP(B2049,'INSUMOS  JULIO'!$B$6:$CJ$109,63,0),"")</f>
        <v>0</v>
      </c>
      <c r="G2049" s="8">
        <f>IFERROR(VLOOKUP($B2049,'INSUMOS  JULIO'!$B$6:$CJ$109,64,0),"")</f>
        <v>25429.996000000003</v>
      </c>
      <c r="H2049" s="19">
        <f t="shared" si="124"/>
        <v>0</v>
      </c>
      <c r="I2049" s="1">
        <f t="shared" si="125"/>
        <v>0</v>
      </c>
      <c r="J2049" s="1">
        <f t="shared" si="126"/>
        <v>0</v>
      </c>
      <c r="K2049" s="19">
        <f t="shared" si="127"/>
        <v>0</v>
      </c>
    </row>
    <row r="2050" spans="2:11" ht="15">
      <c r="B2050" s="151">
        <v>151</v>
      </c>
      <c r="C2050" s="7" t="s">
        <v>18</v>
      </c>
      <c r="D2050" s="4" t="s">
        <v>91</v>
      </c>
      <c r="E2050" t="s">
        <v>492</v>
      </c>
      <c r="F2050" s="12">
        <f>IFERROR(VLOOKUP(B2050,'INSUMOS  JULIO'!$B$6:$CJ$109,63,0),"")</f>
        <v>0</v>
      </c>
      <c r="G2050" s="8">
        <f>IFERROR(VLOOKUP($B2050,'INSUMOS  JULIO'!$B$6:$CJ$109,64,0),"")</f>
        <v>4422.6080000000002</v>
      </c>
      <c r="H2050" s="19">
        <f t="shared" si="124"/>
        <v>0</v>
      </c>
      <c r="I2050" s="1">
        <f t="shared" si="125"/>
        <v>0</v>
      </c>
      <c r="J2050" s="1">
        <f t="shared" si="126"/>
        <v>0</v>
      </c>
      <c r="K2050" s="19">
        <f t="shared" si="127"/>
        <v>0</v>
      </c>
    </row>
    <row r="2051" spans="2:11" ht="15">
      <c r="B2051" s="151">
        <v>152</v>
      </c>
      <c r="C2051" s="7" t="s">
        <v>155</v>
      </c>
      <c r="D2051" s="4" t="s">
        <v>92</v>
      </c>
      <c r="E2051" t="s">
        <v>492</v>
      </c>
      <c r="F2051" s="12" t="str">
        <f>IFERROR(VLOOKUP(B2051,'INSUMOS  JULIO'!$B$6:$CJ$109,63,0),"")</f>
        <v>0</v>
      </c>
      <c r="G2051" s="8">
        <f>IFERROR(VLOOKUP($B2051,'INSUMOS  JULIO'!$B$6:$CJ$109,64,0),"")</f>
        <v>0</v>
      </c>
      <c r="H2051" s="19">
        <f t="shared" si="124"/>
        <v>0</v>
      </c>
      <c r="I2051" s="1">
        <f t="shared" si="125"/>
        <v>0</v>
      </c>
      <c r="J2051" s="1">
        <f t="shared" si="126"/>
        <v>0</v>
      </c>
      <c r="K2051" s="19">
        <f t="shared" si="127"/>
        <v>0</v>
      </c>
    </row>
    <row r="2052" spans="2:11" ht="15">
      <c r="B2052" s="151">
        <v>154</v>
      </c>
      <c r="C2052" s="7" t="s">
        <v>16</v>
      </c>
      <c r="D2052" s="4" t="s">
        <v>94</v>
      </c>
      <c r="E2052" t="s">
        <v>492</v>
      </c>
      <c r="F2052" s="12" t="str">
        <f>IFERROR(VLOOKUP(B2052,'INSUMOS  JULIO'!$B$6:$CJ$109,63,0),"")</f>
        <v>0</v>
      </c>
      <c r="G2052" s="8">
        <f>IFERROR(VLOOKUP($B2052,'INSUMOS  JULIO'!$B$6:$CJ$109,64,0),"")</f>
        <v>0</v>
      </c>
      <c r="H2052" s="19">
        <f t="shared" si="124"/>
        <v>0</v>
      </c>
      <c r="I2052" s="1">
        <f t="shared" si="125"/>
        <v>0</v>
      </c>
      <c r="J2052" s="1">
        <f t="shared" si="126"/>
        <v>0</v>
      </c>
      <c r="K2052" s="19">
        <f t="shared" si="127"/>
        <v>0</v>
      </c>
    </row>
    <row r="2053" spans="2:11" ht="15">
      <c r="B2053" s="151">
        <v>155</v>
      </c>
      <c r="C2053" s="7" t="s">
        <v>27</v>
      </c>
      <c r="D2053" s="4" t="s">
        <v>95</v>
      </c>
      <c r="E2053" t="s">
        <v>492</v>
      </c>
      <c r="F2053" s="12">
        <f>IFERROR(VLOOKUP(B2053,'INSUMOS  JULIO'!$B$6:$CJ$109,63,0),"")</f>
        <v>0</v>
      </c>
      <c r="G2053" s="8">
        <f>IFERROR(VLOOKUP($B2053,'INSUMOS  JULIO'!$B$6:$CJ$109,64,0),"")</f>
        <v>3703.7239999999997</v>
      </c>
      <c r="H2053" s="19">
        <f t="shared" si="124"/>
        <v>0</v>
      </c>
      <c r="I2053" s="1">
        <f t="shared" si="125"/>
        <v>0</v>
      </c>
      <c r="J2053" s="1">
        <f t="shared" si="126"/>
        <v>0</v>
      </c>
      <c r="K2053" s="19">
        <f t="shared" si="127"/>
        <v>0</v>
      </c>
    </row>
    <row r="2054" spans="2:11" ht="15">
      <c r="B2054" s="151">
        <v>156</v>
      </c>
      <c r="C2054" s="7" t="s">
        <v>13</v>
      </c>
      <c r="D2054" s="4" t="s">
        <v>96</v>
      </c>
      <c r="E2054" t="s">
        <v>492</v>
      </c>
      <c r="F2054" s="12" t="str">
        <f>IFERROR(VLOOKUP(B2054,'INSUMOS  JULIO'!$B$6:$CJ$109,63,0),"")</f>
        <v>0</v>
      </c>
      <c r="G2054" s="8">
        <f>IFERROR(VLOOKUP($B2054,'INSUMOS  JULIO'!$B$6:$CJ$109,64,0),"")</f>
        <v>4422.6080000000002</v>
      </c>
      <c r="H2054" s="19">
        <f t="shared" ref="H2054:H2117" si="128">+F2054*G2054</f>
        <v>0</v>
      </c>
      <c r="I2054" s="1">
        <f t="shared" ref="I2054:I2117" si="129">+H2054*10%</f>
        <v>0</v>
      </c>
      <c r="J2054" s="1">
        <f t="shared" ref="J2054:J2117" si="130">+I2054*19%</f>
        <v>0</v>
      </c>
      <c r="K2054" s="19">
        <f t="shared" ref="K2054:K2117" si="131">SUM(H2054:J2054)</f>
        <v>0</v>
      </c>
    </row>
    <row r="2055" spans="2:11" ht="15">
      <c r="B2055" s="151">
        <v>157</v>
      </c>
      <c r="C2055" s="7" t="s">
        <v>13</v>
      </c>
      <c r="D2055" s="4" t="s">
        <v>97</v>
      </c>
      <c r="E2055" t="s">
        <v>492</v>
      </c>
      <c r="F2055" s="12">
        <f>IFERROR(VLOOKUP(B2055,'INSUMOS  JULIO'!$B$6:$CJ$109,63,0),"")</f>
        <v>0</v>
      </c>
      <c r="G2055" s="8">
        <f>IFERROR(VLOOKUP($B2055,'INSUMOS  JULIO'!$B$6:$CJ$109,64,0),"")</f>
        <v>5970.7309999999998</v>
      </c>
      <c r="H2055" s="19">
        <f t="shared" si="128"/>
        <v>0</v>
      </c>
      <c r="I2055" s="1">
        <f t="shared" si="129"/>
        <v>0</v>
      </c>
      <c r="J2055" s="1">
        <f t="shared" si="130"/>
        <v>0</v>
      </c>
      <c r="K2055" s="19">
        <f t="shared" si="131"/>
        <v>0</v>
      </c>
    </row>
    <row r="2056" spans="2:11" ht="15">
      <c r="B2056" s="151">
        <v>159</v>
      </c>
      <c r="C2056" s="7" t="s">
        <v>13</v>
      </c>
      <c r="D2056" s="4" t="s">
        <v>98</v>
      </c>
      <c r="E2056" t="s">
        <v>492</v>
      </c>
      <c r="F2056" s="12" t="str">
        <f>IFERROR(VLOOKUP(B2056,'INSUMOS  JULIO'!$B$6:$CJ$109,63,0),"")</f>
        <v>0</v>
      </c>
      <c r="G2056" s="8">
        <f>IFERROR(VLOOKUP($B2056,'INSUMOS  JULIO'!$B$6:$CJ$109,64,0),"")</f>
        <v>0</v>
      </c>
      <c r="H2056" s="19">
        <f t="shared" si="128"/>
        <v>0</v>
      </c>
      <c r="I2056" s="1">
        <f t="shared" si="129"/>
        <v>0</v>
      </c>
      <c r="J2056" s="1">
        <f t="shared" si="130"/>
        <v>0</v>
      </c>
      <c r="K2056" s="19">
        <f t="shared" si="131"/>
        <v>0</v>
      </c>
    </row>
    <row r="2057" spans="2:11" ht="15">
      <c r="B2057" s="151">
        <v>160</v>
      </c>
      <c r="C2057" s="7" t="s">
        <v>13</v>
      </c>
      <c r="D2057" s="4" t="s">
        <v>99</v>
      </c>
      <c r="E2057" t="s">
        <v>492</v>
      </c>
      <c r="F2057" s="12" t="str">
        <f>IFERROR(VLOOKUP(B2057,'INSUMOS  JULIO'!$B$6:$CJ$109,63,0),"")</f>
        <v>0</v>
      </c>
      <c r="G2057" s="8">
        <f>IFERROR(VLOOKUP($B2057,'INSUMOS  JULIO'!$B$6:$CJ$109,64,0),"")</f>
        <v>2276.4660000000003</v>
      </c>
      <c r="H2057" s="19">
        <f t="shared" si="128"/>
        <v>0</v>
      </c>
      <c r="I2057" s="1">
        <f t="shared" si="129"/>
        <v>0</v>
      </c>
      <c r="J2057" s="1">
        <f t="shared" si="130"/>
        <v>0</v>
      </c>
      <c r="K2057" s="19">
        <f t="shared" si="131"/>
        <v>0</v>
      </c>
    </row>
    <row r="2058" spans="2:11" ht="15">
      <c r="B2058" s="151">
        <v>161</v>
      </c>
      <c r="C2058" s="7" t="s">
        <v>33</v>
      </c>
      <c r="D2058" s="4" t="s">
        <v>100</v>
      </c>
      <c r="E2058" t="s">
        <v>492</v>
      </c>
      <c r="F2058" s="12" t="str">
        <f>IFERROR(VLOOKUP(B2058,'INSUMOS  JULIO'!$B$6:$CJ$109,63,0),"")</f>
        <v>0</v>
      </c>
      <c r="G2058" s="8">
        <f>IFERROR(VLOOKUP($B2058,'INSUMOS  JULIO'!$B$6:$CJ$109,64,0),"")</f>
        <v>2236.5280000000002</v>
      </c>
      <c r="H2058" s="19">
        <f t="shared" si="128"/>
        <v>0</v>
      </c>
      <c r="I2058" s="1">
        <f t="shared" si="129"/>
        <v>0</v>
      </c>
      <c r="J2058" s="1">
        <f t="shared" si="130"/>
        <v>0</v>
      </c>
      <c r="K2058" s="19">
        <f t="shared" si="131"/>
        <v>0</v>
      </c>
    </row>
    <row r="2059" spans="2:11" ht="15">
      <c r="B2059" s="151">
        <v>162</v>
      </c>
      <c r="C2059" s="7" t="s">
        <v>16</v>
      </c>
      <c r="D2059" s="4" t="s">
        <v>101</v>
      </c>
      <c r="E2059" t="s">
        <v>492</v>
      </c>
      <c r="F2059" s="12">
        <f>IFERROR(VLOOKUP(B2059,'INSUMOS  JULIO'!$B$6:$CJ$109,63,0),"")</f>
        <v>0</v>
      </c>
      <c r="G2059" s="8">
        <f>IFERROR(VLOOKUP($B2059,'INSUMOS  JULIO'!$B$6:$CJ$109,64,0),"")</f>
        <v>2684.2539999999999</v>
      </c>
      <c r="H2059" s="19">
        <f t="shared" si="128"/>
        <v>0</v>
      </c>
      <c r="I2059" s="1">
        <f t="shared" si="129"/>
        <v>0</v>
      </c>
      <c r="J2059" s="1">
        <f t="shared" si="130"/>
        <v>0</v>
      </c>
      <c r="K2059" s="19">
        <f t="shared" si="131"/>
        <v>0</v>
      </c>
    </row>
    <row r="2060" spans="2:11" ht="15">
      <c r="B2060" s="151">
        <v>164</v>
      </c>
      <c r="C2060" s="7" t="s">
        <v>36</v>
      </c>
      <c r="D2060" s="4" t="s">
        <v>102</v>
      </c>
      <c r="E2060" t="s">
        <v>492</v>
      </c>
      <c r="F2060" s="12" t="str">
        <f>IFERROR(VLOOKUP(B2060,'INSUMOS  JULIO'!$B$6:$CJ$109,63,0),"")</f>
        <v>0</v>
      </c>
      <c r="G2060" s="8">
        <f>IFERROR(VLOOKUP($B2060,'INSUMOS  JULIO'!$B$6:$CJ$109,64,0),"")</f>
        <v>1658.4780000000001</v>
      </c>
      <c r="H2060" s="19">
        <f t="shared" si="128"/>
        <v>0</v>
      </c>
      <c r="I2060" s="1">
        <f t="shared" si="129"/>
        <v>0</v>
      </c>
      <c r="J2060" s="1">
        <f t="shared" si="130"/>
        <v>0</v>
      </c>
      <c r="K2060" s="19">
        <f t="shared" si="131"/>
        <v>0</v>
      </c>
    </row>
    <row r="2061" spans="2:11" ht="15">
      <c r="B2061" s="151">
        <v>169</v>
      </c>
      <c r="C2061" s="7" t="s">
        <v>36</v>
      </c>
      <c r="D2061" s="4" t="s">
        <v>104</v>
      </c>
      <c r="E2061" t="s">
        <v>492</v>
      </c>
      <c r="F2061" s="12" t="str">
        <f>IFERROR(VLOOKUP(B2061,'INSUMOS  JULIO'!$B$6:$CJ$109,63,0),"")</f>
        <v>0</v>
      </c>
      <c r="G2061" s="8">
        <f>IFERROR(VLOOKUP($B2061,'INSUMOS  JULIO'!$B$6:$CJ$109,64,0),"")</f>
        <v>85897.178999999989</v>
      </c>
      <c r="H2061" s="19">
        <f t="shared" si="128"/>
        <v>0</v>
      </c>
      <c r="I2061" s="1">
        <f t="shared" si="129"/>
        <v>0</v>
      </c>
      <c r="J2061" s="1">
        <f t="shared" si="130"/>
        <v>0</v>
      </c>
      <c r="K2061" s="19">
        <f t="shared" si="131"/>
        <v>0</v>
      </c>
    </row>
    <row r="2062" spans="2:11" ht="15">
      <c r="B2062" s="151">
        <v>170</v>
      </c>
      <c r="C2062" s="7" t="s">
        <v>105</v>
      </c>
      <c r="D2062" s="4" t="s">
        <v>106</v>
      </c>
      <c r="E2062" t="s">
        <v>492</v>
      </c>
      <c r="F2062" s="12">
        <f>IFERROR(VLOOKUP(B2062,'INSUMOS  JULIO'!$B$6:$CJ$109,63,0),"")</f>
        <v>0</v>
      </c>
      <c r="G2062" s="8">
        <f>IFERROR(VLOOKUP($B2062,'INSUMOS  JULIO'!$B$6:$CJ$109,64,0),"")</f>
        <v>19405.664000000001</v>
      </c>
      <c r="H2062" s="19">
        <f t="shared" si="128"/>
        <v>0</v>
      </c>
      <c r="I2062" s="1">
        <f t="shared" si="129"/>
        <v>0</v>
      </c>
      <c r="J2062" s="1">
        <f t="shared" si="130"/>
        <v>0</v>
      </c>
      <c r="K2062" s="19">
        <f t="shared" si="131"/>
        <v>0</v>
      </c>
    </row>
    <row r="2063" spans="2:11" ht="15">
      <c r="B2063" s="151">
        <v>173</v>
      </c>
      <c r="C2063" s="7" t="s">
        <v>105</v>
      </c>
      <c r="D2063" s="4" t="s">
        <v>107</v>
      </c>
      <c r="E2063" t="s">
        <v>492</v>
      </c>
      <c r="F2063" s="12" t="str">
        <f>IFERROR(VLOOKUP(B2063,'INSUMOS  JULIO'!$B$6:$CJ$109,63,0),"")</f>
        <v>0</v>
      </c>
      <c r="G2063" s="8">
        <f>IFERROR(VLOOKUP($B2063,'INSUMOS  JULIO'!$B$6:$CJ$109,64,0),"")</f>
        <v>0</v>
      </c>
      <c r="H2063" s="19">
        <f t="shared" si="128"/>
        <v>0</v>
      </c>
      <c r="I2063" s="1">
        <f t="shared" si="129"/>
        <v>0</v>
      </c>
      <c r="J2063" s="1">
        <f t="shared" si="130"/>
        <v>0</v>
      </c>
      <c r="K2063" s="19">
        <f t="shared" si="131"/>
        <v>0</v>
      </c>
    </row>
    <row r="2064" spans="2:11" ht="15">
      <c r="B2064" s="151">
        <v>174</v>
      </c>
      <c r="C2064" s="7" t="s">
        <v>108</v>
      </c>
      <c r="D2064" s="4" t="s">
        <v>109</v>
      </c>
      <c r="E2064" t="s">
        <v>492</v>
      </c>
      <c r="F2064" s="12" t="str">
        <f>IFERROR(VLOOKUP(B2064,'INSUMOS  JULIO'!$B$6:$CJ$109,63,0),"")</f>
        <v>0</v>
      </c>
      <c r="G2064" s="8">
        <f>IFERROR(VLOOKUP($B2064,'INSUMOS  JULIO'!$B$6:$CJ$109,64,0),"")</f>
        <v>6081.0860000000002</v>
      </c>
      <c r="H2064" s="19">
        <f t="shared" si="128"/>
        <v>0</v>
      </c>
      <c r="I2064" s="1">
        <f t="shared" si="129"/>
        <v>0</v>
      </c>
      <c r="J2064" s="1">
        <f t="shared" si="130"/>
        <v>0</v>
      </c>
      <c r="K2064" s="19">
        <f t="shared" si="131"/>
        <v>0</v>
      </c>
    </row>
    <row r="2065" spans="2:11" ht="15">
      <c r="B2065" s="151">
        <v>176</v>
      </c>
      <c r="C2065" s="7" t="s">
        <v>108</v>
      </c>
      <c r="D2065" s="4" t="s">
        <v>110</v>
      </c>
      <c r="E2065" t="s">
        <v>492</v>
      </c>
      <c r="F2065" s="12" t="str">
        <f>IFERROR(VLOOKUP(B2065,'INSUMOS  JULIO'!$B$6:$CJ$109,63,0),"")</f>
        <v>0</v>
      </c>
      <c r="G2065" s="8">
        <f>IFERROR(VLOOKUP($B2065,'INSUMOS  JULIO'!$B$6:$CJ$109,64,0),"")</f>
        <v>2749.4160000000002</v>
      </c>
      <c r="H2065" s="19">
        <f t="shared" si="128"/>
        <v>0</v>
      </c>
      <c r="I2065" s="1">
        <f t="shared" si="129"/>
        <v>0</v>
      </c>
      <c r="J2065" s="1">
        <f t="shared" si="130"/>
        <v>0</v>
      </c>
      <c r="K2065" s="19">
        <f t="shared" si="131"/>
        <v>0</v>
      </c>
    </row>
    <row r="2066" spans="2:11" ht="15">
      <c r="B2066" s="151">
        <v>192</v>
      </c>
      <c r="C2066" s="7" t="s">
        <v>149</v>
      </c>
      <c r="D2066" s="4" t="s">
        <v>111</v>
      </c>
      <c r="E2066" t="s">
        <v>492</v>
      </c>
      <c r="F2066" s="12">
        <f>IFERROR(VLOOKUP(B2066,'INSUMOS  JULIO'!$B$6:$CJ$109,63,0),"")</f>
        <v>0</v>
      </c>
      <c r="G2066" s="8">
        <f>IFERROR(VLOOKUP($B2066,'INSUMOS  JULIO'!$B$6:$CJ$109,64,0),"")</f>
        <v>6866.2880999999998</v>
      </c>
      <c r="H2066" s="19">
        <f t="shared" si="128"/>
        <v>0</v>
      </c>
      <c r="I2066" s="1">
        <f t="shared" si="129"/>
        <v>0</v>
      </c>
      <c r="J2066" s="1">
        <f t="shared" si="130"/>
        <v>0</v>
      </c>
      <c r="K2066" s="19">
        <f t="shared" si="131"/>
        <v>0</v>
      </c>
    </row>
    <row r="2067" spans="2:11" ht="15">
      <c r="B2067" s="151">
        <v>195</v>
      </c>
      <c r="C2067" s="7" t="s">
        <v>149</v>
      </c>
      <c r="D2067" s="4" t="s">
        <v>112</v>
      </c>
      <c r="E2067" t="s">
        <v>492</v>
      </c>
      <c r="F2067" s="12">
        <f>IFERROR(VLOOKUP(B2067,'INSUMOS  JULIO'!$B$6:$CJ$109,63,0),"")</f>
        <v>0</v>
      </c>
      <c r="G2067" s="8">
        <f>IFERROR(VLOOKUP($B2067,'INSUMOS  JULIO'!$B$6:$CJ$109,64,0),"")</f>
        <v>6431.0690000000004</v>
      </c>
      <c r="H2067" s="19">
        <f t="shared" si="128"/>
        <v>0</v>
      </c>
      <c r="I2067" s="1">
        <f t="shared" si="129"/>
        <v>0</v>
      </c>
      <c r="J2067" s="1">
        <f t="shared" si="130"/>
        <v>0</v>
      </c>
      <c r="K2067" s="19">
        <f t="shared" si="131"/>
        <v>0</v>
      </c>
    </row>
    <row r="2068" spans="2:11" ht="15">
      <c r="B2068" s="151">
        <v>204</v>
      </c>
      <c r="C2068" s="7" t="s">
        <v>150</v>
      </c>
      <c r="D2068" s="4" t="s">
        <v>113</v>
      </c>
      <c r="E2068" t="s">
        <v>492</v>
      </c>
      <c r="F2068" s="12">
        <f>IFERROR(VLOOKUP(B2068,'INSUMOS  JULIO'!$B$6:$CJ$109,63,0),"")</f>
        <v>0</v>
      </c>
      <c r="G2068" s="8">
        <f>IFERROR(VLOOKUP($B2068,'INSUMOS  JULIO'!$B$6:$CJ$109,64,0),"")</f>
        <v>25673.6178</v>
      </c>
      <c r="H2068" s="19">
        <f t="shared" si="128"/>
        <v>0</v>
      </c>
      <c r="I2068" s="1">
        <f t="shared" si="129"/>
        <v>0</v>
      </c>
      <c r="J2068" s="1">
        <f t="shared" si="130"/>
        <v>0</v>
      </c>
      <c r="K2068" s="19">
        <f t="shared" si="131"/>
        <v>0</v>
      </c>
    </row>
    <row r="2069" spans="2:11" ht="27">
      <c r="B2069" s="151">
        <v>205</v>
      </c>
      <c r="C2069" s="7" t="s">
        <v>150</v>
      </c>
      <c r="D2069" s="4" t="s">
        <v>114</v>
      </c>
      <c r="E2069" t="s">
        <v>492</v>
      </c>
      <c r="F2069" s="12" t="str">
        <f>IFERROR(VLOOKUP(B2069,'INSUMOS  JULIO'!$B$6:$CJ$109,63,0),"")</f>
        <v>0</v>
      </c>
      <c r="G2069" s="8">
        <f>IFERROR(VLOOKUP($B2069,'INSUMOS  JULIO'!$B$6:$CJ$109,64,0),"")</f>
        <v>17690.432000000001</v>
      </c>
      <c r="H2069" s="19">
        <f t="shared" si="128"/>
        <v>0</v>
      </c>
      <c r="I2069" s="1">
        <f t="shared" si="129"/>
        <v>0</v>
      </c>
      <c r="J2069" s="1">
        <f t="shared" si="130"/>
        <v>0</v>
      </c>
      <c r="K2069" s="19">
        <f t="shared" si="131"/>
        <v>0</v>
      </c>
    </row>
    <row r="2070" spans="2:11" ht="15">
      <c r="B2070" s="151">
        <v>207</v>
      </c>
      <c r="C2070" s="7" t="s">
        <v>60</v>
      </c>
      <c r="D2070" s="4" t="s">
        <v>115</v>
      </c>
      <c r="E2070" t="s">
        <v>492</v>
      </c>
      <c r="F2070" s="12" t="str">
        <f>IFERROR(VLOOKUP(B2070,'INSUMOS  JULIO'!$B$6:$CJ$109,63,0),"")</f>
        <v>0</v>
      </c>
      <c r="G2070" s="8">
        <f>IFERROR(VLOOKUP($B2070,'INSUMOS  JULIO'!$B$6:$CJ$109,64,0),"")</f>
        <v>7186.7380000000003</v>
      </c>
      <c r="H2070" s="19">
        <f t="shared" si="128"/>
        <v>0</v>
      </c>
      <c r="I2070" s="1">
        <f t="shared" si="129"/>
        <v>0</v>
      </c>
      <c r="J2070" s="1">
        <f t="shared" si="130"/>
        <v>0</v>
      </c>
      <c r="K2070" s="19">
        <f t="shared" si="131"/>
        <v>0</v>
      </c>
    </row>
    <row r="2071" spans="2:11" ht="15">
      <c r="B2071" s="151">
        <v>208</v>
      </c>
      <c r="C2071" s="7" t="s">
        <v>151</v>
      </c>
      <c r="D2071" s="4" t="s">
        <v>634</v>
      </c>
      <c r="E2071" t="s">
        <v>492</v>
      </c>
      <c r="F2071" s="12" t="str">
        <f>IFERROR(VLOOKUP(B2071,'INSUMOS  JULIO'!$B$6:$CJ$109,63,0),"")</f>
        <v>0</v>
      </c>
      <c r="G2071" s="8">
        <f>IFERROR(VLOOKUP($B2071,'INSUMOS  JULIO'!$B$6:$CJ$109,64,0),"")</f>
        <v>50779.065000000002</v>
      </c>
      <c r="H2071" s="19">
        <f t="shared" si="128"/>
        <v>0</v>
      </c>
      <c r="I2071" s="1">
        <f t="shared" si="129"/>
        <v>0</v>
      </c>
      <c r="J2071" s="1">
        <f t="shared" si="130"/>
        <v>0</v>
      </c>
      <c r="K2071" s="19">
        <f t="shared" si="131"/>
        <v>0</v>
      </c>
    </row>
    <row r="2072" spans="2:11" ht="15">
      <c r="B2072" s="151">
        <v>209</v>
      </c>
      <c r="C2072" s="7" t="s">
        <v>151</v>
      </c>
      <c r="D2072" s="4" t="s">
        <v>635</v>
      </c>
      <c r="E2072" t="s">
        <v>492</v>
      </c>
      <c r="F2072" s="12" t="str">
        <f>IFERROR(VLOOKUP(B2072,'INSUMOS  JULIO'!$B$6:$CJ$109,63,0),"")</f>
        <v>0</v>
      </c>
      <c r="G2072" s="8">
        <f>IFERROR(VLOOKUP($B2072,'INSUMOS  JULIO'!$B$6:$CJ$109,64,0),"")</f>
        <v>37357.794999999998</v>
      </c>
      <c r="H2072" s="19">
        <f t="shared" si="128"/>
        <v>0</v>
      </c>
      <c r="I2072" s="1">
        <f t="shared" si="129"/>
        <v>0</v>
      </c>
      <c r="J2072" s="1">
        <f t="shared" si="130"/>
        <v>0</v>
      </c>
      <c r="K2072" s="19">
        <f t="shared" si="131"/>
        <v>0</v>
      </c>
    </row>
    <row r="2073" spans="2:11" ht="15">
      <c r="B2073" s="151">
        <v>210</v>
      </c>
      <c r="C2073" s="7" t="s">
        <v>151</v>
      </c>
      <c r="D2073" s="4" t="s">
        <v>636</v>
      </c>
      <c r="E2073" t="s">
        <v>492</v>
      </c>
      <c r="F2073" s="12" t="str">
        <f>IFERROR(VLOOKUP(B2073,'INSUMOS  JULIO'!$B$6:$CJ$109,63,0),"")</f>
        <v>0</v>
      </c>
      <c r="G2073" s="8">
        <f>IFERROR(VLOOKUP($B2073,'INSUMOS  JULIO'!$B$6:$CJ$109,64,0),"")</f>
        <v>22537.643999999997</v>
      </c>
      <c r="H2073" s="19">
        <f t="shared" si="128"/>
        <v>0</v>
      </c>
      <c r="I2073" s="1">
        <f t="shared" si="129"/>
        <v>0</v>
      </c>
      <c r="J2073" s="1">
        <f t="shared" si="130"/>
        <v>0</v>
      </c>
      <c r="K2073" s="19">
        <f t="shared" si="131"/>
        <v>0</v>
      </c>
    </row>
    <row r="2074" spans="2:11" ht="15">
      <c r="B2074" s="151">
        <v>211</v>
      </c>
      <c r="C2074" s="7" t="s">
        <v>151</v>
      </c>
      <c r="D2074" s="4" t="s">
        <v>637</v>
      </c>
      <c r="E2074" t="s">
        <v>492</v>
      </c>
      <c r="F2074" s="12" t="str">
        <f>IFERROR(VLOOKUP(B2074,'INSUMOS  JULIO'!$B$6:$CJ$109,63,0),"")</f>
        <v>0</v>
      </c>
      <c r="G2074" s="8">
        <f>IFERROR(VLOOKUP($B2074,'INSUMOS  JULIO'!$B$6:$CJ$109,64,0),"")</f>
        <v>15992.016</v>
      </c>
      <c r="H2074" s="19">
        <f t="shared" si="128"/>
        <v>0</v>
      </c>
      <c r="I2074" s="1">
        <f t="shared" si="129"/>
        <v>0</v>
      </c>
      <c r="J2074" s="1">
        <f t="shared" si="130"/>
        <v>0</v>
      </c>
      <c r="K2074" s="19">
        <f t="shared" si="131"/>
        <v>0</v>
      </c>
    </row>
    <row r="2075" spans="2:11" ht="15">
      <c r="B2075" s="151">
        <v>212</v>
      </c>
      <c r="C2075" s="7" t="s">
        <v>60</v>
      </c>
      <c r="D2075" s="4" t="s">
        <v>116</v>
      </c>
      <c r="E2075" t="s">
        <v>492</v>
      </c>
      <c r="F2075" s="12" t="str">
        <f>IFERROR(VLOOKUP(B2075,'INSUMOS  JULIO'!$B$6:$CJ$109,63,0),"")</f>
        <v>0</v>
      </c>
      <c r="G2075" s="8">
        <f>IFERROR(VLOOKUP($B2075,'INSUMOS  JULIO'!$B$6:$CJ$109,64,0),"")</f>
        <v>2505.5839999999998</v>
      </c>
      <c r="H2075" s="19">
        <f t="shared" si="128"/>
        <v>0</v>
      </c>
      <c r="I2075" s="1">
        <f t="shared" si="129"/>
        <v>0</v>
      </c>
      <c r="J2075" s="1">
        <f t="shared" si="130"/>
        <v>0</v>
      </c>
      <c r="K2075" s="19">
        <f t="shared" si="131"/>
        <v>0</v>
      </c>
    </row>
    <row r="2076" spans="2:11" ht="15">
      <c r="B2076" s="151">
        <v>213</v>
      </c>
      <c r="C2076" s="7" t="s">
        <v>46</v>
      </c>
      <c r="D2076" s="4" t="s">
        <v>638</v>
      </c>
      <c r="E2076" t="s">
        <v>492</v>
      </c>
      <c r="F2076" s="12" t="str">
        <f>IFERROR(VLOOKUP(B2076,'INSUMOS  JULIO'!$B$6:$CJ$109,63,0),"")</f>
        <v>0</v>
      </c>
      <c r="G2076" s="8">
        <f>IFERROR(VLOOKUP($B2076,'INSUMOS  JULIO'!$B$6:$CJ$109,64,0),"")</f>
        <v>0</v>
      </c>
      <c r="H2076" s="19">
        <f t="shared" si="128"/>
        <v>0</v>
      </c>
      <c r="I2076" s="1">
        <f t="shared" si="129"/>
        <v>0</v>
      </c>
      <c r="J2076" s="1">
        <f t="shared" si="130"/>
        <v>0</v>
      </c>
      <c r="K2076" s="19">
        <f t="shared" si="131"/>
        <v>0</v>
      </c>
    </row>
    <row r="2077" spans="2:11" ht="15">
      <c r="B2077" s="151">
        <v>215</v>
      </c>
      <c r="C2077" s="7" t="s">
        <v>450</v>
      </c>
      <c r="D2077" s="4" t="s">
        <v>639</v>
      </c>
      <c r="E2077" t="s">
        <v>492</v>
      </c>
      <c r="F2077" s="12" t="str">
        <f>IFERROR(VLOOKUP(B2077,'INSUMOS  JULIO'!$B$6:$CJ$109,63,0),"")</f>
        <v>0</v>
      </c>
      <c r="G2077" s="8">
        <f>IFERROR(VLOOKUP($B2077,'INSUMOS  JULIO'!$B$6:$CJ$109,64,0),"")</f>
        <v>10476.367999999999</v>
      </c>
      <c r="H2077" s="19">
        <f t="shared" si="128"/>
        <v>0</v>
      </c>
      <c r="I2077" s="1">
        <f t="shared" si="129"/>
        <v>0</v>
      </c>
      <c r="J2077" s="1">
        <f t="shared" si="130"/>
        <v>0</v>
      </c>
      <c r="K2077" s="19">
        <f t="shared" si="131"/>
        <v>0</v>
      </c>
    </row>
    <row r="2078" spans="2:11" ht="15">
      <c r="B2078" s="151">
        <v>216</v>
      </c>
      <c r="C2078" s="7" t="s">
        <v>450</v>
      </c>
      <c r="D2078" s="4" t="s">
        <v>640</v>
      </c>
      <c r="E2078" t="s">
        <v>492</v>
      </c>
      <c r="F2078" s="12" t="str">
        <f>IFERROR(VLOOKUP(B2078,'INSUMOS  JULIO'!$B$6:$CJ$109,63,0),"")</f>
        <v>0</v>
      </c>
      <c r="G2078" s="8">
        <f>IFERROR(VLOOKUP($B2078,'INSUMOS  JULIO'!$B$6:$CJ$109,64,0),"")</f>
        <v>3954.9129999999996</v>
      </c>
      <c r="H2078" s="19">
        <f t="shared" si="128"/>
        <v>0</v>
      </c>
      <c r="I2078" s="1">
        <f t="shared" si="129"/>
        <v>0</v>
      </c>
      <c r="J2078" s="1">
        <f t="shared" si="130"/>
        <v>0</v>
      </c>
      <c r="K2078" s="19">
        <f t="shared" si="131"/>
        <v>0</v>
      </c>
    </row>
    <row r="2079" spans="2:11" ht="15">
      <c r="B2079" s="151">
        <v>218</v>
      </c>
      <c r="C2079" s="7" t="s">
        <v>450</v>
      </c>
      <c r="D2079" s="4" t="s">
        <v>117</v>
      </c>
      <c r="E2079" t="s">
        <v>492</v>
      </c>
      <c r="F2079" s="12" t="str">
        <f>IFERROR(VLOOKUP(B2079,'INSUMOS  JULIO'!$B$6:$CJ$109,63,0),"")</f>
        <v>0</v>
      </c>
      <c r="G2079" s="8">
        <f>IFERROR(VLOOKUP($B2079,'INSUMOS  JULIO'!$B$6:$CJ$109,64,0),"")</f>
        <v>1437.768</v>
      </c>
      <c r="H2079" s="19">
        <f t="shared" si="128"/>
        <v>0</v>
      </c>
      <c r="I2079" s="1">
        <f t="shared" si="129"/>
        <v>0</v>
      </c>
      <c r="J2079" s="1">
        <f t="shared" si="130"/>
        <v>0</v>
      </c>
      <c r="K2079" s="19">
        <f t="shared" si="131"/>
        <v>0</v>
      </c>
    </row>
    <row r="2080" spans="2:11" ht="15">
      <c r="B2080" s="151">
        <v>251</v>
      </c>
      <c r="C2080" s="7" t="s">
        <v>33</v>
      </c>
      <c r="D2080" s="4" t="s">
        <v>118</v>
      </c>
      <c r="E2080" t="s">
        <v>492</v>
      </c>
      <c r="F2080" s="12" t="str">
        <f>IFERROR(VLOOKUP(B2080,'INSUMOS  JULIO'!$B$6:$CJ$109,63,0),"")</f>
        <v>0</v>
      </c>
      <c r="G2080" s="8">
        <f>IFERROR(VLOOKUP($B2080,'INSUMOS  JULIO'!$B$6:$CJ$109,64,0),"")</f>
        <v>16031.954000000002</v>
      </c>
      <c r="H2080" s="19">
        <f t="shared" si="128"/>
        <v>0</v>
      </c>
      <c r="I2080" s="1">
        <f t="shared" si="129"/>
        <v>0</v>
      </c>
      <c r="J2080" s="1">
        <f t="shared" si="130"/>
        <v>0</v>
      </c>
      <c r="K2080" s="19">
        <f t="shared" si="131"/>
        <v>0</v>
      </c>
    </row>
    <row r="2081" spans="2:11" ht="15">
      <c r="B2081" s="151">
        <v>255</v>
      </c>
      <c r="C2081" s="7" t="s">
        <v>60</v>
      </c>
      <c r="D2081" s="4" t="s">
        <v>641</v>
      </c>
      <c r="E2081" t="s">
        <v>492</v>
      </c>
      <c r="F2081" s="12" t="str">
        <f>IFERROR(VLOOKUP(B2081,'INSUMOS  JULIO'!$B$6:$CJ$109,63,0),"")</f>
        <v>0</v>
      </c>
      <c r="G2081" s="8">
        <f>IFERROR(VLOOKUP($B2081,'INSUMOS  JULIO'!$B$6:$CJ$109,64,0),"")</f>
        <v>29299.777999999998</v>
      </c>
      <c r="H2081" s="19">
        <f t="shared" si="128"/>
        <v>0</v>
      </c>
      <c r="I2081" s="1">
        <f t="shared" si="129"/>
        <v>0</v>
      </c>
      <c r="J2081" s="1">
        <f t="shared" si="130"/>
        <v>0</v>
      </c>
      <c r="K2081" s="19">
        <f t="shared" si="131"/>
        <v>0</v>
      </c>
    </row>
    <row r="2082" spans="2:11" ht="15">
      <c r="B2082" s="151">
        <v>257</v>
      </c>
      <c r="C2082" s="7" t="s">
        <v>60</v>
      </c>
      <c r="D2082" s="4" t="s">
        <v>642</v>
      </c>
      <c r="E2082" t="s">
        <v>492</v>
      </c>
      <c r="F2082" s="12" t="str">
        <f>IFERROR(VLOOKUP(B2082,'INSUMOS  JULIO'!$B$6:$CJ$109,63,0),"")</f>
        <v>0</v>
      </c>
      <c r="G2082" s="8">
        <f>IFERROR(VLOOKUP($B2082,'INSUMOS  JULIO'!$B$6:$CJ$109,64,0),"")</f>
        <v>18796.084000000003</v>
      </c>
      <c r="H2082" s="19">
        <f t="shared" si="128"/>
        <v>0</v>
      </c>
      <c r="I2082" s="1">
        <f t="shared" si="129"/>
        <v>0</v>
      </c>
      <c r="J2082" s="1">
        <f t="shared" si="130"/>
        <v>0</v>
      </c>
      <c r="K2082" s="19">
        <f t="shared" si="131"/>
        <v>0</v>
      </c>
    </row>
    <row r="2083" spans="2:11" ht="15">
      <c r="B2083" s="151">
        <v>260</v>
      </c>
      <c r="C2083" s="7" t="s">
        <v>449</v>
      </c>
      <c r="D2083" s="4" t="s">
        <v>643</v>
      </c>
      <c r="E2083" t="s">
        <v>492</v>
      </c>
      <c r="F2083" s="12" t="str">
        <f>IFERROR(VLOOKUP(B2083,'INSUMOS  JULIO'!$B$6:$CJ$109,63,0),"")</f>
        <v>0</v>
      </c>
      <c r="G2083" s="8">
        <f>IFERROR(VLOOKUP($B2083,'INSUMOS  JULIO'!$B$6:$CJ$109,64,0),"")</f>
        <v>3417.8520000000008</v>
      </c>
      <c r="H2083" s="19">
        <f t="shared" si="128"/>
        <v>0</v>
      </c>
      <c r="I2083" s="1">
        <f t="shared" si="129"/>
        <v>0</v>
      </c>
      <c r="J2083" s="1">
        <f t="shared" si="130"/>
        <v>0</v>
      </c>
      <c r="K2083" s="19">
        <f t="shared" si="131"/>
        <v>0</v>
      </c>
    </row>
    <row r="2084" spans="2:11" ht="15">
      <c r="B2084" s="151">
        <v>291</v>
      </c>
      <c r="C2084" s="7" t="s">
        <v>449</v>
      </c>
      <c r="D2084" s="4" t="s">
        <v>644</v>
      </c>
      <c r="E2084" t="s">
        <v>492</v>
      </c>
      <c r="F2084" s="12" t="str">
        <f>IFERROR(VLOOKUP(B2084,'INSUMOS  JULIO'!$B$6:$CJ$109,63,0),"")</f>
        <v>0</v>
      </c>
      <c r="G2084" s="8">
        <f>IFERROR(VLOOKUP($B2084,'INSUMOS  JULIO'!$B$6:$CJ$109,64,0),"")</f>
        <v>20454.562000000005</v>
      </c>
      <c r="H2084" s="19">
        <f t="shared" si="128"/>
        <v>0</v>
      </c>
      <c r="I2084" s="1">
        <f t="shared" si="129"/>
        <v>0</v>
      </c>
      <c r="J2084" s="1">
        <f t="shared" si="130"/>
        <v>0</v>
      </c>
      <c r="K2084" s="19">
        <f t="shared" si="131"/>
        <v>0</v>
      </c>
    </row>
    <row r="2085" spans="2:11" ht="15">
      <c r="B2085" s="151">
        <v>3</v>
      </c>
      <c r="C2085" s="7" t="s">
        <v>155</v>
      </c>
      <c r="D2085" s="4" t="s">
        <v>5</v>
      </c>
      <c r="E2085" t="s">
        <v>493</v>
      </c>
      <c r="F2085" s="12" t="str">
        <f>IFERROR(VLOOKUP($B2085,'INSUMOS  JULIO'!$B$6:$CJ$109,66,0),"")</f>
        <v>0</v>
      </c>
      <c r="G2085" s="8">
        <f>IFERROR(VLOOKUP($B2085,'INSUMOS  JULIO'!$B$6:$CJ$109,67,0),"")</f>
        <v>7268.7160000000003</v>
      </c>
      <c r="H2085" s="19">
        <f t="shared" si="128"/>
        <v>0</v>
      </c>
      <c r="I2085" s="1">
        <f t="shared" si="129"/>
        <v>0</v>
      </c>
      <c r="J2085" s="1">
        <f t="shared" si="130"/>
        <v>0</v>
      </c>
      <c r="K2085" s="19">
        <f t="shared" si="131"/>
        <v>0</v>
      </c>
    </row>
    <row r="2086" spans="2:11" ht="15">
      <c r="B2086" s="151">
        <v>5</v>
      </c>
      <c r="C2086" s="7" t="s">
        <v>6</v>
      </c>
      <c r="D2086" s="4" t="s">
        <v>7</v>
      </c>
      <c r="E2086" t="s">
        <v>493</v>
      </c>
      <c r="F2086" s="12" t="str">
        <f>IFERROR(VLOOKUP(B2086,'INSUMOS  JULIO'!$B$6:$CJ$109,66,0),"")</f>
        <v>0</v>
      </c>
      <c r="G2086" s="8">
        <f>IFERROR(VLOOKUP($B2086,'INSUMOS  JULIO'!$B$6:$CJ$109,67,0),"")</f>
        <v>6494.1289999999999</v>
      </c>
      <c r="H2086" s="19">
        <f t="shared" si="128"/>
        <v>0</v>
      </c>
      <c r="I2086" s="1">
        <f t="shared" si="129"/>
        <v>0</v>
      </c>
      <c r="J2086" s="1">
        <f t="shared" si="130"/>
        <v>0</v>
      </c>
      <c r="K2086" s="19">
        <f t="shared" si="131"/>
        <v>0</v>
      </c>
    </row>
    <row r="2087" spans="2:11" ht="15">
      <c r="B2087" s="151">
        <v>8</v>
      </c>
      <c r="C2087" s="7" t="s">
        <v>6</v>
      </c>
      <c r="D2087" s="4" t="s">
        <v>8</v>
      </c>
      <c r="E2087" t="s">
        <v>493</v>
      </c>
      <c r="F2087" s="12">
        <f>IFERROR(VLOOKUP(B2087,'INSUMOS  JULIO'!$B$6:$CJ$109,66,0),"")</f>
        <v>0</v>
      </c>
      <c r="G2087" s="8">
        <f>IFERROR(VLOOKUP($B2087,'INSUMOS  JULIO'!$B$6:$CJ$109,67,0),"")</f>
        <v>2211.3040000000001</v>
      </c>
      <c r="H2087" s="19">
        <f t="shared" si="128"/>
        <v>0</v>
      </c>
      <c r="I2087" s="1">
        <f t="shared" si="129"/>
        <v>0</v>
      </c>
      <c r="J2087" s="1">
        <f t="shared" si="130"/>
        <v>0</v>
      </c>
      <c r="K2087" s="19">
        <f t="shared" si="131"/>
        <v>0</v>
      </c>
    </row>
    <row r="2088" spans="2:11" ht="15">
      <c r="B2088" s="151">
        <v>9</v>
      </c>
      <c r="C2088" s="7" t="s">
        <v>9</v>
      </c>
      <c r="D2088" s="4" t="s">
        <v>10</v>
      </c>
      <c r="E2088" t="s">
        <v>493</v>
      </c>
      <c r="F2088" s="12">
        <f>IFERROR(VLOOKUP(B2088,'INSUMOS  JULIO'!$B$6:$CJ$109,66,0),"")</f>
        <v>0</v>
      </c>
      <c r="G2088" s="8">
        <f>IFERROR(VLOOKUP($B2088,'INSUMOS  JULIO'!$B$6:$CJ$109,67,0),"")</f>
        <v>3298.0379999999996</v>
      </c>
      <c r="H2088" s="19">
        <f t="shared" si="128"/>
        <v>0</v>
      </c>
      <c r="I2088" s="1">
        <f t="shared" si="129"/>
        <v>0</v>
      </c>
      <c r="J2088" s="1">
        <f t="shared" si="130"/>
        <v>0</v>
      </c>
      <c r="K2088" s="19">
        <f t="shared" si="131"/>
        <v>0</v>
      </c>
    </row>
    <row r="2089" spans="2:11" ht="15">
      <c r="B2089" s="151">
        <v>11</v>
      </c>
      <c r="C2089" s="7" t="s">
        <v>156</v>
      </c>
      <c r="D2089" s="4" t="s">
        <v>11</v>
      </c>
      <c r="E2089" t="s">
        <v>493</v>
      </c>
      <c r="F2089" s="12" t="str">
        <f>IFERROR(VLOOKUP(B2089,'INSUMOS  JULIO'!$B$6:$CJ$109,66,0),"")</f>
        <v>0</v>
      </c>
      <c r="G2089" s="8">
        <f>IFERROR(VLOOKUP($B2089,'INSUMOS  JULIO'!$B$6:$CJ$109,67,0),"")</f>
        <v>7739.5639999999985</v>
      </c>
      <c r="H2089" s="19">
        <f t="shared" si="128"/>
        <v>0</v>
      </c>
      <c r="I2089" s="1">
        <f t="shared" si="129"/>
        <v>0</v>
      </c>
      <c r="J2089" s="1">
        <f t="shared" si="130"/>
        <v>0</v>
      </c>
      <c r="K2089" s="19">
        <f t="shared" si="131"/>
        <v>0</v>
      </c>
    </row>
    <row r="2090" spans="2:11" ht="15">
      <c r="B2090" s="151">
        <v>13</v>
      </c>
      <c r="C2090" s="7" t="s">
        <v>9</v>
      </c>
      <c r="D2090" s="4" t="s">
        <v>12</v>
      </c>
      <c r="E2090" t="s">
        <v>493</v>
      </c>
      <c r="F2090" s="12">
        <f>IFERROR(VLOOKUP(B2090,'INSUMOS  JULIO'!$B$6:$CJ$109,66,0),"")</f>
        <v>0</v>
      </c>
      <c r="G2090" s="8">
        <f>IFERROR(VLOOKUP($B2090,'INSUMOS  JULIO'!$B$6:$CJ$109,67,0),"")</f>
        <v>6507.7919999999995</v>
      </c>
      <c r="H2090" s="19">
        <f t="shared" si="128"/>
        <v>0</v>
      </c>
      <c r="I2090" s="1">
        <f t="shared" si="129"/>
        <v>0</v>
      </c>
      <c r="J2090" s="1">
        <f t="shared" si="130"/>
        <v>0</v>
      </c>
      <c r="K2090" s="19">
        <f t="shared" si="131"/>
        <v>0</v>
      </c>
    </row>
    <row r="2091" spans="2:11" ht="15">
      <c r="B2091" s="151">
        <v>17</v>
      </c>
      <c r="C2091" s="7" t="s">
        <v>13</v>
      </c>
      <c r="D2091" s="4" t="s">
        <v>14</v>
      </c>
      <c r="E2091" t="s">
        <v>493</v>
      </c>
      <c r="F2091" s="12">
        <f>IFERROR(VLOOKUP(B2091,'INSUMOS  JULIO'!$B$6:$CJ$109,66,0),"")</f>
        <v>0</v>
      </c>
      <c r="G2091" s="8">
        <f>IFERROR(VLOOKUP($B2091,'INSUMOS  JULIO'!$B$6:$CJ$109,67,0),"")</f>
        <v>5647.0229999999992</v>
      </c>
      <c r="H2091" s="19">
        <f t="shared" si="128"/>
        <v>0</v>
      </c>
      <c r="I2091" s="1">
        <f t="shared" si="129"/>
        <v>0</v>
      </c>
      <c r="J2091" s="1">
        <f t="shared" si="130"/>
        <v>0</v>
      </c>
      <c r="K2091" s="19">
        <f t="shared" si="131"/>
        <v>0</v>
      </c>
    </row>
    <row r="2092" spans="2:11" ht="15">
      <c r="B2092" s="151">
        <v>20</v>
      </c>
      <c r="C2092" s="7" t="s">
        <v>13</v>
      </c>
      <c r="D2092" s="4" t="s">
        <v>15</v>
      </c>
      <c r="E2092" t="s">
        <v>493</v>
      </c>
      <c r="F2092" s="12">
        <f>IFERROR(VLOOKUP(B2092,'INSUMOS  JULIO'!$B$6:$CJ$109,66,0),"")</f>
        <v>0</v>
      </c>
      <c r="G2092" s="8">
        <f>IFERROR(VLOOKUP($B2092,'INSUMOS  JULIO'!$B$6:$CJ$109,67,0),"")</f>
        <v>0</v>
      </c>
      <c r="H2092" s="19">
        <f t="shared" si="128"/>
        <v>0</v>
      </c>
      <c r="I2092" s="1">
        <f t="shared" si="129"/>
        <v>0</v>
      </c>
      <c r="J2092" s="1">
        <f t="shared" si="130"/>
        <v>0</v>
      </c>
      <c r="K2092" s="19">
        <f t="shared" si="131"/>
        <v>0</v>
      </c>
    </row>
    <row r="2093" spans="2:11" ht="15">
      <c r="B2093" s="151">
        <v>21</v>
      </c>
      <c r="C2093" s="7" t="s">
        <v>16</v>
      </c>
      <c r="D2093" s="4" t="s">
        <v>17</v>
      </c>
      <c r="E2093" t="s">
        <v>493</v>
      </c>
      <c r="F2093" s="12">
        <f>IFERROR(VLOOKUP(B2093,'INSUMOS  JULIO'!$B$6:$CJ$109,66,0),"")</f>
        <v>0</v>
      </c>
      <c r="G2093" s="8">
        <f>IFERROR(VLOOKUP($B2093,'INSUMOS  JULIO'!$B$6:$CJ$109,67,0),"")</f>
        <v>5932.8950000000013</v>
      </c>
      <c r="H2093" s="19">
        <f t="shared" si="128"/>
        <v>0</v>
      </c>
      <c r="I2093" s="1">
        <f t="shared" si="129"/>
        <v>0</v>
      </c>
      <c r="J2093" s="1">
        <f t="shared" si="130"/>
        <v>0</v>
      </c>
      <c r="K2093" s="19">
        <f t="shared" si="131"/>
        <v>0</v>
      </c>
    </row>
    <row r="2094" spans="2:11" ht="15">
      <c r="B2094" s="151">
        <v>28</v>
      </c>
      <c r="C2094" s="7" t="s">
        <v>18</v>
      </c>
      <c r="D2094" s="4" t="s">
        <v>19</v>
      </c>
      <c r="E2094" t="s">
        <v>493</v>
      </c>
      <c r="F2094" s="12">
        <f>IFERROR(VLOOKUP(B2094,'INSUMOS  JULIO'!$B$6:$CJ$109,66,0),"")</f>
        <v>0</v>
      </c>
      <c r="G2094" s="8">
        <f>IFERROR(VLOOKUP($B2094,'INSUMOS  JULIO'!$B$6:$CJ$109,67,0),"")</f>
        <v>2764.13</v>
      </c>
      <c r="H2094" s="19">
        <f t="shared" si="128"/>
        <v>0</v>
      </c>
      <c r="I2094" s="1">
        <f t="shared" si="129"/>
        <v>0</v>
      </c>
      <c r="J2094" s="1">
        <f t="shared" si="130"/>
        <v>0</v>
      </c>
      <c r="K2094" s="19">
        <f t="shared" si="131"/>
        <v>0</v>
      </c>
    </row>
    <row r="2095" spans="2:11" ht="15">
      <c r="B2095" s="151">
        <v>29</v>
      </c>
      <c r="C2095" s="7" t="s">
        <v>20</v>
      </c>
      <c r="D2095" s="4" t="s">
        <v>21</v>
      </c>
      <c r="E2095" t="s">
        <v>493</v>
      </c>
      <c r="F2095" s="12" t="str">
        <f>IFERROR(VLOOKUP(B2095,'INSUMOS  JULIO'!$B$6:$CJ$109,66,0),"")</f>
        <v>0</v>
      </c>
      <c r="G2095" s="8">
        <f>IFERROR(VLOOKUP($B2095,'INSUMOS  JULIO'!$B$6:$CJ$109,67,0),"")</f>
        <v>4829.3450000000012</v>
      </c>
      <c r="H2095" s="19">
        <f t="shared" si="128"/>
        <v>0</v>
      </c>
      <c r="I2095" s="1">
        <f t="shared" si="129"/>
        <v>0</v>
      </c>
      <c r="J2095" s="1">
        <f t="shared" si="130"/>
        <v>0</v>
      </c>
      <c r="K2095" s="19">
        <f t="shared" si="131"/>
        <v>0</v>
      </c>
    </row>
    <row r="2096" spans="2:11" ht="15">
      <c r="B2096" s="151">
        <v>32</v>
      </c>
      <c r="C2096" s="7" t="s">
        <v>22</v>
      </c>
      <c r="D2096" s="4" t="s">
        <v>23</v>
      </c>
      <c r="E2096" t="s">
        <v>493</v>
      </c>
      <c r="F2096" s="12">
        <f>IFERROR(VLOOKUP(B2096,'INSUMOS  JULIO'!$B$6:$CJ$109,66,0),"")</f>
        <v>0</v>
      </c>
      <c r="G2096" s="8">
        <f>IFERROR(VLOOKUP($B2096,'INSUMOS  JULIO'!$B$6:$CJ$109,67,0),"")</f>
        <v>4115.7160000000003</v>
      </c>
      <c r="H2096" s="19">
        <f t="shared" si="128"/>
        <v>0</v>
      </c>
      <c r="I2096" s="1">
        <f t="shared" si="129"/>
        <v>0</v>
      </c>
      <c r="J2096" s="1">
        <f t="shared" si="130"/>
        <v>0</v>
      </c>
      <c r="K2096" s="19">
        <f t="shared" si="131"/>
        <v>0</v>
      </c>
    </row>
    <row r="2097" spans="2:11" ht="15">
      <c r="B2097" s="151">
        <v>38</v>
      </c>
      <c r="C2097" s="7" t="s">
        <v>6</v>
      </c>
      <c r="D2097" s="4" t="s">
        <v>24</v>
      </c>
      <c r="E2097" t="s">
        <v>493</v>
      </c>
      <c r="F2097" s="12" t="str">
        <f>IFERROR(VLOOKUP(B2097,'INSUMOS  JULIO'!$B$6:$CJ$109,66,0),"")</f>
        <v>0</v>
      </c>
      <c r="G2097" s="8">
        <f>IFERROR(VLOOKUP($B2097,'INSUMOS  JULIO'!$B$6:$CJ$109,67,0),"")</f>
        <v>11100.662</v>
      </c>
      <c r="H2097" s="19">
        <f t="shared" si="128"/>
        <v>0</v>
      </c>
      <c r="I2097" s="1">
        <f t="shared" si="129"/>
        <v>0</v>
      </c>
      <c r="J2097" s="1">
        <f t="shared" si="130"/>
        <v>0</v>
      </c>
      <c r="K2097" s="19">
        <f t="shared" si="131"/>
        <v>0</v>
      </c>
    </row>
    <row r="2098" spans="2:11" ht="15">
      <c r="B2098" s="151">
        <v>41</v>
      </c>
      <c r="C2098" s="7" t="s">
        <v>155</v>
      </c>
      <c r="D2098" s="4" t="s">
        <v>25</v>
      </c>
      <c r="E2098" t="s">
        <v>493</v>
      </c>
      <c r="F2098" s="12" t="str">
        <f>IFERROR(VLOOKUP(B2098,'INSUMOS  JULIO'!$B$6:$CJ$109,66,0),"")</f>
        <v>0</v>
      </c>
      <c r="G2098" s="8">
        <f>IFERROR(VLOOKUP($B2098,'INSUMOS  JULIO'!$B$6:$CJ$109,67,0),"")</f>
        <v>7034.3429999999989</v>
      </c>
      <c r="H2098" s="19">
        <f t="shared" si="128"/>
        <v>0</v>
      </c>
      <c r="I2098" s="1">
        <f t="shared" si="129"/>
        <v>0</v>
      </c>
      <c r="J2098" s="1">
        <f t="shared" si="130"/>
        <v>0</v>
      </c>
      <c r="K2098" s="19">
        <f t="shared" si="131"/>
        <v>0</v>
      </c>
    </row>
    <row r="2099" spans="2:11" ht="15">
      <c r="B2099" s="151">
        <v>44</v>
      </c>
      <c r="C2099" s="7" t="s">
        <v>16</v>
      </c>
      <c r="D2099" s="4" t="s">
        <v>26</v>
      </c>
      <c r="E2099" t="s">
        <v>493</v>
      </c>
      <c r="F2099" s="12">
        <f>IFERROR(VLOOKUP(B2099,'INSUMOS  JULIO'!$B$6:$CJ$109,66,0),"")</f>
        <v>0</v>
      </c>
      <c r="G2099" s="8">
        <f>IFERROR(VLOOKUP($B2099,'INSUMOS  JULIO'!$B$6:$CJ$109,67,0),"")</f>
        <v>2787.2520000000004</v>
      </c>
      <c r="H2099" s="19">
        <f t="shared" si="128"/>
        <v>0</v>
      </c>
      <c r="I2099" s="1">
        <f t="shared" si="129"/>
        <v>0</v>
      </c>
      <c r="J2099" s="1">
        <f t="shared" si="130"/>
        <v>0</v>
      </c>
      <c r="K2099" s="19">
        <f t="shared" si="131"/>
        <v>0</v>
      </c>
    </row>
    <row r="2100" spans="2:11" ht="15">
      <c r="B2100" s="151">
        <v>46</v>
      </c>
      <c r="C2100" s="7" t="s">
        <v>27</v>
      </c>
      <c r="D2100" s="4" t="s">
        <v>28</v>
      </c>
      <c r="E2100" t="s">
        <v>493</v>
      </c>
      <c r="F2100" s="12" t="str">
        <f>IFERROR(VLOOKUP(B2100,'INSUMOS  JULIO'!$B$6:$CJ$109,66,0),"")</f>
        <v>0</v>
      </c>
      <c r="G2100" s="8">
        <f>IFERROR(VLOOKUP($B2100,'INSUMOS  JULIO'!$B$6:$CJ$109,67,0),"")</f>
        <v>7739.5640000000021</v>
      </c>
      <c r="H2100" s="19">
        <f t="shared" si="128"/>
        <v>0</v>
      </c>
      <c r="I2100" s="1">
        <f t="shared" si="129"/>
        <v>0</v>
      </c>
      <c r="J2100" s="1">
        <f t="shared" si="130"/>
        <v>0</v>
      </c>
      <c r="K2100" s="19">
        <f t="shared" si="131"/>
        <v>0</v>
      </c>
    </row>
    <row r="2101" spans="2:11" ht="15">
      <c r="B2101" s="151">
        <v>50</v>
      </c>
      <c r="C2101" s="7" t="s">
        <v>13</v>
      </c>
      <c r="D2101" s="4" t="s">
        <v>29</v>
      </c>
      <c r="E2101" t="s">
        <v>493</v>
      </c>
      <c r="F2101" s="12">
        <f>IFERROR(VLOOKUP(B2101,'INSUMOS  JULIO'!$B$6:$CJ$109,66,0),"")</f>
        <v>0</v>
      </c>
      <c r="G2101" s="8">
        <f>IFERROR(VLOOKUP($B2101,'INSUMOS  JULIO'!$B$6:$CJ$109,67,0),"")</f>
        <v>38567.495999999999</v>
      </c>
      <c r="H2101" s="19">
        <f t="shared" si="128"/>
        <v>0</v>
      </c>
      <c r="I2101" s="1">
        <f t="shared" si="129"/>
        <v>0</v>
      </c>
      <c r="J2101" s="1">
        <f t="shared" si="130"/>
        <v>0</v>
      </c>
      <c r="K2101" s="19">
        <f t="shared" si="131"/>
        <v>0</v>
      </c>
    </row>
    <row r="2102" spans="2:11" ht="15">
      <c r="B2102" s="151">
        <v>51</v>
      </c>
      <c r="C2102" s="7" t="s">
        <v>13</v>
      </c>
      <c r="D2102" s="4" t="s">
        <v>30</v>
      </c>
      <c r="E2102" t="s">
        <v>493</v>
      </c>
      <c r="F2102" s="12" t="str">
        <f>IFERROR(VLOOKUP(B2102,'INSUMOS  JULIO'!$B$6:$CJ$109,66,0),"")</f>
        <v>0</v>
      </c>
      <c r="G2102" s="8">
        <f>IFERROR(VLOOKUP($B2102,'INSUMOS  JULIO'!$B$6:$CJ$109,67,0),"")</f>
        <v>7739.5640000000021</v>
      </c>
      <c r="H2102" s="19">
        <f t="shared" si="128"/>
        <v>0</v>
      </c>
      <c r="I2102" s="1">
        <f t="shared" si="129"/>
        <v>0</v>
      </c>
      <c r="J2102" s="1">
        <f t="shared" si="130"/>
        <v>0</v>
      </c>
      <c r="K2102" s="19">
        <f t="shared" si="131"/>
        <v>0</v>
      </c>
    </row>
    <row r="2103" spans="2:11" ht="15">
      <c r="B2103" s="151">
        <v>52</v>
      </c>
      <c r="C2103" s="7" t="s">
        <v>13</v>
      </c>
      <c r="D2103" s="4" t="s">
        <v>31</v>
      </c>
      <c r="E2103" t="s">
        <v>493</v>
      </c>
      <c r="F2103" s="12">
        <f>IFERROR(VLOOKUP(B2103,'INSUMOS  JULIO'!$B$6:$CJ$109,66,0),"")</f>
        <v>0</v>
      </c>
      <c r="G2103" s="8">
        <f>IFERROR(VLOOKUP($B2103,'INSUMOS  JULIO'!$B$6:$CJ$109,67,0),"")</f>
        <v>6412.1509999999998</v>
      </c>
      <c r="H2103" s="19">
        <f t="shared" si="128"/>
        <v>0</v>
      </c>
      <c r="I2103" s="1">
        <f t="shared" si="129"/>
        <v>0</v>
      </c>
      <c r="J2103" s="1">
        <f t="shared" si="130"/>
        <v>0</v>
      </c>
      <c r="K2103" s="19">
        <f t="shared" si="131"/>
        <v>0</v>
      </c>
    </row>
    <row r="2104" spans="2:11" ht="15">
      <c r="B2104" s="151">
        <v>54</v>
      </c>
      <c r="C2104" s="7" t="s">
        <v>13</v>
      </c>
      <c r="D2104" s="4" t="s">
        <v>32</v>
      </c>
      <c r="E2104" t="s">
        <v>493</v>
      </c>
      <c r="F2104" s="12">
        <f>IFERROR(VLOOKUP(B2104,'INSUMOS  JULIO'!$B$6:$CJ$109,66,0),"")</f>
        <v>0</v>
      </c>
      <c r="G2104" s="8">
        <f>IFERROR(VLOOKUP($B2104,'INSUMOS  JULIO'!$B$6:$CJ$109,67,0),"")</f>
        <v>5359.049</v>
      </c>
      <c r="H2104" s="19">
        <f t="shared" si="128"/>
        <v>0</v>
      </c>
      <c r="I2104" s="1">
        <f t="shared" si="129"/>
        <v>0</v>
      </c>
      <c r="J2104" s="1">
        <f t="shared" si="130"/>
        <v>0</v>
      </c>
      <c r="K2104" s="19">
        <f t="shared" si="131"/>
        <v>0</v>
      </c>
    </row>
    <row r="2105" spans="2:11" ht="15">
      <c r="B2105" s="151">
        <v>57</v>
      </c>
      <c r="C2105" s="7" t="s">
        <v>33</v>
      </c>
      <c r="D2105" s="4" t="s">
        <v>34</v>
      </c>
      <c r="E2105" t="s">
        <v>493</v>
      </c>
      <c r="F2105" s="12">
        <f>IFERROR(VLOOKUP(B2105,'INSUMOS  JULIO'!$B$6:$CJ$109,66,0),"")</f>
        <v>0</v>
      </c>
      <c r="G2105" s="8">
        <f>IFERROR(VLOOKUP($B2105,'INSUMOS  JULIO'!$B$6:$CJ$109,67,0),"")</f>
        <v>12823.251000000004</v>
      </c>
      <c r="H2105" s="19">
        <f t="shared" si="128"/>
        <v>0</v>
      </c>
      <c r="I2105" s="1">
        <f t="shared" si="129"/>
        <v>0</v>
      </c>
      <c r="J2105" s="1">
        <f t="shared" si="130"/>
        <v>0</v>
      </c>
      <c r="K2105" s="19">
        <f t="shared" si="131"/>
        <v>0</v>
      </c>
    </row>
    <row r="2106" spans="2:11" ht="15">
      <c r="B2106" s="151">
        <v>59</v>
      </c>
      <c r="C2106" s="7" t="s">
        <v>16</v>
      </c>
      <c r="D2106" s="4" t="s">
        <v>35</v>
      </c>
      <c r="E2106" t="s">
        <v>493</v>
      </c>
      <c r="F2106" s="12" t="str">
        <f>IFERROR(VLOOKUP(B2106,'INSUMOS  JULIO'!$B$6:$CJ$109,66,0),"")</f>
        <v>0</v>
      </c>
      <c r="G2106" s="8">
        <f>IFERROR(VLOOKUP($B2106,'INSUMOS  JULIO'!$B$6:$CJ$109,67,0),"")</f>
        <v>5528.260000000002</v>
      </c>
      <c r="H2106" s="19">
        <f t="shared" si="128"/>
        <v>0</v>
      </c>
      <c r="I2106" s="1">
        <f t="shared" si="129"/>
        <v>0</v>
      </c>
      <c r="J2106" s="1">
        <f t="shared" si="130"/>
        <v>0</v>
      </c>
      <c r="K2106" s="19">
        <f t="shared" si="131"/>
        <v>0</v>
      </c>
    </row>
    <row r="2107" spans="2:11" ht="15">
      <c r="B2107" s="151">
        <v>62</v>
      </c>
      <c r="C2107" s="7" t="s">
        <v>36</v>
      </c>
      <c r="D2107" s="4" t="s">
        <v>37</v>
      </c>
      <c r="E2107" t="s">
        <v>493</v>
      </c>
      <c r="F2107" s="12">
        <f>IFERROR(VLOOKUP(B2107,'INSUMOS  JULIO'!$B$6:$CJ$109,66,0),"")</f>
        <v>0</v>
      </c>
      <c r="G2107" s="8">
        <f>IFERROR(VLOOKUP($B2107,'INSUMOS  JULIO'!$B$6:$CJ$109,67,0),"")</f>
        <v>10100.3202</v>
      </c>
      <c r="H2107" s="19">
        <f t="shared" si="128"/>
        <v>0</v>
      </c>
      <c r="I2107" s="1">
        <f t="shared" si="129"/>
        <v>0</v>
      </c>
      <c r="J2107" s="1">
        <f t="shared" si="130"/>
        <v>0</v>
      </c>
      <c r="K2107" s="19">
        <f t="shared" si="131"/>
        <v>0</v>
      </c>
    </row>
    <row r="2108" spans="2:11" ht="15">
      <c r="B2108" s="151">
        <v>63</v>
      </c>
      <c r="C2108" s="7" t="s">
        <v>36</v>
      </c>
      <c r="D2108" s="4" t="s">
        <v>38</v>
      </c>
      <c r="E2108" t="s">
        <v>493</v>
      </c>
      <c r="F2108" s="12">
        <f>IFERROR(VLOOKUP(B2108,'INSUMOS  JULIO'!$B$6:$CJ$109,66,0),"")</f>
        <v>10</v>
      </c>
      <c r="G2108" s="8">
        <f>IFERROR(VLOOKUP($B2108,'INSUMOS  JULIO'!$B$6:$CJ$109,67,0),"")</f>
        <v>11443.4982</v>
      </c>
      <c r="H2108" s="19">
        <f t="shared" si="128"/>
        <v>114434.982</v>
      </c>
      <c r="I2108" s="1">
        <f t="shared" si="129"/>
        <v>11443.498200000002</v>
      </c>
      <c r="J2108" s="1">
        <f t="shared" si="130"/>
        <v>2174.2646580000005</v>
      </c>
      <c r="K2108" s="19">
        <f t="shared" si="131"/>
        <v>128052.74485800001</v>
      </c>
    </row>
    <row r="2109" spans="2:11" ht="15">
      <c r="B2109" s="151">
        <v>64</v>
      </c>
      <c r="C2109" s="7" t="s">
        <v>39</v>
      </c>
      <c r="D2109" s="4" t="s">
        <v>40</v>
      </c>
      <c r="E2109" t="s">
        <v>493</v>
      </c>
      <c r="F2109" s="12">
        <f>IFERROR(VLOOKUP(B2109,'INSUMOS  JULIO'!$B$6:$CJ$109,66,0),"")</f>
        <v>0</v>
      </c>
      <c r="G2109" s="8">
        <f>IFERROR(VLOOKUP($B2109,'INSUMOS  JULIO'!$B$6:$CJ$109,67,0),"")</f>
        <v>13820.650000000001</v>
      </c>
      <c r="H2109" s="19">
        <f t="shared" si="128"/>
        <v>0</v>
      </c>
      <c r="I2109" s="1">
        <f t="shared" si="129"/>
        <v>0</v>
      </c>
      <c r="J2109" s="1">
        <f t="shared" si="130"/>
        <v>0</v>
      </c>
      <c r="K2109" s="19">
        <f t="shared" si="131"/>
        <v>0</v>
      </c>
    </row>
    <row r="2110" spans="2:11" ht="15">
      <c r="B2110" s="151">
        <v>65</v>
      </c>
      <c r="C2110" s="7" t="s">
        <v>39</v>
      </c>
      <c r="D2110" s="4" t="s">
        <v>41</v>
      </c>
      <c r="E2110" t="s">
        <v>493</v>
      </c>
      <c r="F2110" s="12">
        <f>IFERROR(VLOOKUP(B2110,'INSUMOS  JULIO'!$B$6:$CJ$109,66,0),"")</f>
        <v>0</v>
      </c>
      <c r="G2110" s="8">
        <f>IFERROR(VLOOKUP($B2110,'INSUMOS  JULIO'!$B$6:$CJ$109,67,0),"")</f>
        <v>13820.650000000001</v>
      </c>
      <c r="H2110" s="19">
        <f t="shared" si="128"/>
        <v>0</v>
      </c>
      <c r="I2110" s="1">
        <f t="shared" si="129"/>
        <v>0</v>
      </c>
      <c r="J2110" s="1">
        <f t="shared" si="130"/>
        <v>0</v>
      </c>
      <c r="K2110" s="19">
        <f t="shared" si="131"/>
        <v>0</v>
      </c>
    </row>
    <row r="2111" spans="2:11" ht="15">
      <c r="B2111" s="151">
        <v>66</v>
      </c>
      <c r="C2111" s="7" t="s">
        <v>151</v>
      </c>
      <c r="D2111" s="4" t="s">
        <v>42</v>
      </c>
      <c r="E2111" t="s">
        <v>493</v>
      </c>
      <c r="F2111" s="12">
        <f>IFERROR(VLOOKUP(B2111,'INSUMOS  JULIO'!$B$6:$CJ$109,66,0),"")</f>
        <v>0</v>
      </c>
      <c r="G2111" s="8">
        <f>IFERROR(VLOOKUP($B2111,'INSUMOS  JULIO'!$B$6:$CJ$109,67,0),"")</f>
        <v>2887.0970000000002</v>
      </c>
      <c r="H2111" s="19">
        <f t="shared" si="128"/>
        <v>0</v>
      </c>
      <c r="I2111" s="1">
        <f t="shared" si="129"/>
        <v>0</v>
      </c>
      <c r="J2111" s="1">
        <f t="shared" si="130"/>
        <v>0</v>
      </c>
      <c r="K2111" s="19">
        <f t="shared" si="131"/>
        <v>0</v>
      </c>
    </row>
    <row r="2112" spans="2:11" ht="15">
      <c r="B2112" s="151">
        <v>71</v>
      </c>
      <c r="C2112" s="7" t="s">
        <v>151</v>
      </c>
      <c r="D2112" s="4" t="s">
        <v>43</v>
      </c>
      <c r="E2112" t="s">
        <v>493</v>
      </c>
      <c r="F2112" s="12" t="str">
        <f>IFERROR(VLOOKUP(B2112,'INSUMOS  JULIO'!$B$6:$CJ$109,66,0),"")</f>
        <v>0</v>
      </c>
      <c r="G2112" s="8">
        <f>IFERROR(VLOOKUP($B2112,'INSUMOS  JULIO'!$B$6:$CJ$109,67,0),"")</f>
        <v>5196.1440000000002</v>
      </c>
      <c r="H2112" s="19">
        <f t="shared" si="128"/>
        <v>0</v>
      </c>
      <c r="I2112" s="1">
        <f t="shared" si="129"/>
        <v>0</v>
      </c>
      <c r="J2112" s="1">
        <f t="shared" si="130"/>
        <v>0</v>
      </c>
      <c r="K2112" s="19">
        <f t="shared" si="131"/>
        <v>0</v>
      </c>
    </row>
    <row r="2113" spans="2:11" ht="15">
      <c r="B2113" s="151">
        <v>72</v>
      </c>
      <c r="C2113" s="7" t="s">
        <v>151</v>
      </c>
      <c r="D2113" s="4" t="s">
        <v>44</v>
      </c>
      <c r="E2113" t="s">
        <v>493</v>
      </c>
      <c r="F2113" s="12">
        <f>IFERROR(VLOOKUP(B2113,'INSUMOS  JULIO'!$B$6:$CJ$109,66,0),"")</f>
        <v>0</v>
      </c>
      <c r="G2113" s="8">
        <f>IFERROR(VLOOKUP($B2113,'INSUMOS  JULIO'!$B$6:$CJ$109,67,0),"")</f>
        <v>5196.1440000000002</v>
      </c>
      <c r="H2113" s="19">
        <f t="shared" si="128"/>
        <v>0</v>
      </c>
      <c r="I2113" s="1">
        <f t="shared" si="129"/>
        <v>0</v>
      </c>
      <c r="J2113" s="1">
        <f t="shared" si="130"/>
        <v>0</v>
      </c>
      <c r="K2113" s="19">
        <f t="shared" si="131"/>
        <v>0</v>
      </c>
    </row>
    <row r="2114" spans="2:11" ht="27">
      <c r="B2114" s="151">
        <v>73</v>
      </c>
      <c r="C2114" s="7" t="s">
        <v>151</v>
      </c>
      <c r="D2114" s="4" t="s">
        <v>45</v>
      </c>
      <c r="E2114" t="s">
        <v>493</v>
      </c>
      <c r="F2114" s="12">
        <f>IFERROR(VLOOKUP(B2114,'INSUMOS  JULIO'!$B$6:$CJ$109,66,0),"")</f>
        <v>0</v>
      </c>
      <c r="G2114" s="8">
        <f>IFERROR(VLOOKUP($B2114,'INSUMOS  JULIO'!$B$6:$CJ$109,67,0),"")</f>
        <v>4975.4340000000011</v>
      </c>
      <c r="H2114" s="19">
        <f t="shared" si="128"/>
        <v>0</v>
      </c>
      <c r="I2114" s="1">
        <f t="shared" si="129"/>
        <v>0</v>
      </c>
      <c r="J2114" s="1">
        <f t="shared" si="130"/>
        <v>0</v>
      </c>
      <c r="K2114" s="19">
        <f t="shared" si="131"/>
        <v>0</v>
      </c>
    </row>
    <row r="2115" spans="2:11" ht="15">
      <c r="B2115" s="151">
        <v>74</v>
      </c>
      <c r="C2115" s="7" t="s">
        <v>46</v>
      </c>
      <c r="D2115" s="4" t="s">
        <v>47</v>
      </c>
      <c r="E2115" t="s">
        <v>493</v>
      </c>
      <c r="F2115" s="12">
        <f>IFERROR(VLOOKUP(B2115,'INSUMOS  JULIO'!$B$6:$CJ$109,66,0),"")</f>
        <v>0</v>
      </c>
      <c r="G2115" s="8">
        <f>IFERROR(VLOOKUP($B2115,'INSUMOS  JULIO'!$B$6:$CJ$109,67,0),"")</f>
        <v>3261.2529999999997</v>
      </c>
      <c r="H2115" s="19">
        <f t="shared" si="128"/>
        <v>0</v>
      </c>
      <c r="I2115" s="1">
        <f t="shared" si="129"/>
        <v>0</v>
      </c>
      <c r="J2115" s="1">
        <f t="shared" si="130"/>
        <v>0</v>
      </c>
      <c r="K2115" s="19">
        <f t="shared" si="131"/>
        <v>0</v>
      </c>
    </row>
    <row r="2116" spans="2:11" ht="15">
      <c r="B2116" s="151">
        <v>79</v>
      </c>
      <c r="C2116" s="7" t="s">
        <v>159</v>
      </c>
      <c r="D2116" s="4" t="s">
        <v>48</v>
      </c>
      <c r="E2116" t="s">
        <v>493</v>
      </c>
      <c r="F2116" s="12">
        <f>IFERROR(VLOOKUP(B2116,'INSUMOS  JULIO'!$B$6:$CJ$109,66,0),"")</f>
        <v>0</v>
      </c>
      <c r="G2116" s="8">
        <f>IFERROR(VLOOKUP($B2116,'INSUMOS  JULIO'!$B$6:$CJ$109,67,0),"")</f>
        <v>541.2650000000001</v>
      </c>
      <c r="H2116" s="19">
        <f t="shared" si="128"/>
        <v>0</v>
      </c>
      <c r="I2116" s="1">
        <f t="shared" si="129"/>
        <v>0</v>
      </c>
      <c r="J2116" s="1">
        <f t="shared" si="130"/>
        <v>0</v>
      </c>
      <c r="K2116" s="19">
        <f t="shared" si="131"/>
        <v>0</v>
      </c>
    </row>
    <row r="2117" spans="2:11" ht="15">
      <c r="B2117" s="151">
        <v>80</v>
      </c>
      <c r="C2117" s="7" t="s">
        <v>159</v>
      </c>
      <c r="D2117" s="4" t="s">
        <v>49</v>
      </c>
      <c r="E2117" t="s">
        <v>493</v>
      </c>
      <c r="F2117" s="12">
        <f>IFERROR(VLOOKUP(B2117,'INSUMOS  JULIO'!$B$6:$CJ$109,66,0),"")</f>
        <v>0</v>
      </c>
      <c r="G2117" s="8">
        <f>IFERROR(VLOOKUP($B2117,'INSUMOS  JULIO'!$B$6:$CJ$109,67,0),"")</f>
        <v>433.01199999999994</v>
      </c>
      <c r="H2117" s="19">
        <f t="shared" si="128"/>
        <v>0</v>
      </c>
      <c r="I2117" s="1">
        <f t="shared" si="129"/>
        <v>0</v>
      </c>
      <c r="J2117" s="1">
        <f t="shared" si="130"/>
        <v>0</v>
      </c>
      <c r="K2117" s="19">
        <f t="shared" si="131"/>
        <v>0</v>
      </c>
    </row>
    <row r="2118" spans="2:11" ht="15">
      <c r="B2118" s="151">
        <v>81</v>
      </c>
      <c r="C2118" s="7" t="s">
        <v>159</v>
      </c>
      <c r="D2118" s="4" t="s">
        <v>50</v>
      </c>
      <c r="E2118" t="s">
        <v>493</v>
      </c>
      <c r="F2118" s="12">
        <f>IFERROR(VLOOKUP(B2118,'INSUMOS  JULIO'!$B$6:$CJ$109,66,0),"")</f>
        <v>0</v>
      </c>
      <c r="G2118" s="8">
        <f>IFERROR(VLOOKUP($B2118,'INSUMOS  JULIO'!$B$6:$CJ$109,67,0),"")</f>
        <v>211.251</v>
      </c>
      <c r="H2118" s="19">
        <f t="shared" ref="H2118:H2181" si="132">+F2118*G2118</f>
        <v>0</v>
      </c>
      <c r="I2118" s="1">
        <f t="shared" ref="I2118:I2181" si="133">+H2118*10%</f>
        <v>0</v>
      </c>
      <c r="J2118" s="1">
        <f t="shared" ref="J2118:J2181" si="134">+I2118*19%</f>
        <v>0</v>
      </c>
      <c r="K2118" s="19">
        <f t="shared" ref="K2118:K2181" si="135">SUM(H2118:J2118)</f>
        <v>0</v>
      </c>
    </row>
    <row r="2119" spans="2:11" ht="15">
      <c r="B2119" s="151">
        <v>82</v>
      </c>
      <c r="C2119" s="7" t="s">
        <v>159</v>
      </c>
      <c r="D2119" s="4" t="s">
        <v>51</v>
      </c>
      <c r="E2119" t="s">
        <v>493</v>
      </c>
      <c r="F2119" s="12" t="str">
        <f>IFERROR(VLOOKUP(B2119,'INSUMOS  JULIO'!$B$6:$CJ$109,66,0),"")</f>
        <v>0</v>
      </c>
      <c r="G2119" s="8">
        <f>IFERROR(VLOOKUP($B2119,'INSUMOS  JULIO'!$B$6:$CJ$109,67,0),"")</f>
        <v>1003.7049999999999</v>
      </c>
      <c r="H2119" s="19">
        <f t="shared" si="132"/>
        <v>0</v>
      </c>
      <c r="I2119" s="1">
        <f t="shared" si="133"/>
        <v>0</v>
      </c>
      <c r="J2119" s="1">
        <f t="shared" si="134"/>
        <v>0</v>
      </c>
      <c r="K2119" s="19">
        <f t="shared" si="135"/>
        <v>0</v>
      </c>
    </row>
    <row r="2120" spans="2:11" ht="15">
      <c r="B2120" s="151">
        <v>83</v>
      </c>
      <c r="C2120" s="7" t="s">
        <v>159</v>
      </c>
      <c r="D2120" s="4" t="s">
        <v>52</v>
      </c>
      <c r="E2120" t="s">
        <v>493</v>
      </c>
      <c r="F2120" s="12" t="str">
        <f>IFERROR(VLOOKUP(B2120,'INSUMOS  JULIO'!$B$6:$CJ$109,66,0),"")</f>
        <v>0</v>
      </c>
      <c r="G2120" s="8">
        <f>IFERROR(VLOOKUP($B2120,'INSUMOS  JULIO'!$B$6:$CJ$109,67,0),"")</f>
        <v>336.32</v>
      </c>
      <c r="H2120" s="19">
        <f t="shared" si="132"/>
        <v>0</v>
      </c>
      <c r="I2120" s="1">
        <f t="shared" si="133"/>
        <v>0</v>
      </c>
      <c r="J2120" s="1">
        <f t="shared" si="134"/>
        <v>0</v>
      </c>
      <c r="K2120" s="19">
        <f t="shared" si="135"/>
        <v>0</v>
      </c>
    </row>
    <row r="2121" spans="2:11" ht="15">
      <c r="B2121" s="151">
        <v>86</v>
      </c>
      <c r="C2121" s="7" t="s">
        <v>53</v>
      </c>
      <c r="D2121" s="4" t="s">
        <v>54</v>
      </c>
      <c r="E2121" t="s">
        <v>493</v>
      </c>
      <c r="F2121" s="12" t="str">
        <f>IFERROR(VLOOKUP(B2121,'INSUMOS  JULIO'!$B$6:$CJ$109,66,0),"")</f>
        <v>0</v>
      </c>
      <c r="G2121" s="8">
        <f>IFERROR(VLOOKUP($B2121,'INSUMOS  JULIO'!$B$6:$CJ$109,67,0),"")</f>
        <v>2792.5070000000005</v>
      </c>
      <c r="H2121" s="19">
        <f t="shared" si="132"/>
        <v>0</v>
      </c>
      <c r="I2121" s="1">
        <f t="shared" si="133"/>
        <v>0</v>
      </c>
      <c r="J2121" s="1">
        <f t="shared" si="134"/>
        <v>0</v>
      </c>
      <c r="K2121" s="19">
        <f t="shared" si="135"/>
        <v>0</v>
      </c>
    </row>
    <row r="2122" spans="2:11" ht="15">
      <c r="B2122" s="151">
        <v>87</v>
      </c>
      <c r="C2122" s="7" t="s">
        <v>53</v>
      </c>
      <c r="D2122" s="4" t="s">
        <v>55</v>
      </c>
      <c r="E2122" t="s">
        <v>493</v>
      </c>
      <c r="F2122" s="12" t="str">
        <f>IFERROR(VLOOKUP(B2122,'INSUMOS  JULIO'!$B$6:$CJ$109,66,0),"")</f>
        <v>0</v>
      </c>
      <c r="G2122" s="8">
        <f>IFERROR(VLOOKUP($B2122,'INSUMOS  JULIO'!$B$6:$CJ$109,67,0),"")</f>
        <v>0</v>
      </c>
      <c r="H2122" s="19">
        <f t="shared" si="132"/>
        <v>0</v>
      </c>
      <c r="I2122" s="1">
        <f t="shared" si="133"/>
        <v>0</v>
      </c>
      <c r="J2122" s="1">
        <f t="shared" si="134"/>
        <v>0</v>
      </c>
      <c r="K2122" s="19">
        <f t="shared" si="135"/>
        <v>0</v>
      </c>
    </row>
    <row r="2123" spans="2:11" ht="15">
      <c r="B2123" s="151">
        <v>88</v>
      </c>
      <c r="C2123" s="7" t="s">
        <v>53</v>
      </c>
      <c r="D2123" s="4" t="s">
        <v>56</v>
      </c>
      <c r="E2123" t="s">
        <v>493</v>
      </c>
      <c r="F2123" s="12">
        <f>IFERROR(VLOOKUP(B2123,'INSUMOS  JULIO'!$B$6:$CJ$109,66,0),"")</f>
        <v>0</v>
      </c>
      <c r="G2123" s="8">
        <f>IFERROR(VLOOKUP($B2123,'INSUMOS  JULIO'!$B$6:$CJ$109,67,0),"")</f>
        <v>2717.886</v>
      </c>
      <c r="H2123" s="19">
        <f t="shared" si="132"/>
        <v>0</v>
      </c>
      <c r="I2123" s="1">
        <f t="shared" si="133"/>
        <v>0</v>
      </c>
      <c r="J2123" s="1">
        <f t="shared" si="134"/>
        <v>0</v>
      </c>
      <c r="K2123" s="19">
        <f t="shared" si="135"/>
        <v>0</v>
      </c>
    </row>
    <row r="2124" spans="2:11" ht="15">
      <c r="B2124" s="151">
        <v>89</v>
      </c>
      <c r="C2124" s="7" t="s">
        <v>53</v>
      </c>
      <c r="D2124" s="4" t="s">
        <v>57</v>
      </c>
      <c r="E2124" t="s">
        <v>493</v>
      </c>
      <c r="F2124" s="12" t="str">
        <f>IFERROR(VLOOKUP(B2124,'INSUMOS  JULIO'!$B$6:$CJ$109,66,0),"")</f>
        <v>0</v>
      </c>
      <c r="G2124" s="8">
        <f>IFERROR(VLOOKUP($B2124,'INSUMOS  JULIO'!$B$6:$CJ$109,67,0),"")</f>
        <v>2650.6220000000003</v>
      </c>
      <c r="H2124" s="19">
        <f t="shared" si="132"/>
        <v>0</v>
      </c>
      <c r="I2124" s="1">
        <f t="shared" si="133"/>
        <v>0</v>
      </c>
      <c r="J2124" s="1">
        <f t="shared" si="134"/>
        <v>0</v>
      </c>
      <c r="K2124" s="19">
        <f t="shared" si="135"/>
        <v>0</v>
      </c>
    </row>
    <row r="2125" spans="2:11" ht="15">
      <c r="B2125" s="151">
        <v>91</v>
      </c>
      <c r="C2125" s="7" t="s">
        <v>160</v>
      </c>
      <c r="D2125" s="4" t="s">
        <v>58</v>
      </c>
      <c r="E2125" t="s">
        <v>493</v>
      </c>
      <c r="F2125" s="12" t="str">
        <f>IFERROR(VLOOKUP(B2125,'INSUMOS  JULIO'!$B$6:$CJ$109,66,0),"")</f>
        <v>0</v>
      </c>
      <c r="G2125" s="8">
        <f>IFERROR(VLOOKUP($B2125,'INSUMOS  JULIO'!$B$6:$CJ$109,67,0),"")</f>
        <v>4364.8029999999999</v>
      </c>
      <c r="H2125" s="19">
        <f t="shared" si="132"/>
        <v>0</v>
      </c>
      <c r="I2125" s="1">
        <f t="shared" si="133"/>
        <v>0</v>
      </c>
      <c r="J2125" s="1">
        <f t="shared" si="134"/>
        <v>0</v>
      </c>
      <c r="K2125" s="19">
        <f t="shared" si="135"/>
        <v>0</v>
      </c>
    </row>
    <row r="2126" spans="2:11" ht="15">
      <c r="B2126" s="151">
        <v>92</v>
      </c>
      <c r="C2126" s="7" t="s">
        <v>160</v>
      </c>
      <c r="D2126" s="4" t="s">
        <v>59</v>
      </c>
      <c r="E2126" t="s">
        <v>493</v>
      </c>
      <c r="F2126" s="12" t="str">
        <f>IFERROR(VLOOKUP(B2126,'INSUMOS  JULIO'!$B$6:$CJ$109,66,0),"")</f>
        <v>0</v>
      </c>
      <c r="G2126" s="8">
        <f>IFERROR(VLOOKUP($B2126,'INSUMOS  JULIO'!$B$6:$CJ$109,67,0),"")</f>
        <v>2380.5149999999999</v>
      </c>
      <c r="H2126" s="19">
        <f t="shared" si="132"/>
        <v>0</v>
      </c>
      <c r="I2126" s="1">
        <f t="shared" si="133"/>
        <v>0</v>
      </c>
      <c r="J2126" s="1">
        <f t="shared" si="134"/>
        <v>0</v>
      </c>
      <c r="K2126" s="19">
        <f t="shared" si="135"/>
        <v>0</v>
      </c>
    </row>
    <row r="2127" spans="2:11" ht="15">
      <c r="B2127" s="151">
        <v>94</v>
      </c>
      <c r="C2127" s="7" t="s">
        <v>60</v>
      </c>
      <c r="D2127" s="4" t="s">
        <v>61</v>
      </c>
      <c r="E2127" t="s">
        <v>493</v>
      </c>
      <c r="F2127" s="12" t="str">
        <f>IFERROR(VLOOKUP(B2127,'INSUMOS  JULIO'!$B$6:$CJ$109,66,0),"")</f>
        <v>0</v>
      </c>
      <c r="G2127" s="8">
        <f>IFERROR(VLOOKUP($B2127,'INSUMOS  JULIO'!$B$6:$CJ$109,67,0),"")</f>
        <v>3316.9560000000001</v>
      </c>
      <c r="H2127" s="19">
        <f t="shared" si="132"/>
        <v>0</v>
      </c>
      <c r="I2127" s="1">
        <f t="shared" si="133"/>
        <v>0</v>
      </c>
      <c r="J2127" s="1">
        <f t="shared" si="134"/>
        <v>0</v>
      </c>
      <c r="K2127" s="19">
        <f t="shared" si="135"/>
        <v>0</v>
      </c>
    </row>
    <row r="2128" spans="2:11" ht="15">
      <c r="B2128" s="151">
        <v>95</v>
      </c>
      <c r="C2128" s="7" t="s">
        <v>60</v>
      </c>
      <c r="D2128" s="4" t="s">
        <v>62</v>
      </c>
      <c r="E2128" t="s">
        <v>493</v>
      </c>
      <c r="F2128" s="12" t="str">
        <f>IFERROR(VLOOKUP(B2128,'INSUMOS  JULIO'!$B$6:$CJ$109,66,0),"")</f>
        <v>0</v>
      </c>
      <c r="G2128" s="8">
        <f>IFERROR(VLOOKUP($B2128,'INSUMOS  JULIO'!$B$6:$CJ$109,67,0),"")</f>
        <v>11056.52</v>
      </c>
      <c r="H2128" s="19">
        <f t="shared" si="132"/>
        <v>0</v>
      </c>
      <c r="I2128" s="1">
        <f t="shared" si="133"/>
        <v>0</v>
      </c>
      <c r="J2128" s="1">
        <f t="shared" si="134"/>
        <v>0</v>
      </c>
      <c r="K2128" s="19">
        <f t="shared" si="135"/>
        <v>0</v>
      </c>
    </row>
    <row r="2129" spans="2:11" ht="15">
      <c r="B2129" s="151">
        <v>98</v>
      </c>
      <c r="C2129" s="7" t="s">
        <v>151</v>
      </c>
      <c r="D2129" s="4" t="s">
        <v>63</v>
      </c>
      <c r="E2129" t="s">
        <v>493</v>
      </c>
      <c r="F2129" s="12">
        <f>IFERROR(VLOOKUP(B2129,'INSUMOS  JULIO'!$B$6:$CJ$109,66,0),"")</f>
        <v>0</v>
      </c>
      <c r="G2129" s="8">
        <f>IFERROR(VLOOKUP($B2129,'INSUMOS  JULIO'!$B$6:$CJ$109,67,0),"")</f>
        <v>6633.9120000000003</v>
      </c>
      <c r="H2129" s="19">
        <f t="shared" si="132"/>
        <v>0</v>
      </c>
      <c r="I2129" s="1">
        <f t="shared" si="133"/>
        <v>0</v>
      </c>
      <c r="J2129" s="1">
        <f t="shared" si="134"/>
        <v>0</v>
      </c>
      <c r="K2129" s="19">
        <f t="shared" si="135"/>
        <v>0</v>
      </c>
    </row>
    <row r="2130" spans="2:11" ht="15">
      <c r="B2130" s="151">
        <v>100</v>
      </c>
      <c r="C2130" s="7" t="s">
        <v>160</v>
      </c>
      <c r="D2130" s="4" t="s">
        <v>64</v>
      </c>
      <c r="E2130" t="s">
        <v>493</v>
      </c>
      <c r="F2130" s="12" t="str">
        <f>IFERROR(VLOOKUP(B2130,'INSUMOS  JULIO'!$B$6:$CJ$109,66,0),"")</f>
        <v>0</v>
      </c>
      <c r="G2130" s="8">
        <f>IFERROR(VLOOKUP($B2130,'INSUMOS  JULIO'!$B$6:$CJ$109,67,0),"")</f>
        <v>4364.8029999999999</v>
      </c>
      <c r="H2130" s="19">
        <f t="shared" si="132"/>
        <v>0</v>
      </c>
      <c r="I2130" s="1">
        <f t="shared" si="133"/>
        <v>0</v>
      </c>
      <c r="J2130" s="1">
        <f t="shared" si="134"/>
        <v>0</v>
      </c>
      <c r="K2130" s="19">
        <f t="shared" si="135"/>
        <v>0</v>
      </c>
    </row>
    <row r="2131" spans="2:11" ht="15">
      <c r="B2131" s="151">
        <v>102</v>
      </c>
      <c r="C2131" s="7" t="s">
        <v>60</v>
      </c>
      <c r="D2131" s="4" t="s">
        <v>65</v>
      </c>
      <c r="E2131" t="s">
        <v>493</v>
      </c>
      <c r="F2131" s="12" t="str">
        <f>IFERROR(VLOOKUP(B2131,'INSUMOS  JULIO'!$B$6:$CJ$109,66,0),"")</f>
        <v>0</v>
      </c>
      <c r="G2131" s="8">
        <f>IFERROR(VLOOKUP($B2131,'INSUMOS  JULIO'!$B$6:$CJ$109,67,0),"")</f>
        <v>3811.9770000000003</v>
      </c>
      <c r="H2131" s="19">
        <f t="shared" si="132"/>
        <v>0</v>
      </c>
      <c r="I2131" s="1">
        <f t="shared" si="133"/>
        <v>0</v>
      </c>
      <c r="J2131" s="1">
        <f t="shared" si="134"/>
        <v>0</v>
      </c>
      <c r="K2131" s="19">
        <f t="shared" si="135"/>
        <v>0</v>
      </c>
    </row>
    <row r="2132" spans="2:11" ht="15">
      <c r="B2132" s="151">
        <v>103</v>
      </c>
      <c r="C2132" s="7" t="s">
        <v>66</v>
      </c>
      <c r="D2132" s="4" t="s">
        <v>67</v>
      </c>
      <c r="E2132" t="s">
        <v>493</v>
      </c>
      <c r="F2132" s="12" t="str">
        <f>IFERROR(VLOOKUP(B2132,'INSUMOS  JULIO'!$B$6:$CJ$109,66,0),"")</f>
        <v>0</v>
      </c>
      <c r="G2132" s="8">
        <f>IFERROR(VLOOKUP($B2132,'INSUMOS  JULIO'!$B$6:$CJ$109,67,0),"")</f>
        <v>18022.547999999999</v>
      </c>
      <c r="H2132" s="19">
        <f t="shared" si="132"/>
        <v>0</v>
      </c>
      <c r="I2132" s="1">
        <f t="shared" si="133"/>
        <v>0</v>
      </c>
      <c r="J2132" s="1">
        <f t="shared" si="134"/>
        <v>0</v>
      </c>
      <c r="K2132" s="19">
        <f t="shared" si="135"/>
        <v>0</v>
      </c>
    </row>
    <row r="2133" spans="2:11" ht="15">
      <c r="B2133" s="151">
        <v>104</v>
      </c>
      <c r="C2133" s="7" t="s">
        <v>66</v>
      </c>
      <c r="D2133" s="4" t="s">
        <v>68</v>
      </c>
      <c r="E2133" t="s">
        <v>493</v>
      </c>
      <c r="F2133" s="12" t="str">
        <f>IFERROR(VLOOKUP(B2133,'INSUMOS  JULIO'!$B$6:$CJ$109,66,0),"")</f>
        <v>0</v>
      </c>
      <c r="G2133" s="8">
        <f>IFERROR(VLOOKUP($B2133,'INSUMOS  JULIO'!$B$6:$CJ$109,67,0),"")</f>
        <v>18022.547999999999</v>
      </c>
      <c r="H2133" s="19">
        <f t="shared" si="132"/>
        <v>0</v>
      </c>
      <c r="I2133" s="1">
        <f t="shared" si="133"/>
        <v>0</v>
      </c>
      <c r="J2133" s="1">
        <f t="shared" si="134"/>
        <v>0</v>
      </c>
      <c r="K2133" s="19">
        <f t="shared" si="135"/>
        <v>0</v>
      </c>
    </row>
    <row r="2134" spans="2:11" ht="15">
      <c r="B2134" s="151">
        <v>105</v>
      </c>
      <c r="C2134" s="7" t="s">
        <v>66</v>
      </c>
      <c r="D2134" s="4" t="s">
        <v>69</v>
      </c>
      <c r="E2134" t="s">
        <v>493</v>
      </c>
      <c r="F2134" s="12" t="str">
        <f>IFERROR(VLOOKUP(B2134,'INSUMOS  JULIO'!$B$6:$CJ$109,66,0),"")</f>
        <v>0</v>
      </c>
      <c r="G2134" s="8">
        <f>IFERROR(VLOOKUP($B2134,'INSUMOS  JULIO'!$B$6:$CJ$109,67,0),"")</f>
        <v>27641.3</v>
      </c>
      <c r="H2134" s="19">
        <f t="shared" si="132"/>
        <v>0</v>
      </c>
      <c r="I2134" s="1">
        <f t="shared" si="133"/>
        <v>0</v>
      </c>
      <c r="J2134" s="1">
        <f t="shared" si="134"/>
        <v>0</v>
      </c>
      <c r="K2134" s="19">
        <f t="shared" si="135"/>
        <v>0</v>
      </c>
    </row>
    <row r="2135" spans="2:11" ht="15">
      <c r="B2135" s="151">
        <v>106</v>
      </c>
      <c r="C2135" s="7" t="s">
        <v>66</v>
      </c>
      <c r="D2135" s="4" t="s">
        <v>70</v>
      </c>
      <c r="E2135" t="s">
        <v>493</v>
      </c>
      <c r="F2135" s="12" t="str">
        <f>IFERROR(VLOOKUP(B2135,'INSUMOS  JULIO'!$B$6:$CJ$109,66,0),"")</f>
        <v>0</v>
      </c>
      <c r="G2135" s="8">
        <f>IFERROR(VLOOKUP($B2135,'INSUMOS  JULIO'!$B$6:$CJ$109,67,0),"")</f>
        <v>0</v>
      </c>
      <c r="H2135" s="19">
        <f t="shared" si="132"/>
        <v>0</v>
      </c>
      <c r="I2135" s="1">
        <f t="shared" si="133"/>
        <v>0</v>
      </c>
      <c r="J2135" s="1">
        <f t="shared" si="134"/>
        <v>0</v>
      </c>
      <c r="K2135" s="19">
        <f t="shared" si="135"/>
        <v>0</v>
      </c>
    </row>
    <row r="2136" spans="2:11" ht="15">
      <c r="B2136" s="151">
        <v>108</v>
      </c>
      <c r="C2136" s="7" t="s">
        <v>66</v>
      </c>
      <c r="D2136" s="4" t="s">
        <v>71</v>
      </c>
      <c r="E2136" t="s">
        <v>493</v>
      </c>
      <c r="F2136" s="12" t="str">
        <f>IFERROR(VLOOKUP(B2136,'INSUMOS  JULIO'!$B$6:$CJ$109,66,0),"")</f>
        <v>0</v>
      </c>
      <c r="G2136" s="8">
        <f>IFERROR(VLOOKUP($B2136,'INSUMOS  JULIO'!$B$6:$CJ$109,67,0),"")</f>
        <v>38697.82</v>
      </c>
      <c r="H2136" s="19">
        <f t="shared" si="132"/>
        <v>0</v>
      </c>
      <c r="I2136" s="1">
        <f t="shared" si="133"/>
        <v>0</v>
      </c>
      <c r="J2136" s="1">
        <f t="shared" si="134"/>
        <v>0</v>
      </c>
      <c r="K2136" s="19">
        <f t="shared" si="135"/>
        <v>0</v>
      </c>
    </row>
    <row r="2137" spans="2:11" ht="15">
      <c r="B2137" s="151">
        <v>109</v>
      </c>
      <c r="C2137" s="7" t="s">
        <v>66</v>
      </c>
      <c r="D2137" s="4" t="s">
        <v>72</v>
      </c>
      <c r="E2137" t="s">
        <v>493</v>
      </c>
      <c r="F2137" s="12" t="str">
        <f>IFERROR(VLOOKUP(B2137,'INSUMOS  JULIO'!$B$6:$CJ$109,66,0),"")</f>
        <v>0</v>
      </c>
      <c r="G2137" s="8">
        <f>IFERROR(VLOOKUP($B2137,'INSUMOS  JULIO'!$B$6:$CJ$109,67,0),"")</f>
        <v>49754.340000000004</v>
      </c>
      <c r="H2137" s="19">
        <f t="shared" si="132"/>
        <v>0</v>
      </c>
      <c r="I2137" s="1">
        <f t="shared" si="133"/>
        <v>0</v>
      </c>
      <c r="J2137" s="1">
        <f t="shared" si="134"/>
        <v>0</v>
      </c>
      <c r="K2137" s="19">
        <f t="shared" si="135"/>
        <v>0</v>
      </c>
    </row>
    <row r="2138" spans="2:11" ht="15">
      <c r="B2138" s="151">
        <v>110</v>
      </c>
      <c r="C2138" s="7" t="s">
        <v>158</v>
      </c>
      <c r="D2138" s="4" t="s">
        <v>73</v>
      </c>
      <c r="E2138" t="s">
        <v>493</v>
      </c>
      <c r="F2138" s="12">
        <f>IFERROR(VLOOKUP(B2138,'INSUMOS  JULIO'!$B$6:$CJ$109,66,0),"")</f>
        <v>0</v>
      </c>
      <c r="G2138" s="8">
        <f>IFERROR(VLOOKUP($B2138,'INSUMOS  JULIO'!$B$6:$CJ$109,67,0),"")</f>
        <v>470.84799999999996</v>
      </c>
      <c r="H2138" s="19">
        <f t="shared" si="132"/>
        <v>0</v>
      </c>
      <c r="I2138" s="1">
        <f t="shared" si="133"/>
        <v>0</v>
      </c>
      <c r="J2138" s="1">
        <f t="shared" si="134"/>
        <v>0</v>
      </c>
      <c r="K2138" s="19">
        <f t="shared" si="135"/>
        <v>0</v>
      </c>
    </row>
    <row r="2139" spans="2:11" ht="15">
      <c r="B2139" s="151">
        <v>118</v>
      </c>
      <c r="C2139" s="7" t="s">
        <v>158</v>
      </c>
      <c r="D2139" s="4" t="s">
        <v>74</v>
      </c>
      <c r="E2139" t="s">
        <v>493</v>
      </c>
      <c r="F2139" s="12">
        <f>IFERROR(VLOOKUP(B2139,'INSUMOS  JULIO'!$B$6:$CJ$109,66,0),"")</f>
        <v>0</v>
      </c>
      <c r="G2139" s="8">
        <f>IFERROR(VLOOKUP($B2139,'INSUMOS  JULIO'!$B$6:$CJ$109,67,0),"")</f>
        <v>2455.136</v>
      </c>
      <c r="H2139" s="19">
        <f t="shared" si="132"/>
        <v>0</v>
      </c>
      <c r="I2139" s="1">
        <f t="shared" si="133"/>
        <v>0</v>
      </c>
      <c r="J2139" s="1">
        <f t="shared" si="134"/>
        <v>0</v>
      </c>
      <c r="K2139" s="19">
        <f t="shared" si="135"/>
        <v>0</v>
      </c>
    </row>
    <row r="2140" spans="2:11" ht="15">
      <c r="B2140" s="151">
        <v>119</v>
      </c>
      <c r="C2140" s="7" t="s">
        <v>158</v>
      </c>
      <c r="D2140" s="4" t="s">
        <v>75</v>
      </c>
      <c r="E2140" t="s">
        <v>493</v>
      </c>
      <c r="F2140" s="12" t="str">
        <f>IFERROR(VLOOKUP(B2140,'INSUMOS  JULIO'!$B$6:$CJ$109,66,0),"")</f>
        <v>0</v>
      </c>
      <c r="G2140" s="8">
        <f>IFERROR(VLOOKUP($B2140,'INSUMOS  JULIO'!$B$6:$CJ$109,67,0),"")</f>
        <v>2821.9350000000004</v>
      </c>
      <c r="H2140" s="19">
        <f t="shared" si="132"/>
        <v>0</v>
      </c>
      <c r="I2140" s="1">
        <f t="shared" si="133"/>
        <v>0</v>
      </c>
      <c r="J2140" s="1">
        <f t="shared" si="134"/>
        <v>0</v>
      </c>
      <c r="K2140" s="19">
        <f t="shared" si="135"/>
        <v>0</v>
      </c>
    </row>
    <row r="2141" spans="2:11" ht="15">
      <c r="B2141" s="151">
        <v>120</v>
      </c>
      <c r="C2141" s="7" t="s">
        <v>158</v>
      </c>
      <c r="D2141" s="4" t="s">
        <v>76</v>
      </c>
      <c r="E2141" t="s">
        <v>493</v>
      </c>
      <c r="F2141" s="12" t="str">
        <f>IFERROR(VLOOKUP(B2141,'INSUMOS  JULIO'!$B$6:$CJ$109,66,0),"")</f>
        <v>0</v>
      </c>
      <c r="G2141" s="8">
        <f>IFERROR(VLOOKUP($B2141,'INSUMOS  JULIO'!$B$6:$CJ$109,67,0),"")</f>
        <v>2821.9350000000004</v>
      </c>
      <c r="H2141" s="19">
        <f t="shared" si="132"/>
        <v>0</v>
      </c>
      <c r="I2141" s="1">
        <f t="shared" si="133"/>
        <v>0</v>
      </c>
      <c r="J2141" s="1">
        <f t="shared" si="134"/>
        <v>0</v>
      </c>
      <c r="K2141" s="19">
        <f t="shared" si="135"/>
        <v>0</v>
      </c>
    </row>
    <row r="2142" spans="2:11" ht="15">
      <c r="B2142" s="151">
        <v>122</v>
      </c>
      <c r="C2142" s="7" t="s">
        <v>158</v>
      </c>
      <c r="D2142" s="4" t="s">
        <v>77</v>
      </c>
      <c r="E2142" t="s">
        <v>493</v>
      </c>
      <c r="F2142" s="12" t="str">
        <f>IFERROR(VLOOKUP(B2142,'INSUMOS  JULIO'!$B$6:$CJ$109,66,0),"")</f>
        <v>0</v>
      </c>
      <c r="G2142" s="8">
        <f>IFERROR(VLOOKUP($B2142,'INSUMOS  JULIO'!$B$6:$CJ$109,67,0),"")</f>
        <v>5223.4699999999993</v>
      </c>
      <c r="H2142" s="19">
        <f t="shared" si="132"/>
        <v>0</v>
      </c>
      <c r="I2142" s="1">
        <f t="shared" si="133"/>
        <v>0</v>
      </c>
      <c r="J2142" s="1">
        <f t="shared" si="134"/>
        <v>0</v>
      </c>
      <c r="K2142" s="19">
        <f t="shared" si="135"/>
        <v>0</v>
      </c>
    </row>
    <row r="2143" spans="2:11" ht="15">
      <c r="B2143" s="151">
        <v>123</v>
      </c>
      <c r="C2143" s="7" t="s">
        <v>158</v>
      </c>
      <c r="D2143" s="4" t="s">
        <v>78</v>
      </c>
      <c r="E2143" t="s">
        <v>493</v>
      </c>
      <c r="F2143" s="12" t="str">
        <f>IFERROR(VLOOKUP(B2143,'INSUMOS  JULIO'!$B$6:$CJ$109,66,0),"")</f>
        <v>0</v>
      </c>
      <c r="G2143" s="8">
        <f>IFERROR(VLOOKUP($B2143,'INSUMOS  JULIO'!$B$6:$CJ$109,67,0),"")</f>
        <v>5765.7860000000001</v>
      </c>
      <c r="H2143" s="19">
        <f t="shared" si="132"/>
        <v>0</v>
      </c>
      <c r="I2143" s="1">
        <f t="shared" si="133"/>
        <v>0</v>
      </c>
      <c r="J2143" s="1">
        <f t="shared" si="134"/>
        <v>0</v>
      </c>
      <c r="K2143" s="19">
        <f t="shared" si="135"/>
        <v>0</v>
      </c>
    </row>
    <row r="2144" spans="2:11" ht="15">
      <c r="B2144" s="151">
        <v>124</v>
      </c>
      <c r="C2144" s="7" t="s">
        <v>158</v>
      </c>
      <c r="D2144" s="4" t="s">
        <v>79</v>
      </c>
      <c r="E2144" t="s">
        <v>493</v>
      </c>
      <c r="F2144" s="12" t="str">
        <f>IFERROR(VLOOKUP(B2144,'INSUMOS  JULIO'!$B$6:$CJ$109,66,0),"")</f>
        <v>0</v>
      </c>
      <c r="G2144" s="8">
        <f>IFERROR(VLOOKUP($B2144,'INSUMOS  JULIO'!$B$6:$CJ$109,67,0),"")</f>
        <v>5765.7860000000001</v>
      </c>
      <c r="H2144" s="19">
        <f t="shared" si="132"/>
        <v>0</v>
      </c>
      <c r="I2144" s="1">
        <f t="shared" si="133"/>
        <v>0</v>
      </c>
      <c r="J2144" s="1">
        <f t="shared" si="134"/>
        <v>0</v>
      </c>
      <c r="K2144" s="19">
        <f t="shared" si="135"/>
        <v>0</v>
      </c>
    </row>
    <row r="2145" spans="2:11" ht="15">
      <c r="B2145" s="151">
        <v>126</v>
      </c>
      <c r="C2145" s="7" t="s">
        <v>158</v>
      </c>
      <c r="D2145" s="4" t="s">
        <v>80</v>
      </c>
      <c r="E2145" t="s">
        <v>493</v>
      </c>
      <c r="F2145" s="12" t="str">
        <f>IFERROR(VLOOKUP(B2145,'INSUMOS  JULIO'!$B$6:$CJ$109,66,0),"")</f>
        <v>0</v>
      </c>
      <c r="G2145" s="8">
        <f>IFERROR(VLOOKUP($B2145,'INSUMOS  JULIO'!$B$6:$CJ$109,67,0),"")</f>
        <v>3316.9560000000001</v>
      </c>
      <c r="H2145" s="19">
        <f t="shared" si="132"/>
        <v>0</v>
      </c>
      <c r="I2145" s="1">
        <f t="shared" si="133"/>
        <v>0</v>
      </c>
      <c r="J2145" s="1">
        <f t="shared" si="134"/>
        <v>0</v>
      </c>
      <c r="K2145" s="19">
        <f t="shared" si="135"/>
        <v>0</v>
      </c>
    </row>
    <row r="2146" spans="2:11" ht="15">
      <c r="B2146" s="151">
        <v>127</v>
      </c>
      <c r="C2146" s="7" t="s">
        <v>158</v>
      </c>
      <c r="D2146" s="4" t="s">
        <v>81</v>
      </c>
      <c r="E2146" t="s">
        <v>493</v>
      </c>
      <c r="F2146" s="12" t="str">
        <f>IFERROR(VLOOKUP(B2146,'INSUMOS  JULIO'!$B$6:$CJ$109,66,0),"")</f>
        <v>0</v>
      </c>
      <c r="G2146" s="8">
        <f>IFERROR(VLOOKUP($B2146,'INSUMOS  JULIO'!$B$6:$CJ$109,67,0),"")</f>
        <v>3316.9560000000001</v>
      </c>
      <c r="H2146" s="19">
        <f t="shared" si="132"/>
        <v>0</v>
      </c>
      <c r="I2146" s="1">
        <f t="shared" si="133"/>
        <v>0</v>
      </c>
      <c r="J2146" s="1">
        <f t="shared" si="134"/>
        <v>0</v>
      </c>
      <c r="K2146" s="19">
        <f t="shared" si="135"/>
        <v>0</v>
      </c>
    </row>
    <row r="2147" spans="2:11" ht="15">
      <c r="B2147" s="151">
        <v>129</v>
      </c>
      <c r="C2147" s="7" t="s">
        <v>158</v>
      </c>
      <c r="D2147" s="4" t="s">
        <v>82</v>
      </c>
      <c r="E2147" t="s">
        <v>493</v>
      </c>
      <c r="F2147" s="12" t="str">
        <f>IFERROR(VLOOKUP(B2147,'INSUMOS  JULIO'!$B$6:$CJ$109,66,0),"")</f>
        <v>0</v>
      </c>
      <c r="G2147" s="8">
        <f>IFERROR(VLOOKUP($B2147,'INSUMOS  JULIO'!$B$6:$CJ$109,67,0),"")</f>
        <v>3787.8040000000001</v>
      </c>
      <c r="H2147" s="19">
        <f t="shared" si="132"/>
        <v>0</v>
      </c>
      <c r="I2147" s="1">
        <f t="shared" si="133"/>
        <v>0</v>
      </c>
      <c r="J2147" s="1">
        <f t="shared" si="134"/>
        <v>0</v>
      </c>
      <c r="K2147" s="19">
        <f t="shared" si="135"/>
        <v>0</v>
      </c>
    </row>
    <row r="2148" spans="2:11" ht="15">
      <c r="B2148" s="151">
        <v>131</v>
      </c>
      <c r="C2148" s="7" t="s">
        <v>158</v>
      </c>
      <c r="D2148" s="4" t="s">
        <v>83</v>
      </c>
      <c r="E2148" t="s">
        <v>493</v>
      </c>
      <c r="F2148" s="12" t="str">
        <f>IFERROR(VLOOKUP(B2148,'INSUMOS  JULIO'!$B$6:$CJ$109,66,0),"")</f>
        <v>0</v>
      </c>
      <c r="G2148" s="8">
        <f>IFERROR(VLOOKUP($B2148,'INSUMOS  JULIO'!$B$6:$CJ$109,67,0),"")</f>
        <v>0</v>
      </c>
      <c r="H2148" s="19">
        <f t="shared" si="132"/>
        <v>0</v>
      </c>
      <c r="I2148" s="1">
        <f t="shared" si="133"/>
        <v>0</v>
      </c>
      <c r="J2148" s="1">
        <f t="shared" si="134"/>
        <v>0</v>
      </c>
      <c r="K2148" s="19">
        <f t="shared" si="135"/>
        <v>0</v>
      </c>
    </row>
    <row r="2149" spans="2:11" ht="15">
      <c r="B2149" s="151">
        <v>132</v>
      </c>
      <c r="C2149" s="7" t="s">
        <v>158</v>
      </c>
      <c r="D2149" s="4" t="s">
        <v>84</v>
      </c>
      <c r="E2149" t="s">
        <v>493</v>
      </c>
      <c r="F2149" s="12" t="str">
        <f>IFERROR(VLOOKUP(B2149,'INSUMOS  JULIO'!$B$6:$CJ$109,66,0),"")</f>
        <v>0</v>
      </c>
      <c r="G2149" s="8">
        <f>IFERROR(VLOOKUP($B2149,'INSUMOS  JULIO'!$B$6:$CJ$109,67,0),"")</f>
        <v>0</v>
      </c>
      <c r="H2149" s="19">
        <f t="shared" si="132"/>
        <v>0</v>
      </c>
      <c r="I2149" s="1">
        <f t="shared" si="133"/>
        <v>0</v>
      </c>
      <c r="J2149" s="1">
        <f t="shared" si="134"/>
        <v>0</v>
      </c>
      <c r="K2149" s="19">
        <f t="shared" si="135"/>
        <v>0</v>
      </c>
    </row>
    <row r="2150" spans="2:11" ht="15">
      <c r="B2150" s="151">
        <v>134</v>
      </c>
      <c r="C2150" s="7" t="s">
        <v>158</v>
      </c>
      <c r="D2150" s="4" t="s">
        <v>85</v>
      </c>
      <c r="E2150" t="s">
        <v>493</v>
      </c>
      <c r="F2150" s="12" t="str">
        <f>IFERROR(VLOOKUP(B2150,'INSUMOS  JULIO'!$B$6:$CJ$109,66,0),"")</f>
        <v>0</v>
      </c>
      <c r="G2150" s="8">
        <f>IFERROR(VLOOKUP($B2150,'INSUMOS  JULIO'!$B$6:$CJ$109,67,0),"")</f>
        <v>0</v>
      </c>
      <c r="H2150" s="19">
        <f t="shared" si="132"/>
        <v>0</v>
      </c>
      <c r="I2150" s="1">
        <f t="shared" si="133"/>
        <v>0</v>
      </c>
      <c r="J2150" s="1">
        <f t="shared" si="134"/>
        <v>0</v>
      </c>
      <c r="K2150" s="19">
        <f t="shared" si="135"/>
        <v>0</v>
      </c>
    </row>
    <row r="2151" spans="2:11" ht="15">
      <c r="B2151" s="151">
        <v>135</v>
      </c>
      <c r="C2151" s="7" t="s">
        <v>152</v>
      </c>
      <c r="D2151" s="4" t="s">
        <v>86</v>
      </c>
      <c r="E2151" t="s">
        <v>493</v>
      </c>
      <c r="F2151" s="12">
        <f>IFERROR(VLOOKUP(B2151,'INSUMOS  JULIO'!$B$6:$CJ$109,66,0),"")</f>
        <v>0</v>
      </c>
      <c r="G2151" s="8">
        <f>IFERROR(VLOOKUP($B2151,'INSUMOS  JULIO'!$B$6:$CJ$109,67,0),"")</f>
        <v>6229.277</v>
      </c>
      <c r="H2151" s="19">
        <f t="shared" si="132"/>
        <v>0</v>
      </c>
      <c r="I2151" s="1">
        <f t="shared" si="133"/>
        <v>0</v>
      </c>
      <c r="J2151" s="1">
        <f t="shared" si="134"/>
        <v>0</v>
      </c>
      <c r="K2151" s="19">
        <f t="shared" si="135"/>
        <v>0</v>
      </c>
    </row>
    <row r="2152" spans="2:11" ht="15">
      <c r="B2152" s="151">
        <v>137</v>
      </c>
      <c r="C2152" s="7" t="s">
        <v>87</v>
      </c>
      <c r="D2152" s="4" t="s">
        <v>88</v>
      </c>
      <c r="E2152" t="s">
        <v>493</v>
      </c>
      <c r="F2152" s="12" t="str">
        <f>IFERROR(VLOOKUP(B2152,'INSUMOS  JULIO'!$B$6:$CJ$109,66,0),"")</f>
        <v>0</v>
      </c>
      <c r="G2152" s="8">
        <f>IFERROR(VLOOKUP($B2152,'INSUMOS  JULIO'!$B$6:$CJ$109,67,0),"")</f>
        <v>1245.4349999999999</v>
      </c>
      <c r="H2152" s="19">
        <f t="shared" si="132"/>
        <v>0</v>
      </c>
      <c r="I2152" s="1">
        <f t="shared" si="133"/>
        <v>0</v>
      </c>
      <c r="J2152" s="1">
        <f t="shared" si="134"/>
        <v>0</v>
      </c>
      <c r="K2152" s="19">
        <f t="shared" si="135"/>
        <v>0</v>
      </c>
    </row>
    <row r="2153" spans="2:11" ht="15">
      <c r="B2153" s="151">
        <v>139</v>
      </c>
      <c r="C2153" s="7" t="s">
        <v>87</v>
      </c>
      <c r="D2153" s="4" t="s">
        <v>89</v>
      </c>
      <c r="E2153" t="s">
        <v>493</v>
      </c>
      <c r="F2153" s="12">
        <f>IFERROR(VLOOKUP(B2153,'INSUMOS  JULIO'!$B$6:$CJ$109,66,0),"")</f>
        <v>0</v>
      </c>
      <c r="G2153" s="8">
        <f>IFERROR(VLOOKUP($B2153,'INSUMOS  JULIO'!$B$6:$CJ$109,67,0),"")</f>
        <v>25429.996000000003</v>
      </c>
      <c r="H2153" s="19">
        <f t="shared" si="132"/>
        <v>0</v>
      </c>
      <c r="I2153" s="1">
        <f t="shared" si="133"/>
        <v>0</v>
      </c>
      <c r="J2153" s="1">
        <f t="shared" si="134"/>
        <v>0</v>
      </c>
      <c r="K2153" s="19">
        <f t="shared" si="135"/>
        <v>0</v>
      </c>
    </row>
    <row r="2154" spans="2:11" ht="15">
      <c r="B2154" s="151">
        <v>151</v>
      </c>
      <c r="C2154" s="7" t="s">
        <v>90</v>
      </c>
      <c r="D2154" s="4" t="s">
        <v>91</v>
      </c>
      <c r="E2154" t="s">
        <v>493</v>
      </c>
      <c r="F2154" s="12">
        <f>IFERROR(VLOOKUP(B2154,'INSUMOS  JULIO'!$B$6:$CJ$109,66,0),"")</f>
        <v>30</v>
      </c>
      <c r="G2154" s="8">
        <f>IFERROR(VLOOKUP($B2154,'INSUMOS  JULIO'!$B$6:$CJ$109,67,0),"")</f>
        <v>4422.6080000000002</v>
      </c>
      <c r="H2154" s="19">
        <f t="shared" si="132"/>
        <v>132678.24</v>
      </c>
      <c r="I2154" s="1">
        <f t="shared" si="133"/>
        <v>13267.824000000001</v>
      </c>
      <c r="J2154" s="1">
        <f t="shared" si="134"/>
        <v>2520.8865599999999</v>
      </c>
      <c r="K2154" s="19">
        <f t="shared" si="135"/>
        <v>148466.95056</v>
      </c>
    </row>
    <row r="2155" spans="2:11" ht="15">
      <c r="B2155" s="151">
        <v>152</v>
      </c>
      <c r="C2155" s="7" t="s">
        <v>90</v>
      </c>
      <c r="D2155" s="4" t="s">
        <v>92</v>
      </c>
      <c r="E2155" t="s">
        <v>493</v>
      </c>
      <c r="F2155" s="12" t="str">
        <f>IFERROR(VLOOKUP(B2155,'INSUMOS  JULIO'!$B$6:$CJ$109,66,0),"")</f>
        <v>0</v>
      </c>
      <c r="G2155" s="8">
        <f>IFERROR(VLOOKUP($B2155,'INSUMOS  JULIO'!$B$6:$CJ$109,67,0),"")</f>
        <v>0</v>
      </c>
      <c r="H2155" s="19">
        <f t="shared" si="132"/>
        <v>0</v>
      </c>
      <c r="I2155" s="1">
        <f t="shared" si="133"/>
        <v>0</v>
      </c>
      <c r="J2155" s="1">
        <f t="shared" si="134"/>
        <v>0</v>
      </c>
      <c r="K2155" s="19">
        <f t="shared" si="135"/>
        <v>0</v>
      </c>
    </row>
    <row r="2156" spans="2:11" ht="15">
      <c r="B2156" s="151">
        <v>154</v>
      </c>
      <c r="C2156" s="7" t="s">
        <v>93</v>
      </c>
      <c r="D2156" s="4" t="s">
        <v>94</v>
      </c>
      <c r="E2156" t="s">
        <v>493</v>
      </c>
      <c r="F2156" s="12" t="str">
        <f>IFERROR(VLOOKUP(B2156,'INSUMOS  JULIO'!$B$6:$CJ$109,66,0),"")</f>
        <v>0</v>
      </c>
      <c r="G2156" s="8">
        <f>IFERROR(VLOOKUP($B2156,'INSUMOS  JULIO'!$B$6:$CJ$109,67,0),"")</f>
        <v>0</v>
      </c>
      <c r="H2156" s="19">
        <f t="shared" si="132"/>
        <v>0</v>
      </c>
      <c r="I2156" s="1">
        <f t="shared" si="133"/>
        <v>0</v>
      </c>
      <c r="J2156" s="1">
        <f t="shared" si="134"/>
        <v>0</v>
      </c>
      <c r="K2156" s="19">
        <f t="shared" si="135"/>
        <v>0</v>
      </c>
    </row>
    <row r="2157" spans="2:11" ht="15">
      <c r="B2157" s="151">
        <v>155</v>
      </c>
      <c r="C2157" s="7" t="s">
        <v>154</v>
      </c>
      <c r="D2157" s="4" t="s">
        <v>95</v>
      </c>
      <c r="E2157" t="s">
        <v>493</v>
      </c>
      <c r="F2157" s="12">
        <f>IFERROR(VLOOKUP(B2157,'INSUMOS  JULIO'!$B$6:$CJ$109,66,0),"")</f>
        <v>0</v>
      </c>
      <c r="G2157" s="8">
        <f>IFERROR(VLOOKUP($B2157,'INSUMOS  JULIO'!$B$6:$CJ$109,67,0),"")</f>
        <v>3703.7239999999997</v>
      </c>
      <c r="H2157" s="19">
        <f t="shared" si="132"/>
        <v>0</v>
      </c>
      <c r="I2157" s="1">
        <f t="shared" si="133"/>
        <v>0</v>
      </c>
      <c r="J2157" s="1">
        <f t="shared" si="134"/>
        <v>0</v>
      </c>
      <c r="K2157" s="19">
        <f t="shared" si="135"/>
        <v>0</v>
      </c>
    </row>
    <row r="2158" spans="2:11" ht="15">
      <c r="B2158" s="151">
        <v>156</v>
      </c>
      <c r="C2158" s="7" t="s">
        <v>154</v>
      </c>
      <c r="D2158" s="4" t="s">
        <v>96</v>
      </c>
      <c r="E2158" t="s">
        <v>493</v>
      </c>
      <c r="F2158" s="12" t="str">
        <f>IFERROR(VLOOKUP(B2158,'INSUMOS  JULIO'!$B$6:$CJ$109,66,0),"")</f>
        <v>0</v>
      </c>
      <c r="G2158" s="8">
        <f>IFERROR(VLOOKUP($B2158,'INSUMOS  JULIO'!$B$6:$CJ$109,67,0),"")</f>
        <v>4422.6080000000002</v>
      </c>
      <c r="H2158" s="19">
        <f t="shared" si="132"/>
        <v>0</v>
      </c>
      <c r="I2158" s="1">
        <f t="shared" si="133"/>
        <v>0</v>
      </c>
      <c r="J2158" s="1">
        <f t="shared" si="134"/>
        <v>0</v>
      </c>
      <c r="K2158" s="19">
        <f t="shared" si="135"/>
        <v>0</v>
      </c>
    </row>
    <row r="2159" spans="2:11" ht="15">
      <c r="B2159" s="151">
        <v>157</v>
      </c>
      <c r="C2159" s="7" t="s">
        <v>154</v>
      </c>
      <c r="D2159" s="4" t="s">
        <v>97</v>
      </c>
      <c r="E2159" t="s">
        <v>493</v>
      </c>
      <c r="F2159" s="12">
        <f>IFERROR(VLOOKUP(B2159,'INSUMOS  JULIO'!$B$6:$CJ$109,66,0),"")</f>
        <v>0</v>
      </c>
      <c r="G2159" s="8">
        <f>IFERROR(VLOOKUP($B2159,'INSUMOS  JULIO'!$B$6:$CJ$109,67,0),"")</f>
        <v>5970.7309999999998</v>
      </c>
      <c r="H2159" s="19">
        <f t="shared" si="132"/>
        <v>0</v>
      </c>
      <c r="I2159" s="1">
        <f t="shared" si="133"/>
        <v>0</v>
      </c>
      <c r="J2159" s="1">
        <f t="shared" si="134"/>
        <v>0</v>
      </c>
      <c r="K2159" s="19">
        <f t="shared" si="135"/>
        <v>0</v>
      </c>
    </row>
    <row r="2160" spans="2:11" ht="15">
      <c r="B2160" s="151">
        <v>159</v>
      </c>
      <c r="C2160" s="7" t="s">
        <v>152</v>
      </c>
      <c r="D2160" s="4" t="s">
        <v>98</v>
      </c>
      <c r="E2160" t="s">
        <v>493</v>
      </c>
      <c r="F2160" s="12" t="str">
        <f>IFERROR(VLOOKUP(B2160,'INSUMOS  JULIO'!$B$6:$CJ$109,66,0),"")</f>
        <v>0</v>
      </c>
      <c r="G2160" s="8">
        <f>IFERROR(VLOOKUP($B2160,'INSUMOS  JULIO'!$B$6:$CJ$109,67,0),"")</f>
        <v>0</v>
      </c>
      <c r="H2160" s="19">
        <f t="shared" si="132"/>
        <v>0</v>
      </c>
      <c r="I2160" s="1">
        <f t="shared" si="133"/>
        <v>0</v>
      </c>
      <c r="J2160" s="1">
        <f t="shared" si="134"/>
        <v>0</v>
      </c>
      <c r="K2160" s="19">
        <f t="shared" si="135"/>
        <v>0</v>
      </c>
    </row>
    <row r="2161" spans="2:11" ht="15">
      <c r="B2161" s="151">
        <v>160</v>
      </c>
      <c r="C2161" s="7" t="s">
        <v>153</v>
      </c>
      <c r="D2161" s="4" t="s">
        <v>99</v>
      </c>
      <c r="E2161" t="s">
        <v>493</v>
      </c>
      <c r="F2161" s="12" t="str">
        <f>IFERROR(VLOOKUP(B2161,'INSUMOS  JULIO'!$B$6:$CJ$109,66,0),"")</f>
        <v>0</v>
      </c>
      <c r="G2161" s="8">
        <f>IFERROR(VLOOKUP($B2161,'INSUMOS  JULIO'!$B$6:$CJ$109,67,0),"")</f>
        <v>2276.4660000000003</v>
      </c>
      <c r="H2161" s="19">
        <f t="shared" si="132"/>
        <v>0</v>
      </c>
      <c r="I2161" s="1">
        <f t="shared" si="133"/>
        <v>0</v>
      </c>
      <c r="J2161" s="1">
        <f t="shared" si="134"/>
        <v>0</v>
      </c>
      <c r="K2161" s="19">
        <f t="shared" si="135"/>
        <v>0</v>
      </c>
    </row>
    <row r="2162" spans="2:11" ht="15">
      <c r="B2162" s="151">
        <v>161</v>
      </c>
      <c r="C2162" s="7" t="s">
        <v>151</v>
      </c>
      <c r="D2162" s="4" t="s">
        <v>100</v>
      </c>
      <c r="E2162" t="s">
        <v>493</v>
      </c>
      <c r="F2162" s="12" t="str">
        <f>IFERROR(VLOOKUP(B2162,'INSUMOS  JULIO'!$B$6:$CJ$109,66,0),"")</f>
        <v>0</v>
      </c>
      <c r="G2162" s="8">
        <f>IFERROR(VLOOKUP($B2162,'INSUMOS  JULIO'!$B$6:$CJ$109,67,0),"")</f>
        <v>2236.5280000000002</v>
      </c>
      <c r="H2162" s="19">
        <f t="shared" si="132"/>
        <v>0</v>
      </c>
      <c r="I2162" s="1">
        <f t="shared" si="133"/>
        <v>0</v>
      </c>
      <c r="J2162" s="1">
        <f t="shared" si="134"/>
        <v>0</v>
      </c>
      <c r="K2162" s="19">
        <f t="shared" si="135"/>
        <v>0</v>
      </c>
    </row>
    <row r="2163" spans="2:11" ht="15">
      <c r="B2163" s="151">
        <v>162</v>
      </c>
      <c r="C2163" s="7" t="s">
        <v>66</v>
      </c>
      <c r="D2163" s="4" t="s">
        <v>101</v>
      </c>
      <c r="E2163" t="s">
        <v>493</v>
      </c>
      <c r="F2163" s="12">
        <f>IFERROR(VLOOKUP(B2163,'INSUMOS  JULIO'!$B$6:$CJ$109,66,0),"")</f>
        <v>0</v>
      </c>
      <c r="G2163" s="8">
        <f>IFERROR(VLOOKUP($B2163,'INSUMOS  JULIO'!$B$6:$CJ$109,67,0),"")</f>
        <v>2684.2539999999999</v>
      </c>
      <c r="H2163" s="19">
        <f t="shared" si="132"/>
        <v>0</v>
      </c>
      <c r="I2163" s="1">
        <f t="shared" si="133"/>
        <v>0</v>
      </c>
      <c r="J2163" s="1">
        <f t="shared" si="134"/>
        <v>0</v>
      </c>
      <c r="K2163" s="19">
        <f t="shared" si="135"/>
        <v>0</v>
      </c>
    </row>
    <row r="2164" spans="2:11" ht="15">
      <c r="B2164" s="151">
        <v>164</v>
      </c>
      <c r="C2164" s="7" t="s">
        <v>60</v>
      </c>
      <c r="D2164" s="4" t="s">
        <v>102</v>
      </c>
      <c r="E2164" t="s">
        <v>493</v>
      </c>
      <c r="F2164" s="12" t="str">
        <f>IFERROR(VLOOKUP(B2164,'INSUMOS  JULIO'!$B$6:$CJ$109,66,0),"")</f>
        <v>0</v>
      </c>
      <c r="G2164" s="8">
        <f>IFERROR(VLOOKUP($B2164,'INSUMOS  JULIO'!$B$6:$CJ$109,67,0),"")</f>
        <v>1658.4780000000001</v>
      </c>
      <c r="H2164" s="19">
        <f t="shared" si="132"/>
        <v>0</v>
      </c>
      <c r="I2164" s="1">
        <f t="shared" si="133"/>
        <v>0</v>
      </c>
      <c r="J2164" s="1">
        <f t="shared" si="134"/>
        <v>0</v>
      </c>
      <c r="K2164" s="19">
        <f t="shared" si="135"/>
        <v>0</v>
      </c>
    </row>
    <row r="2165" spans="2:11" ht="15">
      <c r="B2165" s="151">
        <v>169</v>
      </c>
      <c r="C2165" s="7" t="s">
        <v>103</v>
      </c>
      <c r="D2165" s="4" t="s">
        <v>104</v>
      </c>
      <c r="E2165" t="s">
        <v>493</v>
      </c>
      <c r="F2165" s="12" t="str">
        <f>IFERROR(VLOOKUP(B2165,'INSUMOS  JULIO'!$B$6:$CJ$109,66,0),"")</f>
        <v>0</v>
      </c>
      <c r="G2165" s="8">
        <f>IFERROR(VLOOKUP($B2165,'INSUMOS  JULIO'!$B$6:$CJ$109,67,0),"")</f>
        <v>85897.178999999989</v>
      </c>
      <c r="H2165" s="19">
        <f t="shared" si="132"/>
        <v>0</v>
      </c>
      <c r="I2165" s="1">
        <f t="shared" si="133"/>
        <v>0</v>
      </c>
      <c r="J2165" s="1">
        <f t="shared" si="134"/>
        <v>0</v>
      </c>
      <c r="K2165" s="19">
        <f t="shared" si="135"/>
        <v>0</v>
      </c>
    </row>
    <row r="2166" spans="2:11" ht="15">
      <c r="B2166" s="151">
        <v>170</v>
      </c>
      <c r="C2166" s="7" t="s">
        <v>105</v>
      </c>
      <c r="D2166" s="4" t="s">
        <v>106</v>
      </c>
      <c r="E2166" t="s">
        <v>493</v>
      </c>
      <c r="F2166" s="12">
        <f>IFERROR(VLOOKUP(B2166,'INSUMOS  JULIO'!$B$6:$CJ$109,66,0),"")</f>
        <v>0</v>
      </c>
      <c r="G2166" s="8">
        <f>IFERROR(VLOOKUP($B2166,'INSUMOS  JULIO'!$B$6:$CJ$109,67,0),"")</f>
        <v>19405.664000000001</v>
      </c>
      <c r="H2166" s="19">
        <f t="shared" si="132"/>
        <v>0</v>
      </c>
      <c r="I2166" s="1">
        <f t="shared" si="133"/>
        <v>0</v>
      </c>
      <c r="J2166" s="1">
        <f t="shared" si="134"/>
        <v>0</v>
      </c>
      <c r="K2166" s="19">
        <f t="shared" si="135"/>
        <v>0</v>
      </c>
    </row>
    <row r="2167" spans="2:11" ht="15">
      <c r="B2167" s="151">
        <v>173</v>
      </c>
      <c r="C2167" s="7" t="s">
        <v>105</v>
      </c>
      <c r="D2167" s="4" t="s">
        <v>107</v>
      </c>
      <c r="E2167" t="s">
        <v>493</v>
      </c>
      <c r="F2167" s="12" t="str">
        <f>IFERROR(VLOOKUP(B2167,'INSUMOS  JULIO'!$B$6:$CJ$109,66,0),"")</f>
        <v>0</v>
      </c>
      <c r="G2167" s="8">
        <f>IFERROR(VLOOKUP($B2167,'INSUMOS  JULIO'!$B$6:$CJ$109,67,0),"")</f>
        <v>0</v>
      </c>
      <c r="H2167" s="19">
        <f t="shared" si="132"/>
        <v>0</v>
      </c>
      <c r="I2167" s="1">
        <f t="shared" si="133"/>
        <v>0</v>
      </c>
      <c r="J2167" s="1">
        <f t="shared" si="134"/>
        <v>0</v>
      </c>
      <c r="K2167" s="19">
        <f t="shared" si="135"/>
        <v>0</v>
      </c>
    </row>
    <row r="2168" spans="2:11" ht="15">
      <c r="B2168" s="151">
        <v>174</v>
      </c>
      <c r="C2168" s="7" t="s">
        <v>108</v>
      </c>
      <c r="D2168" s="4" t="s">
        <v>109</v>
      </c>
      <c r="E2168" t="s">
        <v>493</v>
      </c>
      <c r="F2168" s="12" t="str">
        <f>IFERROR(VLOOKUP(B2168,'INSUMOS  JULIO'!$B$6:$CJ$109,66,0),"")</f>
        <v>0</v>
      </c>
      <c r="G2168" s="8">
        <f>IFERROR(VLOOKUP($B2168,'INSUMOS  JULIO'!$B$6:$CJ$109,67,0),"")</f>
        <v>6081.0860000000002</v>
      </c>
      <c r="H2168" s="19">
        <f t="shared" si="132"/>
        <v>0</v>
      </c>
      <c r="I2168" s="1">
        <f t="shared" si="133"/>
        <v>0</v>
      </c>
      <c r="J2168" s="1">
        <f t="shared" si="134"/>
        <v>0</v>
      </c>
      <c r="K2168" s="19">
        <f t="shared" si="135"/>
        <v>0</v>
      </c>
    </row>
    <row r="2169" spans="2:11" ht="15">
      <c r="B2169" s="151">
        <v>176</v>
      </c>
      <c r="C2169" s="7" t="s">
        <v>108</v>
      </c>
      <c r="D2169" s="4" t="s">
        <v>110</v>
      </c>
      <c r="E2169" t="s">
        <v>493</v>
      </c>
      <c r="F2169" s="12" t="str">
        <f>IFERROR(VLOOKUP(B2169,'INSUMOS  JULIO'!$B$6:$CJ$109,66,0),"")</f>
        <v>0</v>
      </c>
      <c r="G2169" s="8">
        <f>IFERROR(VLOOKUP($B2169,'INSUMOS  JULIO'!$B$6:$CJ$109,67,0),"")</f>
        <v>2749.4160000000002</v>
      </c>
      <c r="H2169" s="19">
        <f t="shared" si="132"/>
        <v>0</v>
      </c>
      <c r="I2169" s="1">
        <f t="shared" si="133"/>
        <v>0</v>
      </c>
      <c r="J2169" s="1">
        <f t="shared" si="134"/>
        <v>0</v>
      </c>
      <c r="K2169" s="19">
        <f t="shared" si="135"/>
        <v>0</v>
      </c>
    </row>
    <row r="2170" spans="2:11" ht="15">
      <c r="B2170" s="151">
        <v>192</v>
      </c>
      <c r="C2170" s="7" t="s">
        <v>149</v>
      </c>
      <c r="D2170" s="4" t="s">
        <v>111</v>
      </c>
      <c r="E2170" t="s">
        <v>493</v>
      </c>
      <c r="F2170" s="12">
        <f>IFERROR(VLOOKUP(B2170,'INSUMOS  JULIO'!$B$6:$CJ$109,66,0),"")</f>
        <v>20</v>
      </c>
      <c r="G2170" s="8">
        <f>IFERROR(VLOOKUP($B2170,'INSUMOS  JULIO'!$B$6:$CJ$109,67,0),"")</f>
        <v>3930.7400000000002</v>
      </c>
      <c r="H2170" s="19">
        <f t="shared" si="132"/>
        <v>78614.8</v>
      </c>
      <c r="I2170" s="1">
        <f t="shared" si="133"/>
        <v>7861.4800000000005</v>
      </c>
      <c r="J2170" s="1">
        <f t="shared" si="134"/>
        <v>1493.6812000000002</v>
      </c>
      <c r="K2170" s="19">
        <f t="shared" si="135"/>
        <v>87969.961200000005</v>
      </c>
    </row>
    <row r="2171" spans="2:11" ht="15">
      <c r="B2171" s="151">
        <v>195</v>
      </c>
      <c r="C2171" s="7" t="s">
        <v>149</v>
      </c>
      <c r="D2171" s="4" t="s">
        <v>112</v>
      </c>
      <c r="E2171" t="s">
        <v>493</v>
      </c>
      <c r="F2171" s="12">
        <f>IFERROR(VLOOKUP(B2171,'INSUMOS  JULIO'!$B$6:$CJ$109,66,0),"")</f>
        <v>20</v>
      </c>
      <c r="G2171" s="8">
        <f>IFERROR(VLOOKUP($B2171,'INSUMOS  JULIO'!$B$6:$CJ$109,67,0),"")</f>
        <v>6431.0690000000004</v>
      </c>
      <c r="H2171" s="19">
        <f t="shared" si="132"/>
        <v>128621.38</v>
      </c>
      <c r="I2171" s="1">
        <f t="shared" si="133"/>
        <v>12862.138000000001</v>
      </c>
      <c r="J2171" s="1">
        <f t="shared" si="134"/>
        <v>2443.8062200000004</v>
      </c>
      <c r="K2171" s="19">
        <f t="shared" si="135"/>
        <v>143927.32422000001</v>
      </c>
    </row>
    <row r="2172" spans="2:11" ht="15">
      <c r="B2172" s="151">
        <v>204</v>
      </c>
      <c r="C2172" s="7" t="s">
        <v>150</v>
      </c>
      <c r="D2172" s="4" t="s">
        <v>113</v>
      </c>
      <c r="E2172" t="s">
        <v>493</v>
      </c>
      <c r="F2172" s="12">
        <f>IFERROR(VLOOKUP(B2172,'INSUMOS  JULIO'!$B$6:$CJ$109,66,0),"")</f>
        <v>5</v>
      </c>
      <c r="G2172" s="8">
        <f>IFERROR(VLOOKUP($B2172,'INSUMOS  JULIO'!$B$6:$CJ$109,67,0),"")</f>
        <v>14760.243999999999</v>
      </c>
      <c r="H2172" s="19">
        <f t="shared" si="132"/>
        <v>73801.22</v>
      </c>
      <c r="I2172" s="1">
        <f t="shared" si="133"/>
        <v>7380.1220000000003</v>
      </c>
      <c r="J2172" s="1">
        <f t="shared" si="134"/>
        <v>1402.2231800000002</v>
      </c>
      <c r="K2172" s="19">
        <f t="shared" si="135"/>
        <v>82583.565180000005</v>
      </c>
    </row>
    <row r="2173" spans="2:11" ht="27">
      <c r="B2173" s="151">
        <v>205</v>
      </c>
      <c r="C2173" s="7" t="s">
        <v>150</v>
      </c>
      <c r="D2173" s="4" t="s">
        <v>114</v>
      </c>
      <c r="E2173" t="s">
        <v>493</v>
      </c>
      <c r="F2173" s="12" t="str">
        <f>IFERROR(VLOOKUP(B2173,'INSUMOS  JULIO'!$B$6:$CJ$109,66,0),"")</f>
        <v>0</v>
      </c>
      <c r="G2173" s="8">
        <f>IFERROR(VLOOKUP($B2173,'INSUMOS  JULIO'!$B$6:$CJ$109,67,0),"")</f>
        <v>17690.432000000001</v>
      </c>
      <c r="H2173" s="19">
        <f t="shared" si="132"/>
        <v>0</v>
      </c>
      <c r="I2173" s="1">
        <f t="shared" si="133"/>
        <v>0</v>
      </c>
      <c r="J2173" s="1">
        <f t="shared" si="134"/>
        <v>0</v>
      </c>
      <c r="K2173" s="19">
        <f t="shared" si="135"/>
        <v>0</v>
      </c>
    </row>
    <row r="2174" spans="2:11" ht="15">
      <c r="B2174" s="151">
        <v>207</v>
      </c>
      <c r="C2174" s="7" t="s">
        <v>60</v>
      </c>
      <c r="D2174" s="4" t="s">
        <v>115</v>
      </c>
      <c r="E2174" t="s">
        <v>493</v>
      </c>
      <c r="F2174" s="12" t="str">
        <f>IFERROR(VLOOKUP(B2174,'INSUMOS  JULIO'!$B$6:$CJ$109,66,0),"")</f>
        <v>0</v>
      </c>
      <c r="G2174" s="8">
        <f>IFERROR(VLOOKUP($B2174,'INSUMOS  JULIO'!$B$6:$CJ$109,67,0),"")</f>
        <v>7186.7380000000003</v>
      </c>
      <c r="H2174" s="19">
        <f t="shared" si="132"/>
        <v>0</v>
      </c>
      <c r="I2174" s="1">
        <f t="shared" si="133"/>
        <v>0</v>
      </c>
      <c r="J2174" s="1">
        <f t="shared" si="134"/>
        <v>0</v>
      </c>
      <c r="K2174" s="19">
        <f t="shared" si="135"/>
        <v>0</v>
      </c>
    </row>
    <row r="2175" spans="2:11" ht="15">
      <c r="B2175" s="151">
        <v>208</v>
      </c>
      <c r="C2175" s="7" t="s">
        <v>151</v>
      </c>
      <c r="D2175" s="4" t="s">
        <v>634</v>
      </c>
      <c r="E2175" t="s">
        <v>493</v>
      </c>
      <c r="F2175" s="12" t="str">
        <f>IFERROR(VLOOKUP(B2175,'INSUMOS  JULIO'!$B$6:$CJ$109,66,0),"")</f>
        <v>0</v>
      </c>
      <c r="G2175" s="8">
        <f>IFERROR(VLOOKUP($B2175,'INSUMOS  JULIO'!$B$6:$CJ$109,67,0),"")</f>
        <v>50779.065000000002</v>
      </c>
      <c r="H2175" s="19">
        <f t="shared" si="132"/>
        <v>0</v>
      </c>
      <c r="I2175" s="1">
        <f t="shared" si="133"/>
        <v>0</v>
      </c>
      <c r="J2175" s="1">
        <f t="shared" si="134"/>
        <v>0</v>
      </c>
      <c r="K2175" s="19">
        <f t="shared" si="135"/>
        <v>0</v>
      </c>
    </row>
    <row r="2176" spans="2:11" ht="15">
      <c r="B2176" s="151">
        <v>209</v>
      </c>
      <c r="C2176" s="7" t="s">
        <v>151</v>
      </c>
      <c r="D2176" s="4" t="s">
        <v>635</v>
      </c>
      <c r="E2176" t="s">
        <v>493</v>
      </c>
      <c r="F2176" s="12" t="str">
        <f>IFERROR(VLOOKUP(B2176,'INSUMOS  JULIO'!$B$6:$CJ$109,66,0),"")</f>
        <v>0</v>
      </c>
      <c r="G2176" s="8">
        <f>IFERROR(VLOOKUP($B2176,'INSUMOS  JULIO'!$B$6:$CJ$109,67,0),"")</f>
        <v>37357.794999999998</v>
      </c>
      <c r="H2176" s="19">
        <f t="shared" si="132"/>
        <v>0</v>
      </c>
      <c r="I2176" s="1">
        <f t="shared" si="133"/>
        <v>0</v>
      </c>
      <c r="J2176" s="1">
        <f t="shared" si="134"/>
        <v>0</v>
      </c>
      <c r="K2176" s="19">
        <f t="shared" si="135"/>
        <v>0</v>
      </c>
    </row>
    <row r="2177" spans="2:11" ht="15">
      <c r="B2177" s="151">
        <v>210</v>
      </c>
      <c r="C2177" s="7" t="s">
        <v>151</v>
      </c>
      <c r="D2177" s="4" t="s">
        <v>636</v>
      </c>
      <c r="E2177" t="s">
        <v>493</v>
      </c>
      <c r="F2177" s="12" t="str">
        <f>IFERROR(VLOOKUP(B2177,'INSUMOS  JULIO'!$B$6:$CJ$109,66,0),"")</f>
        <v>0</v>
      </c>
      <c r="G2177" s="8">
        <f>IFERROR(VLOOKUP($B2177,'INSUMOS  JULIO'!$B$6:$CJ$109,67,0),"")</f>
        <v>22537.643999999997</v>
      </c>
      <c r="H2177" s="19">
        <f t="shared" si="132"/>
        <v>0</v>
      </c>
      <c r="I2177" s="1">
        <f t="shared" si="133"/>
        <v>0</v>
      </c>
      <c r="J2177" s="1">
        <f t="shared" si="134"/>
        <v>0</v>
      </c>
      <c r="K2177" s="19">
        <f t="shared" si="135"/>
        <v>0</v>
      </c>
    </row>
    <row r="2178" spans="2:11" ht="15">
      <c r="B2178" s="151">
        <v>211</v>
      </c>
      <c r="C2178" s="7" t="s">
        <v>151</v>
      </c>
      <c r="D2178" s="4" t="s">
        <v>637</v>
      </c>
      <c r="E2178" t="s">
        <v>493</v>
      </c>
      <c r="F2178" s="12" t="str">
        <f>IFERROR(VLOOKUP(B2178,'INSUMOS  JULIO'!$B$6:$CJ$109,66,0),"")</f>
        <v>0</v>
      </c>
      <c r="G2178" s="8">
        <f>IFERROR(VLOOKUP($B2178,'INSUMOS  JULIO'!$B$6:$CJ$109,67,0),"")</f>
        <v>15992.016</v>
      </c>
      <c r="H2178" s="19">
        <f t="shared" si="132"/>
        <v>0</v>
      </c>
      <c r="I2178" s="1">
        <f t="shared" si="133"/>
        <v>0</v>
      </c>
      <c r="J2178" s="1">
        <f t="shared" si="134"/>
        <v>0</v>
      </c>
      <c r="K2178" s="19">
        <f t="shared" si="135"/>
        <v>0</v>
      </c>
    </row>
    <row r="2179" spans="2:11" ht="15">
      <c r="B2179" s="151">
        <v>212</v>
      </c>
      <c r="C2179" s="7" t="s">
        <v>60</v>
      </c>
      <c r="D2179" s="4" t="s">
        <v>116</v>
      </c>
      <c r="E2179" t="s">
        <v>493</v>
      </c>
      <c r="F2179" s="12" t="str">
        <f>IFERROR(VLOOKUP(B2179,'INSUMOS  JULIO'!$B$6:$CJ$109,66,0),"")</f>
        <v>0</v>
      </c>
      <c r="G2179" s="8">
        <f>IFERROR(VLOOKUP($B2179,'INSUMOS  JULIO'!$B$6:$CJ$109,67,0),"")</f>
        <v>2505.5839999999998</v>
      </c>
      <c r="H2179" s="19">
        <f t="shared" si="132"/>
        <v>0</v>
      </c>
      <c r="I2179" s="1">
        <f t="shared" si="133"/>
        <v>0</v>
      </c>
      <c r="J2179" s="1">
        <f t="shared" si="134"/>
        <v>0</v>
      </c>
      <c r="K2179" s="19">
        <f t="shared" si="135"/>
        <v>0</v>
      </c>
    </row>
    <row r="2180" spans="2:11" ht="15">
      <c r="B2180" s="151">
        <v>213</v>
      </c>
      <c r="C2180" s="7" t="s">
        <v>46</v>
      </c>
      <c r="D2180" s="4" t="s">
        <v>638</v>
      </c>
      <c r="E2180" t="s">
        <v>493</v>
      </c>
      <c r="F2180" s="12" t="str">
        <f>IFERROR(VLOOKUP(B2180,'INSUMOS  JULIO'!$B$6:$CJ$109,66,0),"")</f>
        <v>0</v>
      </c>
      <c r="G2180" s="8">
        <f>IFERROR(VLOOKUP($B2180,'INSUMOS  JULIO'!$B$6:$CJ$109,67,0),"")</f>
        <v>0</v>
      </c>
      <c r="H2180" s="19">
        <f t="shared" si="132"/>
        <v>0</v>
      </c>
      <c r="I2180" s="1">
        <f t="shared" si="133"/>
        <v>0</v>
      </c>
      <c r="J2180" s="1">
        <f t="shared" si="134"/>
        <v>0</v>
      </c>
      <c r="K2180" s="19">
        <f t="shared" si="135"/>
        <v>0</v>
      </c>
    </row>
    <row r="2181" spans="2:11" ht="15">
      <c r="B2181" s="151">
        <v>215</v>
      </c>
      <c r="C2181" s="7" t="s">
        <v>450</v>
      </c>
      <c r="D2181" s="4" t="s">
        <v>639</v>
      </c>
      <c r="E2181" t="s">
        <v>493</v>
      </c>
      <c r="F2181" s="12" t="str">
        <f>IFERROR(VLOOKUP(B2181,'INSUMOS  JULIO'!$B$6:$CJ$109,66,0),"")</f>
        <v>0</v>
      </c>
      <c r="G2181" s="8">
        <f>IFERROR(VLOOKUP($B2181,'INSUMOS  JULIO'!$B$6:$CJ$109,67,0),"")</f>
        <v>10476.367999999999</v>
      </c>
      <c r="H2181" s="19">
        <f t="shared" si="132"/>
        <v>0</v>
      </c>
      <c r="I2181" s="1">
        <f t="shared" si="133"/>
        <v>0</v>
      </c>
      <c r="J2181" s="1">
        <f t="shared" si="134"/>
        <v>0</v>
      </c>
      <c r="K2181" s="19">
        <f t="shared" si="135"/>
        <v>0</v>
      </c>
    </row>
    <row r="2182" spans="2:11" ht="15">
      <c r="B2182" s="151">
        <v>216</v>
      </c>
      <c r="C2182" s="7" t="s">
        <v>450</v>
      </c>
      <c r="D2182" s="4" t="s">
        <v>640</v>
      </c>
      <c r="E2182" t="s">
        <v>493</v>
      </c>
      <c r="F2182" s="12" t="str">
        <f>IFERROR(VLOOKUP(B2182,'INSUMOS  JULIO'!$B$6:$CJ$109,66,0),"")</f>
        <v>0</v>
      </c>
      <c r="G2182" s="8">
        <f>IFERROR(VLOOKUP($B2182,'INSUMOS  JULIO'!$B$6:$CJ$109,67,0),"")</f>
        <v>3954.9129999999996</v>
      </c>
      <c r="H2182" s="19">
        <f t="shared" ref="H2182:H2245" si="136">+F2182*G2182</f>
        <v>0</v>
      </c>
      <c r="I2182" s="1">
        <f t="shared" ref="I2182:I2245" si="137">+H2182*10%</f>
        <v>0</v>
      </c>
      <c r="J2182" s="1">
        <f t="shared" ref="J2182:J2245" si="138">+I2182*19%</f>
        <v>0</v>
      </c>
      <c r="K2182" s="19">
        <f t="shared" ref="K2182:K2245" si="139">SUM(H2182:J2182)</f>
        <v>0</v>
      </c>
    </row>
    <row r="2183" spans="2:11" ht="15">
      <c r="B2183" s="151">
        <v>218</v>
      </c>
      <c r="C2183" s="7" t="s">
        <v>160</v>
      </c>
      <c r="D2183" s="4" t="s">
        <v>117</v>
      </c>
      <c r="E2183" t="s">
        <v>493</v>
      </c>
      <c r="F2183" s="12" t="str">
        <f>IFERROR(VLOOKUP(B2183,'INSUMOS  JULIO'!$B$6:$CJ$109,66,0),"")</f>
        <v>0</v>
      </c>
      <c r="G2183" s="8">
        <f>IFERROR(VLOOKUP($B2183,'INSUMOS  JULIO'!$B$6:$CJ$109,67,0),"")</f>
        <v>1437.768</v>
      </c>
      <c r="H2183" s="19">
        <f t="shared" si="136"/>
        <v>0</v>
      </c>
      <c r="I2183" s="1">
        <f t="shared" si="137"/>
        <v>0</v>
      </c>
      <c r="J2183" s="1">
        <f t="shared" si="138"/>
        <v>0</v>
      </c>
      <c r="K2183" s="19">
        <f t="shared" si="139"/>
        <v>0</v>
      </c>
    </row>
    <row r="2184" spans="2:11" ht="15">
      <c r="B2184" s="151">
        <v>251</v>
      </c>
      <c r="C2184" s="7" t="s">
        <v>33</v>
      </c>
      <c r="D2184" s="4" t="s">
        <v>118</v>
      </c>
      <c r="E2184" t="s">
        <v>493</v>
      </c>
      <c r="F2184" s="12" t="str">
        <f>IFERROR(VLOOKUP(B2184,'INSUMOS  JULIO'!$B$6:$CJ$109,66,0),"")</f>
        <v>0</v>
      </c>
      <c r="G2184" s="8">
        <f>IFERROR(VLOOKUP($B2184,'INSUMOS  JULIO'!$B$6:$CJ$109,67,0),"")</f>
        <v>16031.954000000002</v>
      </c>
      <c r="H2184" s="19">
        <f t="shared" si="136"/>
        <v>0</v>
      </c>
      <c r="I2184" s="1">
        <f t="shared" si="137"/>
        <v>0</v>
      </c>
      <c r="J2184" s="1">
        <f t="shared" si="138"/>
        <v>0</v>
      </c>
      <c r="K2184" s="19">
        <f t="shared" si="139"/>
        <v>0</v>
      </c>
    </row>
    <row r="2185" spans="2:11" ht="15">
      <c r="B2185" s="151">
        <v>255</v>
      </c>
      <c r="C2185" s="7" t="s">
        <v>60</v>
      </c>
      <c r="D2185" s="4" t="s">
        <v>641</v>
      </c>
      <c r="E2185" t="s">
        <v>493</v>
      </c>
      <c r="F2185" s="12" t="str">
        <f>IFERROR(VLOOKUP(B2185,'INSUMOS  JULIO'!$B$6:$CJ$109,66,0),"")</f>
        <v>0</v>
      </c>
      <c r="G2185" s="8">
        <f>IFERROR(VLOOKUP($B2185,'INSUMOS  JULIO'!$B$6:$CJ$109,67,0),"")</f>
        <v>29299.777999999998</v>
      </c>
      <c r="H2185" s="19">
        <f t="shared" si="136"/>
        <v>0</v>
      </c>
      <c r="I2185" s="1">
        <f t="shared" si="137"/>
        <v>0</v>
      </c>
      <c r="J2185" s="1">
        <f t="shared" si="138"/>
        <v>0</v>
      </c>
      <c r="K2185" s="19">
        <f t="shared" si="139"/>
        <v>0</v>
      </c>
    </row>
    <row r="2186" spans="2:11" ht="15">
      <c r="B2186" s="151">
        <v>257</v>
      </c>
      <c r="C2186" s="7" t="s">
        <v>60</v>
      </c>
      <c r="D2186" s="4" t="s">
        <v>642</v>
      </c>
      <c r="E2186" t="s">
        <v>493</v>
      </c>
      <c r="F2186" s="12" t="str">
        <f>IFERROR(VLOOKUP(B2186,'INSUMOS  JULIO'!$B$6:$CJ$109,66,0),"")</f>
        <v>0</v>
      </c>
      <c r="G2186" s="8">
        <f>IFERROR(VLOOKUP($B2186,'INSUMOS  JULIO'!$B$6:$CJ$109,67,0),"")</f>
        <v>18796.084000000003</v>
      </c>
      <c r="H2186" s="19">
        <f t="shared" si="136"/>
        <v>0</v>
      </c>
      <c r="I2186" s="1">
        <f t="shared" si="137"/>
        <v>0</v>
      </c>
      <c r="J2186" s="1">
        <f t="shared" si="138"/>
        <v>0</v>
      </c>
      <c r="K2186" s="19">
        <f t="shared" si="139"/>
        <v>0</v>
      </c>
    </row>
    <row r="2187" spans="2:11" ht="15">
      <c r="B2187" s="151">
        <v>260</v>
      </c>
      <c r="C2187" s="7" t="s">
        <v>449</v>
      </c>
      <c r="D2187" s="4" t="s">
        <v>643</v>
      </c>
      <c r="E2187" t="s">
        <v>493</v>
      </c>
      <c r="F2187" s="12" t="str">
        <f>IFERROR(VLOOKUP(B2187,'INSUMOS  JULIO'!$B$6:$CJ$109,66,0),"")</f>
        <v>0</v>
      </c>
      <c r="G2187" s="8">
        <f>IFERROR(VLOOKUP($B2187,'INSUMOS  JULIO'!$B$6:$CJ$109,67,0),"")</f>
        <v>3417.8520000000008</v>
      </c>
      <c r="H2187" s="19">
        <f t="shared" si="136"/>
        <v>0</v>
      </c>
      <c r="I2187" s="1">
        <f t="shared" si="137"/>
        <v>0</v>
      </c>
      <c r="J2187" s="1">
        <f t="shared" si="138"/>
        <v>0</v>
      </c>
      <c r="K2187" s="19">
        <f t="shared" si="139"/>
        <v>0</v>
      </c>
    </row>
    <row r="2188" spans="2:11" ht="15">
      <c r="B2188" s="151">
        <v>291</v>
      </c>
      <c r="C2188" s="7" t="s">
        <v>449</v>
      </c>
      <c r="D2188" s="4" t="s">
        <v>644</v>
      </c>
      <c r="E2188" t="s">
        <v>493</v>
      </c>
      <c r="F2188" s="12" t="str">
        <f>IFERROR(VLOOKUP(B2188,'INSUMOS  JULIO'!$B$6:$CJ$109,66,0),"")</f>
        <v>0</v>
      </c>
      <c r="G2188" s="8">
        <f>IFERROR(VLOOKUP($B2188,'INSUMOS  JULIO'!$B$6:$CJ$109,67,0),"")</f>
        <v>20454.562000000005</v>
      </c>
      <c r="H2188" s="19">
        <f t="shared" si="136"/>
        <v>0</v>
      </c>
      <c r="I2188" s="1">
        <f t="shared" si="137"/>
        <v>0</v>
      </c>
      <c r="J2188" s="1">
        <f t="shared" si="138"/>
        <v>0</v>
      </c>
      <c r="K2188" s="19">
        <f t="shared" si="139"/>
        <v>0</v>
      </c>
    </row>
    <row r="2189" spans="2:11" ht="15">
      <c r="B2189" s="151">
        <v>3</v>
      </c>
      <c r="C2189" s="7" t="s">
        <v>155</v>
      </c>
      <c r="D2189" s="4" t="s">
        <v>5</v>
      </c>
      <c r="E2189" t="s">
        <v>182</v>
      </c>
      <c r="F2189" s="12" t="str">
        <f>IFERROR(VLOOKUP($B2189,'INSUMOS  JULIO'!$B$6:$CJ$109,69,0),"")</f>
        <v>0</v>
      </c>
      <c r="G2189" s="8">
        <f>IFERROR(VLOOKUP($B2189,'INSUMOS  JULIO'!$B$6:$CJ$109,70,0),"")</f>
        <v>7268.7160000000003</v>
      </c>
      <c r="H2189" s="19">
        <f t="shared" si="136"/>
        <v>0</v>
      </c>
      <c r="I2189" s="1">
        <f t="shared" si="137"/>
        <v>0</v>
      </c>
      <c r="J2189" s="1">
        <f t="shared" si="138"/>
        <v>0</v>
      </c>
      <c r="K2189" s="19">
        <f t="shared" si="139"/>
        <v>0</v>
      </c>
    </row>
    <row r="2190" spans="2:11" ht="15">
      <c r="B2190" s="151">
        <v>5</v>
      </c>
      <c r="C2190" s="7" t="s">
        <v>6</v>
      </c>
      <c r="D2190" s="4" t="s">
        <v>7</v>
      </c>
      <c r="E2190" t="s">
        <v>182</v>
      </c>
      <c r="F2190" s="12" t="str">
        <f>IFERROR(VLOOKUP(B2190,'INSUMOS  JULIO'!$B$6:$CJ$109,69,0),"")</f>
        <v>0</v>
      </c>
      <c r="G2190" s="8">
        <f>IFERROR(VLOOKUP($B2190,'INSUMOS  JULIO'!$B$6:$CJ$109,70,0),"")</f>
        <v>6494.1289999999999</v>
      </c>
      <c r="H2190" s="19">
        <f t="shared" si="136"/>
        <v>0</v>
      </c>
      <c r="I2190" s="1">
        <f t="shared" si="137"/>
        <v>0</v>
      </c>
      <c r="J2190" s="1">
        <f t="shared" si="138"/>
        <v>0</v>
      </c>
      <c r="K2190" s="19">
        <f t="shared" si="139"/>
        <v>0</v>
      </c>
    </row>
    <row r="2191" spans="2:11" ht="15">
      <c r="B2191" s="151">
        <v>8</v>
      </c>
      <c r="C2191" s="7" t="s">
        <v>6</v>
      </c>
      <c r="D2191" s="4" t="s">
        <v>8</v>
      </c>
      <c r="E2191" t="s">
        <v>182</v>
      </c>
      <c r="F2191" s="12">
        <f>IFERROR(VLOOKUP(B2191,'INSUMOS  JULIO'!$B$6:$CJ$109,69,0),"")</f>
        <v>0</v>
      </c>
      <c r="G2191" s="8">
        <f>IFERROR(VLOOKUP($B2191,'INSUMOS  JULIO'!$B$6:$CJ$109,70,0),"")</f>
        <v>2211.3040000000001</v>
      </c>
      <c r="H2191" s="19">
        <f t="shared" si="136"/>
        <v>0</v>
      </c>
      <c r="I2191" s="1">
        <f t="shared" si="137"/>
        <v>0</v>
      </c>
      <c r="J2191" s="1">
        <f t="shared" si="138"/>
        <v>0</v>
      </c>
      <c r="K2191" s="19">
        <f t="shared" si="139"/>
        <v>0</v>
      </c>
    </row>
    <row r="2192" spans="2:11" ht="15">
      <c r="B2192" s="151">
        <v>9</v>
      </c>
      <c r="C2192" s="7" t="s">
        <v>9</v>
      </c>
      <c r="D2192" s="4" t="s">
        <v>10</v>
      </c>
      <c r="E2192" t="s">
        <v>182</v>
      </c>
      <c r="F2192" s="12">
        <f>IFERROR(VLOOKUP(B2192,'INSUMOS  JULIO'!$B$6:$CJ$109,69,0),"")</f>
        <v>0</v>
      </c>
      <c r="G2192" s="8">
        <f>IFERROR(VLOOKUP($B2192,'INSUMOS  JULIO'!$B$6:$CJ$109,70,0),"")</f>
        <v>3298.0379999999996</v>
      </c>
      <c r="H2192" s="19">
        <f t="shared" si="136"/>
        <v>0</v>
      </c>
      <c r="I2192" s="1">
        <f t="shared" si="137"/>
        <v>0</v>
      </c>
      <c r="J2192" s="1">
        <f t="shared" si="138"/>
        <v>0</v>
      </c>
      <c r="K2192" s="19">
        <f t="shared" si="139"/>
        <v>0</v>
      </c>
    </row>
    <row r="2193" spans="2:11" ht="15">
      <c r="B2193" s="151">
        <v>11</v>
      </c>
      <c r="C2193" s="7" t="s">
        <v>156</v>
      </c>
      <c r="D2193" s="4" t="s">
        <v>11</v>
      </c>
      <c r="E2193" t="s">
        <v>182</v>
      </c>
      <c r="F2193" s="12" t="str">
        <f>IFERROR(VLOOKUP(B2193,'INSUMOS  JULIO'!$B$6:$CJ$109,69,0),"")</f>
        <v>0</v>
      </c>
      <c r="G2193" s="8">
        <f>IFERROR(VLOOKUP($B2193,'INSUMOS  JULIO'!$B$6:$CJ$109,70,0),"")</f>
        <v>7739.5639999999985</v>
      </c>
      <c r="H2193" s="19">
        <f t="shared" si="136"/>
        <v>0</v>
      </c>
      <c r="I2193" s="1">
        <f t="shared" si="137"/>
        <v>0</v>
      </c>
      <c r="J2193" s="1">
        <f t="shared" si="138"/>
        <v>0</v>
      </c>
      <c r="K2193" s="19">
        <f t="shared" si="139"/>
        <v>0</v>
      </c>
    </row>
    <row r="2194" spans="2:11" ht="15">
      <c r="B2194" s="151">
        <v>13</v>
      </c>
      <c r="C2194" s="7" t="s">
        <v>157</v>
      </c>
      <c r="D2194" s="4" t="s">
        <v>12</v>
      </c>
      <c r="E2194" t="s">
        <v>182</v>
      </c>
      <c r="F2194" s="12">
        <f>IFERROR(VLOOKUP(B2194,'INSUMOS  JULIO'!$B$6:$CJ$109,69,0),"")</f>
        <v>0</v>
      </c>
      <c r="G2194" s="8">
        <f>IFERROR(VLOOKUP($B2194,'INSUMOS  JULIO'!$B$6:$CJ$109,70,0),"")</f>
        <v>6507.7919999999995</v>
      </c>
      <c r="H2194" s="19">
        <f t="shared" si="136"/>
        <v>0</v>
      </c>
      <c r="I2194" s="1">
        <f t="shared" si="137"/>
        <v>0</v>
      </c>
      <c r="J2194" s="1">
        <f t="shared" si="138"/>
        <v>0</v>
      </c>
      <c r="K2194" s="19">
        <f t="shared" si="139"/>
        <v>0</v>
      </c>
    </row>
    <row r="2195" spans="2:11" ht="15">
      <c r="B2195" s="151">
        <v>17</v>
      </c>
      <c r="C2195" s="7" t="s">
        <v>13</v>
      </c>
      <c r="D2195" s="4" t="s">
        <v>14</v>
      </c>
      <c r="E2195" t="s">
        <v>182</v>
      </c>
      <c r="F2195" s="12">
        <f>IFERROR(VLOOKUP(B2195,'INSUMOS  JULIO'!$B$6:$CJ$109,69,0),"")</f>
        <v>0</v>
      </c>
      <c r="G2195" s="8">
        <f>IFERROR(VLOOKUP($B2195,'INSUMOS  JULIO'!$B$6:$CJ$109,70,0),"")</f>
        <v>5647.0229999999992</v>
      </c>
      <c r="H2195" s="19">
        <f t="shared" si="136"/>
        <v>0</v>
      </c>
      <c r="I2195" s="1">
        <f t="shared" si="137"/>
        <v>0</v>
      </c>
      <c r="J2195" s="1">
        <f t="shared" si="138"/>
        <v>0</v>
      </c>
      <c r="K2195" s="19">
        <f t="shared" si="139"/>
        <v>0</v>
      </c>
    </row>
    <row r="2196" spans="2:11" ht="15">
      <c r="B2196" s="151">
        <v>20</v>
      </c>
      <c r="C2196" s="7" t="s">
        <v>13</v>
      </c>
      <c r="D2196" s="4" t="s">
        <v>15</v>
      </c>
      <c r="E2196" t="s">
        <v>182</v>
      </c>
      <c r="F2196" s="12">
        <f>IFERROR(VLOOKUP(B2196,'INSUMOS  JULIO'!$B$6:$CJ$109,69,0),"")</f>
        <v>0</v>
      </c>
      <c r="G2196" s="8">
        <f>IFERROR(VLOOKUP($B2196,'INSUMOS  JULIO'!$B$6:$CJ$109,70,0),"")</f>
        <v>9851.5485000000008</v>
      </c>
      <c r="H2196" s="19">
        <f t="shared" si="136"/>
        <v>0</v>
      </c>
      <c r="I2196" s="1">
        <f t="shared" si="137"/>
        <v>0</v>
      </c>
      <c r="J2196" s="1">
        <f t="shared" si="138"/>
        <v>0</v>
      </c>
      <c r="K2196" s="19">
        <f t="shared" si="139"/>
        <v>0</v>
      </c>
    </row>
    <row r="2197" spans="2:11" ht="15">
      <c r="B2197" s="151">
        <v>21</v>
      </c>
      <c r="C2197" s="7" t="s">
        <v>16</v>
      </c>
      <c r="D2197" s="4" t="s">
        <v>17</v>
      </c>
      <c r="E2197" t="s">
        <v>182</v>
      </c>
      <c r="F2197" s="12">
        <f>IFERROR(VLOOKUP(B2197,'INSUMOS  JULIO'!$B$6:$CJ$109,69,0),"")</f>
        <v>0</v>
      </c>
      <c r="G2197" s="8">
        <f>IFERROR(VLOOKUP($B2197,'INSUMOS  JULIO'!$B$6:$CJ$109,70,0),"")</f>
        <v>5932.8950000000013</v>
      </c>
      <c r="H2197" s="19">
        <f t="shared" si="136"/>
        <v>0</v>
      </c>
      <c r="I2197" s="1">
        <f t="shared" si="137"/>
        <v>0</v>
      </c>
      <c r="J2197" s="1">
        <f t="shared" si="138"/>
        <v>0</v>
      </c>
      <c r="K2197" s="19">
        <f t="shared" si="139"/>
        <v>0</v>
      </c>
    </row>
    <row r="2198" spans="2:11" ht="15">
      <c r="B2198" s="151">
        <v>28</v>
      </c>
      <c r="C2198" s="7" t="s">
        <v>18</v>
      </c>
      <c r="D2198" s="4" t="s">
        <v>19</v>
      </c>
      <c r="E2198" t="s">
        <v>182</v>
      </c>
      <c r="F2198" s="12">
        <f>IFERROR(VLOOKUP(B2198,'INSUMOS  JULIO'!$B$6:$CJ$109,69,0),"")</f>
        <v>25</v>
      </c>
      <c r="G2198" s="8">
        <f>IFERROR(VLOOKUP($B2198,'INSUMOS  JULIO'!$B$6:$CJ$109,70,0),"")</f>
        <v>2764.13</v>
      </c>
      <c r="H2198" s="19">
        <f t="shared" si="136"/>
        <v>69103.25</v>
      </c>
      <c r="I2198" s="1">
        <f t="shared" si="137"/>
        <v>6910.3250000000007</v>
      </c>
      <c r="J2198" s="1">
        <f t="shared" si="138"/>
        <v>1312.9617500000002</v>
      </c>
      <c r="K2198" s="19">
        <f t="shared" si="139"/>
        <v>77326.536749999999</v>
      </c>
    </row>
    <row r="2199" spans="2:11" ht="15">
      <c r="B2199" s="151">
        <v>29</v>
      </c>
      <c r="C2199" s="7" t="s">
        <v>20</v>
      </c>
      <c r="D2199" s="4" t="s">
        <v>21</v>
      </c>
      <c r="E2199" t="s">
        <v>182</v>
      </c>
      <c r="F2199" s="12" t="str">
        <f>IFERROR(VLOOKUP(B2199,'INSUMOS  JULIO'!$B$6:$CJ$109,69,0),"")</f>
        <v>0</v>
      </c>
      <c r="G2199" s="8">
        <f>IFERROR(VLOOKUP($B2199,'INSUMOS  JULIO'!$B$6:$CJ$109,70,0),"")</f>
        <v>4829.3450000000012</v>
      </c>
      <c r="H2199" s="19">
        <f t="shared" si="136"/>
        <v>0</v>
      </c>
      <c r="I2199" s="1">
        <f t="shared" si="137"/>
        <v>0</v>
      </c>
      <c r="J2199" s="1">
        <f t="shared" si="138"/>
        <v>0</v>
      </c>
      <c r="K2199" s="19">
        <f t="shared" si="139"/>
        <v>0</v>
      </c>
    </row>
    <row r="2200" spans="2:11" ht="15">
      <c r="B2200" s="151">
        <v>32</v>
      </c>
      <c r="C2200" s="7" t="s">
        <v>22</v>
      </c>
      <c r="D2200" s="4" t="s">
        <v>23</v>
      </c>
      <c r="E2200" t="s">
        <v>182</v>
      </c>
      <c r="F2200" s="12">
        <f>IFERROR(VLOOKUP(B2200,'INSUMOS  JULIO'!$B$6:$CJ$109,69,0),"")</f>
        <v>0</v>
      </c>
      <c r="G2200" s="8">
        <f>IFERROR(VLOOKUP($B2200,'INSUMOS  JULIO'!$B$6:$CJ$109,70,0),"")</f>
        <v>4115.7160000000003</v>
      </c>
      <c r="H2200" s="19">
        <f t="shared" si="136"/>
        <v>0</v>
      </c>
      <c r="I2200" s="1">
        <f t="shared" si="137"/>
        <v>0</v>
      </c>
      <c r="J2200" s="1">
        <f t="shared" si="138"/>
        <v>0</v>
      </c>
      <c r="K2200" s="19">
        <f t="shared" si="139"/>
        <v>0</v>
      </c>
    </row>
    <row r="2201" spans="2:11" ht="15">
      <c r="B2201" s="151">
        <v>38</v>
      </c>
      <c r="C2201" s="7" t="s">
        <v>6</v>
      </c>
      <c r="D2201" s="4" t="s">
        <v>24</v>
      </c>
      <c r="E2201" t="s">
        <v>182</v>
      </c>
      <c r="F2201" s="12" t="str">
        <f>IFERROR(VLOOKUP(B2201,'INSUMOS  JULIO'!$B$6:$CJ$109,69,0),"")</f>
        <v>0</v>
      </c>
      <c r="G2201" s="8">
        <f>IFERROR(VLOOKUP($B2201,'INSUMOS  JULIO'!$B$6:$CJ$109,70,0),"")</f>
        <v>11100.662</v>
      </c>
      <c r="H2201" s="19">
        <f t="shared" si="136"/>
        <v>0</v>
      </c>
      <c r="I2201" s="1">
        <f t="shared" si="137"/>
        <v>0</v>
      </c>
      <c r="J2201" s="1">
        <f t="shared" si="138"/>
        <v>0</v>
      </c>
      <c r="K2201" s="19">
        <f t="shared" si="139"/>
        <v>0</v>
      </c>
    </row>
    <row r="2202" spans="2:11" ht="15">
      <c r="B2202" s="151">
        <v>41</v>
      </c>
      <c r="C2202" s="7" t="s">
        <v>155</v>
      </c>
      <c r="D2202" s="4" t="s">
        <v>25</v>
      </c>
      <c r="E2202" t="s">
        <v>182</v>
      </c>
      <c r="F2202" s="12" t="str">
        <f>IFERROR(VLOOKUP(B2202,'INSUMOS  JULIO'!$B$6:$CJ$109,69,0),"")</f>
        <v>0</v>
      </c>
      <c r="G2202" s="8">
        <f>IFERROR(VLOOKUP($B2202,'INSUMOS  JULIO'!$B$6:$CJ$109,70,0),"")</f>
        <v>7034.3429999999989</v>
      </c>
      <c r="H2202" s="19">
        <f t="shared" si="136"/>
        <v>0</v>
      </c>
      <c r="I2202" s="1">
        <f t="shared" si="137"/>
        <v>0</v>
      </c>
      <c r="J2202" s="1">
        <f t="shared" si="138"/>
        <v>0</v>
      </c>
      <c r="K2202" s="19">
        <f t="shared" si="139"/>
        <v>0</v>
      </c>
    </row>
    <row r="2203" spans="2:11" ht="15">
      <c r="B2203" s="151">
        <v>44</v>
      </c>
      <c r="C2203" s="7" t="s">
        <v>16</v>
      </c>
      <c r="D2203" s="4" t="s">
        <v>26</v>
      </c>
      <c r="E2203" t="s">
        <v>182</v>
      </c>
      <c r="F2203" s="12">
        <f>IFERROR(VLOOKUP(B2203,'INSUMOS  JULIO'!$B$6:$CJ$109,69,0),"")</f>
        <v>0</v>
      </c>
      <c r="G2203" s="8">
        <f>IFERROR(VLOOKUP($B2203,'INSUMOS  JULIO'!$B$6:$CJ$109,70,0),"")</f>
        <v>2787.2520000000004</v>
      </c>
      <c r="H2203" s="19">
        <f t="shared" si="136"/>
        <v>0</v>
      </c>
      <c r="I2203" s="1">
        <f t="shared" si="137"/>
        <v>0</v>
      </c>
      <c r="J2203" s="1">
        <f t="shared" si="138"/>
        <v>0</v>
      </c>
      <c r="K2203" s="19">
        <f t="shared" si="139"/>
        <v>0</v>
      </c>
    </row>
    <row r="2204" spans="2:11" ht="15">
      <c r="B2204" s="151">
        <v>46</v>
      </c>
      <c r="C2204" s="7" t="s">
        <v>27</v>
      </c>
      <c r="D2204" s="4" t="s">
        <v>28</v>
      </c>
      <c r="E2204" t="s">
        <v>182</v>
      </c>
      <c r="F2204" s="12" t="str">
        <f>IFERROR(VLOOKUP(B2204,'INSUMOS  JULIO'!$B$6:$CJ$109,69,0),"")</f>
        <v>0</v>
      </c>
      <c r="G2204" s="8">
        <f>IFERROR(VLOOKUP($B2204,'INSUMOS  JULIO'!$B$6:$CJ$109,70,0),"")</f>
        <v>7739.5640000000021</v>
      </c>
      <c r="H2204" s="19">
        <f t="shared" si="136"/>
        <v>0</v>
      </c>
      <c r="I2204" s="1">
        <f t="shared" si="137"/>
        <v>0</v>
      </c>
      <c r="J2204" s="1">
        <f t="shared" si="138"/>
        <v>0</v>
      </c>
      <c r="K2204" s="19">
        <f t="shared" si="139"/>
        <v>0</v>
      </c>
    </row>
    <row r="2205" spans="2:11" ht="15">
      <c r="B2205" s="151">
        <v>50</v>
      </c>
      <c r="C2205" s="7" t="s">
        <v>13</v>
      </c>
      <c r="D2205" s="4" t="s">
        <v>29</v>
      </c>
      <c r="E2205" t="s">
        <v>182</v>
      </c>
      <c r="F2205" s="12">
        <f>IFERROR(VLOOKUP(B2205,'INSUMOS  JULIO'!$B$6:$CJ$109,69,0),"")</f>
        <v>0</v>
      </c>
      <c r="G2205" s="8">
        <f>IFERROR(VLOOKUP($B2205,'INSUMOS  JULIO'!$B$6:$CJ$109,70,0),"")</f>
        <v>48162.390299999999</v>
      </c>
      <c r="H2205" s="19">
        <f t="shared" si="136"/>
        <v>0</v>
      </c>
      <c r="I2205" s="1">
        <f t="shared" si="137"/>
        <v>0</v>
      </c>
      <c r="J2205" s="1">
        <f t="shared" si="138"/>
        <v>0</v>
      </c>
      <c r="K2205" s="19">
        <f t="shared" si="139"/>
        <v>0</v>
      </c>
    </row>
    <row r="2206" spans="2:11" ht="15">
      <c r="B2206" s="151">
        <v>51</v>
      </c>
      <c r="C2206" s="7" t="s">
        <v>13</v>
      </c>
      <c r="D2206" s="4" t="s">
        <v>30</v>
      </c>
      <c r="E2206" t="s">
        <v>182</v>
      </c>
      <c r="F2206" s="12" t="str">
        <f>IFERROR(VLOOKUP(B2206,'INSUMOS  JULIO'!$B$6:$CJ$109,69,0),"")</f>
        <v>0</v>
      </c>
      <c r="G2206" s="8">
        <f>IFERROR(VLOOKUP($B2206,'INSUMOS  JULIO'!$B$6:$CJ$109,70,0),"")</f>
        <v>7739.5640000000021</v>
      </c>
      <c r="H2206" s="19">
        <f t="shared" si="136"/>
        <v>0</v>
      </c>
      <c r="I2206" s="1">
        <f t="shared" si="137"/>
        <v>0</v>
      </c>
      <c r="J2206" s="1">
        <f t="shared" si="138"/>
        <v>0</v>
      </c>
      <c r="K2206" s="19">
        <f t="shared" si="139"/>
        <v>0</v>
      </c>
    </row>
    <row r="2207" spans="2:11" ht="15">
      <c r="B2207" s="151">
        <v>52</v>
      </c>
      <c r="C2207" s="7" t="s">
        <v>13</v>
      </c>
      <c r="D2207" s="4" t="s">
        <v>31</v>
      </c>
      <c r="E2207" t="s">
        <v>182</v>
      </c>
      <c r="F2207" s="12">
        <f>IFERROR(VLOOKUP(B2207,'INSUMOS  JULIO'!$B$6:$CJ$109,69,0),"")</f>
        <v>0</v>
      </c>
      <c r="G2207" s="8">
        <f>IFERROR(VLOOKUP($B2207,'INSUMOS  JULIO'!$B$6:$CJ$109,70,0),"")</f>
        <v>6412.1509999999998</v>
      </c>
      <c r="H2207" s="19">
        <f t="shared" si="136"/>
        <v>0</v>
      </c>
      <c r="I2207" s="1">
        <f t="shared" si="137"/>
        <v>0</v>
      </c>
      <c r="J2207" s="1">
        <f t="shared" si="138"/>
        <v>0</v>
      </c>
      <c r="K2207" s="19">
        <f t="shared" si="139"/>
        <v>0</v>
      </c>
    </row>
    <row r="2208" spans="2:11" ht="15">
      <c r="B2208" s="151">
        <v>54</v>
      </c>
      <c r="C2208" s="7" t="s">
        <v>13</v>
      </c>
      <c r="D2208" s="4" t="s">
        <v>32</v>
      </c>
      <c r="E2208" t="s">
        <v>182</v>
      </c>
      <c r="F2208" s="12">
        <f>IFERROR(VLOOKUP(B2208,'INSUMOS  JULIO'!$B$6:$CJ$109,69,0),"")</f>
        <v>0</v>
      </c>
      <c r="G2208" s="8">
        <f>IFERROR(VLOOKUP($B2208,'INSUMOS  JULIO'!$B$6:$CJ$109,70,0),"")</f>
        <v>5359.049</v>
      </c>
      <c r="H2208" s="19">
        <f t="shared" si="136"/>
        <v>0</v>
      </c>
      <c r="I2208" s="1">
        <f t="shared" si="137"/>
        <v>0</v>
      </c>
      <c r="J2208" s="1">
        <f t="shared" si="138"/>
        <v>0</v>
      </c>
      <c r="K2208" s="19">
        <f t="shared" si="139"/>
        <v>0</v>
      </c>
    </row>
    <row r="2209" spans="2:11" ht="15">
      <c r="B2209" s="151">
        <v>57</v>
      </c>
      <c r="C2209" s="7" t="s">
        <v>33</v>
      </c>
      <c r="D2209" s="4" t="s">
        <v>34</v>
      </c>
      <c r="E2209" t="s">
        <v>182</v>
      </c>
      <c r="F2209" s="12">
        <f>IFERROR(VLOOKUP(B2209,'INSUMOS  JULIO'!$B$6:$CJ$109,69,0),"")</f>
        <v>0</v>
      </c>
      <c r="G2209" s="8">
        <f>IFERROR(VLOOKUP($B2209,'INSUMOS  JULIO'!$B$6:$CJ$109,70,0),"")</f>
        <v>12823.251000000004</v>
      </c>
      <c r="H2209" s="19">
        <f t="shared" si="136"/>
        <v>0</v>
      </c>
      <c r="I2209" s="1">
        <f t="shared" si="137"/>
        <v>0</v>
      </c>
      <c r="J2209" s="1">
        <f t="shared" si="138"/>
        <v>0</v>
      </c>
      <c r="K2209" s="19">
        <f t="shared" si="139"/>
        <v>0</v>
      </c>
    </row>
    <row r="2210" spans="2:11" ht="15">
      <c r="B2210" s="151">
        <v>59</v>
      </c>
      <c r="C2210" s="7" t="s">
        <v>16</v>
      </c>
      <c r="D2210" s="4" t="s">
        <v>35</v>
      </c>
      <c r="E2210" t="s">
        <v>182</v>
      </c>
      <c r="F2210" s="12" t="str">
        <f>IFERROR(VLOOKUP(B2210,'INSUMOS  JULIO'!$B$6:$CJ$109,69,0),"")</f>
        <v>0</v>
      </c>
      <c r="G2210" s="8">
        <f>IFERROR(VLOOKUP($B2210,'INSUMOS  JULIO'!$B$6:$CJ$109,70,0),"")</f>
        <v>5528.260000000002</v>
      </c>
      <c r="H2210" s="19">
        <f t="shared" si="136"/>
        <v>0</v>
      </c>
      <c r="I2210" s="1">
        <f t="shared" si="137"/>
        <v>0</v>
      </c>
      <c r="J2210" s="1">
        <f t="shared" si="138"/>
        <v>0</v>
      </c>
      <c r="K2210" s="19">
        <f t="shared" si="139"/>
        <v>0</v>
      </c>
    </row>
    <row r="2211" spans="2:11" ht="15">
      <c r="B2211" s="151">
        <v>62</v>
      </c>
      <c r="C2211" s="7" t="s">
        <v>36</v>
      </c>
      <c r="D2211" s="4" t="s">
        <v>37</v>
      </c>
      <c r="E2211" t="s">
        <v>182</v>
      </c>
      <c r="F2211" s="12">
        <f>IFERROR(VLOOKUP(B2211,'INSUMOS  JULIO'!$B$6:$CJ$109,69,0),"")</f>
        <v>4</v>
      </c>
      <c r="G2211" s="8">
        <f>IFERROR(VLOOKUP($B2211,'INSUMOS  JULIO'!$B$6:$CJ$109,70,0),"")</f>
        <v>5167.7669999999998</v>
      </c>
      <c r="H2211" s="19">
        <f t="shared" si="136"/>
        <v>20671.067999999999</v>
      </c>
      <c r="I2211" s="1">
        <f t="shared" si="137"/>
        <v>2067.1068</v>
      </c>
      <c r="J2211" s="1">
        <f t="shared" si="138"/>
        <v>392.750292</v>
      </c>
      <c r="K2211" s="19">
        <f t="shared" si="139"/>
        <v>23130.925092000001</v>
      </c>
    </row>
    <row r="2212" spans="2:11" ht="15">
      <c r="B2212" s="151">
        <v>63</v>
      </c>
      <c r="C2212" s="7" t="s">
        <v>36</v>
      </c>
      <c r="D2212" s="4" t="s">
        <v>38</v>
      </c>
      <c r="E2212" t="s">
        <v>182</v>
      </c>
      <c r="F2212" s="12">
        <f>IFERROR(VLOOKUP(B2212,'INSUMOS  JULIO'!$B$6:$CJ$109,69,0),"")</f>
        <v>10</v>
      </c>
      <c r="G2212" s="8">
        <f>IFERROR(VLOOKUP($B2212,'INSUMOS  JULIO'!$B$6:$CJ$109,70,0),"")</f>
        <v>8292.39</v>
      </c>
      <c r="H2212" s="19">
        <f t="shared" si="136"/>
        <v>82923.899999999994</v>
      </c>
      <c r="I2212" s="1">
        <f t="shared" si="137"/>
        <v>8292.39</v>
      </c>
      <c r="J2212" s="1">
        <f t="shared" si="138"/>
        <v>1575.5540999999998</v>
      </c>
      <c r="K2212" s="19">
        <f t="shared" si="139"/>
        <v>92791.844099999988</v>
      </c>
    </row>
    <row r="2213" spans="2:11" ht="15">
      <c r="B2213" s="151">
        <v>64</v>
      </c>
      <c r="C2213" s="7" t="s">
        <v>39</v>
      </c>
      <c r="D2213" s="4" t="s">
        <v>40</v>
      </c>
      <c r="E2213" t="s">
        <v>182</v>
      </c>
      <c r="F2213" s="12">
        <f>IFERROR(VLOOKUP(B2213,'INSUMOS  JULIO'!$B$6:$CJ$109,69,0),"")</f>
        <v>10</v>
      </c>
      <c r="G2213" s="8">
        <f>IFERROR(VLOOKUP($B2213,'INSUMOS  JULIO'!$B$6:$CJ$109,70,0),"")</f>
        <v>13820.650000000001</v>
      </c>
      <c r="H2213" s="19">
        <f t="shared" si="136"/>
        <v>138206.5</v>
      </c>
      <c r="I2213" s="1">
        <f t="shared" si="137"/>
        <v>13820.650000000001</v>
      </c>
      <c r="J2213" s="1">
        <f t="shared" si="138"/>
        <v>2625.9235000000003</v>
      </c>
      <c r="K2213" s="19">
        <f t="shared" si="139"/>
        <v>154653.0735</v>
      </c>
    </row>
    <row r="2214" spans="2:11" ht="15">
      <c r="B2214" s="151">
        <v>65</v>
      </c>
      <c r="C2214" s="7" t="s">
        <v>39</v>
      </c>
      <c r="D2214" s="4" t="s">
        <v>41</v>
      </c>
      <c r="E2214" t="s">
        <v>182</v>
      </c>
      <c r="F2214" s="12">
        <f>IFERROR(VLOOKUP(B2214,'INSUMOS  JULIO'!$B$6:$CJ$109,69,0),"")</f>
        <v>10</v>
      </c>
      <c r="G2214" s="8">
        <f>IFERROR(VLOOKUP($B2214,'INSUMOS  JULIO'!$B$6:$CJ$109,70,0),"")</f>
        <v>13820.650000000001</v>
      </c>
      <c r="H2214" s="19">
        <f t="shared" si="136"/>
        <v>138206.5</v>
      </c>
      <c r="I2214" s="1">
        <f t="shared" si="137"/>
        <v>13820.650000000001</v>
      </c>
      <c r="J2214" s="1">
        <f t="shared" si="138"/>
        <v>2625.9235000000003</v>
      </c>
      <c r="K2214" s="19">
        <f t="shared" si="139"/>
        <v>154653.0735</v>
      </c>
    </row>
    <row r="2215" spans="2:11" ht="15">
      <c r="B2215" s="151">
        <v>66</v>
      </c>
      <c r="C2215" s="7" t="s">
        <v>151</v>
      </c>
      <c r="D2215" s="4" t="s">
        <v>42</v>
      </c>
      <c r="E2215" t="s">
        <v>182</v>
      </c>
      <c r="F2215" s="12">
        <f>IFERROR(VLOOKUP(B2215,'INSUMOS  JULIO'!$B$6:$CJ$109,69,0),"")</f>
        <v>0</v>
      </c>
      <c r="G2215" s="8">
        <f>IFERROR(VLOOKUP($B2215,'INSUMOS  JULIO'!$B$6:$CJ$109,70,0),"")</f>
        <v>4178.9862000000003</v>
      </c>
      <c r="H2215" s="19">
        <f t="shared" si="136"/>
        <v>0</v>
      </c>
      <c r="I2215" s="1">
        <f t="shared" si="137"/>
        <v>0</v>
      </c>
      <c r="J2215" s="1">
        <f t="shared" si="138"/>
        <v>0</v>
      </c>
      <c r="K2215" s="19">
        <f t="shared" si="139"/>
        <v>0</v>
      </c>
    </row>
    <row r="2216" spans="2:11" ht="15">
      <c r="B2216" s="151">
        <v>71</v>
      </c>
      <c r="C2216" s="7" t="s">
        <v>151</v>
      </c>
      <c r="D2216" s="4" t="s">
        <v>43</v>
      </c>
      <c r="E2216" t="s">
        <v>182</v>
      </c>
      <c r="F2216" s="12" t="str">
        <f>IFERROR(VLOOKUP(B2216,'INSUMOS  JULIO'!$B$6:$CJ$109,69,0),"")</f>
        <v>0</v>
      </c>
      <c r="G2216" s="8">
        <f>IFERROR(VLOOKUP($B2216,'INSUMOS  JULIO'!$B$6:$CJ$109,70,0),"")</f>
        <v>5196.1440000000002</v>
      </c>
      <c r="H2216" s="19">
        <f t="shared" si="136"/>
        <v>0</v>
      </c>
      <c r="I2216" s="1">
        <f t="shared" si="137"/>
        <v>0</v>
      </c>
      <c r="J2216" s="1">
        <f t="shared" si="138"/>
        <v>0</v>
      </c>
      <c r="K2216" s="19">
        <f t="shared" si="139"/>
        <v>0</v>
      </c>
    </row>
    <row r="2217" spans="2:11" ht="15">
      <c r="B2217" s="151">
        <v>72</v>
      </c>
      <c r="C2217" s="7" t="s">
        <v>151</v>
      </c>
      <c r="D2217" s="4" t="s">
        <v>44</v>
      </c>
      <c r="E2217" t="s">
        <v>182</v>
      </c>
      <c r="F2217" s="12">
        <f>IFERROR(VLOOKUP(B2217,'INSUMOS  JULIO'!$B$6:$CJ$109,69,0),"")</f>
        <v>0</v>
      </c>
      <c r="G2217" s="8">
        <f>IFERROR(VLOOKUP($B2217,'INSUMOS  JULIO'!$B$6:$CJ$109,70,0),"")</f>
        <v>7861.3749000000007</v>
      </c>
      <c r="H2217" s="19">
        <f t="shared" si="136"/>
        <v>0</v>
      </c>
      <c r="I2217" s="1">
        <f t="shared" si="137"/>
        <v>0</v>
      </c>
      <c r="J2217" s="1">
        <f t="shared" si="138"/>
        <v>0</v>
      </c>
      <c r="K2217" s="19">
        <f t="shared" si="139"/>
        <v>0</v>
      </c>
    </row>
    <row r="2218" spans="2:11" ht="27">
      <c r="B2218" s="151">
        <v>73</v>
      </c>
      <c r="C2218" s="7" t="s">
        <v>151</v>
      </c>
      <c r="D2218" s="4" t="s">
        <v>45</v>
      </c>
      <c r="E2218" t="s">
        <v>182</v>
      </c>
      <c r="F2218" s="12">
        <f>IFERROR(VLOOKUP(B2218,'INSUMOS  JULIO'!$B$6:$CJ$109,69,0),"")</f>
        <v>0</v>
      </c>
      <c r="G2218" s="8">
        <f>IFERROR(VLOOKUP($B2218,'INSUMOS  JULIO'!$B$6:$CJ$109,70,0),"")</f>
        <v>4975.4340000000011</v>
      </c>
      <c r="H2218" s="19">
        <f t="shared" si="136"/>
        <v>0</v>
      </c>
      <c r="I2218" s="1">
        <f t="shared" si="137"/>
        <v>0</v>
      </c>
      <c r="J2218" s="1">
        <f t="shared" si="138"/>
        <v>0</v>
      </c>
      <c r="K2218" s="19">
        <f t="shared" si="139"/>
        <v>0</v>
      </c>
    </row>
    <row r="2219" spans="2:11" ht="15">
      <c r="B2219" s="151">
        <v>74</v>
      </c>
      <c r="C2219" s="7" t="s">
        <v>46</v>
      </c>
      <c r="D2219" s="4" t="s">
        <v>47</v>
      </c>
      <c r="E2219" t="s">
        <v>182</v>
      </c>
      <c r="F2219" s="12">
        <f>IFERROR(VLOOKUP(B2219,'INSUMOS  JULIO'!$B$6:$CJ$109,69,0),"")</f>
        <v>0</v>
      </c>
      <c r="G2219" s="8">
        <f>IFERROR(VLOOKUP($B2219,'INSUMOS  JULIO'!$B$6:$CJ$109,70,0),"")</f>
        <v>3261.2529999999997</v>
      </c>
      <c r="H2219" s="19">
        <f t="shared" si="136"/>
        <v>0</v>
      </c>
      <c r="I2219" s="1">
        <f t="shared" si="137"/>
        <v>0</v>
      </c>
      <c r="J2219" s="1">
        <f t="shared" si="138"/>
        <v>0</v>
      </c>
      <c r="K2219" s="19">
        <f t="shared" si="139"/>
        <v>0</v>
      </c>
    </row>
    <row r="2220" spans="2:11" ht="15">
      <c r="B2220" s="151">
        <v>79</v>
      </c>
      <c r="C2220" s="7" t="s">
        <v>159</v>
      </c>
      <c r="D2220" s="4" t="s">
        <v>48</v>
      </c>
      <c r="E2220" t="s">
        <v>182</v>
      </c>
      <c r="F2220" s="12">
        <f>IFERROR(VLOOKUP(B2220,'INSUMOS  JULIO'!$B$6:$CJ$109,69,0),"")</f>
        <v>0</v>
      </c>
      <c r="G2220" s="8">
        <f>IFERROR(VLOOKUP($B2220,'INSUMOS  JULIO'!$B$6:$CJ$109,70,0),"")</f>
        <v>541.2650000000001</v>
      </c>
      <c r="H2220" s="19">
        <f t="shared" si="136"/>
        <v>0</v>
      </c>
      <c r="I2220" s="1">
        <f t="shared" si="137"/>
        <v>0</v>
      </c>
      <c r="J2220" s="1">
        <f t="shared" si="138"/>
        <v>0</v>
      </c>
      <c r="K2220" s="19">
        <f t="shared" si="139"/>
        <v>0</v>
      </c>
    </row>
    <row r="2221" spans="2:11" ht="15">
      <c r="B2221" s="151">
        <v>80</v>
      </c>
      <c r="C2221" s="7" t="s">
        <v>159</v>
      </c>
      <c r="D2221" s="4" t="s">
        <v>49</v>
      </c>
      <c r="E2221" t="s">
        <v>182</v>
      </c>
      <c r="F2221" s="12">
        <f>IFERROR(VLOOKUP(B2221,'INSUMOS  JULIO'!$B$6:$CJ$109,69,0),"")</f>
        <v>0</v>
      </c>
      <c r="G2221" s="8">
        <f>IFERROR(VLOOKUP($B2221,'INSUMOS  JULIO'!$B$6:$CJ$109,70,0),"")</f>
        <v>433.01199999999994</v>
      </c>
      <c r="H2221" s="19">
        <f t="shared" si="136"/>
        <v>0</v>
      </c>
      <c r="I2221" s="1">
        <f t="shared" si="137"/>
        <v>0</v>
      </c>
      <c r="J2221" s="1">
        <f t="shared" si="138"/>
        <v>0</v>
      </c>
      <c r="K2221" s="19">
        <f t="shared" si="139"/>
        <v>0</v>
      </c>
    </row>
    <row r="2222" spans="2:11" ht="15">
      <c r="B2222" s="151">
        <v>81</v>
      </c>
      <c r="C2222" s="7" t="s">
        <v>159</v>
      </c>
      <c r="D2222" s="4" t="s">
        <v>50</v>
      </c>
      <c r="E2222" t="s">
        <v>182</v>
      </c>
      <c r="F2222" s="12">
        <f>IFERROR(VLOOKUP(B2222,'INSUMOS  JULIO'!$B$6:$CJ$109,69,0),"")</f>
        <v>0</v>
      </c>
      <c r="G2222" s="8">
        <f>IFERROR(VLOOKUP($B2222,'INSUMOS  JULIO'!$B$6:$CJ$109,70,0),"")</f>
        <v>211.251</v>
      </c>
      <c r="H2222" s="19">
        <f t="shared" si="136"/>
        <v>0</v>
      </c>
      <c r="I2222" s="1">
        <f t="shared" si="137"/>
        <v>0</v>
      </c>
      <c r="J2222" s="1">
        <f t="shared" si="138"/>
        <v>0</v>
      </c>
      <c r="K2222" s="19">
        <f t="shared" si="139"/>
        <v>0</v>
      </c>
    </row>
    <row r="2223" spans="2:11" ht="15">
      <c r="B2223" s="151">
        <v>82</v>
      </c>
      <c r="C2223" s="7" t="s">
        <v>159</v>
      </c>
      <c r="D2223" s="4" t="s">
        <v>51</v>
      </c>
      <c r="E2223" t="s">
        <v>182</v>
      </c>
      <c r="F2223" s="12" t="str">
        <f>IFERROR(VLOOKUP(B2223,'INSUMOS  JULIO'!$B$6:$CJ$109,69,0),"")</f>
        <v>0</v>
      </c>
      <c r="G2223" s="8">
        <f>IFERROR(VLOOKUP($B2223,'INSUMOS  JULIO'!$B$6:$CJ$109,70,0),"")</f>
        <v>1003.7049999999999</v>
      </c>
      <c r="H2223" s="19">
        <f t="shared" si="136"/>
        <v>0</v>
      </c>
      <c r="I2223" s="1">
        <f t="shared" si="137"/>
        <v>0</v>
      </c>
      <c r="J2223" s="1">
        <f t="shared" si="138"/>
        <v>0</v>
      </c>
      <c r="K2223" s="19">
        <f t="shared" si="139"/>
        <v>0</v>
      </c>
    </row>
    <row r="2224" spans="2:11" ht="15">
      <c r="B2224" s="151">
        <v>83</v>
      </c>
      <c r="C2224" s="7" t="s">
        <v>159</v>
      </c>
      <c r="D2224" s="4" t="s">
        <v>52</v>
      </c>
      <c r="E2224" t="s">
        <v>182</v>
      </c>
      <c r="F2224" s="12" t="str">
        <f>IFERROR(VLOOKUP(B2224,'INSUMOS  JULIO'!$B$6:$CJ$109,69,0),"")</f>
        <v>0</v>
      </c>
      <c r="G2224" s="8">
        <f>IFERROR(VLOOKUP($B2224,'INSUMOS  JULIO'!$B$6:$CJ$109,70,0),"")</f>
        <v>336.32</v>
      </c>
      <c r="H2224" s="19">
        <f t="shared" si="136"/>
        <v>0</v>
      </c>
      <c r="I2224" s="1">
        <f t="shared" si="137"/>
        <v>0</v>
      </c>
      <c r="J2224" s="1">
        <f t="shared" si="138"/>
        <v>0</v>
      </c>
      <c r="K2224" s="19">
        <f t="shared" si="139"/>
        <v>0</v>
      </c>
    </row>
    <row r="2225" spans="2:11" ht="15">
      <c r="B2225" s="151">
        <v>86</v>
      </c>
      <c r="C2225" s="7" t="s">
        <v>53</v>
      </c>
      <c r="D2225" s="4" t="s">
        <v>54</v>
      </c>
      <c r="E2225" t="s">
        <v>182</v>
      </c>
      <c r="F2225" s="12" t="str">
        <f>IFERROR(VLOOKUP(B2225,'INSUMOS  JULIO'!$B$6:$CJ$109,69,0),"")</f>
        <v>0</v>
      </c>
      <c r="G2225" s="8">
        <f>IFERROR(VLOOKUP($B2225,'INSUMOS  JULIO'!$B$6:$CJ$109,70,0),"")</f>
        <v>2792.5070000000005</v>
      </c>
      <c r="H2225" s="19">
        <f t="shared" si="136"/>
        <v>0</v>
      </c>
      <c r="I2225" s="1">
        <f t="shared" si="137"/>
        <v>0</v>
      </c>
      <c r="J2225" s="1">
        <f t="shared" si="138"/>
        <v>0</v>
      </c>
      <c r="K2225" s="19">
        <f t="shared" si="139"/>
        <v>0</v>
      </c>
    </row>
    <row r="2226" spans="2:11" ht="15">
      <c r="B2226" s="151">
        <v>87</v>
      </c>
      <c r="C2226" s="7" t="s">
        <v>53</v>
      </c>
      <c r="D2226" s="4" t="s">
        <v>55</v>
      </c>
      <c r="E2226" t="s">
        <v>182</v>
      </c>
      <c r="F2226" s="12" t="str">
        <f>IFERROR(VLOOKUP(B2226,'INSUMOS  JULIO'!$B$6:$CJ$109,69,0),"")</f>
        <v>0</v>
      </c>
      <c r="G2226" s="8">
        <f>IFERROR(VLOOKUP($B2226,'INSUMOS  JULIO'!$B$6:$CJ$109,70,0),"")</f>
        <v>0</v>
      </c>
      <c r="H2226" s="19">
        <f t="shared" si="136"/>
        <v>0</v>
      </c>
      <c r="I2226" s="1">
        <f t="shared" si="137"/>
        <v>0</v>
      </c>
      <c r="J2226" s="1">
        <f t="shared" si="138"/>
        <v>0</v>
      </c>
      <c r="K2226" s="19">
        <f t="shared" si="139"/>
        <v>0</v>
      </c>
    </row>
    <row r="2227" spans="2:11" ht="15">
      <c r="B2227" s="151">
        <v>88</v>
      </c>
      <c r="C2227" s="7" t="s">
        <v>53</v>
      </c>
      <c r="D2227" s="4" t="s">
        <v>56</v>
      </c>
      <c r="E2227" t="s">
        <v>182</v>
      </c>
      <c r="F2227" s="12">
        <f>IFERROR(VLOOKUP(B2227,'INSUMOS  JULIO'!$B$6:$CJ$109,69,0),"")</f>
        <v>0</v>
      </c>
      <c r="G2227" s="8">
        <f>IFERROR(VLOOKUP($B2227,'INSUMOS  JULIO'!$B$6:$CJ$109,70,0),"")</f>
        <v>2717.886</v>
      </c>
      <c r="H2227" s="19">
        <f t="shared" si="136"/>
        <v>0</v>
      </c>
      <c r="I2227" s="1">
        <f t="shared" si="137"/>
        <v>0</v>
      </c>
      <c r="J2227" s="1">
        <f t="shared" si="138"/>
        <v>0</v>
      </c>
      <c r="K2227" s="19">
        <f t="shared" si="139"/>
        <v>0</v>
      </c>
    </row>
    <row r="2228" spans="2:11" ht="15">
      <c r="B2228" s="151">
        <v>89</v>
      </c>
      <c r="C2228" s="7" t="s">
        <v>53</v>
      </c>
      <c r="D2228" s="4" t="s">
        <v>57</v>
      </c>
      <c r="E2228" t="s">
        <v>182</v>
      </c>
      <c r="F2228" s="12" t="str">
        <f>IFERROR(VLOOKUP(B2228,'INSUMOS  JULIO'!$B$6:$CJ$109,69,0),"")</f>
        <v>0</v>
      </c>
      <c r="G2228" s="8">
        <f>IFERROR(VLOOKUP($B2228,'INSUMOS  JULIO'!$B$6:$CJ$109,70,0),"")</f>
        <v>2650.6220000000003</v>
      </c>
      <c r="H2228" s="19">
        <f t="shared" si="136"/>
        <v>0</v>
      </c>
      <c r="I2228" s="1">
        <f t="shared" si="137"/>
        <v>0</v>
      </c>
      <c r="J2228" s="1">
        <f t="shared" si="138"/>
        <v>0</v>
      </c>
      <c r="K2228" s="19">
        <f t="shared" si="139"/>
        <v>0</v>
      </c>
    </row>
    <row r="2229" spans="2:11" ht="15">
      <c r="B2229" s="151">
        <v>91</v>
      </c>
      <c r="C2229" s="7" t="s">
        <v>160</v>
      </c>
      <c r="D2229" s="4" t="s">
        <v>58</v>
      </c>
      <c r="E2229" t="s">
        <v>182</v>
      </c>
      <c r="F2229" s="12" t="str">
        <f>IFERROR(VLOOKUP(B2229,'INSUMOS  JULIO'!$B$6:$CJ$109,69,0),"")</f>
        <v>0</v>
      </c>
      <c r="G2229" s="8">
        <f>IFERROR(VLOOKUP($B2229,'INSUMOS  JULIO'!$B$6:$CJ$109,70,0),"")</f>
        <v>4364.8029999999999</v>
      </c>
      <c r="H2229" s="19">
        <f t="shared" si="136"/>
        <v>0</v>
      </c>
      <c r="I2229" s="1">
        <f t="shared" si="137"/>
        <v>0</v>
      </c>
      <c r="J2229" s="1">
        <f t="shared" si="138"/>
        <v>0</v>
      </c>
      <c r="K2229" s="19">
        <f t="shared" si="139"/>
        <v>0</v>
      </c>
    </row>
    <row r="2230" spans="2:11" ht="15">
      <c r="B2230" s="151">
        <v>92</v>
      </c>
      <c r="C2230" s="7" t="s">
        <v>160</v>
      </c>
      <c r="D2230" s="4" t="s">
        <v>59</v>
      </c>
      <c r="E2230" t="s">
        <v>182</v>
      </c>
      <c r="F2230" s="12" t="str">
        <f>IFERROR(VLOOKUP(B2230,'INSUMOS  JULIO'!$B$6:$CJ$109,69,0),"")</f>
        <v>0</v>
      </c>
      <c r="G2230" s="8">
        <f>IFERROR(VLOOKUP($B2230,'INSUMOS  JULIO'!$B$6:$CJ$109,70,0),"")</f>
        <v>2380.5149999999999</v>
      </c>
      <c r="H2230" s="19">
        <f t="shared" si="136"/>
        <v>0</v>
      </c>
      <c r="I2230" s="1">
        <f t="shared" si="137"/>
        <v>0</v>
      </c>
      <c r="J2230" s="1">
        <f t="shared" si="138"/>
        <v>0</v>
      </c>
      <c r="K2230" s="19">
        <f t="shared" si="139"/>
        <v>0</v>
      </c>
    </row>
    <row r="2231" spans="2:11" ht="15">
      <c r="B2231" s="151">
        <v>94</v>
      </c>
      <c r="C2231" s="7" t="s">
        <v>60</v>
      </c>
      <c r="D2231" s="4" t="s">
        <v>61</v>
      </c>
      <c r="E2231" t="s">
        <v>182</v>
      </c>
      <c r="F2231" s="12" t="str">
        <f>IFERROR(VLOOKUP(B2231,'INSUMOS  JULIO'!$B$6:$CJ$109,69,0),"")</f>
        <v>0</v>
      </c>
      <c r="G2231" s="8">
        <f>IFERROR(VLOOKUP($B2231,'INSUMOS  JULIO'!$B$6:$CJ$109,70,0),"")</f>
        <v>3316.9560000000001</v>
      </c>
      <c r="H2231" s="19">
        <f t="shared" si="136"/>
        <v>0</v>
      </c>
      <c r="I2231" s="1">
        <f t="shared" si="137"/>
        <v>0</v>
      </c>
      <c r="J2231" s="1">
        <f t="shared" si="138"/>
        <v>0</v>
      </c>
      <c r="K2231" s="19">
        <f t="shared" si="139"/>
        <v>0</v>
      </c>
    </row>
    <row r="2232" spans="2:11" ht="15">
      <c r="B2232" s="151">
        <v>95</v>
      </c>
      <c r="C2232" s="7" t="s">
        <v>60</v>
      </c>
      <c r="D2232" s="4" t="s">
        <v>62</v>
      </c>
      <c r="E2232" t="s">
        <v>182</v>
      </c>
      <c r="F2232" s="12" t="str">
        <f>IFERROR(VLOOKUP(B2232,'INSUMOS  JULIO'!$B$6:$CJ$109,69,0),"")</f>
        <v>0</v>
      </c>
      <c r="G2232" s="8">
        <f>IFERROR(VLOOKUP($B2232,'INSUMOS  JULIO'!$B$6:$CJ$109,70,0),"")</f>
        <v>11056.52</v>
      </c>
      <c r="H2232" s="19">
        <f t="shared" si="136"/>
        <v>0</v>
      </c>
      <c r="I2232" s="1">
        <f t="shared" si="137"/>
        <v>0</v>
      </c>
      <c r="J2232" s="1">
        <f t="shared" si="138"/>
        <v>0</v>
      </c>
      <c r="K2232" s="19">
        <f t="shared" si="139"/>
        <v>0</v>
      </c>
    </row>
    <row r="2233" spans="2:11" ht="15">
      <c r="B2233" s="151">
        <v>98</v>
      </c>
      <c r="C2233" s="7" t="s">
        <v>151</v>
      </c>
      <c r="D2233" s="4" t="s">
        <v>63</v>
      </c>
      <c r="E2233" t="s">
        <v>182</v>
      </c>
      <c r="F2233" s="12">
        <f>IFERROR(VLOOKUP(B2233,'INSUMOS  JULIO'!$B$6:$CJ$109,69,0),"")</f>
        <v>0</v>
      </c>
      <c r="G2233" s="8">
        <f>IFERROR(VLOOKUP($B2233,'INSUMOS  JULIO'!$B$6:$CJ$109,70,0),"")</f>
        <v>6633.9120000000003</v>
      </c>
      <c r="H2233" s="19">
        <f t="shared" si="136"/>
        <v>0</v>
      </c>
      <c r="I2233" s="1">
        <f t="shared" si="137"/>
        <v>0</v>
      </c>
      <c r="J2233" s="1">
        <f t="shared" si="138"/>
        <v>0</v>
      </c>
      <c r="K2233" s="19">
        <f t="shared" si="139"/>
        <v>0</v>
      </c>
    </row>
    <row r="2234" spans="2:11" ht="15">
      <c r="B2234" s="151">
        <v>100</v>
      </c>
      <c r="C2234" s="7" t="s">
        <v>160</v>
      </c>
      <c r="D2234" s="4" t="s">
        <v>64</v>
      </c>
      <c r="E2234" t="s">
        <v>182</v>
      </c>
      <c r="F2234" s="12" t="str">
        <f>IFERROR(VLOOKUP(B2234,'INSUMOS  JULIO'!$B$6:$CJ$109,69,0),"")</f>
        <v>0</v>
      </c>
      <c r="G2234" s="8">
        <f>IFERROR(VLOOKUP($B2234,'INSUMOS  JULIO'!$B$6:$CJ$109,70,0),"")</f>
        <v>4364.8029999999999</v>
      </c>
      <c r="H2234" s="19">
        <f t="shared" si="136"/>
        <v>0</v>
      </c>
      <c r="I2234" s="1">
        <f t="shared" si="137"/>
        <v>0</v>
      </c>
      <c r="J2234" s="1">
        <f t="shared" si="138"/>
        <v>0</v>
      </c>
      <c r="K2234" s="19">
        <f t="shared" si="139"/>
        <v>0</v>
      </c>
    </row>
    <row r="2235" spans="2:11" ht="15">
      <c r="B2235" s="151">
        <v>102</v>
      </c>
      <c r="C2235" s="7" t="s">
        <v>60</v>
      </c>
      <c r="D2235" s="4" t="s">
        <v>65</v>
      </c>
      <c r="E2235" t="s">
        <v>182</v>
      </c>
      <c r="F2235" s="12" t="str">
        <f>IFERROR(VLOOKUP(B2235,'INSUMOS  JULIO'!$B$6:$CJ$109,69,0),"")</f>
        <v>0</v>
      </c>
      <c r="G2235" s="8">
        <f>IFERROR(VLOOKUP($B2235,'INSUMOS  JULIO'!$B$6:$CJ$109,70,0),"")</f>
        <v>3811.9770000000003</v>
      </c>
      <c r="H2235" s="19">
        <f t="shared" si="136"/>
        <v>0</v>
      </c>
      <c r="I2235" s="1">
        <f t="shared" si="137"/>
        <v>0</v>
      </c>
      <c r="J2235" s="1">
        <f t="shared" si="138"/>
        <v>0</v>
      </c>
      <c r="K2235" s="19">
        <f t="shared" si="139"/>
        <v>0</v>
      </c>
    </row>
    <row r="2236" spans="2:11" ht="15">
      <c r="B2236" s="151">
        <v>103</v>
      </c>
      <c r="C2236" s="7" t="s">
        <v>66</v>
      </c>
      <c r="D2236" s="4" t="s">
        <v>67</v>
      </c>
      <c r="E2236" t="s">
        <v>182</v>
      </c>
      <c r="F2236" s="12" t="str">
        <f>IFERROR(VLOOKUP(B2236,'INSUMOS  JULIO'!$B$6:$CJ$109,69,0),"")</f>
        <v>0</v>
      </c>
      <c r="G2236" s="8">
        <f>IFERROR(VLOOKUP($B2236,'INSUMOS  JULIO'!$B$6:$CJ$109,70,0),"")</f>
        <v>18022.547999999999</v>
      </c>
      <c r="H2236" s="19">
        <f t="shared" si="136"/>
        <v>0</v>
      </c>
      <c r="I2236" s="1">
        <f t="shared" si="137"/>
        <v>0</v>
      </c>
      <c r="J2236" s="1">
        <f t="shared" si="138"/>
        <v>0</v>
      </c>
      <c r="K2236" s="19">
        <f t="shared" si="139"/>
        <v>0</v>
      </c>
    </row>
    <row r="2237" spans="2:11" ht="15">
      <c r="B2237" s="151">
        <v>104</v>
      </c>
      <c r="C2237" s="7" t="s">
        <v>66</v>
      </c>
      <c r="D2237" s="4" t="s">
        <v>68</v>
      </c>
      <c r="E2237" t="s">
        <v>182</v>
      </c>
      <c r="F2237" s="12" t="str">
        <f>IFERROR(VLOOKUP(B2237,'INSUMOS  JULIO'!$B$6:$CJ$109,69,0),"")</f>
        <v>0</v>
      </c>
      <c r="G2237" s="8">
        <f>IFERROR(VLOOKUP($B2237,'INSUMOS  JULIO'!$B$6:$CJ$109,70,0),"")</f>
        <v>18022.547999999999</v>
      </c>
      <c r="H2237" s="19">
        <f t="shared" si="136"/>
        <v>0</v>
      </c>
      <c r="I2237" s="1">
        <f t="shared" si="137"/>
        <v>0</v>
      </c>
      <c r="J2237" s="1">
        <f t="shared" si="138"/>
        <v>0</v>
      </c>
      <c r="K2237" s="19">
        <f t="shared" si="139"/>
        <v>0</v>
      </c>
    </row>
    <row r="2238" spans="2:11" ht="15">
      <c r="B2238" s="151">
        <v>105</v>
      </c>
      <c r="C2238" s="7" t="s">
        <v>66</v>
      </c>
      <c r="D2238" s="4" t="s">
        <v>69</v>
      </c>
      <c r="E2238" t="s">
        <v>182</v>
      </c>
      <c r="F2238" s="12" t="str">
        <f>IFERROR(VLOOKUP(B2238,'INSUMOS  JULIO'!$B$6:$CJ$109,69,0),"")</f>
        <v>0</v>
      </c>
      <c r="G2238" s="8">
        <f>IFERROR(VLOOKUP($B2238,'INSUMOS  JULIO'!$B$6:$CJ$109,70,0),"")</f>
        <v>27641.3</v>
      </c>
      <c r="H2238" s="19">
        <f t="shared" si="136"/>
        <v>0</v>
      </c>
      <c r="I2238" s="1">
        <f t="shared" si="137"/>
        <v>0</v>
      </c>
      <c r="J2238" s="1">
        <f t="shared" si="138"/>
        <v>0</v>
      </c>
      <c r="K2238" s="19">
        <f t="shared" si="139"/>
        <v>0</v>
      </c>
    </row>
    <row r="2239" spans="2:11" ht="15">
      <c r="B2239" s="151">
        <v>106</v>
      </c>
      <c r="C2239" s="7" t="s">
        <v>66</v>
      </c>
      <c r="D2239" s="4" t="s">
        <v>70</v>
      </c>
      <c r="E2239" t="s">
        <v>182</v>
      </c>
      <c r="F2239" s="12" t="str">
        <f>IFERROR(VLOOKUP(B2239,'INSUMOS  JULIO'!$B$6:$CJ$109,69,0),"")</f>
        <v>0</v>
      </c>
      <c r="G2239" s="8">
        <f>IFERROR(VLOOKUP($B2239,'INSUMOS  JULIO'!$B$6:$CJ$109,70,0),"")</f>
        <v>0</v>
      </c>
      <c r="H2239" s="19">
        <f t="shared" si="136"/>
        <v>0</v>
      </c>
      <c r="I2239" s="1">
        <f t="shared" si="137"/>
        <v>0</v>
      </c>
      <c r="J2239" s="1">
        <f t="shared" si="138"/>
        <v>0</v>
      </c>
      <c r="K2239" s="19">
        <f t="shared" si="139"/>
        <v>0</v>
      </c>
    </row>
    <row r="2240" spans="2:11" ht="15">
      <c r="B2240" s="151">
        <v>108</v>
      </c>
      <c r="C2240" s="7" t="s">
        <v>66</v>
      </c>
      <c r="D2240" s="4" t="s">
        <v>71</v>
      </c>
      <c r="E2240" t="s">
        <v>182</v>
      </c>
      <c r="F2240" s="12" t="str">
        <f>IFERROR(VLOOKUP(B2240,'INSUMOS  JULIO'!$B$6:$CJ$109,69,0),"")</f>
        <v>0</v>
      </c>
      <c r="G2240" s="8">
        <f>IFERROR(VLOOKUP($B2240,'INSUMOS  JULIO'!$B$6:$CJ$109,70,0),"")</f>
        <v>38697.82</v>
      </c>
      <c r="H2240" s="19">
        <f t="shared" si="136"/>
        <v>0</v>
      </c>
      <c r="I2240" s="1">
        <f t="shared" si="137"/>
        <v>0</v>
      </c>
      <c r="J2240" s="1">
        <f t="shared" si="138"/>
        <v>0</v>
      </c>
      <c r="K2240" s="19">
        <f t="shared" si="139"/>
        <v>0</v>
      </c>
    </row>
    <row r="2241" spans="2:11" ht="15">
      <c r="B2241" s="151">
        <v>109</v>
      </c>
      <c r="C2241" s="7" t="s">
        <v>66</v>
      </c>
      <c r="D2241" s="4" t="s">
        <v>72</v>
      </c>
      <c r="E2241" t="s">
        <v>182</v>
      </c>
      <c r="F2241" s="12" t="str">
        <f>IFERROR(VLOOKUP(B2241,'INSUMOS  JULIO'!$B$6:$CJ$109,69,0),"")</f>
        <v>0</v>
      </c>
      <c r="G2241" s="8">
        <f>IFERROR(VLOOKUP($B2241,'INSUMOS  JULIO'!$B$6:$CJ$109,70,0),"")</f>
        <v>49754.340000000004</v>
      </c>
      <c r="H2241" s="19">
        <f t="shared" si="136"/>
        <v>0</v>
      </c>
      <c r="I2241" s="1">
        <f t="shared" si="137"/>
        <v>0</v>
      </c>
      <c r="J2241" s="1">
        <f t="shared" si="138"/>
        <v>0</v>
      </c>
      <c r="K2241" s="19">
        <f t="shared" si="139"/>
        <v>0</v>
      </c>
    </row>
    <row r="2242" spans="2:11" ht="15">
      <c r="B2242" s="151">
        <v>110</v>
      </c>
      <c r="C2242" s="7" t="s">
        <v>158</v>
      </c>
      <c r="D2242" s="4" t="s">
        <v>73</v>
      </c>
      <c r="E2242" t="s">
        <v>182</v>
      </c>
      <c r="F2242" s="12">
        <f>IFERROR(VLOOKUP(B2242,'INSUMOS  JULIO'!$B$6:$CJ$109,69,0),"")</f>
        <v>15</v>
      </c>
      <c r="G2242" s="8">
        <f>IFERROR(VLOOKUP($B2242,'INSUMOS  JULIO'!$B$6:$CJ$109,70,0),"")</f>
        <v>470.84799999999996</v>
      </c>
      <c r="H2242" s="19">
        <f t="shared" si="136"/>
        <v>7062.7199999999993</v>
      </c>
      <c r="I2242" s="1">
        <f t="shared" si="137"/>
        <v>706.27199999999993</v>
      </c>
      <c r="J2242" s="1">
        <f t="shared" si="138"/>
        <v>134.19167999999999</v>
      </c>
      <c r="K2242" s="19">
        <f t="shared" si="139"/>
        <v>7903.1836799999992</v>
      </c>
    </row>
    <row r="2243" spans="2:11" ht="15">
      <c r="B2243" s="151">
        <v>118</v>
      </c>
      <c r="C2243" s="7" t="s">
        <v>158</v>
      </c>
      <c r="D2243" s="4" t="s">
        <v>74</v>
      </c>
      <c r="E2243" t="s">
        <v>182</v>
      </c>
      <c r="F2243" s="12">
        <f>IFERROR(VLOOKUP(B2243,'INSUMOS  JULIO'!$B$6:$CJ$109,69,0),"")</f>
        <v>0</v>
      </c>
      <c r="G2243" s="8">
        <f>IFERROR(VLOOKUP($B2243,'INSUMOS  JULIO'!$B$6:$CJ$109,70,0),"")</f>
        <v>2455.136</v>
      </c>
      <c r="H2243" s="19">
        <f t="shared" si="136"/>
        <v>0</v>
      </c>
      <c r="I2243" s="1">
        <f t="shared" si="137"/>
        <v>0</v>
      </c>
      <c r="J2243" s="1">
        <f t="shared" si="138"/>
        <v>0</v>
      </c>
      <c r="K2243" s="19">
        <f t="shared" si="139"/>
        <v>0</v>
      </c>
    </row>
    <row r="2244" spans="2:11" ht="15">
      <c r="B2244" s="151">
        <v>119</v>
      </c>
      <c r="C2244" s="7" t="s">
        <v>158</v>
      </c>
      <c r="D2244" s="4" t="s">
        <v>75</v>
      </c>
      <c r="E2244" t="s">
        <v>182</v>
      </c>
      <c r="F2244" s="12" t="str">
        <f>IFERROR(VLOOKUP(B2244,'INSUMOS  JULIO'!$B$6:$CJ$109,69,0),"")</f>
        <v>0</v>
      </c>
      <c r="G2244" s="8">
        <f>IFERROR(VLOOKUP($B2244,'INSUMOS  JULIO'!$B$6:$CJ$109,70,0),"")</f>
        <v>2821.9350000000004</v>
      </c>
      <c r="H2244" s="19">
        <f t="shared" si="136"/>
        <v>0</v>
      </c>
      <c r="I2244" s="1">
        <f t="shared" si="137"/>
        <v>0</v>
      </c>
      <c r="J2244" s="1">
        <f t="shared" si="138"/>
        <v>0</v>
      </c>
      <c r="K2244" s="19">
        <f t="shared" si="139"/>
        <v>0</v>
      </c>
    </row>
    <row r="2245" spans="2:11" ht="15">
      <c r="B2245" s="151">
        <v>120</v>
      </c>
      <c r="C2245" s="7" t="s">
        <v>158</v>
      </c>
      <c r="D2245" s="4" t="s">
        <v>76</v>
      </c>
      <c r="E2245" t="s">
        <v>182</v>
      </c>
      <c r="F2245" s="12" t="str">
        <f>IFERROR(VLOOKUP(B2245,'INSUMOS  JULIO'!$B$6:$CJ$109,69,0),"")</f>
        <v>0</v>
      </c>
      <c r="G2245" s="8">
        <f>IFERROR(VLOOKUP($B2245,'INSUMOS  JULIO'!$B$6:$CJ$109,70,0),"")</f>
        <v>2821.9350000000004</v>
      </c>
      <c r="H2245" s="19">
        <f t="shared" si="136"/>
        <v>0</v>
      </c>
      <c r="I2245" s="1">
        <f t="shared" si="137"/>
        <v>0</v>
      </c>
      <c r="J2245" s="1">
        <f t="shared" si="138"/>
        <v>0</v>
      </c>
      <c r="K2245" s="19">
        <f t="shared" si="139"/>
        <v>0</v>
      </c>
    </row>
    <row r="2246" spans="2:11" ht="15">
      <c r="B2246" s="151">
        <v>122</v>
      </c>
      <c r="C2246" s="7" t="s">
        <v>158</v>
      </c>
      <c r="D2246" s="4" t="s">
        <v>77</v>
      </c>
      <c r="E2246" t="s">
        <v>182</v>
      </c>
      <c r="F2246" s="12" t="str">
        <f>IFERROR(VLOOKUP(B2246,'INSUMOS  JULIO'!$B$6:$CJ$109,69,0),"")</f>
        <v>0</v>
      </c>
      <c r="G2246" s="8">
        <f>IFERROR(VLOOKUP($B2246,'INSUMOS  JULIO'!$B$6:$CJ$109,70,0),"")</f>
        <v>5223.4699999999993</v>
      </c>
      <c r="H2246" s="19">
        <f t="shared" ref="H2246:H2309" si="140">+F2246*G2246</f>
        <v>0</v>
      </c>
      <c r="I2246" s="1">
        <f t="shared" ref="I2246:I2309" si="141">+H2246*10%</f>
        <v>0</v>
      </c>
      <c r="J2246" s="1">
        <f t="shared" ref="J2246:J2309" si="142">+I2246*19%</f>
        <v>0</v>
      </c>
      <c r="K2246" s="19">
        <f t="shared" ref="K2246:K2309" si="143">SUM(H2246:J2246)</f>
        <v>0</v>
      </c>
    </row>
    <row r="2247" spans="2:11" ht="15">
      <c r="B2247" s="151">
        <v>123</v>
      </c>
      <c r="C2247" s="7" t="s">
        <v>158</v>
      </c>
      <c r="D2247" s="4" t="s">
        <v>78</v>
      </c>
      <c r="E2247" t="s">
        <v>182</v>
      </c>
      <c r="F2247" s="12" t="str">
        <f>IFERROR(VLOOKUP(B2247,'INSUMOS  JULIO'!$B$6:$CJ$109,69,0),"")</f>
        <v>0</v>
      </c>
      <c r="G2247" s="8">
        <f>IFERROR(VLOOKUP($B2247,'INSUMOS  JULIO'!$B$6:$CJ$109,70,0),"")</f>
        <v>5765.7860000000001</v>
      </c>
      <c r="H2247" s="19">
        <f t="shared" si="140"/>
        <v>0</v>
      </c>
      <c r="I2247" s="1">
        <f t="shared" si="141"/>
        <v>0</v>
      </c>
      <c r="J2247" s="1">
        <f t="shared" si="142"/>
        <v>0</v>
      </c>
      <c r="K2247" s="19">
        <f t="shared" si="143"/>
        <v>0</v>
      </c>
    </row>
    <row r="2248" spans="2:11" ht="15">
      <c r="B2248" s="151">
        <v>124</v>
      </c>
      <c r="C2248" s="7" t="s">
        <v>158</v>
      </c>
      <c r="D2248" s="4" t="s">
        <v>79</v>
      </c>
      <c r="E2248" t="s">
        <v>182</v>
      </c>
      <c r="F2248" s="12" t="str">
        <f>IFERROR(VLOOKUP(B2248,'INSUMOS  JULIO'!$B$6:$CJ$109,69,0),"")</f>
        <v>0</v>
      </c>
      <c r="G2248" s="8">
        <f>IFERROR(VLOOKUP($B2248,'INSUMOS  JULIO'!$B$6:$CJ$109,70,0),"")</f>
        <v>5765.7860000000001</v>
      </c>
      <c r="H2248" s="19">
        <f t="shared" si="140"/>
        <v>0</v>
      </c>
      <c r="I2248" s="1">
        <f t="shared" si="141"/>
        <v>0</v>
      </c>
      <c r="J2248" s="1">
        <f t="shared" si="142"/>
        <v>0</v>
      </c>
      <c r="K2248" s="19">
        <f t="shared" si="143"/>
        <v>0</v>
      </c>
    </row>
    <row r="2249" spans="2:11" ht="15">
      <c r="B2249" s="151">
        <v>126</v>
      </c>
      <c r="C2249" s="7" t="s">
        <v>158</v>
      </c>
      <c r="D2249" s="4" t="s">
        <v>80</v>
      </c>
      <c r="E2249" t="s">
        <v>182</v>
      </c>
      <c r="F2249" s="12" t="str">
        <f>IFERROR(VLOOKUP(B2249,'INSUMOS  JULIO'!$B$6:$CJ$109,69,0),"")</f>
        <v>0</v>
      </c>
      <c r="G2249" s="8">
        <f>IFERROR(VLOOKUP($B2249,'INSUMOS  JULIO'!$B$6:$CJ$109,70,0),"")</f>
        <v>3316.9560000000001</v>
      </c>
      <c r="H2249" s="19">
        <f t="shared" si="140"/>
        <v>0</v>
      </c>
      <c r="I2249" s="1">
        <f t="shared" si="141"/>
        <v>0</v>
      </c>
      <c r="J2249" s="1">
        <f t="shared" si="142"/>
        <v>0</v>
      </c>
      <c r="K2249" s="19">
        <f t="shared" si="143"/>
        <v>0</v>
      </c>
    </row>
    <row r="2250" spans="2:11" ht="15">
      <c r="B2250" s="151">
        <v>127</v>
      </c>
      <c r="C2250" s="7" t="s">
        <v>158</v>
      </c>
      <c r="D2250" s="4" t="s">
        <v>81</v>
      </c>
      <c r="E2250" t="s">
        <v>182</v>
      </c>
      <c r="F2250" s="12" t="str">
        <f>IFERROR(VLOOKUP(B2250,'INSUMOS  JULIO'!$B$6:$CJ$109,69,0),"")</f>
        <v>0</v>
      </c>
      <c r="G2250" s="8">
        <f>IFERROR(VLOOKUP($B2250,'INSUMOS  JULIO'!$B$6:$CJ$109,70,0),"")</f>
        <v>3316.9560000000001</v>
      </c>
      <c r="H2250" s="19">
        <f t="shared" si="140"/>
        <v>0</v>
      </c>
      <c r="I2250" s="1">
        <f t="shared" si="141"/>
        <v>0</v>
      </c>
      <c r="J2250" s="1">
        <f t="shared" si="142"/>
        <v>0</v>
      </c>
      <c r="K2250" s="19">
        <f t="shared" si="143"/>
        <v>0</v>
      </c>
    </row>
    <row r="2251" spans="2:11" ht="15">
      <c r="B2251" s="151">
        <v>129</v>
      </c>
      <c r="C2251" s="7" t="s">
        <v>158</v>
      </c>
      <c r="D2251" s="4" t="s">
        <v>82</v>
      </c>
      <c r="E2251" t="s">
        <v>182</v>
      </c>
      <c r="F2251" s="12" t="str">
        <f>IFERROR(VLOOKUP(B2251,'INSUMOS  JULIO'!$B$6:$CJ$109,69,0),"")</f>
        <v>0</v>
      </c>
      <c r="G2251" s="8">
        <f>IFERROR(VLOOKUP($B2251,'INSUMOS  JULIO'!$B$6:$CJ$109,70,0),"")</f>
        <v>3787.8040000000001</v>
      </c>
      <c r="H2251" s="19">
        <f t="shared" si="140"/>
        <v>0</v>
      </c>
      <c r="I2251" s="1">
        <f t="shared" si="141"/>
        <v>0</v>
      </c>
      <c r="J2251" s="1">
        <f t="shared" si="142"/>
        <v>0</v>
      </c>
      <c r="K2251" s="19">
        <f t="shared" si="143"/>
        <v>0</v>
      </c>
    </row>
    <row r="2252" spans="2:11" ht="15">
      <c r="B2252" s="151">
        <v>131</v>
      </c>
      <c r="C2252" s="7" t="s">
        <v>158</v>
      </c>
      <c r="D2252" s="4" t="s">
        <v>83</v>
      </c>
      <c r="E2252" t="s">
        <v>182</v>
      </c>
      <c r="F2252" s="12" t="str">
        <f>IFERROR(VLOOKUP(B2252,'INSUMOS  JULIO'!$B$6:$CJ$109,69,0),"")</f>
        <v>0</v>
      </c>
      <c r="G2252" s="8">
        <f>IFERROR(VLOOKUP($B2252,'INSUMOS  JULIO'!$B$6:$CJ$109,70,0),"")</f>
        <v>0</v>
      </c>
      <c r="H2252" s="19">
        <f t="shared" si="140"/>
        <v>0</v>
      </c>
      <c r="I2252" s="1">
        <f t="shared" si="141"/>
        <v>0</v>
      </c>
      <c r="J2252" s="1">
        <f t="shared" si="142"/>
        <v>0</v>
      </c>
      <c r="K2252" s="19">
        <f t="shared" si="143"/>
        <v>0</v>
      </c>
    </row>
    <row r="2253" spans="2:11" ht="15">
      <c r="B2253" s="151">
        <v>132</v>
      </c>
      <c r="C2253" s="7" t="s">
        <v>158</v>
      </c>
      <c r="D2253" s="4" t="s">
        <v>84</v>
      </c>
      <c r="E2253" t="s">
        <v>182</v>
      </c>
      <c r="F2253" s="12" t="str">
        <f>IFERROR(VLOOKUP(B2253,'INSUMOS  JULIO'!$B$6:$CJ$109,69,0),"")</f>
        <v>0</v>
      </c>
      <c r="G2253" s="8">
        <f>IFERROR(VLOOKUP($B2253,'INSUMOS  JULIO'!$B$6:$CJ$109,70,0),"")</f>
        <v>0</v>
      </c>
      <c r="H2253" s="19">
        <f t="shared" si="140"/>
        <v>0</v>
      </c>
      <c r="I2253" s="1">
        <f t="shared" si="141"/>
        <v>0</v>
      </c>
      <c r="J2253" s="1">
        <f t="shared" si="142"/>
        <v>0</v>
      </c>
      <c r="K2253" s="19">
        <f t="shared" si="143"/>
        <v>0</v>
      </c>
    </row>
    <row r="2254" spans="2:11" ht="15">
      <c r="B2254" s="151">
        <v>134</v>
      </c>
      <c r="C2254" s="7" t="s">
        <v>158</v>
      </c>
      <c r="D2254" s="4" t="s">
        <v>85</v>
      </c>
      <c r="E2254" t="s">
        <v>182</v>
      </c>
      <c r="F2254" s="12" t="str">
        <f>IFERROR(VLOOKUP(B2254,'INSUMOS  JULIO'!$B$6:$CJ$109,69,0),"")</f>
        <v>0</v>
      </c>
      <c r="G2254" s="8">
        <f>IFERROR(VLOOKUP($B2254,'INSUMOS  JULIO'!$B$6:$CJ$109,70,0),"")</f>
        <v>0</v>
      </c>
      <c r="H2254" s="19">
        <f t="shared" si="140"/>
        <v>0</v>
      </c>
      <c r="I2254" s="1">
        <f t="shared" si="141"/>
        <v>0</v>
      </c>
      <c r="J2254" s="1">
        <f t="shared" si="142"/>
        <v>0</v>
      </c>
      <c r="K2254" s="19">
        <f t="shared" si="143"/>
        <v>0</v>
      </c>
    </row>
    <row r="2255" spans="2:11" ht="15">
      <c r="B2255" s="151">
        <v>135</v>
      </c>
      <c r="C2255" s="7" t="s">
        <v>152</v>
      </c>
      <c r="D2255" s="4" t="s">
        <v>86</v>
      </c>
      <c r="E2255" t="s">
        <v>182</v>
      </c>
      <c r="F2255" s="12">
        <f>IFERROR(VLOOKUP(B2255,'INSUMOS  JULIO'!$B$6:$CJ$109,69,0),"")</f>
        <v>0</v>
      </c>
      <c r="G2255" s="8">
        <f>IFERROR(VLOOKUP($B2255,'INSUMOS  JULIO'!$B$6:$CJ$109,70,0),"")</f>
        <v>6229.277</v>
      </c>
      <c r="H2255" s="19">
        <f t="shared" si="140"/>
        <v>0</v>
      </c>
      <c r="I2255" s="1">
        <f t="shared" si="141"/>
        <v>0</v>
      </c>
      <c r="J2255" s="1">
        <f t="shared" si="142"/>
        <v>0</v>
      </c>
      <c r="K2255" s="19">
        <f t="shared" si="143"/>
        <v>0</v>
      </c>
    </row>
    <row r="2256" spans="2:11" ht="15">
      <c r="B2256" s="151">
        <v>137</v>
      </c>
      <c r="C2256" s="7" t="s">
        <v>87</v>
      </c>
      <c r="D2256" s="4" t="s">
        <v>88</v>
      </c>
      <c r="E2256" t="s">
        <v>182</v>
      </c>
      <c r="F2256" s="12" t="str">
        <f>IFERROR(VLOOKUP(B2256,'INSUMOS  JULIO'!$B$6:$CJ$109,69,0),"")</f>
        <v>0</v>
      </c>
      <c r="G2256" s="8">
        <f>IFERROR(VLOOKUP($B2256,'INSUMOS  JULIO'!$B$6:$CJ$109,70,0),"")</f>
        <v>1245.4349999999999</v>
      </c>
      <c r="H2256" s="19">
        <f t="shared" si="140"/>
        <v>0</v>
      </c>
      <c r="I2256" s="1">
        <f t="shared" si="141"/>
        <v>0</v>
      </c>
      <c r="J2256" s="1">
        <f t="shared" si="142"/>
        <v>0</v>
      </c>
      <c r="K2256" s="19">
        <f t="shared" si="143"/>
        <v>0</v>
      </c>
    </row>
    <row r="2257" spans="2:11" ht="15">
      <c r="B2257" s="151">
        <v>139</v>
      </c>
      <c r="C2257" s="7" t="s">
        <v>87</v>
      </c>
      <c r="D2257" s="4" t="s">
        <v>89</v>
      </c>
      <c r="E2257" t="s">
        <v>182</v>
      </c>
      <c r="F2257" s="12">
        <f>IFERROR(VLOOKUP(B2257,'INSUMOS  JULIO'!$B$6:$CJ$109,69,0),"")</f>
        <v>0</v>
      </c>
      <c r="G2257" s="8">
        <f>IFERROR(VLOOKUP($B2257,'INSUMOS  JULIO'!$B$6:$CJ$109,70,0),"")</f>
        <v>25429.996000000003</v>
      </c>
      <c r="H2257" s="19">
        <f t="shared" si="140"/>
        <v>0</v>
      </c>
      <c r="I2257" s="1">
        <f t="shared" si="141"/>
        <v>0</v>
      </c>
      <c r="J2257" s="1">
        <f t="shared" si="142"/>
        <v>0</v>
      </c>
      <c r="K2257" s="19">
        <f t="shared" si="143"/>
        <v>0</v>
      </c>
    </row>
    <row r="2258" spans="2:11" ht="15">
      <c r="B2258" s="151">
        <v>151</v>
      </c>
      <c r="C2258" s="7" t="s">
        <v>90</v>
      </c>
      <c r="D2258" s="4" t="s">
        <v>91</v>
      </c>
      <c r="E2258" t="s">
        <v>182</v>
      </c>
      <c r="F2258" s="12">
        <f>IFERROR(VLOOKUP(B2258,'INSUMOS  JULIO'!$B$6:$CJ$109,69,0),"")</f>
        <v>20</v>
      </c>
      <c r="G2258" s="8">
        <f>IFERROR(VLOOKUP($B2258,'INSUMOS  JULIO'!$B$6:$CJ$109,70,0),"")</f>
        <v>4422.6080000000002</v>
      </c>
      <c r="H2258" s="19">
        <f t="shared" si="140"/>
        <v>88452.160000000003</v>
      </c>
      <c r="I2258" s="1">
        <f t="shared" si="141"/>
        <v>8845.2160000000003</v>
      </c>
      <c r="J2258" s="1">
        <f t="shared" si="142"/>
        <v>1680.59104</v>
      </c>
      <c r="K2258" s="19">
        <f t="shared" si="143"/>
        <v>98977.967040000003</v>
      </c>
    </row>
    <row r="2259" spans="2:11" ht="15">
      <c r="B2259" s="151">
        <v>152</v>
      </c>
      <c r="C2259" s="7" t="s">
        <v>90</v>
      </c>
      <c r="D2259" s="4" t="s">
        <v>92</v>
      </c>
      <c r="E2259" t="s">
        <v>182</v>
      </c>
      <c r="F2259" s="12" t="str">
        <f>IFERROR(VLOOKUP(B2259,'INSUMOS  JULIO'!$B$6:$CJ$109,69,0),"")</f>
        <v>0</v>
      </c>
      <c r="G2259" s="8">
        <f>IFERROR(VLOOKUP($B2259,'INSUMOS  JULIO'!$B$6:$CJ$109,70,0),"")</f>
        <v>0</v>
      </c>
      <c r="H2259" s="19">
        <f t="shared" si="140"/>
        <v>0</v>
      </c>
      <c r="I2259" s="1">
        <f t="shared" si="141"/>
        <v>0</v>
      </c>
      <c r="J2259" s="1">
        <f t="shared" si="142"/>
        <v>0</v>
      </c>
      <c r="K2259" s="19">
        <f t="shared" si="143"/>
        <v>0</v>
      </c>
    </row>
    <row r="2260" spans="2:11" ht="15">
      <c r="B2260" s="151">
        <v>154</v>
      </c>
      <c r="C2260" s="7" t="s">
        <v>93</v>
      </c>
      <c r="D2260" s="4" t="s">
        <v>94</v>
      </c>
      <c r="E2260" t="s">
        <v>182</v>
      </c>
      <c r="F2260" s="12" t="str">
        <f>IFERROR(VLOOKUP(B2260,'INSUMOS  JULIO'!$B$6:$CJ$109,69,0),"")</f>
        <v>0</v>
      </c>
      <c r="G2260" s="8">
        <f>IFERROR(VLOOKUP($B2260,'INSUMOS  JULIO'!$B$6:$CJ$109,70,0),"")</f>
        <v>0</v>
      </c>
      <c r="H2260" s="19">
        <f t="shared" si="140"/>
        <v>0</v>
      </c>
      <c r="I2260" s="1">
        <f t="shared" si="141"/>
        <v>0</v>
      </c>
      <c r="J2260" s="1">
        <f t="shared" si="142"/>
        <v>0</v>
      </c>
      <c r="K2260" s="19">
        <f t="shared" si="143"/>
        <v>0</v>
      </c>
    </row>
    <row r="2261" spans="2:11" ht="15">
      <c r="B2261" s="151">
        <v>155</v>
      </c>
      <c r="C2261" s="7" t="s">
        <v>154</v>
      </c>
      <c r="D2261" s="4" t="s">
        <v>95</v>
      </c>
      <c r="E2261" t="s">
        <v>182</v>
      </c>
      <c r="F2261" s="12">
        <f>IFERROR(VLOOKUP(B2261,'INSUMOS  JULIO'!$B$6:$CJ$109,69,0),"")</f>
        <v>50</v>
      </c>
      <c r="G2261" s="8">
        <f>IFERROR(VLOOKUP($B2261,'INSUMOS  JULIO'!$B$6:$CJ$109,70,0),"")</f>
        <v>5005.7028</v>
      </c>
      <c r="H2261" s="19">
        <f t="shared" si="140"/>
        <v>250285.14</v>
      </c>
      <c r="I2261" s="1">
        <f t="shared" si="141"/>
        <v>25028.514000000003</v>
      </c>
      <c r="J2261" s="1">
        <f t="shared" si="142"/>
        <v>4755.417660000001</v>
      </c>
      <c r="K2261" s="19">
        <f t="shared" si="143"/>
        <v>280069.07166000002</v>
      </c>
    </row>
    <row r="2262" spans="2:11" ht="15">
      <c r="B2262" s="151">
        <v>156</v>
      </c>
      <c r="C2262" s="7" t="s">
        <v>154</v>
      </c>
      <c r="D2262" s="4" t="s">
        <v>96</v>
      </c>
      <c r="E2262" t="s">
        <v>182</v>
      </c>
      <c r="F2262" s="12" t="str">
        <f>IFERROR(VLOOKUP(B2262,'INSUMOS  JULIO'!$B$6:$CJ$109,69,0),"")</f>
        <v>0</v>
      </c>
      <c r="G2262" s="8">
        <f>IFERROR(VLOOKUP($B2262,'INSUMOS  JULIO'!$B$6:$CJ$109,70,0),"")</f>
        <v>4422.6080000000002</v>
      </c>
      <c r="H2262" s="19">
        <f t="shared" si="140"/>
        <v>0</v>
      </c>
      <c r="I2262" s="1">
        <f t="shared" si="141"/>
        <v>0</v>
      </c>
      <c r="J2262" s="1">
        <f t="shared" si="142"/>
        <v>0</v>
      </c>
      <c r="K2262" s="19">
        <f t="shared" si="143"/>
        <v>0</v>
      </c>
    </row>
    <row r="2263" spans="2:11" ht="15">
      <c r="B2263" s="151">
        <v>157</v>
      </c>
      <c r="C2263" s="7" t="s">
        <v>154</v>
      </c>
      <c r="D2263" s="4" t="s">
        <v>97</v>
      </c>
      <c r="E2263" t="s">
        <v>182</v>
      </c>
      <c r="F2263" s="12">
        <f>IFERROR(VLOOKUP(B2263,'INSUMOS  JULIO'!$B$6:$CJ$109,69,0),"")</f>
        <v>0</v>
      </c>
      <c r="G2263" s="8">
        <f>IFERROR(VLOOKUP($B2263,'INSUMOS  JULIO'!$B$6:$CJ$109,70,0),"")</f>
        <v>5970.7309999999998</v>
      </c>
      <c r="H2263" s="19">
        <f t="shared" si="140"/>
        <v>0</v>
      </c>
      <c r="I2263" s="1">
        <f t="shared" si="141"/>
        <v>0</v>
      </c>
      <c r="J2263" s="1">
        <f t="shared" si="142"/>
        <v>0</v>
      </c>
      <c r="K2263" s="19">
        <f t="shared" si="143"/>
        <v>0</v>
      </c>
    </row>
    <row r="2264" spans="2:11" ht="15">
      <c r="B2264" s="151">
        <v>159</v>
      </c>
      <c r="C2264" s="7" t="s">
        <v>152</v>
      </c>
      <c r="D2264" s="4" t="s">
        <v>98</v>
      </c>
      <c r="E2264" t="s">
        <v>182</v>
      </c>
      <c r="F2264" s="12" t="str">
        <f>IFERROR(VLOOKUP(B2264,'INSUMOS  JULIO'!$B$6:$CJ$109,69,0),"")</f>
        <v>0</v>
      </c>
      <c r="G2264" s="8">
        <f>IFERROR(VLOOKUP($B2264,'INSUMOS  JULIO'!$B$6:$CJ$109,70,0),"")</f>
        <v>0</v>
      </c>
      <c r="H2264" s="19">
        <f t="shared" si="140"/>
        <v>0</v>
      </c>
      <c r="I2264" s="1">
        <f t="shared" si="141"/>
        <v>0</v>
      </c>
      <c r="J2264" s="1">
        <f t="shared" si="142"/>
        <v>0</v>
      </c>
      <c r="K2264" s="19">
        <f t="shared" si="143"/>
        <v>0</v>
      </c>
    </row>
    <row r="2265" spans="2:11" ht="15">
      <c r="B2265" s="151">
        <v>160</v>
      </c>
      <c r="C2265" s="7" t="s">
        <v>153</v>
      </c>
      <c r="D2265" s="4" t="s">
        <v>99</v>
      </c>
      <c r="E2265" t="s">
        <v>182</v>
      </c>
      <c r="F2265" s="12" t="str">
        <f>IFERROR(VLOOKUP(B2265,'INSUMOS  JULIO'!$B$6:$CJ$109,69,0),"")</f>
        <v>0</v>
      </c>
      <c r="G2265" s="8">
        <f>IFERROR(VLOOKUP($B2265,'INSUMOS  JULIO'!$B$6:$CJ$109,70,0),"")</f>
        <v>2276.4660000000003</v>
      </c>
      <c r="H2265" s="19">
        <f t="shared" si="140"/>
        <v>0</v>
      </c>
      <c r="I2265" s="1">
        <f t="shared" si="141"/>
        <v>0</v>
      </c>
      <c r="J2265" s="1">
        <f t="shared" si="142"/>
        <v>0</v>
      </c>
      <c r="K2265" s="19">
        <f t="shared" si="143"/>
        <v>0</v>
      </c>
    </row>
    <row r="2266" spans="2:11" ht="15">
      <c r="B2266" s="151">
        <v>161</v>
      </c>
      <c r="C2266" s="7" t="s">
        <v>151</v>
      </c>
      <c r="D2266" s="4" t="s">
        <v>100</v>
      </c>
      <c r="E2266" t="s">
        <v>182</v>
      </c>
      <c r="F2266" s="12" t="str">
        <f>IFERROR(VLOOKUP(B2266,'INSUMOS  JULIO'!$B$6:$CJ$109,69,0),"")</f>
        <v>0</v>
      </c>
      <c r="G2266" s="8">
        <f>IFERROR(VLOOKUP($B2266,'INSUMOS  JULIO'!$B$6:$CJ$109,70,0),"")</f>
        <v>2236.5280000000002</v>
      </c>
      <c r="H2266" s="19">
        <f t="shared" si="140"/>
        <v>0</v>
      </c>
      <c r="I2266" s="1">
        <f t="shared" si="141"/>
        <v>0</v>
      </c>
      <c r="J2266" s="1">
        <f t="shared" si="142"/>
        <v>0</v>
      </c>
      <c r="K2266" s="19">
        <f t="shared" si="143"/>
        <v>0</v>
      </c>
    </row>
    <row r="2267" spans="2:11" ht="15">
      <c r="B2267" s="151">
        <v>162</v>
      </c>
      <c r="C2267" s="7" t="s">
        <v>66</v>
      </c>
      <c r="D2267" s="4" t="s">
        <v>101</v>
      </c>
      <c r="E2267" t="s">
        <v>182</v>
      </c>
      <c r="F2267" s="12">
        <f>IFERROR(VLOOKUP(B2267,'INSUMOS  JULIO'!$B$6:$CJ$109,69,0),"")</f>
        <v>6</v>
      </c>
      <c r="G2267" s="8">
        <f>IFERROR(VLOOKUP($B2267,'INSUMOS  JULIO'!$B$6:$CJ$109,70,0),"")</f>
        <v>2684.2539999999999</v>
      </c>
      <c r="H2267" s="19">
        <f t="shared" si="140"/>
        <v>16105.523999999999</v>
      </c>
      <c r="I2267" s="1">
        <f t="shared" si="141"/>
        <v>1610.5524</v>
      </c>
      <c r="J2267" s="1">
        <f t="shared" si="142"/>
        <v>306.00495599999999</v>
      </c>
      <c r="K2267" s="19">
        <f t="shared" si="143"/>
        <v>18022.081355999999</v>
      </c>
    </row>
    <row r="2268" spans="2:11" ht="15">
      <c r="B2268" s="151">
        <v>164</v>
      </c>
      <c r="C2268" s="7" t="s">
        <v>60</v>
      </c>
      <c r="D2268" s="4" t="s">
        <v>102</v>
      </c>
      <c r="E2268" t="s">
        <v>182</v>
      </c>
      <c r="F2268" s="12" t="str">
        <f>IFERROR(VLOOKUP(B2268,'INSUMOS  JULIO'!$B$6:$CJ$109,69,0),"")</f>
        <v>0</v>
      </c>
      <c r="G2268" s="8">
        <f>IFERROR(VLOOKUP($B2268,'INSUMOS  JULIO'!$B$6:$CJ$109,70,0),"")</f>
        <v>1658.4780000000001</v>
      </c>
      <c r="H2268" s="19">
        <f t="shared" si="140"/>
        <v>0</v>
      </c>
      <c r="I2268" s="1">
        <f t="shared" si="141"/>
        <v>0</v>
      </c>
      <c r="J2268" s="1">
        <f t="shared" si="142"/>
        <v>0</v>
      </c>
      <c r="K2268" s="19">
        <f t="shared" si="143"/>
        <v>0</v>
      </c>
    </row>
    <row r="2269" spans="2:11" ht="15">
      <c r="B2269" s="151">
        <v>169</v>
      </c>
      <c r="C2269" s="7" t="s">
        <v>103</v>
      </c>
      <c r="D2269" s="4" t="s">
        <v>104</v>
      </c>
      <c r="E2269" t="s">
        <v>182</v>
      </c>
      <c r="F2269" s="12" t="str">
        <f>IFERROR(VLOOKUP(B2269,'INSUMOS  JULIO'!$B$6:$CJ$109,69,0),"")</f>
        <v>0</v>
      </c>
      <c r="G2269" s="8">
        <f>IFERROR(VLOOKUP($B2269,'INSUMOS  JULIO'!$B$6:$CJ$109,70,0),"")</f>
        <v>85897.178999999989</v>
      </c>
      <c r="H2269" s="19">
        <f t="shared" si="140"/>
        <v>0</v>
      </c>
      <c r="I2269" s="1">
        <f t="shared" si="141"/>
        <v>0</v>
      </c>
      <c r="J2269" s="1">
        <f t="shared" si="142"/>
        <v>0</v>
      </c>
      <c r="K2269" s="19">
        <f t="shared" si="143"/>
        <v>0</v>
      </c>
    </row>
    <row r="2270" spans="2:11" ht="15">
      <c r="B2270" s="151">
        <v>170</v>
      </c>
      <c r="C2270" s="7" t="s">
        <v>105</v>
      </c>
      <c r="D2270" s="4" t="s">
        <v>106</v>
      </c>
      <c r="E2270" t="s">
        <v>182</v>
      </c>
      <c r="F2270" s="12">
        <f>IFERROR(VLOOKUP(B2270,'INSUMOS  JULIO'!$B$6:$CJ$109,69,0),"")</f>
        <v>0</v>
      </c>
      <c r="G2270" s="8">
        <f>IFERROR(VLOOKUP($B2270,'INSUMOS  JULIO'!$B$6:$CJ$109,70,0),"")</f>
        <v>19405.664000000001</v>
      </c>
      <c r="H2270" s="19">
        <f t="shared" si="140"/>
        <v>0</v>
      </c>
      <c r="I2270" s="1">
        <f t="shared" si="141"/>
        <v>0</v>
      </c>
      <c r="J2270" s="1">
        <f t="shared" si="142"/>
        <v>0</v>
      </c>
      <c r="K2270" s="19">
        <f t="shared" si="143"/>
        <v>0</v>
      </c>
    </row>
    <row r="2271" spans="2:11" ht="15">
      <c r="B2271" s="151">
        <v>173</v>
      </c>
      <c r="C2271" s="7" t="s">
        <v>105</v>
      </c>
      <c r="D2271" s="4" t="s">
        <v>107</v>
      </c>
      <c r="E2271" t="s">
        <v>182</v>
      </c>
      <c r="F2271" s="12" t="str">
        <f>IFERROR(VLOOKUP(B2271,'INSUMOS  JULIO'!$B$6:$CJ$109,69,0),"")</f>
        <v>0</v>
      </c>
      <c r="G2271" s="8">
        <f>IFERROR(VLOOKUP($B2271,'INSUMOS  JULIO'!$B$6:$CJ$109,70,0),"")</f>
        <v>0</v>
      </c>
      <c r="H2271" s="19">
        <f t="shared" si="140"/>
        <v>0</v>
      </c>
      <c r="I2271" s="1">
        <f t="shared" si="141"/>
        <v>0</v>
      </c>
      <c r="J2271" s="1">
        <f t="shared" si="142"/>
        <v>0</v>
      </c>
      <c r="K2271" s="19">
        <f t="shared" si="143"/>
        <v>0</v>
      </c>
    </row>
    <row r="2272" spans="2:11" ht="15">
      <c r="B2272" s="151">
        <v>174</v>
      </c>
      <c r="C2272" s="7" t="s">
        <v>108</v>
      </c>
      <c r="D2272" s="4" t="s">
        <v>109</v>
      </c>
      <c r="E2272" t="s">
        <v>182</v>
      </c>
      <c r="F2272" s="12" t="str">
        <f>IFERROR(VLOOKUP(B2272,'INSUMOS  JULIO'!$B$6:$CJ$109,69,0),"")</f>
        <v>0</v>
      </c>
      <c r="G2272" s="8">
        <f>IFERROR(VLOOKUP($B2272,'INSUMOS  JULIO'!$B$6:$CJ$109,70,0),"")</f>
        <v>6081.0860000000002</v>
      </c>
      <c r="H2272" s="19">
        <f t="shared" si="140"/>
        <v>0</v>
      </c>
      <c r="I2272" s="1">
        <f t="shared" si="141"/>
        <v>0</v>
      </c>
      <c r="J2272" s="1">
        <f t="shared" si="142"/>
        <v>0</v>
      </c>
      <c r="K2272" s="19">
        <f t="shared" si="143"/>
        <v>0</v>
      </c>
    </row>
    <row r="2273" spans="2:11" ht="15">
      <c r="B2273" s="151">
        <v>176</v>
      </c>
      <c r="C2273" s="7" t="s">
        <v>108</v>
      </c>
      <c r="D2273" s="4" t="s">
        <v>110</v>
      </c>
      <c r="E2273" t="s">
        <v>182</v>
      </c>
      <c r="F2273" s="12" t="str">
        <f>IFERROR(VLOOKUP(B2273,'INSUMOS  JULIO'!$B$6:$CJ$109,69,0),"")</f>
        <v>0</v>
      </c>
      <c r="G2273" s="8">
        <f>IFERROR(VLOOKUP($B2273,'INSUMOS  JULIO'!$B$6:$CJ$109,70,0),"")</f>
        <v>2749.4160000000002</v>
      </c>
      <c r="H2273" s="19">
        <f t="shared" si="140"/>
        <v>0</v>
      </c>
      <c r="I2273" s="1">
        <f t="shared" si="141"/>
        <v>0</v>
      </c>
      <c r="J2273" s="1">
        <f t="shared" si="142"/>
        <v>0</v>
      </c>
      <c r="K2273" s="19">
        <f t="shared" si="143"/>
        <v>0</v>
      </c>
    </row>
    <row r="2274" spans="2:11" ht="15">
      <c r="B2274" s="151">
        <v>192</v>
      </c>
      <c r="C2274" s="7" t="s">
        <v>149</v>
      </c>
      <c r="D2274" s="4" t="s">
        <v>111</v>
      </c>
      <c r="E2274" t="s">
        <v>182</v>
      </c>
      <c r="F2274" s="12">
        <f>IFERROR(VLOOKUP(B2274,'INSUMOS  JULIO'!$B$6:$CJ$109,69,0),"")</f>
        <v>0</v>
      </c>
      <c r="G2274" s="8">
        <f>IFERROR(VLOOKUP($B2274,'INSUMOS  JULIO'!$B$6:$CJ$109,70,0),"")</f>
        <v>3930.7400000000002</v>
      </c>
      <c r="H2274" s="19">
        <f t="shared" si="140"/>
        <v>0</v>
      </c>
      <c r="I2274" s="1">
        <f t="shared" si="141"/>
        <v>0</v>
      </c>
      <c r="J2274" s="1">
        <f t="shared" si="142"/>
        <v>0</v>
      </c>
      <c r="K2274" s="19">
        <f t="shared" si="143"/>
        <v>0</v>
      </c>
    </row>
    <row r="2275" spans="2:11" ht="15">
      <c r="B2275" s="151">
        <v>195</v>
      </c>
      <c r="C2275" s="7" t="s">
        <v>149</v>
      </c>
      <c r="D2275" s="4" t="s">
        <v>112</v>
      </c>
      <c r="E2275" t="s">
        <v>182</v>
      </c>
      <c r="F2275" s="12">
        <f>IFERROR(VLOOKUP(B2275,'INSUMOS  JULIO'!$B$6:$CJ$109,69,0),"")</f>
        <v>50</v>
      </c>
      <c r="G2275" s="8">
        <f>IFERROR(VLOOKUP($B2275,'INSUMOS  JULIO'!$B$6:$CJ$109,70,0),"")</f>
        <v>6431.0690000000004</v>
      </c>
      <c r="H2275" s="19">
        <f t="shared" si="140"/>
        <v>321553.45</v>
      </c>
      <c r="I2275" s="1">
        <f t="shared" si="141"/>
        <v>32155.345000000001</v>
      </c>
      <c r="J2275" s="1">
        <f t="shared" si="142"/>
        <v>6109.5155500000001</v>
      </c>
      <c r="K2275" s="19">
        <f t="shared" si="143"/>
        <v>359818.31055000005</v>
      </c>
    </row>
    <row r="2276" spans="2:11" ht="15">
      <c r="B2276" s="151">
        <v>204</v>
      </c>
      <c r="C2276" s="7" t="s">
        <v>150</v>
      </c>
      <c r="D2276" s="4" t="s">
        <v>113</v>
      </c>
      <c r="E2276" t="s">
        <v>182</v>
      </c>
      <c r="F2276" s="12">
        <f>IFERROR(VLOOKUP(B2276,'INSUMOS  JULIO'!$B$6:$CJ$109,69,0),"")</f>
        <v>12</v>
      </c>
      <c r="G2276" s="8">
        <f>IFERROR(VLOOKUP($B2276,'INSUMOS  JULIO'!$B$6:$CJ$109,70,0),"")</f>
        <v>14760.243999999999</v>
      </c>
      <c r="H2276" s="19">
        <f t="shared" si="140"/>
        <v>177122.92799999999</v>
      </c>
      <c r="I2276" s="1">
        <f t="shared" si="141"/>
        <v>17712.292799999999</v>
      </c>
      <c r="J2276" s="1">
        <f t="shared" si="142"/>
        <v>3365.3356319999998</v>
      </c>
      <c r="K2276" s="19">
        <f t="shared" si="143"/>
        <v>198200.55643199998</v>
      </c>
    </row>
    <row r="2277" spans="2:11" ht="27">
      <c r="B2277" s="151">
        <v>205</v>
      </c>
      <c r="C2277" s="7" t="s">
        <v>150</v>
      </c>
      <c r="D2277" s="4" t="s">
        <v>114</v>
      </c>
      <c r="E2277" t="s">
        <v>182</v>
      </c>
      <c r="F2277" s="12" t="str">
        <f>IFERROR(VLOOKUP(B2277,'INSUMOS  JULIO'!$B$6:$CJ$109,69,0),"")</f>
        <v>0</v>
      </c>
      <c r="G2277" s="8">
        <f>IFERROR(VLOOKUP($B2277,'INSUMOS  JULIO'!$B$6:$CJ$109,70,0),"")</f>
        <v>17690.432000000001</v>
      </c>
      <c r="H2277" s="19">
        <f t="shared" si="140"/>
        <v>0</v>
      </c>
      <c r="I2277" s="1">
        <f t="shared" si="141"/>
        <v>0</v>
      </c>
      <c r="J2277" s="1">
        <f t="shared" si="142"/>
        <v>0</v>
      </c>
      <c r="K2277" s="19">
        <f t="shared" si="143"/>
        <v>0</v>
      </c>
    </row>
    <row r="2278" spans="2:11" ht="15">
      <c r="B2278" s="151">
        <v>207</v>
      </c>
      <c r="C2278" s="7" t="s">
        <v>60</v>
      </c>
      <c r="D2278" s="4" t="s">
        <v>115</v>
      </c>
      <c r="E2278" t="s">
        <v>182</v>
      </c>
      <c r="F2278" s="12" t="str">
        <f>IFERROR(VLOOKUP(B2278,'INSUMOS  JULIO'!$B$6:$CJ$109,69,0),"")</f>
        <v>0</v>
      </c>
      <c r="G2278" s="8">
        <f>IFERROR(VLOOKUP($B2278,'INSUMOS  JULIO'!$B$6:$CJ$109,70,0),"")</f>
        <v>7186.7380000000003</v>
      </c>
      <c r="H2278" s="19">
        <f t="shared" si="140"/>
        <v>0</v>
      </c>
      <c r="I2278" s="1">
        <f t="shared" si="141"/>
        <v>0</v>
      </c>
      <c r="J2278" s="1">
        <f t="shared" si="142"/>
        <v>0</v>
      </c>
      <c r="K2278" s="19">
        <f t="shared" si="143"/>
        <v>0</v>
      </c>
    </row>
    <row r="2279" spans="2:11" ht="15">
      <c r="B2279" s="151">
        <v>208</v>
      </c>
      <c r="C2279" s="7" t="s">
        <v>151</v>
      </c>
      <c r="D2279" s="4" t="s">
        <v>634</v>
      </c>
      <c r="E2279" t="s">
        <v>182</v>
      </c>
      <c r="F2279" s="12" t="str">
        <f>IFERROR(VLOOKUP(B2279,'INSUMOS  JULIO'!$B$6:$CJ$109,69,0),"")</f>
        <v>0</v>
      </c>
      <c r="G2279" s="8">
        <f>IFERROR(VLOOKUP($B2279,'INSUMOS  JULIO'!$B$6:$CJ$109,70,0),"")</f>
        <v>50779.065000000002</v>
      </c>
      <c r="H2279" s="19">
        <f t="shared" si="140"/>
        <v>0</v>
      </c>
      <c r="I2279" s="1">
        <f t="shared" si="141"/>
        <v>0</v>
      </c>
      <c r="J2279" s="1">
        <f t="shared" si="142"/>
        <v>0</v>
      </c>
      <c r="K2279" s="19">
        <f t="shared" si="143"/>
        <v>0</v>
      </c>
    </row>
    <row r="2280" spans="2:11" ht="15">
      <c r="B2280" s="151">
        <v>209</v>
      </c>
      <c r="C2280" s="7" t="s">
        <v>151</v>
      </c>
      <c r="D2280" s="4" t="s">
        <v>635</v>
      </c>
      <c r="E2280" t="s">
        <v>182</v>
      </c>
      <c r="F2280" s="12" t="str">
        <f>IFERROR(VLOOKUP(B2280,'INSUMOS  JULIO'!$B$6:$CJ$109,69,0),"")</f>
        <v>0</v>
      </c>
      <c r="G2280" s="8">
        <f>IFERROR(VLOOKUP($B2280,'INSUMOS  JULIO'!$B$6:$CJ$109,70,0),"")</f>
        <v>37357.794999999998</v>
      </c>
      <c r="H2280" s="19">
        <f t="shared" si="140"/>
        <v>0</v>
      </c>
      <c r="I2280" s="1">
        <f t="shared" si="141"/>
        <v>0</v>
      </c>
      <c r="J2280" s="1">
        <f t="shared" si="142"/>
        <v>0</v>
      </c>
      <c r="K2280" s="19">
        <f t="shared" si="143"/>
        <v>0</v>
      </c>
    </row>
    <row r="2281" spans="2:11" ht="15">
      <c r="B2281" s="151">
        <v>210</v>
      </c>
      <c r="C2281" s="7" t="s">
        <v>151</v>
      </c>
      <c r="D2281" s="4" t="s">
        <v>636</v>
      </c>
      <c r="E2281" t="s">
        <v>182</v>
      </c>
      <c r="F2281" s="12" t="str">
        <f>IFERROR(VLOOKUP(B2281,'INSUMOS  JULIO'!$B$6:$CJ$109,69,0),"")</f>
        <v>0</v>
      </c>
      <c r="G2281" s="8">
        <f>IFERROR(VLOOKUP($B2281,'INSUMOS  JULIO'!$B$6:$CJ$109,70,0),"")</f>
        <v>22537.643999999997</v>
      </c>
      <c r="H2281" s="19">
        <f t="shared" si="140"/>
        <v>0</v>
      </c>
      <c r="I2281" s="1">
        <f t="shared" si="141"/>
        <v>0</v>
      </c>
      <c r="J2281" s="1">
        <f t="shared" si="142"/>
        <v>0</v>
      </c>
      <c r="K2281" s="19">
        <f t="shared" si="143"/>
        <v>0</v>
      </c>
    </row>
    <row r="2282" spans="2:11" ht="15">
      <c r="B2282" s="151">
        <v>211</v>
      </c>
      <c r="C2282" s="7" t="s">
        <v>151</v>
      </c>
      <c r="D2282" s="4" t="s">
        <v>637</v>
      </c>
      <c r="E2282" t="s">
        <v>182</v>
      </c>
      <c r="F2282" s="12" t="str">
        <f>IFERROR(VLOOKUP(B2282,'INSUMOS  JULIO'!$B$6:$CJ$109,69,0),"")</f>
        <v>0</v>
      </c>
      <c r="G2282" s="8">
        <f>IFERROR(VLOOKUP($B2282,'INSUMOS  JULIO'!$B$6:$CJ$109,70,0),"")</f>
        <v>15992.016</v>
      </c>
      <c r="H2282" s="19">
        <f t="shared" si="140"/>
        <v>0</v>
      </c>
      <c r="I2282" s="1">
        <f t="shared" si="141"/>
        <v>0</v>
      </c>
      <c r="J2282" s="1">
        <f t="shared" si="142"/>
        <v>0</v>
      </c>
      <c r="K2282" s="19">
        <f t="shared" si="143"/>
        <v>0</v>
      </c>
    </row>
    <row r="2283" spans="2:11" ht="15">
      <c r="B2283" s="151">
        <v>212</v>
      </c>
      <c r="C2283" s="7" t="s">
        <v>60</v>
      </c>
      <c r="D2283" s="4" t="s">
        <v>116</v>
      </c>
      <c r="E2283" t="s">
        <v>182</v>
      </c>
      <c r="F2283" s="12" t="str">
        <f>IFERROR(VLOOKUP(B2283,'INSUMOS  JULIO'!$B$6:$CJ$109,69,0),"")</f>
        <v>0</v>
      </c>
      <c r="G2283" s="8">
        <f>IFERROR(VLOOKUP($B2283,'INSUMOS  JULIO'!$B$6:$CJ$109,70,0),"")</f>
        <v>2505.5839999999998</v>
      </c>
      <c r="H2283" s="19">
        <f t="shared" si="140"/>
        <v>0</v>
      </c>
      <c r="I2283" s="1">
        <f t="shared" si="141"/>
        <v>0</v>
      </c>
      <c r="J2283" s="1">
        <f t="shared" si="142"/>
        <v>0</v>
      </c>
      <c r="K2283" s="19">
        <f t="shared" si="143"/>
        <v>0</v>
      </c>
    </row>
    <row r="2284" spans="2:11" ht="15">
      <c r="B2284" s="151">
        <v>213</v>
      </c>
      <c r="C2284" s="7" t="s">
        <v>46</v>
      </c>
      <c r="D2284" s="4" t="s">
        <v>638</v>
      </c>
      <c r="E2284" t="s">
        <v>182</v>
      </c>
      <c r="F2284" s="12" t="str">
        <f>IFERROR(VLOOKUP(B2284,'INSUMOS  JULIO'!$B$6:$CJ$109,69,0),"")</f>
        <v>0</v>
      </c>
      <c r="G2284" s="8">
        <f>IFERROR(VLOOKUP($B2284,'INSUMOS  JULIO'!$B$6:$CJ$109,70,0),"")</f>
        <v>0</v>
      </c>
      <c r="H2284" s="19">
        <f t="shared" si="140"/>
        <v>0</v>
      </c>
      <c r="I2284" s="1">
        <f t="shared" si="141"/>
        <v>0</v>
      </c>
      <c r="J2284" s="1">
        <f t="shared" si="142"/>
        <v>0</v>
      </c>
      <c r="K2284" s="19">
        <f t="shared" si="143"/>
        <v>0</v>
      </c>
    </row>
    <row r="2285" spans="2:11" ht="15">
      <c r="B2285" s="151">
        <v>215</v>
      </c>
      <c r="C2285" s="7" t="s">
        <v>450</v>
      </c>
      <c r="D2285" s="4" t="s">
        <v>639</v>
      </c>
      <c r="E2285" t="s">
        <v>182</v>
      </c>
      <c r="F2285" s="12" t="str">
        <f>IFERROR(VLOOKUP(B2285,'INSUMOS  JULIO'!$B$6:$CJ$109,69,0),"")</f>
        <v>0</v>
      </c>
      <c r="G2285" s="8">
        <f>IFERROR(VLOOKUP($B2285,'INSUMOS  JULIO'!$B$6:$CJ$109,70,0),"")</f>
        <v>10476.367999999999</v>
      </c>
      <c r="H2285" s="19">
        <f t="shared" si="140"/>
        <v>0</v>
      </c>
      <c r="I2285" s="1">
        <f t="shared" si="141"/>
        <v>0</v>
      </c>
      <c r="J2285" s="1">
        <f t="shared" si="142"/>
        <v>0</v>
      </c>
      <c r="K2285" s="19">
        <f t="shared" si="143"/>
        <v>0</v>
      </c>
    </row>
    <row r="2286" spans="2:11" ht="15">
      <c r="B2286" s="151">
        <v>216</v>
      </c>
      <c r="C2286" s="7" t="s">
        <v>450</v>
      </c>
      <c r="D2286" s="4" t="s">
        <v>640</v>
      </c>
      <c r="E2286" t="s">
        <v>182</v>
      </c>
      <c r="F2286" s="12" t="str">
        <f>IFERROR(VLOOKUP(B2286,'INSUMOS  JULIO'!$B$6:$CJ$109,69,0),"")</f>
        <v>0</v>
      </c>
      <c r="G2286" s="8">
        <f>IFERROR(VLOOKUP($B2286,'INSUMOS  JULIO'!$B$6:$CJ$109,70,0),"")</f>
        <v>3954.9129999999996</v>
      </c>
      <c r="H2286" s="19">
        <f t="shared" si="140"/>
        <v>0</v>
      </c>
      <c r="I2286" s="1">
        <f t="shared" si="141"/>
        <v>0</v>
      </c>
      <c r="J2286" s="1">
        <f t="shared" si="142"/>
        <v>0</v>
      </c>
      <c r="K2286" s="19">
        <f t="shared" si="143"/>
        <v>0</v>
      </c>
    </row>
    <row r="2287" spans="2:11" ht="15">
      <c r="B2287" s="151">
        <v>218</v>
      </c>
      <c r="C2287" s="7" t="s">
        <v>450</v>
      </c>
      <c r="D2287" s="4" t="s">
        <v>117</v>
      </c>
      <c r="E2287" t="s">
        <v>182</v>
      </c>
      <c r="F2287" s="12" t="str">
        <f>IFERROR(VLOOKUP(B2287,'INSUMOS  JULIO'!$B$6:$CJ$109,69,0),"")</f>
        <v>0</v>
      </c>
      <c r="G2287" s="8">
        <f>IFERROR(VLOOKUP($B2287,'INSUMOS  JULIO'!$B$6:$CJ$109,70,0),"")</f>
        <v>1437.768</v>
      </c>
      <c r="H2287" s="19">
        <f t="shared" si="140"/>
        <v>0</v>
      </c>
      <c r="I2287" s="1">
        <f t="shared" si="141"/>
        <v>0</v>
      </c>
      <c r="J2287" s="1">
        <f t="shared" si="142"/>
        <v>0</v>
      </c>
      <c r="K2287" s="19">
        <f t="shared" si="143"/>
        <v>0</v>
      </c>
    </row>
    <row r="2288" spans="2:11" ht="15">
      <c r="B2288" s="151">
        <v>251</v>
      </c>
      <c r="C2288" s="7" t="s">
        <v>33</v>
      </c>
      <c r="D2288" s="4" t="s">
        <v>118</v>
      </c>
      <c r="E2288" t="s">
        <v>182</v>
      </c>
      <c r="F2288" s="12" t="str">
        <f>IFERROR(VLOOKUP(B2288,'INSUMOS  JULIO'!$B$6:$CJ$109,69,0),"")</f>
        <v>0</v>
      </c>
      <c r="G2288" s="8">
        <f>IFERROR(VLOOKUP($B2288,'INSUMOS  JULIO'!$B$6:$CJ$109,70,0),"")</f>
        <v>16031.954000000002</v>
      </c>
      <c r="H2288" s="19">
        <f t="shared" si="140"/>
        <v>0</v>
      </c>
      <c r="I2288" s="1">
        <f t="shared" si="141"/>
        <v>0</v>
      </c>
      <c r="J2288" s="1">
        <f t="shared" si="142"/>
        <v>0</v>
      </c>
      <c r="K2288" s="19">
        <f t="shared" si="143"/>
        <v>0</v>
      </c>
    </row>
    <row r="2289" spans="2:11" ht="15">
      <c r="B2289" s="151">
        <v>255</v>
      </c>
      <c r="C2289" s="7" t="s">
        <v>60</v>
      </c>
      <c r="D2289" s="4" t="s">
        <v>641</v>
      </c>
      <c r="E2289" t="s">
        <v>182</v>
      </c>
      <c r="F2289" s="12" t="str">
        <f>IFERROR(VLOOKUP(B2289,'INSUMOS  JULIO'!$B$6:$CJ$109,69,0),"")</f>
        <v>0</v>
      </c>
      <c r="G2289" s="8">
        <f>IFERROR(VLOOKUP($B2289,'INSUMOS  JULIO'!$B$6:$CJ$109,70,0),"")</f>
        <v>29299.777999999998</v>
      </c>
      <c r="H2289" s="19">
        <f t="shared" si="140"/>
        <v>0</v>
      </c>
      <c r="I2289" s="1">
        <f t="shared" si="141"/>
        <v>0</v>
      </c>
      <c r="J2289" s="1">
        <f t="shared" si="142"/>
        <v>0</v>
      </c>
      <c r="K2289" s="19">
        <f t="shared" si="143"/>
        <v>0</v>
      </c>
    </row>
    <row r="2290" spans="2:11" ht="15">
      <c r="B2290" s="151">
        <v>257</v>
      </c>
      <c r="C2290" s="7" t="s">
        <v>60</v>
      </c>
      <c r="D2290" s="4" t="s">
        <v>642</v>
      </c>
      <c r="E2290" t="s">
        <v>182</v>
      </c>
      <c r="F2290" s="12" t="str">
        <f>IFERROR(VLOOKUP(B2290,'INSUMOS  JULIO'!$B$6:$CJ$109,69,0),"")</f>
        <v>0</v>
      </c>
      <c r="G2290" s="8">
        <f>IFERROR(VLOOKUP($B2290,'INSUMOS  JULIO'!$B$6:$CJ$109,70,0),"")</f>
        <v>18796.084000000003</v>
      </c>
      <c r="H2290" s="19">
        <f t="shared" si="140"/>
        <v>0</v>
      </c>
      <c r="I2290" s="1">
        <f t="shared" si="141"/>
        <v>0</v>
      </c>
      <c r="J2290" s="1">
        <f t="shared" si="142"/>
        <v>0</v>
      </c>
      <c r="K2290" s="19">
        <f t="shared" si="143"/>
        <v>0</v>
      </c>
    </row>
    <row r="2291" spans="2:11" ht="15">
      <c r="B2291" s="151">
        <v>260</v>
      </c>
      <c r="C2291" s="7" t="s">
        <v>449</v>
      </c>
      <c r="D2291" s="4" t="s">
        <v>643</v>
      </c>
      <c r="E2291" t="s">
        <v>182</v>
      </c>
      <c r="F2291" s="12" t="str">
        <f>IFERROR(VLOOKUP(B2291,'INSUMOS  JULIO'!$B$6:$CJ$109,69,0),"")</f>
        <v>0</v>
      </c>
      <c r="G2291" s="8">
        <f>IFERROR(VLOOKUP($B2291,'INSUMOS  JULIO'!$B$6:$CJ$109,70,0),"")</f>
        <v>3417.8520000000008</v>
      </c>
      <c r="H2291" s="19">
        <f t="shared" si="140"/>
        <v>0</v>
      </c>
      <c r="I2291" s="1">
        <f t="shared" si="141"/>
        <v>0</v>
      </c>
      <c r="J2291" s="1">
        <f t="shared" si="142"/>
        <v>0</v>
      </c>
      <c r="K2291" s="19">
        <f t="shared" si="143"/>
        <v>0</v>
      </c>
    </row>
    <row r="2292" spans="2:11" ht="15">
      <c r="B2292" s="151">
        <v>291</v>
      </c>
      <c r="C2292" s="7" t="s">
        <v>449</v>
      </c>
      <c r="D2292" s="4" t="s">
        <v>644</v>
      </c>
      <c r="E2292" t="s">
        <v>182</v>
      </c>
      <c r="F2292" s="12" t="str">
        <f>IFERROR(VLOOKUP(B2292,'INSUMOS  JULIO'!$B$6:$CJ$109,69,0),"")</f>
        <v>0</v>
      </c>
      <c r="G2292" s="8">
        <f>IFERROR(VLOOKUP($B2292,'INSUMOS  JULIO'!$B$6:$CJ$109,70,0),"")</f>
        <v>20454.562000000005</v>
      </c>
      <c r="H2292" s="19">
        <f t="shared" si="140"/>
        <v>0</v>
      </c>
      <c r="I2292" s="1">
        <f t="shared" si="141"/>
        <v>0</v>
      </c>
      <c r="J2292" s="1">
        <f t="shared" si="142"/>
        <v>0</v>
      </c>
      <c r="K2292" s="19">
        <f t="shared" si="143"/>
        <v>0</v>
      </c>
    </row>
    <row r="2293" spans="2:11" ht="15">
      <c r="B2293" s="151">
        <v>3</v>
      </c>
      <c r="C2293" s="7" t="s">
        <v>155</v>
      </c>
      <c r="D2293" s="4" t="s">
        <v>5</v>
      </c>
      <c r="E2293" t="s">
        <v>495</v>
      </c>
      <c r="F2293" s="12" t="str">
        <f>IFERROR(VLOOKUP($B2293,'INSUMOS  JULIO'!$B$6:$CJ$109,72,0),"")</f>
        <v>0</v>
      </c>
      <c r="G2293" s="8">
        <f>IFERROR(VLOOKUP($B2293,'INSUMOS  JULIO'!$B$6:$CJ$109,73,0),"")</f>
        <v>7268.7160000000003</v>
      </c>
      <c r="H2293" s="19">
        <f t="shared" si="140"/>
        <v>0</v>
      </c>
      <c r="I2293" s="1">
        <f t="shared" si="141"/>
        <v>0</v>
      </c>
      <c r="J2293" s="1">
        <f t="shared" si="142"/>
        <v>0</v>
      </c>
      <c r="K2293" s="19">
        <f t="shared" si="143"/>
        <v>0</v>
      </c>
    </row>
    <row r="2294" spans="2:11" ht="15">
      <c r="B2294" s="151">
        <v>5</v>
      </c>
      <c r="C2294" s="7" t="s">
        <v>6</v>
      </c>
      <c r="D2294" s="4" t="s">
        <v>7</v>
      </c>
      <c r="E2294" t="s">
        <v>495</v>
      </c>
      <c r="F2294" s="12" t="str">
        <f>IFERROR(VLOOKUP(B2294,'INSUMOS  JULIO'!$B$6:$CJ$109,72,0),"")</f>
        <v>0</v>
      </c>
      <c r="G2294" s="8">
        <f>IFERROR(VLOOKUP($B2294,'INSUMOS  JULIO'!$B$6:$CJ$109,73,0),"")</f>
        <v>6494.1289999999999</v>
      </c>
      <c r="H2294" s="19">
        <f t="shared" si="140"/>
        <v>0</v>
      </c>
      <c r="I2294" s="1">
        <f t="shared" si="141"/>
        <v>0</v>
      </c>
      <c r="J2294" s="1">
        <f t="shared" si="142"/>
        <v>0</v>
      </c>
      <c r="K2294" s="19">
        <f t="shared" si="143"/>
        <v>0</v>
      </c>
    </row>
    <row r="2295" spans="2:11" ht="15">
      <c r="B2295" s="151">
        <v>8</v>
      </c>
      <c r="C2295" s="7" t="s">
        <v>6</v>
      </c>
      <c r="D2295" s="4" t="s">
        <v>8</v>
      </c>
      <c r="E2295" t="s">
        <v>495</v>
      </c>
      <c r="F2295" s="12">
        <f>IFERROR(VLOOKUP(B2295,'INSUMOS  JULIO'!$B$6:$CJ$109,72,0),"")</f>
        <v>0</v>
      </c>
      <c r="G2295" s="8">
        <f>IFERROR(VLOOKUP($B2295,'INSUMOS  JULIO'!$B$6:$CJ$109,73,0),"")</f>
        <v>2211.3040000000001</v>
      </c>
      <c r="H2295" s="19">
        <f t="shared" si="140"/>
        <v>0</v>
      </c>
      <c r="I2295" s="1">
        <f t="shared" si="141"/>
        <v>0</v>
      </c>
      <c r="J2295" s="1">
        <f t="shared" si="142"/>
        <v>0</v>
      </c>
      <c r="K2295" s="19">
        <f t="shared" si="143"/>
        <v>0</v>
      </c>
    </row>
    <row r="2296" spans="2:11" ht="15">
      <c r="B2296" s="151">
        <v>9</v>
      </c>
      <c r="C2296" s="7" t="s">
        <v>9</v>
      </c>
      <c r="D2296" s="4" t="s">
        <v>10</v>
      </c>
      <c r="E2296" t="s">
        <v>495</v>
      </c>
      <c r="F2296" s="12">
        <f>IFERROR(VLOOKUP(B2296,'INSUMOS  JULIO'!$B$6:$CJ$109,72,0),"")</f>
        <v>0</v>
      </c>
      <c r="G2296" s="8">
        <f>IFERROR(VLOOKUP($B2296,'INSUMOS  JULIO'!$B$6:$CJ$109,73,0),"")</f>
        <v>3298.0379999999996</v>
      </c>
      <c r="H2296" s="19">
        <f t="shared" si="140"/>
        <v>0</v>
      </c>
      <c r="I2296" s="1">
        <f t="shared" si="141"/>
        <v>0</v>
      </c>
      <c r="J2296" s="1">
        <f t="shared" si="142"/>
        <v>0</v>
      </c>
      <c r="K2296" s="19">
        <f t="shared" si="143"/>
        <v>0</v>
      </c>
    </row>
    <row r="2297" spans="2:11" ht="15">
      <c r="B2297" s="151">
        <v>11</v>
      </c>
      <c r="C2297" s="7" t="s">
        <v>156</v>
      </c>
      <c r="D2297" s="4" t="s">
        <v>11</v>
      </c>
      <c r="E2297" t="s">
        <v>495</v>
      </c>
      <c r="F2297" s="12" t="str">
        <f>IFERROR(VLOOKUP(B2297,'INSUMOS  JULIO'!$B$6:$CJ$109,72,0),"")</f>
        <v>0</v>
      </c>
      <c r="G2297" s="8">
        <f>IFERROR(VLOOKUP($B2297,'INSUMOS  JULIO'!$B$6:$CJ$109,73,0),"")</f>
        <v>7739.5639999999985</v>
      </c>
      <c r="H2297" s="19">
        <f t="shared" si="140"/>
        <v>0</v>
      </c>
      <c r="I2297" s="1">
        <f t="shared" si="141"/>
        <v>0</v>
      </c>
      <c r="J2297" s="1">
        <f t="shared" si="142"/>
        <v>0</v>
      </c>
      <c r="K2297" s="19">
        <f t="shared" si="143"/>
        <v>0</v>
      </c>
    </row>
    <row r="2298" spans="2:11" ht="15">
      <c r="B2298" s="151">
        <v>13</v>
      </c>
      <c r="C2298" s="7" t="s">
        <v>157</v>
      </c>
      <c r="D2298" s="4" t="s">
        <v>12</v>
      </c>
      <c r="E2298" t="s">
        <v>495</v>
      </c>
      <c r="F2298" s="12">
        <f>IFERROR(VLOOKUP(B2298,'INSUMOS  JULIO'!$B$6:$CJ$109,72,0),"")</f>
        <v>0</v>
      </c>
      <c r="G2298" s="8">
        <f>IFERROR(VLOOKUP($B2298,'INSUMOS  JULIO'!$B$6:$CJ$109,73,0),"")</f>
        <v>6507.7919999999995</v>
      </c>
      <c r="H2298" s="19">
        <f t="shared" si="140"/>
        <v>0</v>
      </c>
      <c r="I2298" s="1">
        <f t="shared" si="141"/>
        <v>0</v>
      </c>
      <c r="J2298" s="1">
        <f t="shared" si="142"/>
        <v>0</v>
      </c>
      <c r="K2298" s="19">
        <f t="shared" si="143"/>
        <v>0</v>
      </c>
    </row>
    <row r="2299" spans="2:11" ht="15">
      <c r="B2299" s="151">
        <v>17</v>
      </c>
      <c r="C2299" s="7" t="s">
        <v>13</v>
      </c>
      <c r="D2299" s="4" t="s">
        <v>14</v>
      </c>
      <c r="E2299" t="s">
        <v>495</v>
      </c>
      <c r="F2299" s="12">
        <f>IFERROR(VLOOKUP(B2299,'INSUMOS  JULIO'!$B$6:$CJ$109,72,0),"")</f>
        <v>0</v>
      </c>
      <c r="G2299" s="8">
        <f>IFERROR(VLOOKUP($B2299,'INSUMOS  JULIO'!$B$6:$CJ$109,73,0),"")</f>
        <v>5647.0229999999992</v>
      </c>
      <c r="H2299" s="19">
        <f t="shared" si="140"/>
        <v>0</v>
      </c>
      <c r="I2299" s="1">
        <f t="shared" si="141"/>
        <v>0</v>
      </c>
      <c r="J2299" s="1">
        <f t="shared" si="142"/>
        <v>0</v>
      </c>
      <c r="K2299" s="19">
        <f t="shared" si="143"/>
        <v>0</v>
      </c>
    </row>
    <row r="2300" spans="2:11" ht="15">
      <c r="B2300" s="151">
        <v>20</v>
      </c>
      <c r="C2300" s="7" t="s">
        <v>13</v>
      </c>
      <c r="D2300" s="4" t="s">
        <v>15</v>
      </c>
      <c r="E2300" t="s">
        <v>495</v>
      </c>
      <c r="F2300" s="12">
        <f>IFERROR(VLOOKUP(B2300,'INSUMOS  JULIO'!$B$6:$CJ$109,72,0),"")</f>
        <v>0</v>
      </c>
      <c r="G2300" s="8">
        <f>IFERROR(VLOOKUP($B2300,'INSUMOS  JULIO'!$B$6:$CJ$109,73,0),"")</f>
        <v>0</v>
      </c>
      <c r="H2300" s="19">
        <f t="shared" si="140"/>
        <v>0</v>
      </c>
      <c r="I2300" s="1">
        <f t="shared" si="141"/>
        <v>0</v>
      </c>
      <c r="J2300" s="1">
        <f t="shared" si="142"/>
        <v>0</v>
      </c>
      <c r="K2300" s="19">
        <f t="shared" si="143"/>
        <v>0</v>
      </c>
    </row>
    <row r="2301" spans="2:11" ht="15">
      <c r="B2301" s="151">
        <v>21</v>
      </c>
      <c r="C2301" s="7" t="s">
        <v>16</v>
      </c>
      <c r="D2301" s="4" t="s">
        <v>17</v>
      </c>
      <c r="E2301" t="s">
        <v>495</v>
      </c>
      <c r="F2301" s="12">
        <f>IFERROR(VLOOKUP(B2301,'INSUMOS  JULIO'!$B$6:$CJ$109,72,0),"")</f>
        <v>0</v>
      </c>
      <c r="G2301" s="8">
        <f>IFERROR(VLOOKUP($B2301,'INSUMOS  JULIO'!$B$6:$CJ$109,73,0),"")</f>
        <v>5932.8950000000013</v>
      </c>
      <c r="H2301" s="19">
        <f t="shared" si="140"/>
        <v>0</v>
      </c>
      <c r="I2301" s="1">
        <f t="shared" si="141"/>
        <v>0</v>
      </c>
      <c r="J2301" s="1">
        <f t="shared" si="142"/>
        <v>0</v>
      </c>
      <c r="K2301" s="19">
        <f t="shared" si="143"/>
        <v>0</v>
      </c>
    </row>
    <row r="2302" spans="2:11" ht="15">
      <c r="B2302" s="151">
        <v>28</v>
      </c>
      <c r="C2302" s="7" t="s">
        <v>18</v>
      </c>
      <c r="D2302" s="4" t="s">
        <v>19</v>
      </c>
      <c r="E2302" t="s">
        <v>495</v>
      </c>
      <c r="F2302" s="12">
        <f>IFERROR(VLOOKUP(B2302,'INSUMOS  JULIO'!$B$6:$CJ$109,72,0),"")</f>
        <v>0</v>
      </c>
      <c r="G2302" s="8">
        <f>IFERROR(VLOOKUP($B2302,'INSUMOS  JULIO'!$B$6:$CJ$109,73,0),"")</f>
        <v>4229.1188999999995</v>
      </c>
      <c r="H2302" s="19">
        <f t="shared" si="140"/>
        <v>0</v>
      </c>
      <c r="I2302" s="1">
        <f t="shared" si="141"/>
        <v>0</v>
      </c>
      <c r="J2302" s="1">
        <f t="shared" si="142"/>
        <v>0</v>
      </c>
      <c r="K2302" s="19">
        <f t="shared" si="143"/>
        <v>0</v>
      </c>
    </row>
    <row r="2303" spans="2:11" ht="15">
      <c r="B2303" s="151">
        <v>29</v>
      </c>
      <c r="C2303" s="7" t="s">
        <v>20</v>
      </c>
      <c r="D2303" s="4" t="s">
        <v>21</v>
      </c>
      <c r="E2303" t="s">
        <v>495</v>
      </c>
      <c r="F2303" s="12" t="str">
        <f>IFERROR(VLOOKUP(B2303,'INSUMOS  JULIO'!$B$6:$CJ$109,72,0),"")</f>
        <v>0</v>
      </c>
      <c r="G2303" s="8">
        <f>IFERROR(VLOOKUP($B2303,'INSUMOS  JULIO'!$B$6:$CJ$109,73,0),"")</f>
        <v>4829.3450000000012</v>
      </c>
      <c r="H2303" s="19">
        <f t="shared" si="140"/>
        <v>0</v>
      </c>
      <c r="I2303" s="1">
        <f t="shared" si="141"/>
        <v>0</v>
      </c>
      <c r="J2303" s="1">
        <f t="shared" si="142"/>
        <v>0</v>
      </c>
      <c r="K2303" s="19">
        <f t="shared" si="143"/>
        <v>0</v>
      </c>
    </row>
    <row r="2304" spans="2:11" ht="15">
      <c r="B2304" s="151">
        <v>32</v>
      </c>
      <c r="C2304" s="7" t="s">
        <v>22</v>
      </c>
      <c r="D2304" s="4" t="s">
        <v>23</v>
      </c>
      <c r="E2304" t="s">
        <v>495</v>
      </c>
      <c r="F2304" s="12">
        <f>IFERROR(VLOOKUP(B2304,'INSUMOS  JULIO'!$B$6:$CJ$109,72,0),"")</f>
        <v>0</v>
      </c>
      <c r="G2304" s="8">
        <f>IFERROR(VLOOKUP($B2304,'INSUMOS  JULIO'!$B$6:$CJ$109,73,0),"")</f>
        <v>4115.7160000000003</v>
      </c>
      <c r="H2304" s="19">
        <f t="shared" si="140"/>
        <v>0</v>
      </c>
      <c r="I2304" s="1">
        <f t="shared" si="141"/>
        <v>0</v>
      </c>
      <c r="J2304" s="1">
        <f t="shared" si="142"/>
        <v>0</v>
      </c>
      <c r="K2304" s="19">
        <f t="shared" si="143"/>
        <v>0</v>
      </c>
    </row>
    <row r="2305" spans="2:11" ht="15">
      <c r="B2305" s="151">
        <v>38</v>
      </c>
      <c r="C2305" s="7" t="s">
        <v>6</v>
      </c>
      <c r="D2305" s="4" t="s">
        <v>24</v>
      </c>
      <c r="E2305" t="s">
        <v>495</v>
      </c>
      <c r="F2305" s="12" t="str">
        <f>IFERROR(VLOOKUP(B2305,'INSUMOS  JULIO'!$B$6:$CJ$109,72,0),"")</f>
        <v>0</v>
      </c>
      <c r="G2305" s="8">
        <f>IFERROR(VLOOKUP($B2305,'INSUMOS  JULIO'!$B$6:$CJ$109,73,0),"")</f>
        <v>11100.662</v>
      </c>
      <c r="H2305" s="19">
        <f t="shared" si="140"/>
        <v>0</v>
      </c>
      <c r="I2305" s="1">
        <f t="shared" si="141"/>
        <v>0</v>
      </c>
      <c r="J2305" s="1">
        <f t="shared" si="142"/>
        <v>0</v>
      </c>
      <c r="K2305" s="19">
        <f t="shared" si="143"/>
        <v>0</v>
      </c>
    </row>
    <row r="2306" spans="2:11" ht="15">
      <c r="B2306" s="151">
        <v>41</v>
      </c>
      <c r="C2306" s="7" t="s">
        <v>155</v>
      </c>
      <c r="D2306" s="4" t="s">
        <v>25</v>
      </c>
      <c r="E2306" t="s">
        <v>495</v>
      </c>
      <c r="F2306" s="12" t="str">
        <f>IFERROR(VLOOKUP(B2306,'INSUMOS  JULIO'!$B$6:$CJ$109,72,0),"")</f>
        <v>0</v>
      </c>
      <c r="G2306" s="8">
        <f>IFERROR(VLOOKUP($B2306,'INSUMOS  JULIO'!$B$6:$CJ$109,73,0),"")</f>
        <v>7034.3429999999989</v>
      </c>
      <c r="H2306" s="19">
        <f t="shared" si="140"/>
        <v>0</v>
      </c>
      <c r="I2306" s="1">
        <f t="shared" si="141"/>
        <v>0</v>
      </c>
      <c r="J2306" s="1">
        <f t="shared" si="142"/>
        <v>0</v>
      </c>
      <c r="K2306" s="19">
        <f t="shared" si="143"/>
        <v>0</v>
      </c>
    </row>
    <row r="2307" spans="2:11" ht="15">
      <c r="B2307" s="151">
        <v>44</v>
      </c>
      <c r="C2307" s="7" t="s">
        <v>16</v>
      </c>
      <c r="D2307" s="4" t="s">
        <v>26</v>
      </c>
      <c r="E2307" t="s">
        <v>495</v>
      </c>
      <c r="F2307" s="12">
        <f>IFERROR(VLOOKUP(B2307,'INSUMOS  JULIO'!$B$6:$CJ$109,72,0),"")</f>
        <v>0</v>
      </c>
      <c r="G2307" s="8">
        <f>IFERROR(VLOOKUP($B2307,'INSUMOS  JULIO'!$B$6:$CJ$109,73,0),"")</f>
        <v>2787.2520000000004</v>
      </c>
      <c r="H2307" s="19">
        <f t="shared" si="140"/>
        <v>0</v>
      </c>
      <c r="I2307" s="1">
        <f t="shared" si="141"/>
        <v>0</v>
      </c>
      <c r="J2307" s="1">
        <f t="shared" si="142"/>
        <v>0</v>
      </c>
      <c r="K2307" s="19">
        <f t="shared" si="143"/>
        <v>0</v>
      </c>
    </row>
    <row r="2308" spans="2:11" ht="15">
      <c r="B2308" s="151">
        <v>46</v>
      </c>
      <c r="C2308" s="7" t="s">
        <v>27</v>
      </c>
      <c r="D2308" s="4" t="s">
        <v>28</v>
      </c>
      <c r="E2308" t="s">
        <v>495</v>
      </c>
      <c r="F2308" s="12" t="str">
        <f>IFERROR(VLOOKUP(B2308,'INSUMOS  JULIO'!$B$6:$CJ$109,72,0),"")</f>
        <v>0</v>
      </c>
      <c r="G2308" s="8">
        <f>IFERROR(VLOOKUP($B2308,'INSUMOS  JULIO'!$B$6:$CJ$109,73,0),"")</f>
        <v>7739.5640000000021</v>
      </c>
      <c r="H2308" s="19">
        <f t="shared" si="140"/>
        <v>0</v>
      </c>
      <c r="I2308" s="1">
        <f t="shared" si="141"/>
        <v>0</v>
      </c>
      <c r="J2308" s="1">
        <f t="shared" si="142"/>
        <v>0</v>
      </c>
      <c r="K2308" s="19">
        <f t="shared" si="143"/>
        <v>0</v>
      </c>
    </row>
    <row r="2309" spans="2:11" ht="15">
      <c r="B2309" s="151">
        <v>50</v>
      </c>
      <c r="C2309" s="7" t="s">
        <v>13</v>
      </c>
      <c r="D2309" s="4" t="s">
        <v>29</v>
      </c>
      <c r="E2309" t="s">
        <v>495</v>
      </c>
      <c r="F2309" s="12">
        <f>IFERROR(VLOOKUP(B2309,'INSUMOS  JULIO'!$B$6:$CJ$109,72,0),"")</f>
        <v>0</v>
      </c>
      <c r="G2309" s="8">
        <f>IFERROR(VLOOKUP($B2309,'INSUMOS  JULIO'!$B$6:$CJ$109,73,0),"")</f>
        <v>38567.495999999999</v>
      </c>
      <c r="H2309" s="19">
        <f t="shared" si="140"/>
        <v>0</v>
      </c>
      <c r="I2309" s="1">
        <f t="shared" si="141"/>
        <v>0</v>
      </c>
      <c r="J2309" s="1">
        <f t="shared" si="142"/>
        <v>0</v>
      </c>
      <c r="K2309" s="19">
        <f t="shared" si="143"/>
        <v>0</v>
      </c>
    </row>
    <row r="2310" spans="2:11" ht="15">
      <c r="B2310" s="151">
        <v>51</v>
      </c>
      <c r="C2310" s="7" t="s">
        <v>13</v>
      </c>
      <c r="D2310" s="4" t="s">
        <v>30</v>
      </c>
      <c r="E2310" t="s">
        <v>495</v>
      </c>
      <c r="F2310" s="12" t="str">
        <f>IFERROR(VLOOKUP(B2310,'INSUMOS  JULIO'!$B$6:$CJ$109,72,0),"")</f>
        <v>0</v>
      </c>
      <c r="G2310" s="8">
        <f>IFERROR(VLOOKUP($B2310,'INSUMOS  JULIO'!$B$6:$CJ$109,73,0),"")</f>
        <v>7739.5640000000021</v>
      </c>
      <c r="H2310" s="19">
        <f t="shared" ref="H2310:H2373" si="144">+F2310*G2310</f>
        <v>0</v>
      </c>
      <c r="I2310" s="1">
        <f t="shared" ref="I2310:I2373" si="145">+H2310*10%</f>
        <v>0</v>
      </c>
      <c r="J2310" s="1">
        <f t="shared" ref="J2310:J2373" si="146">+I2310*19%</f>
        <v>0</v>
      </c>
      <c r="K2310" s="19">
        <f t="shared" ref="K2310:K2373" si="147">SUM(H2310:J2310)</f>
        <v>0</v>
      </c>
    </row>
    <row r="2311" spans="2:11" ht="15">
      <c r="B2311" s="151">
        <v>52</v>
      </c>
      <c r="C2311" s="7" t="s">
        <v>13</v>
      </c>
      <c r="D2311" s="4" t="s">
        <v>31</v>
      </c>
      <c r="E2311" t="s">
        <v>495</v>
      </c>
      <c r="F2311" s="12">
        <f>IFERROR(VLOOKUP(B2311,'INSUMOS  JULIO'!$B$6:$CJ$109,72,0),"")</f>
        <v>0</v>
      </c>
      <c r="G2311" s="8">
        <f>IFERROR(VLOOKUP($B2311,'INSUMOS  JULIO'!$B$6:$CJ$109,73,0),"")</f>
        <v>6412.1509999999998</v>
      </c>
      <c r="H2311" s="19">
        <f t="shared" si="144"/>
        <v>0</v>
      </c>
      <c r="I2311" s="1">
        <f t="shared" si="145"/>
        <v>0</v>
      </c>
      <c r="J2311" s="1">
        <f t="shared" si="146"/>
        <v>0</v>
      </c>
      <c r="K2311" s="19">
        <f t="shared" si="147"/>
        <v>0</v>
      </c>
    </row>
    <row r="2312" spans="2:11" ht="15">
      <c r="B2312" s="151">
        <v>54</v>
      </c>
      <c r="C2312" s="7" t="s">
        <v>13</v>
      </c>
      <c r="D2312" s="4" t="s">
        <v>32</v>
      </c>
      <c r="E2312" t="s">
        <v>495</v>
      </c>
      <c r="F2312" s="12">
        <f>IFERROR(VLOOKUP(B2312,'INSUMOS  JULIO'!$B$6:$CJ$109,72,0),"")</f>
        <v>0</v>
      </c>
      <c r="G2312" s="8">
        <f>IFERROR(VLOOKUP($B2312,'INSUMOS  JULIO'!$B$6:$CJ$109,73,0),"")</f>
        <v>5359.049</v>
      </c>
      <c r="H2312" s="19">
        <f t="shared" si="144"/>
        <v>0</v>
      </c>
      <c r="I2312" s="1">
        <f t="shared" si="145"/>
        <v>0</v>
      </c>
      <c r="J2312" s="1">
        <f t="shared" si="146"/>
        <v>0</v>
      </c>
      <c r="K2312" s="19">
        <f t="shared" si="147"/>
        <v>0</v>
      </c>
    </row>
    <row r="2313" spans="2:11" ht="15">
      <c r="B2313" s="151">
        <v>57</v>
      </c>
      <c r="C2313" s="7" t="s">
        <v>33</v>
      </c>
      <c r="D2313" s="4" t="s">
        <v>34</v>
      </c>
      <c r="E2313" t="s">
        <v>495</v>
      </c>
      <c r="F2313" s="12">
        <f>IFERROR(VLOOKUP(B2313,'INSUMOS  JULIO'!$B$6:$CJ$109,72,0),"")</f>
        <v>0</v>
      </c>
      <c r="G2313" s="8">
        <f>IFERROR(VLOOKUP($B2313,'INSUMOS  JULIO'!$B$6:$CJ$109,73,0),"")</f>
        <v>12823.251000000004</v>
      </c>
      <c r="H2313" s="19">
        <f t="shared" si="144"/>
        <v>0</v>
      </c>
      <c r="I2313" s="1">
        <f t="shared" si="145"/>
        <v>0</v>
      </c>
      <c r="J2313" s="1">
        <f t="shared" si="146"/>
        <v>0</v>
      </c>
      <c r="K2313" s="19">
        <f t="shared" si="147"/>
        <v>0</v>
      </c>
    </row>
    <row r="2314" spans="2:11" ht="15">
      <c r="B2314" s="151">
        <v>59</v>
      </c>
      <c r="C2314" s="7" t="s">
        <v>16</v>
      </c>
      <c r="D2314" s="4" t="s">
        <v>35</v>
      </c>
      <c r="E2314" t="s">
        <v>495</v>
      </c>
      <c r="F2314" s="12" t="str">
        <f>IFERROR(VLOOKUP(B2314,'INSUMOS  JULIO'!$B$6:$CJ$109,72,0),"")</f>
        <v>0</v>
      </c>
      <c r="G2314" s="8">
        <f>IFERROR(VLOOKUP($B2314,'INSUMOS  JULIO'!$B$6:$CJ$109,73,0),"")</f>
        <v>5528.260000000002</v>
      </c>
      <c r="H2314" s="19">
        <f t="shared" si="144"/>
        <v>0</v>
      </c>
      <c r="I2314" s="1">
        <f t="shared" si="145"/>
        <v>0</v>
      </c>
      <c r="J2314" s="1">
        <f t="shared" si="146"/>
        <v>0</v>
      </c>
      <c r="K2314" s="19">
        <f t="shared" si="147"/>
        <v>0</v>
      </c>
    </row>
    <row r="2315" spans="2:11" ht="15">
      <c r="B2315" s="151">
        <v>62</v>
      </c>
      <c r="C2315" s="7" t="s">
        <v>36</v>
      </c>
      <c r="D2315" s="4" t="s">
        <v>37</v>
      </c>
      <c r="E2315" t="s">
        <v>495</v>
      </c>
      <c r="F2315" s="12">
        <f>IFERROR(VLOOKUP(B2315,'INSUMOS  JULIO'!$B$6:$CJ$109,72,0),"")</f>
        <v>4</v>
      </c>
      <c r="G2315" s="8">
        <f>IFERROR(VLOOKUP($B2315,'INSUMOS  JULIO'!$B$6:$CJ$109,73,0),"")</f>
        <v>10100.3202</v>
      </c>
      <c r="H2315" s="19">
        <f t="shared" si="144"/>
        <v>40401.2808</v>
      </c>
      <c r="I2315" s="1">
        <f t="shared" si="145"/>
        <v>4040.1280800000004</v>
      </c>
      <c r="J2315" s="1">
        <f t="shared" si="146"/>
        <v>767.62433520000013</v>
      </c>
      <c r="K2315" s="19">
        <f t="shared" si="147"/>
        <v>45209.033215200005</v>
      </c>
    </row>
    <row r="2316" spans="2:11" ht="15">
      <c r="B2316" s="151">
        <v>63</v>
      </c>
      <c r="C2316" s="7" t="s">
        <v>36</v>
      </c>
      <c r="D2316" s="4" t="s">
        <v>38</v>
      </c>
      <c r="E2316" t="s">
        <v>495</v>
      </c>
      <c r="F2316" s="12">
        <f>IFERROR(VLOOKUP(B2316,'INSUMOS  JULIO'!$B$6:$CJ$109,72,0),"")</f>
        <v>5</v>
      </c>
      <c r="G2316" s="8">
        <f>IFERROR(VLOOKUP($B2316,'INSUMOS  JULIO'!$B$6:$CJ$109,73,0),"")</f>
        <v>8292.39</v>
      </c>
      <c r="H2316" s="19">
        <f t="shared" si="144"/>
        <v>41461.949999999997</v>
      </c>
      <c r="I2316" s="1">
        <f t="shared" si="145"/>
        <v>4146.1949999999997</v>
      </c>
      <c r="J2316" s="1">
        <f t="shared" si="146"/>
        <v>787.77704999999992</v>
      </c>
      <c r="K2316" s="19">
        <f t="shared" si="147"/>
        <v>46395.922049999994</v>
      </c>
    </row>
    <row r="2317" spans="2:11" ht="15">
      <c r="B2317" s="151">
        <v>64</v>
      </c>
      <c r="C2317" s="7" t="s">
        <v>39</v>
      </c>
      <c r="D2317" s="4" t="s">
        <v>40</v>
      </c>
      <c r="E2317" t="s">
        <v>495</v>
      </c>
      <c r="F2317" s="12">
        <f>IFERROR(VLOOKUP(B2317,'INSUMOS  JULIO'!$B$6:$CJ$109,72,0),"")</f>
        <v>0</v>
      </c>
      <c r="G2317" s="8">
        <f>IFERROR(VLOOKUP($B2317,'INSUMOS  JULIO'!$B$6:$CJ$109,73,0),"")</f>
        <v>13820.650000000001</v>
      </c>
      <c r="H2317" s="19">
        <f t="shared" si="144"/>
        <v>0</v>
      </c>
      <c r="I2317" s="1">
        <f t="shared" si="145"/>
        <v>0</v>
      </c>
      <c r="J2317" s="1">
        <f t="shared" si="146"/>
        <v>0</v>
      </c>
      <c r="K2317" s="19">
        <f t="shared" si="147"/>
        <v>0</v>
      </c>
    </row>
    <row r="2318" spans="2:11" ht="15">
      <c r="B2318" s="151">
        <v>65</v>
      </c>
      <c r="C2318" s="7" t="s">
        <v>39</v>
      </c>
      <c r="D2318" s="4" t="s">
        <v>41</v>
      </c>
      <c r="E2318" t="s">
        <v>495</v>
      </c>
      <c r="F2318" s="12">
        <f>IFERROR(VLOOKUP(B2318,'INSUMOS  JULIO'!$B$6:$CJ$109,72,0),"")</f>
        <v>0</v>
      </c>
      <c r="G2318" s="8">
        <f>IFERROR(VLOOKUP($B2318,'INSUMOS  JULIO'!$B$6:$CJ$109,73,0),"")</f>
        <v>13820.650000000001</v>
      </c>
      <c r="H2318" s="19">
        <f t="shared" si="144"/>
        <v>0</v>
      </c>
      <c r="I2318" s="1">
        <f t="shared" si="145"/>
        <v>0</v>
      </c>
      <c r="J2318" s="1">
        <f t="shared" si="146"/>
        <v>0</v>
      </c>
      <c r="K2318" s="19">
        <f t="shared" si="147"/>
        <v>0</v>
      </c>
    </row>
    <row r="2319" spans="2:11" ht="15">
      <c r="B2319" s="151">
        <v>66</v>
      </c>
      <c r="C2319" s="7" t="s">
        <v>151</v>
      </c>
      <c r="D2319" s="4" t="s">
        <v>42</v>
      </c>
      <c r="E2319" t="s">
        <v>495</v>
      </c>
      <c r="F2319" s="12">
        <f>IFERROR(VLOOKUP(B2319,'INSUMOS  JULIO'!$B$6:$CJ$109,72,0),"")</f>
        <v>0</v>
      </c>
      <c r="G2319" s="8">
        <f>IFERROR(VLOOKUP($B2319,'INSUMOS  JULIO'!$B$6:$CJ$109,73,0),"")</f>
        <v>4178.9862000000003</v>
      </c>
      <c r="H2319" s="19">
        <f t="shared" si="144"/>
        <v>0</v>
      </c>
      <c r="I2319" s="1">
        <f t="shared" si="145"/>
        <v>0</v>
      </c>
      <c r="J2319" s="1">
        <f t="shared" si="146"/>
        <v>0</v>
      </c>
      <c r="K2319" s="19">
        <f t="shared" si="147"/>
        <v>0</v>
      </c>
    </row>
    <row r="2320" spans="2:11" ht="15">
      <c r="B2320" s="151">
        <v>71</v>
      </c>
      <c r="C2320" s="7" t="s">
        <v>151</v>
      </c>
      <c r="D2320" s="4" t="s">
        <v>43</v>
      </c>
      <c r="E2320" t="s">
        <v>495</v>
      </c>
      <c r="F2320" s="12" t="str">
        <f>IFERROR(VLOOKUP(B2320,'INSUMOS  JULIO'!$B$6:$CJ$109,72,0),"")</f>
        <v>0</v>
      </c>
      <c r="G2320" s="8">
        <f>IFERROR(VLOOKUP($B2320,'INSUMOS  JULIO'!$B$6:$CJ$109,73,0),"")</f>
        <v>5196.1440000000002</v>
      </c>
      <c r="H2320" s="19">
        <f t="shared" si="144"/>
        <v>0</v>
      </c>
      <c r="I2320" s="1">
        <f t="shared" si="145"/>
        <v>0</v>
      </c>
      <c r="J2320" s="1">
        <f t="shared" si="146"/>
        <v>0</v>
      </c>
      <c r="K2320" s="19">
        <f t="shared" si="147"/>
        <v>0</v>
      </c>
    </row>
    <row r="2321" spans="2:11" ht="15">
      <c r="B2321" s="151">
        <v>72</v>
      </c>
      <c r="C2321" s="7" t="s">
        <v>151</v>
      </c>
      <c r="D2321" s="4" t="s">
        <v>44</v>
      </c>
      <c r="E2321" t="s">
        <v>495</v>
      </c>
      <c r="F2321" s="12">
        <f>IFERROR(VLOOKUP(B2321,'INSUMOS  JULIO'!$B$6:$CJ$109,72,0),"")</f>
        <v>0</v>
      </c>
      <c r="G2321" s="8">
        <f>IFERROR(VLOOKUP($B2321,'INSUMOS  JULIO'!$B$6:$CJ$109,73,0),"")</f>
        <v>5196.1440000000002</v>
      </c>
      <c r="H2321" s="19">
        <f t="shared" si="144"/>
        <v>0</v>
      </c>
      <c r="I2321" s="1">
        <f t="shared" si="145"/>
        <v>0</v>
      </c>
      <c r="J2321" s="1">
        <f t="shared" si="146"/>
        <v>0</v>
      </c>
      <c r="K2321" s="19">
        <f t="shared" si="147"/>
        <v>0</v>
      </c>
    </row>
    <row r="2322" spans="2:11" ht="27">
      <c r="B2322" s="151">
        <v>73</v>
      </c>
      <c r="C2322" s="7" t="s">
        <v>151</v>
      </c>
      <c r="D2322" s="4" t="s">
        <v>45</v>
      </c>
      <c r="E2322" t="s">
        <v>495</v>
      </c>
      <c r="F2322" s="12">
        <f>IFERROR(VLOOKUP(B2322,'INSUMOS  JULIO'!$B$6:$CJ$109,72,0),"")</f>
        <v>0</v>
      </c>
      <c r="G2322" s="8">
        <f>IFERROR(VLOOKUP($B2322,'INSUMOS  JULIO'!$B$6:$CJ$109,73,0),"")</f>
        <v>4975.4340000000011</v>
      </c>
      <c r="H2322" s="19">
        <f t="shared" si="144"/>
        <v>0</v>
      </c>
      <c r="I2322" s="1">
        <f t="shared" si="145"/>
        <v>0</v>
      </c>
      <c r="J2322" s="1">
        <f t="shared" si="146"/>
        <v>0</v>
      </c>
      <c r="K2322" s="19">
        <f t="shared" si="147"/>
        <v>0</v>
      </c>
    </row>
    <row r="2323" spans="2:11" ht="15">
      <c r="B2323" s="151">
        <v>74</v>
      </c>
      <c r="C2323" s="7" t="s">
        <v>46</v>
      </c>
      <c r="D2323" s="4" t="s">
        <v>47</v>
      </c>
      <c r="E2323" t="s">
        <v>495</v>
      </c>
      <c r="F2323" s="12">
        <f>IFERROR(VLOOKUP(B2323,'INSUMOS  JULIO'!$B$6:$CJ$109,72,0),"")</f>
        <v>0</v>
      </c>
      <c r="G2323" s="8">
        <f>IFERROR(VLOOKUP($B2323,'INSUMOS  JULIO'!$B$6:$CJ$109,73,0),"")</f>
        <v>3261.2529999999997</v>
      </c>
      <c r="H2323" s="19">
        <f t="shared" si="144"/>
        <v>0</v>
      </c>
      <c r="I2323" s="1">
        <f t="shared" si="145"/>
        <v>0</v>
      </c>
      <c r="J2323" s="1">
        <f t="shared" si="146"/>
        <v>0</v>
      </c>
      <c r="K2323" s="19">
        <f t="shared" si="147"/>
        <v>0</v>
      </c>
    </row>
    <row r="2324" spans="2:11" ht="15">
      <c r="B2324" s="151">
        <v>79</v>
      </c>
      <c r="C2324" s="7" t="s">
        <v>159</v>
      </c>
      <c r="D2324" s="4" t="s">
        <v>48</v>
      </c>
      <c r="E2324" t="s">
        <v>495</v>
      </c>
      <c r="F2324" s="12">
        <f>IFERROR(VLOOKUP(B2324,'INSUMOS  JULIO'!$B$6:$CJ$109,72,0),"")</f>
        <v>0</v>
      </c>
      <c r="G2324" s="8">
        <f>IFERROR(VLOOKUP($B2324,'INSUMOS  JULIO'!$B$6:$CJ$109,73,0),"")</f>
        <v>541.2650000000001</v>
      </c>
      <c r="H2324" s="19">
        <f t="shared" si="144"/>
        <v>0</v>
      </c>
      <c r="I2324" s="1">
        <f t="shared" si="145"/>
        <v>0</v>
      </c>
      <c r="J2324" s="1">
        <f t="shared" si="146"/>
        <v>0</v>
      </c>
      <c r="K2324" s="19">
        <f t="shared" si="147"/>
        <v>0</v>
      </c>
    </row>
    <row r="2325" spans="2:11" ht="15">
      <c r="B2325" s="151">
        <v>80</v>
      </c>
      <c r="C2325" s="7" t="s">
        <v>159</v>
      </c>
      <c r="D2325" s="4" t="s">
        <v>49</v>
      </c>
      <c r="E2325" t="s">
        <v>495</v>
      </c>
      <c r="F2325" s="12">
        <f>IFERROR(VLOOKUP(B2325,'INSUMOS  JULIO'!$B$6:$CJ$109,72,0),"")</f>
        <v>5</v>
      </c>
      <c r="G2325" s="8">
        <f>IFERROR(VLOOKUP($B2325,'INSUMOS  JULIO'!$B$6:$CJ$109,73,0),"")</f>
        <v>433.01199999999994</v>
      </c>
      <c r="H2325" s="19">
        <f t="shared" si="144"/>
        <v>2165.0599999999995</v>
      </c>
      <c r="I2325" s="1">
        <f t="shared" si="145"/>
        <v>216.50599999999997</v>
      </c>
      <c r="J2325" s="1">
        <f t="shared" si="146"/>
        <v>41.136139999999997</v>
      </c>
      <c r="K2325" s="19">
        <f t="shared" si="147"/>
        <v>2422.7021399999994</v>
      </c>
    </row>
    <row r="2326" spans="2:11" ht="15">
      <c r="B2326" s="151">
        <v>81</v>
      </c>
      <c r="C2326" s="7" t="s">
        <v>159</v>
      </c>
      <c r="D2326" s="4" t="s">
        <v>50</v>
      </c>
      <c r="E2326" t="s">
        <v>495</v>
      </c>
      <c r="F2326" s="12">
        <f>IFERROR(VLOOKUP(B2326,'INSUMOS  JULIO'!$B$6:$CJ$109,72,0),"")</f>
        <v>0</v>
      </c>
      <c r="G2326" s="8">
        <f>IFERROR(VLOOKUP($B2326,'INSUMOS  JULIO'!$B$6:$CJ$109,73,0),"")</f>
        <v>211.251</v>
      </c>
      <c r="H2326" s="19">
        <f t="shared" si="144"/>
        <v>0</v>
      </c>
      <c r="I2326" s="1">
        <f t="shared" si="145"/>
        <v>0</v>
      </c>
      <c r="J2326" s="1">
        <f t="shared" si="146"/>
        <v>0</v>
      </c>
      <c r="K2326" s="19">
        <f t="shared" si="147"/>
        <v>0</v>
      </c>
    </row>
    <row r="2327" spans="2:11" ht="15">
      <c r="B2327" s="151">
        <v>82</v>
      </c>
      <c r="C2327" s="7" t="s">
        <v>159</v>
      </c>
      <c r="D2327" s="4" t="s">
        <v>51</v>
      </c>
      <c r="E2327" t="s">
        <v>495</v>
      </c>
      <c r="F2327" s="12" t="str">
        <f>IFERROR(VLOOKUP(B2327,'INSUMOS  JULIO'!$B$6:$CJ$109,72,0),"")</f>
        <v>0</v>
      </c>
      <c r="G2327" s="8">
        <f>IFERROR(VLOOKUP($B2327,'INSUMOS  JULIO'!$B$6:$CJ$109,73,0),"")</f>
        <v>1003.7049999999999</v>
      </c>
      <c r="H2327" s="19">
        <f t="shared" si="144"/>
        <v>0</v>
      </c>
      <c r="I2327" s="1">
        <f t="shared" si="145"/>
        <v>0</v>
      </c>
      <c r="J2327" s="1">
        <f t="shared" si="146"/>
        <v>0</v>
      </c>
      <c r="K2327" s="19">
        <f t="shared" si="147"/>
        <v>0</v>
      </c>
    </row>
    <row r="2328" spans="2:11" ht="15">
      <c r="B2328" s="151">
        <v>83</v>
      </c>
      <c r="C2328" s="7" t="s">
        <v>159</v>
      </c>
      <c r="D2328" s="4" t="s">
        <v>52</v>
      </c>
      <c r="E2328" t="s">
        <v>495</v>
      </c>
      <c r="F2328" s="12" t="str">
        <f>IFERROR(VLOOKUP(B2328,'INSUMOS  JULIO'!$B$6:$CJ$109,72,0),"")</f>
        <v>0</v>
      </c>
      <c r="G2328" s="8">
        <f>IFERROR(VLOOKUP($B2328,'INSUMOS  JULIO'!$B$6:$CJ$109,73,0),"")</f>
        <v>336.32</v>
      </c>
      <c r="H2328" s="19">
        <f t="shared" si="144"/>
        <v>0</v>
      </c>
      <c r="I2328" s="1">
        <f t="shared" si="145"/>
        <v>0</v>
      </c>
      <c r="J2328" s="1">
        <f t="shared" si="146"/>
        <v>0</v>
      </c>
      <c r="K2328" s="19">
        <f t="shared" si="147"/>
        <v>0</v>
      </c>
    </row>
    <row r="2329" spans="2:11" ht="15">
      <c r="B2329" s="151">
        <v>86</v>
      </c>
      <c r="C2329" s="7" t="s">
        <v>53</v>
      </c>
      <c r="D2329" s="4" t="s">
        <v>54</v>
      </c>
      <c r="E2329" t="s">
        <v>495</v>
      </c>
      <c r="F2329" s="12" t="str">
        <f>IFERROR(VLOOKUP(B2329,'INSUMOS  JULIO'!$B$6:$CJ$109,72,0),"")</f>
        <v>0</v>
      </c>
      <c r="G2329" s="8">
        <f>IFERROR(VLOOKUP($B2329,'INSUMOS  JULIO'!$B$6:$CJ$109,73,0),"")</f>
        <v>2792.5070000000005</v>
      </c>
      <c r="H2329" s="19">
        <f t="shared" si="144"/>
        <v>0</v>
      </c>
      <c r="I2329" s="1">
        <f t="shared" si="145"/>
        <v>0</v>
      </c>
      <c r="J2329" s="1">
        <f t="shared" si="146"/>
        <v>0</v>
      </c>
      <c r="K2329" s="19">
        <f t="shared" si="147"/>
        <v>0</v>
      </c>
    </row>
    <row r="2330" spans="2:11" ht="15">
      <c r="B2330" s="151">
        <v>87</v>
      </c>
      <c r="C2330" s="7" t="s">
        <v>53</v>
      </c>
      <c r="D2330" s="4" t="s">
        <v>55</v>
      </c>
      <c r="E2330" t="s">
        <v>495</v>
      </c>
      <c r="F2330" s="12" t="str">
        <f>IFERROR(VLOOKUP(B2330,'INSUMOS  JULIO'!$B$6:$CJ$109,72,0),"")</f>
        <v>0</v>
      </c>
      <c r="G2330" s="8">
        <f>IFERROR(VLOOKUP($B2330,'INSUMOS  JULIO'!$B$6:$CJ$109,73,0),"")</f>
        <v>0</v>
      </c>
      <c r="H2330" s="19">
        <f t="shared" si="144"/>
        <v>0</v>
      </c>
      <c r="I2330" s="1">
        <f t="shared" si="145"/>
        <v>0</v>
      </c>
      <c r="J2330" s="1">
        <f t="shared" si="146"/>
        <v>0</v>
      </c>
      <c r="K2330" s="19">
        <f t="shared" si="147"/>
        <v>0</v>
      </c>
    </row>
    <row r="2331" spans="2:11" ht="15">
      <c r="B2331" s="151">
        <v>88</v>
      </c>
      <c r="C2331" s="7" t="s">
        <v>53</v>
      </c>
      <c r="D2331" s="4" t="s">
        <v>56</v>
      </c>
      <c r="E2331" t="s">
        <v>495</v>
      </c>
      <c r="F2331" s="12">
        <f>IFERROR(VLOOKUP(B2331,'INSUMOS  JULIO'!$B$6:$CJ$109,72,0),"")</f>
        <v>0</v>
      </c>
      <c r="G2331" s="8">
        <f>IFERROR(VLOOKUP($B2331,'INSUMOS  JULIO'!$B$6:$CJ$109,73,0),"")</f>
        <v>2717.886</v>
      </c>
      <c r="H2331" s="19">
        <f t="shared" si="144"/>
        <v>0</v>
      </c>
      <c r="I2331" s="1">
        <f t="shared" si="145"/>
        <v>0</v>
      </c>
      <c r="J2331" s="1">
        <f t="shared" si="146"/>
        <v>0</v>
      </c>
      <c r="K2331" s="19">
        <f t="shared" si="147"/>
        <v>0</v>
      </c>
    </row>
    <row r="2332" spans="2:11" ht="15">
      <c r="B2332" s="151">
        <v>89</v>
      </c>
      <c r="C2332" s="7" t="s">
        <v>53</v>
      </c>
      <c r="D2332" s="4" t="s">
        <v>57</v>
      </c>
      <c r="E2332" t="s">
        <v>495</v>
      </c>
      <c r="F2332" s="12" t="str">
        <f>IFERROR(VLOOKUP(B2332,'INSUMOS  JULIO'!$B$6:$CJ$109,72,0),"")</f>
        <v>0</v>
      </c>
      <c r="G2332" s="8">
        <f>IFERROR(VLOOKUP($B2332,'INSUMOS  JULIO'!$B$6:$CJ$109,73,0),"")</f>
        <v>2650.6220000000003</v>
      </c>
      <c r="H2332" s="19">
        <f t="shared" si="144"/>
        <v>0</v>
      </c>
      <c r="I2332" s="1">
        <f t="shared" si="145"/>
        <v>0</v>
      </c>
      <c r="J2332" s="1">
        <f t="shared" si="146"/>
        <v>0</v>
      </c>
      <c r="K2332" s="19">
        <f t="shared" si="147"/>
        <v>0</v>
      </c>
    </row>
    <row r="2333" spans="2:11" ht="15">
      <c r="B2333" s="151">
        <v>91</v>
      </c>
      <c r="C2333" s="7" t="s">
        <v>160</v>
      </c>
      <c r="D2333" s="4" t="s">
        <v>58</v>
      </c>
      <c r="E2333" t="s">
        <v>495</v>
      </c>
      <c r="F2333" s="12" t="str">
        <f>IFERROR(VLOOKUP(B2333,'INSUMOS  JULIO'!$B$6:$CJ$109,72,0),"")</f>
        <v>0</v>
      </c>
      <c r="G2333" s="8">
        <f>IFERROR(VLOOKUP($B2333,'INSUMOS  JULIO'!$B$6:$CJ$109,73,0),"")</f>
        <v>4364.8029999999999</v>
      </c>
      <c r="H2333" s="19">
        <f t="shared" si="144"/>
        <v>0</v>
      </c>
      <c r="I2333" s="1">
        <f t="shared" si="145"/>
        <v>0</v>
      </c>
      <c r="J2333" s="1">
        <f t="shared" si="146"/>
        <v>0</v>
      </c>
      <c r="K2333" s="19">
        <f t="shared" si="147"/>
        <v>0</v>
      </c>
    </row>
    <row r="2334" spans="2:11" ht="15">
      <c r="B2334" s="151">
        <v>92</v>
      </c>
      <c r="C2334" s="7" t="s">
        <v>160</v>
      </c>
      <c r="D2334" s="4" t="s">
        <v>59</v>
      </c>
      <c r="E2334" t="s">
        <v>495</v>
      </c>
      <c r="F2334" s="12" t="str">
        <f>IFERROR(VLOOKUP(B2334,'INSUMOS  JULIO'!$B$6:$CJ$109,72,0),"")</f>
        <v>0</v>
      </c>
      <c r="G2334" s="8">
        <f>IFERROR(VLOOKUP($B2334,'INSUMOS  JULIO'!$B$6:$CJ$109,73,0),"")</f>
        <v>2380.5149999999999</v>
      </c>
      <c r="H2334" s="19">
        <f t="shared" si="144"/>
        <v>0</v>
      </c>
      <c r="I2334" s="1">
        <f t="shared" si="145"/>
        <v>0</v>
      </c>
      <c r="J2334" s="1">
        <f t="shared" si="146"/>
        <v>0</v>
      </c>
      <c r="K2334" s="19">
        <f t="shared" si="147"/>
        <v>0</v>
      </c>
    </row>
    <row r="2335" spans="2:11" ht="15">
      <c r="B2335" s="151">
        <v>94</v>
      </c>
      <c r="C2335" s="7" t="s">
        <v>60</v>
      </c>
      <c r="D2335" s="4" t="s">
        <v>61</v>
      </c>
      <c r="E2335" t="s">
        <v>495</v>
      </c>
      <c r="F2335" s="12" t="str">
        <f>IFERROR(VLOOKUP(B2335,'INSUMOS  JULIO'!$B$6:$CJ$109,72,0),"")</f>
        <v>0</v>
      </c>
      <c r="G2335" s="8">
        <f>IFERROR(VLOOKUP($B2335,'INSUMOS  JULIO'!$B$6:$CJ$109,73,0),"")</f>
        <v>3316.9560000000001</v>
      </c>
      <c r="H2335" s="19">
        <f t="shared" si="144"/>
        <v>0</v>
      </c>
      <c r="I2335" s="1">
        <f t="shared" si="145"/>
        <v>0</v>
      </c>
      <c r="J2335" s="1">
        <f t="shared" si="146"/>
        <v>0</v>
      </c>
      <c r="K2335" s="19">
        <f t="shared" si="147"/>
        <v>0</v>
      </c>
    </row>
    <row r="2336" spans="2:11" ht="15">
      <c r="B2336" s="151">
        <v>95</v>
      </c>
      <c r="C2336" s="7" t="s">
        <v>60</v>
      </c>
      <c r="D2336" s="4" t="s">
        <v>62</v>
      </c>
      <c r="E2336" t="s">
        <v>495</v>
      </c>
      <c r="F2336" s="12" t="str">
        <f>IFERROR(VLOOKUP(B2336,'INSUMOS  JULIO'!$B$6:$CJ$109,72,0),"")</f>
        <v>0</v>
      </c>
      <c r="G2336" s="8">
        <f>IFERROR(VLOOKUP($B2336,'INSUMOS  JULIO'!$B$6:$CJ$109,73,0),"")</f>
        <v>11056.52</v>
      </c>
      <c r="H2336" s="19">
        <f t="shared" si="144"/>
        <v>0</v>
      </c>
      <c r="I2336" s="1">
        <f t="shared" si="145"/>
        <v>0</v>
      </c>
      <c r="J2336" s="1">
        <f t="shared" si="146"/>
        <v>0</v>
      </c>
      <c r="K2336" s="19">
        <f t="shared" si="147"/>
        <v>0</v>
      </c>
    </row>
    <row r="2337" spans="2:11" ht="15">
      <c r="B2337" s="151">
        <v>98</v>
      </c>
      <c r="C2337" s="7" t="s">
        <v>151</v>
      </c>
      <c r="D2337" s="4" t="s">
        <v>63</v>
      </c>
      <c r="E2337" t="s">
        <v>495</v>
      </c>
      <c r="F2337" s="12">
        <f>IFERROR(VLOOKUP(B2337,'INSUMOS  JULIO'!$B$6:$CJ$109,72,0),"")</f>
        <v>0</v>
      </c>
      <c r="G2337" s="8">
        <f>IFERROR(VLOOKUP($B2337,'INSUMOS  JULIO'!$B$6:$CJ$109,73,0),"")</f>
        <v>6633.9120000000003</v>
      </c>
      <c r="H2337" s="19">
        <f t="shared" si="144"/>
        <v>0</v>
      </c>
      <c r="I2337" s="1">
        <f t="shared" si="145"/>
        <v>0</v>
      </c>
      <c r="J2337" s="1">
        <f t="shared" si="146"/>
        <v>0</v>
      </c>
      <c r="K2337" s="19">
        <f t="shared" si="147"/>
        <v>0</v>
      </c>
    </row>
    <row r="2338" spans="2:11" ht="15">
      <c r="B2338" s="151">
        <v>100</v>
      </c>
      <c r="C2338" s="7" t="s">
        <v>160</v>
      </c>
      <c r="D2338" s="4" t="s">
        <v>64</v>
      </c>
      <c r="E2338" t="s">
        <v>495</v>
      </c>
      <c r="F2338" s="12" t="str">
        <f>IFERROR(VLOOKUP(B2338,'INSUMOS  JULIO'!$B$6:$CJ$109,72,0),"")</f>
        <v>0</v>
      </c>
      <c r="G2338" s="8">
        <f>IFERROR(VLOOKUP($B2338,'INSUMOS  JULIO'!$B$6:$CJ$109,73,0),"")</f>
        <v>4364.8029999999999</v>
      </c>
      <c r="H2338" s="19">
        <f t="shared" si="144"/>
        <v>0</v>
      </c>
      <c r="I2338" s="1">
        <f t="shared" si="145"/>
        <v>0</v>
      </c>
      <c r="J2338" s="1">
        <f t="shared" si="146"/>
        <v>0</v>
      </c>
      <c r="K2338" s="19">
        <f t="shared" si="147"/>
        <v>0</v>
      </c>
    </row>
    <row r="2339" spans="2:11" ht="15">
      <c r="B2339" s="151">
        <v>102</v>
      </c>
      <c r="C2339" s="7" t="s">
        <v>60</v>
      </c>
      <c r="D2339" s="4" t="s">
        <v>65</v>
      </c>
      <c r="E2339" t="s">
        <v>495</v>
      </c>
      <c r="F2339" s="12" t="str">
        <f>IFERROR(VLOOKUP(B2339,'INSUMOS  JULIO'!$B$6:$CJ$109,72,0),"")</f>
        <v>0</v>
      </c>
      <c r="G2339" s="8">
        <f>IFERROR(VLOOKUP($B2339,'INSUMOS  JULIO'!$B$6:$CJ$109,73,0),"")</f>
        <v>3811.9770000000003</v>
      </c>
      <c r="H2339" s="19">
        <f t="shared" si="144"/>
        <v>0</v>
      </c>
      <c r="I2339" s="1">
        <f t="shared" si="145"/>
        <v>0</v>
      </c>
      <c r="J2339" s="1">
        <f t="shared" si="146"/>
        <v>0</v>
      </c>
      <c r="K2339" s="19">
        <f t="shared" si="147"/>
        <v>0</v>
      </c>
    </row>
    <row r="2340" spans="2:11" ht="15">
      <c r="B2340" s="151">
        <v>103</v>
      </c>
      <c r="C2340" s="7" t="s">
        <v>66</v>
      </c>
      <c r="D2340" s="4" t="s">
        <v>67</v>
      </c>
      <c r="E2340" t="s">
        <v>495</v>
      </c>
      <c r="F2340" s="12" t="str">
        <f>IFERROR(VLOOKUP(B2340,'INSUMOS  JULIO'!$B$6:$CJ$109,72,0),"")</f>
        <v>0</v>
      </c>
      <c r="G2340" s="8">
        <f>IFERROR(VLOOKUP($B2340,'INSUMOS  JULIO'!$B$6:$CJ$109,73,0),"")</f>
        <v>18022.547999999999</v>
      </c>
      <c r="H2340" s="19">
        <f t="shared" si="144"/>
        <v>0</v>
      </c>
      <c r="I2340" s="1">
        <f t="shared" si="145"/>
        <v>0</v>
      </c>
      <c r="J2340" s="1">
        <f t="shared" si="146"/>
        <v>0</v>
      </c>
      <c r="K2340" s="19">
        <f t="shared" si="147"/>
        <v>0</v>
      </c>
    </row>
    <row r="2341" spans="2:11" ht="15">
      <c r="B2341" s="151">
        <v>104</v>
      </c>
      <c r="C2341" s="7" t="s">
        <v>66</v>
      </c>
      <c r="D2341" s="4" t="s">
        <v>68</v>
      </c>
      <c r="E2341" t="s">
        <v>495</v>
      </c>
      <c r="F2341" s="12" t="str">
        <f>IFERROR(VLOOKUP(B2341,'INSUMOS  JULIO'!$B$6:$CJ$109,72,0),"")</f>
        <v>0</v>
      </c>
      <c r="G2341" s="8">
        <f>IFERROR(VLOOKUP($B2341,'INSUMOS  JULIO'!$B$6:$CJ$109,73,0),"")</f>
        <v>18022.547999999999</v>
      </c>
      <c r="H2341" s="19">
        <f t="shared" si="144"/>
        <v>0</v>
      </c>
      <c r="I2341" s="1">
        <f t="shared" si="145"/>
        <v>0</v>
      </c>
      <c r="J2341" s="1">
        <f t="shared" si="146"/>
        <v>0</v>
      </c>
      <c r="K2341" s="19">
        <f t="shared" si="147"/>
        <v>0</v>
      </c>
    </row>
    <row r="2342" spans="2:11" ht="15">
      <c r="B2342" s="151">
        <v>105</v>
      </c>
      <c r="C2342" s="7" t="s">
        <v>66</v>
      </c>
      <c r="D2342" s="4" t="s">
        <v>69</v>
      </c>
      <c r="E2342" t="s">
        <v>495</v>
      </c>
      <c r="F2342" s="12" t="str">
        <f>IFERROR(VLOOKUP(B2342,'INSUMOS  JULIO'!$B$6:$CJ$109,72,0),"")</f>
        <v>0</v>
      </c>
      <c r="G2342" s="8">
        <f>IFERROR(VLOOKUP($B2342,'INSUMOS  JULIO'!$B$6:$CJ$109,73,0),"")</f>
        <v>27641.3</v>
      </c>
      <c r="H2342" s="19">
        <f t="shared" si="144"/>
        <v>0</v>
      </c>
      <c r="I2342" s="1">
        <f t="shared" si="145"/>
        <v>0</v>
      </c>
      <c r="J2342" s="1">
        <f t="shared" si="146"/>
        <v>0</v>
      </c>
      <c r="K2342" s="19">
        <f t="shared" si="147"/>
        <v>0</v>
      </c>
    </row>
    <row r="2343" spans="2:11" ht="15">
      <c r="B2343" s="151">
        <v>106</v>
      </c>
      <c r="C2343" s="7" t="s">
        <v>66</v>
      </c>
      <c r="D2343" s="4" t="s">
        <v>70</v>
      </c>
      <c r="E2343" t="s">
        <v>495</v>
      </c>
      <c r="F2343" s="12" t="str">
        <f>IFERROR(VLOOKUP(B2343,'INSUMOS  JULIO'!$B$6:$CJ$109,72,0),"")</f>
        <v>0</v>
      </c>
      <c r="G2343" s="8">
        <f>IFERROR(VLOOKUP($B2343,'INSUMOS  JULIO'!$B$6:$CJ$109,73,0),"")</f>
        <v>0</v>
      </c>
      <c r="H2343" s="19">
        <f t="shared" si="144"/>
        <v>0</v>
      </c>
      <c r="I2343" s="1">
        <f t="shared" si="145"/>
        <v>0</v>
      </c>
      <c r="J2343" s="1">
        <f t="shared" si="146"/>
        <v>0</v>
      </c>
      <c r="K2343" s="19">
        <f t="shared" si="147"/>
        <v>0</v>
      </c>
    </row>
    <row r="2344" spans="2:11" ht="15">
      <c r="B2344" s="151">
        <v>108</v>
      </c>
      <c r="C2344" s="7" t="s">
        <v>66</v>
      </c>
      <c r="D2344" s="4" t="s">
        <v>71</v>
      </c>
      <c r="E2344" t="s">
        <v>495</v>
      </c>
      <c r="F2344" s="12" t="str">
        <f>IFERROR(VLOOKUP(B2344,'INSUMOS  JULIO'!$B$6:$CJ$109,72,0),"")</f>
        <v>0</v>
      </c>
      <c r="G2344" s="8">
        <f>IFERROR(VLOOKUP($B2344,'INSUMOS  JULIO'!$B$6:$CJ$109,73,0),"")</f>
        <v>38697.82</v>
      </c>
      <c r="H2344" s="19">
        <f t="shared" si="144"/>
        <v>0</v>
      </c>
      <c r="I2344" s="1">
        <f t="shared" si="145"/>
        <v>0</v>
      </c>
      <c r="J2344" s="1">
        <f t="shared" si="146"/>
        <v>0</v>
      </c>
      <c r="K2344" s="19">
        <f t="shared" si="147"/>
        <v>0</v>
      </c>
    </row>
    <row r="2345" spans="2:11" ht="15">
      <c r="B2345" s="151">
        <v>109</v>
      </c>
      <c r="C2345" s="7" t="s">
        <v>66</v>
      </c>
      <c r="D2345" s="4" t="s">
        <v>72</v>
      </c>
      <c r="E2345" t="s">
        <v>495</v>
      </c>
      <c r="F2345" s="12" t="str">
        <f>IFERROR(VLOOKUP(B2345,'INSUMOS  JULIO'!$B$6:$CJ$109,72,0),"")</f>
        <v>0</v>
      </c>
      <c r="G2345" s="8">
        <f>IFERROR(VLOOKUP($B2345,'INSUMOS  JULIO'!$B$6:$CJ$109,73,0),"")</f>
        <v>49754.340000000004</v>
      </c>
      <c r="H2345" s="19">
        <f t="shared" si="144"/>
        <v>0</v>
      </c>
      <c r="I2345" s="1">
        <f t="shared" si="145"/>
        <v>0</v>
      </c>
      <c r="J2345" s="1">
        <f t="shared" si="146"/>
        <v>0</v>
      </c>
      <c r="K2345" s="19">
        <f t="shared" si="147"/>
        <v>0</v>
      </c>
    </row>
    <row r="2346" spans="2:11" ht="15">
      <c r="B2346" s="151">
        <v>110</v>
      </c>
      <c r="C2346" s="7" t="s">
        <v>158</v>
      </c>
      <c r="D2346" s="4" t="s">
        <v>73</v>
      </c>
      <c r="E2346" t="s">
        <v>495</v>
      </c>
      <c r="F2346" s="12">
        <f>IFERROR(VLOOKUP(B2346,'INSUMOS  JULIO'!$B$6:$CJ$109,72,0),"")</f>
        <v>0</v>
      </c>
      <c r="G2346" s="8">
        <f>IFERROR(VLOOKUP($B2346,'INSUMOS  JULIO'!$B$6:$CJ$109,73,0),"")</f>
        <v>470.84799999999996</v>
      </c>
      <c r="H2346" s="19">
        <f t="shared" si="144"/>
        <v>0</v>
      </c>
      <c r="I2346" s="1">
        <f t="shared" si="145"/>
        <v>0</v>
      </c>
      <c r="J2346" s="1">
        <f t="shared" si="146"/>
        <v>0</v>
      </c>
      <c r="K2346" s="19">
        <f t="shared" si="147"/>
        <v>0</v>
      </c>
    </row>
    <row r="2347" spans="2:11" ht="15">
      <c r="B2347" s="151">
        <v>118</v>
      </c>
      <c r="C2347" s="7" t="s">
        <v>158</v>
      </c>
      <c r="D2347" s="4" t="s">
        <v>74</v>
      </c>
      <c r="E2347" t="s">
        <v>495</v>
      </c>
      <c r="F2347" s="12">
        <f>IFERROR(VLOOKUP(B2347,'INSUMOS  JULIO'!$B$6:$CJ$109,72,0),"")</f>
        <v>0</v>
      </c>
      <c r="G2347" s="8">
        <f>IFERROR(VLOOKUP($B2347,'INSUMOS  JULIO'!$B$6:$CJ$109,73,0),"")</f>
        <v>2455.136</v>
      </c>
      <c r="H2347" s="19">
        <f t="shared" si="144"/>
        <v>0</v>
      </c>
      <c r="I2347" s="1">
        <f t="shared" si="145"/>
        <v>0</v>
      </c>
      <c r="J2347" s="1">
        <f t="shared" si="146"/>
        <v>0</v>
      </c>
      <c r="K2347" s="19">
        <f t="shared" si="147"/>
        <v>0</v>
      </c>
    </row>
    <row r="2348" spans="2:11" ht="15">
      <c r="B2348" s="151">
        <v>119</v>
      </c>
      <c r="C2348" s="7" t="s">
        <v>158</v>
      </c>
      <c r="D2348" s="4" t="s">
        <v>75</v>
      </c>
      <c r="E2348" t="s">
        <v>495</v>
      </c>
      <c r="F2348" s="12" t="str">
        <f>IFERROR(VLOOKUP(B2348,'INSUMOS  JULIO'!$B$6:$CJ$109,72,0),"")</f>
        <v>0</v>
      </c>
      <c r="G2348" s="8">
        <f>IFERROR(VLOOKUP($B2348,'INSUMOS  JULIO'!$B$6:$CJ$109,73,0),"")</f>
        <v>2821.9350000000004</v>
      </c>
      <c r="H2348" s="19">
        <f t="shared" si="144"/>
        <v>0</v>
      </c>
      <c r="I2348" s="1">
        <f t="shared" si="145"/>
        <v>0</v>
      </c>
      <c r="J2348" s="1">
        <f t="shared" si="146"/>
        <v>0</v>
      </c>
      <c r="K2348" s="19">
        <f t="shared" si="147"/>
        <v>0</v>
      </c>
    </row>
    <row r="2349" spans="2:11" ht="15">
      <c r="B2349" s="151">
        <v>120</v>
      </c>
      <c r="C2349" s="7" t="s">
        <v>158</v>
      </c>
      <c r="D2349" s="4" t="s">
        <v>76</v>
      </c>
      <c r="E2349" t="s">
        <v>495</v>
      </c>
      <c r="F2349" s="12" t="str">
        <f>IFERROR(VLOOKUP(B2349,'INSUMOS  JULIO'!$B$6:$CJ$109,72,0),"")</f>
        <v>0</v>
      </c>
      <c r="G2349" s="8">
        <f>IFERROR(VLOOKUP($B2349,'INSUMOS  JULIO'!$B$6:$CJ$109,73,0),"")</f>
        <v>2821.9350000000004</v>
      </c>
      <c r="H2349" s="19">
        <f t="shared" si="144"/>
        <v>0</v>
      </c>
      <c r="I2349" s="1">
        <f t="shared" si="145"/>
        <v>0</v>
      </c>
      <c r="J2349" s="1">
        <f t="shared" si="146"/>
        <v>0</v>
      </c>
      <c r="K2349" s="19">
        <f t="shared" si="147"/>
        <v>0</v>
      </c>
    </row>
    <row r="2350" spans="2:11" ht="15">
      <c r="B2350" s="151">
        <v>122</v>
      </c>
      <c r="C2350" s="7" t="s">
        <v>158</v>
      </c>
      <c r="D2350" s="4" t="s">
        <v>77</v>
      </c>
      <c r="E2350" t="s">
        <v>495</v>
      </c>
      <c r="F2350" s="12" t="str">
        <f>IFERROR(VLOOKUP(B2350,'INSUMOS  JULIO'!$B$6:$CJ$109,72,0),"")</f>
        <v>0</v>
      </c>
      <c r="G2350" s="8">
        <f>IFERROR(VLOOKUP($B2350,'INSUMOS  JULIO'!$B$6:$CJ$109,73,0),"")</f>
        <v>5223.4699999999993</v>
      </c>
      <c r="H2350" s="19">
        <f t="shared" si="144"/>
        <v>0</v>
      </c>
      <c r="I2350" s="1">
        <f t="shared" si="145"/>
        <v>0</v>
      </c>
      <c r="J2350" s="1">
        <f t="shared" si="146"/>
        <v>0</v>
      </c>
      <c r="K2350" s="19">
        <f t="shared" si="147"/>
        <v>0</v>
      </c>
    </row>
    <row r="2351" spans="2:11" ht="15">
      <c r="B2351" s="151">
        <v>123</v>
      </c>
      <c r="C2351" s="7" t="s">
        <v>158</v>
      </c>
      <c r="D2351" s="4" t="s">
        <v>78</v>
      </c>
      <c r="E2351" t="s">
        <v>495</v>
      </c>
      <c r="F2351" s="12" t="str">
        <f>IFERROR(VLOOKUP(B2351,'INSUMOS  JULIO'!$B$6:$CJ$109,72,0),"")</f>
        <v>0</v>
      </c>
      <c r="G2351" s="8">
        <f>IFERROR(VLOOKUP($B2351,'INSUMOS  JULIO'!$B$6:$CJ$109,73,0),"")</f>
        <v>5765.7860000000001</v>
      </c>
      <c r="H2351" s="19">
        <f t="shared" si="144"/>
        <v>0</v>
      </c>
      <c r="I2351" s="1">
        <f t="shared" si="145"/>
        <v>0</v>
      </c>
      <c r="J2351" s="1">
        <f t="shared" si="146"/>
        <v>0</v>
      </c>
      <c r="K2351" s="19">
        <f t="shared" si="147"/>
        <v>0</v>
      </c>
    </row>
    <row r="2352" spans="2:11" ht="15">
      <c r="B2352" s="151">
        <v>124</v>
      </c>
      <c r="C2352" s="7" t="s">
        <v>158</v>
      </c>
      <c r="D2352" s="4" t="s">
        <v>79</v>
      </c>
      <c r="E2352" t="s">
        <v>495</v>
      </c>
      <c r="F2352" s="12" t="str">
        <f>IFERROR(VLOOKUP(B2352,'INSUMOS  JULIO'!$B$6:$CJ$109,72,0),"")</f>
        <v>0</v>
      </c>
      <c r="G2352" s="8">
        <f>IFERROR(VLOOKUP($B2352,'INSUMOS  JULIO'!$B$6:$CJ$109,73,0),"")</f>
        <v>5765.7860000000001</v>
      </c>
      <c r="H2352" s="19">
        <f t="shared" si="144"/>
        <v>0</v>
      </c>
      <c r="I2352" s="1">
        <f t="shared" si="145"/>
        <v>0</v>
      </c>
      <c r="J2352" s="1">
        <f t="shared" si="146"/>
        <v>0</v>
      </c>
      <c r="K2352" s="19">
        <f t="shared" si="147"/>
        <v>0</v>
      </c>
    </row>
    <row r="2353" spans="2:11" ht="15">
      <c r="B2353" s="151">
        <v>126</v>
      </c>
      <c r="C2353" s="7" t="s">
        <v>158</v>
      </c>
      <c r="D2353" s="4" t="s">
        <v>80</v>
      </c>
      <c r="E2353" t="s">
        <v>495</v>
      </c>
      <c r="F2353" s="12" t="str">
        <f>IFERROR(VLOOKUP(B2353,'INSUMOS  JULIO'!$B$6:$CJ$109,72,0),"")</f>
        <v>0</v>
      </c>
      <c r="G2353" s="8">
        <f>IFERROR(VLOOKUP($B2353,'INSUMOS  JULIO'!$B$6:$CJ$109,73,0),"")</f>
        <v>3316.9560000000001</v>
      </c>
      <c r="H2353" s="19">
        <f t="shared" si="144"/>
        <v>0</v>
      </c>
      <c r="I2353" s="1">
        <f t="shared" si="145"/>
        <v>0</v>
      </c>
      <c r="J2353" s="1">
        <f t="shared" si="146"/>
        <v>0</v>
      </c>
      <c r="K2353" s="19">
        <f t="shared" si="147"/>
        <v>0</v>
      </c>
    </row>
    <row r="2354" spans="2:11" ht="15">
      <c r="B2354" s="151">
        <v>127</v>
      </c>
      <c r="C2354" s="7" t="s">
        <v>158</v>
      </c>
      <c r="D2354" s="4" t="s">
        <v>81</v>
      </c>
      <c r="E2354" t="s">
        <v>495</v>
      </c>
      <c r="F2354" s="12" t="str">
        <f>IFERROR(VLOOKUP(B2354,'INSUMOS  JULIO'!$B$6:$CJ$109,72,0),"")</f>
        <v>0</v>
      </c>
      <c r="G2354" s="8">
        <f>IFERROR(VLOOKUP($B2354,'INSUMOS  JULIO'!$B$6:$CJ$109,73,0),"")</f>
        <v>3316.9560000000001</v>
      </c>
      <c r="H2354" s="19">
        <f t="shared" si="144"/>
        <v>0</v>
      </c>
      <c r="I2354" s="1">
        <f t="shared" si="145"/>
        <v>0</v>
      </c>
      <c r="J2354" s="1">
        <f t="shared" si="146"/>
        <v>0</v>
      </c>
      <c r="K2354" s="19">
        <f t="shared" si="147"/>
        <v>0</v>
      </c>
    </row>
    <row r="2355" spans="2:11" ht="15">
      <c r="B2355" s="151">
        <v>129</v>
      </c>
      <c r="C2355" s="7" t="s">
        <v>158</v>
      </c>
      <c r="D2355" s="4" t="s">
        <v>82</v>
      </c>
      <c r="E2355" t="s">
        <v>495</v>
      </c>
      <c r="F2355" s="12" t="str">
        <f>IFERROR(VLOOKUP(B2355,'INSUMOS  JULIO'!$B$6:$CJ$109,72,0),"")</f>
        <v>0</v>
      </c>
      <c r="G2355" s="8">
        <f>IFERROR(VLOOKUP($B2355,'INSUMOS  JULIO'!$B$6:$CJ$109,73,0),"")</f>
        <v>3787.8040000000001</v>
      </c>
      <c r="H2355" s="19">
        <f t="shared" si="144"/>
        <v>0</v>
      </c>
      <c r="I2355" s="1">
        <f t="shared" si="145"/>
        <v>0</v>
      </c>
      <c r="J2355" s="1">
        <f t="shared" si="146"/>
        <v>0</v>
      </c>
      <c r="K2355" s="19">
        <f t="shared" si="147"/>
        <v>0</v>
      </c>
    </row>
    <row r="2356" spans="2:11" ht="15">
      <c r="B2356" s="151">
        <v>131</v>
      </c>
      <c r="C2356" s="7" t="s">
        <v>158</v>
      </c>
      <c r="D2356" s="4" t="s">
        <v>83</v>
      </c>
      <c r="E2356" t="s">
        <v>495</v>
      </c>
      <c r="F2356" s="12" t="str">
        <f>IFERROR(VLOOKUP(B2356,'INSUMOS  JULIO'!$B$6:$CJ$109,72,0),"")</f>
        <v>0</v>
      </c>
      <c r="G2356" s="8">
        <f>IFERROR(VLOOKUP($B2356,'INSUMOS  JULIO'!$B$6:$CJ$109,73,0),"")</f>
        <v>0</v>
      </c>
      <c r="H2356" s="19">
        <f t="shared" si="144"/>
        <v>0</v>
      </c>
      <c r="I2356" s="1">
        <f t="shared" si="145"/>
        <v>0</v>
      </c>
      <c r="J2356" s="1">
        <f t="shared" si="146"/>
        <v>0</v>
      </c>
      <c r="K2356" s="19">
        <f t="shared" si="147"/>
        <v>0</v>
      </c>
    </row>
    <row r="2357" spans="2:11" ht="15">
      <c r="B2357" s="151">
        <v>132</v>
      </c>
      <c r="C2357" s="7" t="s">
        <v>158</v>
      </c>
      <c r="D2357" s="4" t="s">
        <v>84</v>
      </c>
      <c r="E2357" t="s">
        <v>495</v>
      </c>
      <c r="F2357" s="12" t="str">
        <f>IFERROR(VLOOKUP(B2357,'INSUMOS  JULIO'!$B$6:$CJ$109,72,0),"")</f>
        <v>0</v>
      </c>
      <c r="G2357" s="8">
        <f>IFERROR(VLOOKUP($B2357,'INSUMOS  JULIO'!$B$6:$CJ$109,73,0),"")</f>
        <v>0</v>
      </c>
      <c r="H2357" s="19">
        <f t="shared" si="144"/>
        <v>0</v>
      </c>
      <c r="I2357" s="1">
        <f t="shared" si="145"/>
        <v>0</v>
      </c>
      <c r="J2357" s="1">
        <f t="shared" si="146"/>
        <v>0</v>
      </c>
      <c r="K2357" s="19">
        <f t="shared" si="147"/>
        <v>0</v>
      </c>
    </row>
    <row r="2358" spans="2:11" ht="15">
      <c r="B2358" s="151">
        <v>134</v>
      </c>
      <c r="C2358" s="7" t="s">
        <v>158</v>
      </c>
      <c r="D2358" s="4" t="s">
        <v>85</v>
      </c>
      <c r="E2358" t="s">
        <v>495</v>
      </c>
      <c r="F2358" s="12" t="str">
        <f>IFERROR(VLOOKUP(B2358,'INSUMOS  JULIO'!$B$6:$CJ$109,72,0),"")</f>
        <v>0</v>
      </c>
      <c r="G2358" s="8">
        <f>IFERROR(VLOOKUP($B2358,'INSUMOS  JULIO'!$B$6:$CJ$109,73,0),"")</f>
        <v>0</v>
      </c>
      <c r="H2358" s="19">
        <f t="shared" si="144"/>
        <v>0</v>
      </c>
      <c r="I2358" s="1">
        <f t="shared" si="145"/>
        <v>0</v>
      </c>
      <c r="J2358" s="1">
        <f t="shared" si="146"/>
        <v>0</v>
      </c>
      <c r="K2358" s="19">
        <f t="shared" si="147"/>
        <v>0</v>
      </c>
    </row>
    <row r="2359" spans="2:11" ht="15">
      <c r="B2359" s="151">
        <v>135</v>
      </c>
      <c r="C2359" s="7" t="s">
        <v>152</v>
      </c>
      <c r="D2359" s="4" t="s">
        <v>86</v>
      </c>
      <c r="E2359" t="s">
        <v>495</v>
      </c>
      <c r="F2359" s="12">
        <f>IFERROR(VLOOKUP(B2359,'INSUMOS  JULIO'!$B$6:$CJ$109,72,0),"")</f>
        <v>0</v>
      </c>
      <c r="G2359" s="8">
        <f>IFERROR(VLOOKUP($B2359,'INSUMOS  JULIO'!$B$6:$CJ$109,73,0),"")</f>
        <v>6229.277</v>
      </c>
      <c r="H2359" s="19">
        <f t="shared" si="144"/>
        <v>0</v>
      </c>
      <c r="I2359" s="1">
        <f t="shared" si="145"/>
        <v>0</v>
      </c>
      <c r="J2359" s="1">
        <f t="shared" si="146"/>
        <v>0</v>
      </c>
      <c r="K2359" s="19">
        <f t="shared" si="147"/>
        <v>0</v>
      </c>
    </row>
    <row r="2360" spans="2:11" ht="15">
      <c r="B2360" s="151">
        <v>137</v>
      </c>
      <c r="C2360" s="7" t="s">
        <v>87</v>
      </c>
      <c r="D2360" s="4" t="s">
        <v>88</v>
      </c>
      <c r="E2360" t="s">
        <v>495</v>
      </c>
      <c r="F2360" s="12" t="str">
        <f>IFERROR(VLOOKUP(B2360,'INSUMOS  JULIO'!$B$6:$CJ$109,72,0),"")</f>
        <v>0</v>
      </c>
      <c r="G2360" s="8">
        <f>IFERROR(VLOOKUP($B2360,'INSUMOS  JULIO'!$B$6:$CJ$109,73,0),"")</f>
        <v>1245.4349999999999</v>
      </c>
      <c r="H2360" s="19">
        <f t="shared" si="144"/>
        <v>0</v>
      </c>
      <c r="I2360" s="1">
        <f t="shared" si="145"/>
        <v>0</v>
      </c>
      <c r="J2360" s="1">
        <f t="shared" si="146"/>
        <v>0</v>
      </c>
      <c r="K2360" s="19">
        <f t="shared" si="147"/>
        <v>0</v>
      </c>
    </row>
    <row r="2361" spans="2:11" ht="15">
      <c r="B2361" s="151">
        <v>139</v>
      </c>
      <c r="C2361" s="7" t="s">
        <v>87</v>
      </c>
      <c r="D2361" s="4" t="s">
        <v>89</v>
      </c>
      <c r="E2361" t="s">
        <v>495</v>
      </c>
      <c r="F2361" s="12">
        <f>IFERROR(VLOOKUP(B2361,'INSUMOS  JULIO'!$B$6:$CJ$109,72,0),"")</f>
        <v>0</v>
      </c>
      <c r="G2361" s="8">
        <f>IFERROR(VLOOKUP($B2361,'INSUMOS  JULIO'!$B$6:$CJ$109,73,0),"")</f>
        <v>25429.996000000003</v>
      </c>
      <c r="H2361" s="19">
        <f t="shared" si="144"/>
        <v>0</v>
      </c>
      <c r="I2361" s="1">
        <f t="shared" si="145"/>
        <v>0</v>
      </c>
      <c r="J2361" s="1">
        <f t="shared" si="146"/>
        <v>0</v>
      </c>
      <c r="K2361" s="19">
        <f t="shared" si="147"/>
        <v>0</v>
      </c>
    </row>
    <row r="2362" spans="2:11" ht="15">
      <c r="B2362" s="151">
        <v>151</v>
      </c>
      <c r="C2362" s="7" t="s">
        <v>90</v>
      </c>
      <c r="D2362" s="4" t="s">
        <v>91</v>
      </c>
      <c r="E2362" t="s">
        <v>495</v>
      </c>
      <c r="F2362" s="12">
        <f>IFERROR(VLOOKUP(B2362,'INSUMOS  JULIO'!$B$6:$CJ$109,72,0),"")</f>
        <v>30</v>
      </c>
      <c r="G2362" s="8">
        <f>IFERROR(VLOOKUP($B2362,'INSUMOS  JULIO'!$B$6:$CJ$109,73,0),"")</f>
        <v>4422.6080000000002</v>
      </c>
      <c r="H2362" s="19">
        <f t="shared" si="144"/>
        <v>132678.24</v>
      </c>
      <c r="I2362" s="1">
        <f t="shared" si="145"/>
        <v>13267.824000000001</v>
      </c>
      <c r="J2362" s="1">
        <f t="shared" si="146"/>
        <v>2520.8865599999999</v>
      </c>
      <c r="K2362" s="19">
        <f t="shared" si="147"/>
        <v>148466.95056</v>
      </c>
    </row>
    <row r="2363" spans="2:11" ht="15">
      <c r="B2363" s="151">
        <v>152</v>
      </c>
      <c r="C2363" s="7" t="s">
        <v>90</v>
      </c>
      <c r="D2363" s="4" t="s">
        <v>92</v>
      </c>
      <c r="E2363" t="s">
        <v>495</v>
      </c>
      <c r="F2363" s="12" t="str">
        <f>IFERROR(VLOOKUP(B2363,'INSUMOS  JULIO'!$B$6:$CJ$109,72,0),"")</f>
        <v>0</v>
      </c>
      <c r="G2363" s="8">
        <f>IFERROR(VLOOKUP($B2363,'INSUMOS  JULIO'!$B$6:$CJ$109,73,0),"")</f>
        <v>0</v>
      </c>
      <c r="H2363" s="19">
        <f t="shared" si="144"/>
        <v>0</v>
      </c>
      <c r="I2363" s="1">
        <f t="shared" si="145"/>
        <v>0</v>
      </c>
      <c r="J2363" s="1">
        <f t="shared" si="146"/>
        <v>0</v>
      </c>
      <c r="K2363" s="19">
        <f t="shared" si="147"/>
        <v>0</v>
      </c>
    </row>
    <row r="2364" spans="2:11" ht="15">
      <c r="B2364" s="151">
        <v>154</v>
      </c>
      <c r="C2364" s="7" t="s">
        <v>93</v>
      </c>
      <c r="D2364" s="4" t="s">
        <v>94</v>
      </c>
      <c r="E2364" t="s">
        <v>495</v>
      </c>
      <c r="F2364" s="12" t="str">
        <f>IFERROR(VLOOKUP(B2364,'INSUMOS  JULIO'!$B$6:$CJ$109,72,0),"")</f>
        <v>0</v>
      </c>
      <c r="G2364" s="8">
        <f>IFERROR(VLOOKUP($B2364,'INSUMOS  JULIO'!$B$6:$CJ$109,73,0),"")</f>
        <v>0</v>
      </c>
      <c r="H2364" s="19">
        <f t="shared" si="144"/>
        <v>0</v>
      </c>
      <c r="I2364" s="1">
        <f t="shared" si="145"/>
        <v>0</v>
      </c>
      <c r="J2364" s="1">
        <f t="shared" si="146"/>
        <v>0</v>
      </c>
      <c r="K2364" s="19">
        <f t="shared" si="147"/>
        <v>0</v>
      </c>
    </row>
    <row r="2365" spans="2:11" ht="15">
      <c r="B2365" s="151">
        <v>155</v>
      </c>
      <c r="C2365" s="7" t="s">
        <v>154</v>
      </c>
      <c r="D2365" s="4" t="s">
        <v>95</v>
      </c>
      <c r="E2365" t="s">
        <v>495</v>
      </c>
      <c r="F2365" s="12">
        <f>IFERROR(VLOOKUP(B2365,'INSUMOS  JULIO'!$B$6:$CJ$109,72,0),"")</f>
        <v>0</v>
      </c>
      <c r="G2365" s="8">
        <f>IFERROR(VLOOKUP($B2365,'INSUMOS  JULIO'!$B$6:$CJ$109,73,0),"")</f>
        <v>3703.7239999999997</v>
      </c>
      <c r="H2365" s="19">
        <f t="shared" si="144"/>
        <v>0</v>
      </c>
      <c r="I2365" s="1">
        <f t="shared" si="145"/>
        <v>0</v>
      </c>
      <c r="J2365" s="1">
        <f t="shared" si="146"/>
        <v>0</v>
      </c>
      <c r="K2365" s="19">
        <f t="shared" si="147"/>
        <v>0</v>
      </c>
    </row>
    <row r="2366" spans="2:11" ht="15">
      <c r="B2366" s="151">
        <v>156</v>
      </c>
      <c r="C2366" s="7" t="s">
        <v>154</v>
      </c>
      <c r="D2366" s="4" t="s">
        <v>96</v>
      </c>
      <c r="E2366" t="s">
        <v>495</v>
      </c>
      <c r="F2366" s="12" t="str">
        <f>IFERROR(VLOOKUP(B2366,'INSUMOS  JULIO'!$B$6:$CJ$109,72,0),"")</f>
        <v>0</v>
      </c>
      <c r="G2366" s="8">
        <f>IFERROR(VLOOKUP($B2366,'INSUMOS  JULIO'!$B$6:$CJ$109,73,0),"")</f>
        <v>4422.6080000000002</v>
      </c>
      <c r="H2366" s="19">
        <f t="shared" si="144"/>
        <v>0</v>
      </c>
      <c r="I2366" s="1">
        <f t="shared" si="145"/>
        <v>0</v>
      </c>
      <c r="J2366" s="1">
        <f t="shared" si="146"/>
        <v>0</v>
      </c>
      <c r="K2366" s="19">
        <f t="shared" si="147"/>
        <v>0</v>
      </c>
    </row>
    <row r="2367" spans="2:11" ht="15">
      <c r="B2367" s="151">
        <v>157</v>
      </c>
      <c r="C2367" s="7" t="s">
        <v>154</v>
      </c>
      <c r="D2367" s="4" t="s">
        <v>97</v>
      </c>
      <c r="E2367" t="s">
        <v>495</v>
      </c>
      <c r="F2367" s="12">
        <f>IFERROR(VLOOKUP(B2367,'INSUMOS  JULIO'!$B$6:$CJ$109,72,0),"")</f>
        <v>0</v>
      </c>
      <c r="G2367" s="8">
        <f>IFERROR(VLOOKUP($B2367,'INSUMOS  JULIO'!$B$6:$CJ$109,73,0),"")</f>
        <v>5970.7309999999998</v>
      </c>
      <c r="H2367" s="19">
        <f t="shared" si="144"/>
        <v>0</v>
      </c>
      <c r="I2367" s="1">
        <f t="shared" si="145"/>
        <v>0</v>
      </c>
      <c r="J2367" s="1">
        <f t="shared" si="146"/>
        <v>0</v>
      </c>
      <c r="K2367" s="19">
        <f t="shared" si="147"/>
        <v>0</v>
      </c>
    </row>
    <row r="2368" spans="2:11" ht="15">
      <c r="B2368" s="151">
        <v>159</v>
      </c>
      <c r="C2368" s="7" t="s">
        <v>152</v>
      </c>
      <c r="D2368" s="4" t="s">
        <v>98</v>
      </c>
      <c r="E2368" t="s">
        <v>495</v>
      </c>
      <c r="F2368" s="12" t="str">
        <f>IFERROR(VLOOKUP(B2368,'INSUMOS  JULIO'!$B$6:$CJ$109,72,0),"")</f>
        <v>0</v>
      </c>
      <c r="G2368" s="8">
        <f>IFERROR(VLOOKUP($B2368,'INSUMOS  JULIO'!$B$6:$CJ$109,73,0),"")</f>
        <v>0</v>
      </c>
      <c r="H2368" s="19">
        <f t="shared" si="144"/>
        <v>0</v>
      </c>
      <c r="I2368" s="1">
        <f t="shared" si="145"/>
        <v>0</v>
      </c>
      <c r="J2368" s="1">
        <f t="shared" si="146"/>
        <v>0</v>
      </c>
      <c r="K2368" s="19">
        <f t="shared" si="147"/>
        <v>0</v>
      </c>
    </row>
    <row r="2369" spans="2:11" ht="15">
      <c r="B2369" s="151">
        <v>160</v>
      </c>
      <c r="C2369" s="7" t="s">
        <v>153</v>
      </c>
      <c r="D2369" s="4" t="s">
        <v>99</v>
      </c>
      <c r="E2369" t="s">
        <v>495</v>
      </c>
      <c r="F2369" s="12" t="str">
        <f>IFERROR(VLOOKUP(B2369,'INSUMOS  JULIO'!$B$6:$CJ$109,72,0),"")</f>
        <v>0</v>
      </c>
      <c r="G2369" s="8">
        <f>IFERROR(VLOOKUP($B2369,'INSUMOS  JULIO'!$B$6:$CJ$109,73,0),"")</f>
        <v>2276.4660000000003</v>
      </c>
      <c r="H2369" s="19">
        <f t="shared" si="144"/>
        <v>0</v>
      </c>
      <c r="I2369" s="1">
        <f t="shared" si="145"/>
        <v>0</v>
      </c>
      <c r="J2369" s="1">
        <f t="shared" si="146"/>
        <v>0</v>
      </c>
      <c r="K2369" s="19">
        <f t="shared" si="147"/>
        <v>0</v>
      </c>
    </row>
    <row r="2370" spans="2:11" ht="15">
      <c r="B2370" s="151">
        <v>161</v>
      </c>
      <c r="C2370" s="7" t="s">
        <v>151</v>
      </c>
      <c r="D2370" s="4" t="s">
        <v>100</v>
      </c>
      <c r="E2370" t="s">
        <v>495</v>
      </c>
      <c r="F2370" s="12" t="str">
        <f>IFERROR(VLOOKUP(B2370,'INSUMOS  JULIO'!$B$6:$CJ$109,72,0),"")</f>
        <v>0</v>
      </c>
      <c r="G2370" s="8">
        <f>IFERROR(VLOOKUP($B2370,'INSUMOS  JULIO'!$B$6:$CJ$109,73,0),"")</f>
        <v>2236.5280000000002</v>
      </c>
      <c r="H2370" s="19">
        <f t="shared" si="144"/>
        <v>0</v>
      </c>
      <c r="I2370" s="1">
        <f t="shared" si="145"/>
        <v>0</v>
      </c>
      <c r="J2370" s="1">
        <f t="shared" si="146"/>
        <v>0</v>
      </c>
      <c r="K2370" s="19">
        <f t="shared" si="147"/>
        <v>0</v>
      </c>
    </row>
    <row r="2371" spans="2:11" ht="15">
      <c r="B2371" s="151">
        <v>162</v>
      </c>
      <c r="C2371" s="7" t="s">
        <v>66</v>
      </c>
      <c r="D2371" s="4" t="s">
        <v>101</v>
      </c>
      <c r="E2371" t="s">
        <v>495</v>
      </c>
      <c r="F2371" s="12">
        <f>IFERROR(VLOOKUP(B2371,'INSUMOS  JULIO'!$B$6:$CJ$109,72,0),"")</f>
        <v>0</v>
      </c>
      <c r="G2371" s="8">
        <f>IFERROR(VLOOKUP($B2371,'INSUMOS  JULIO'!$B$6:$CJ$109,73,0),"")</f>
        <v>2684.2539999999999</v>
      </c>
      <c r="H2371" s="19">
        <f t="shared" si="144"/>
        <v>0</v>
      </c>
      <c r="I2371" s="1">
        <f t="shared" si="145"/>
        <v>0</v>
      </c>
      <c r="J2371" s="1">
        <f t="shared" si="146"/>
        <v>0</v>
      </c>
      <c r="K2371" s="19">
        <f t="shared" si="147"/>
        <v>0</v>
      </c>
    </row>
    <row r="2372" spans="2:11" ht="15">
      <c r="B2372" s="151">
        <v>164</v>
      </c>
      <c r="C2372" s="7" t="s">
        <v>60</v>
      </c>
      <c r="D2372" s="4" t="s">
        <v>102</v>
      </c>
      <c r="E2372" t="s">
        <v>495</v>
      </c>
      <c r="F2372" s="12" t="str">
        <f>IFERROR(VLOOKUP(B2372,'INSUMOS  JULIO'!$B$6:$CJ$109,72,0),"")</f>
        <v>0</v>
      </c>
      <c r="G2372" s="8">
        <f>IFERROR(VLOOKUP($B2372,'INSUMOS  JULIO'!$B$6:$CJ$109,73,0),"")</f>
        <v>1658.4780000000001</v>
      </c>
      <c r="H2372" s="19">
        <f t="shared" si="144"/>
        <v>0</v>
      </c>
      <c r="I2372" s="1">
        <f t="shared" si="145"/>
        <v>0</v>
      </c>
      <c r="J2372" s="1">
        <f t="shared" si="146"/>
        <v>0</v>
      </c>
      <c r="K2372" s="19">
        <f t="shared" si="147"/>
        <v>0</v>
      </c>
    </row>
    <row r="2373" spans="2:11" ht="15">
      <c r="B2373" s="151">
        <v>169</v>
      </c>
      <c r="C2373" s="7" t="s">
        <v>103</v>
      </c>
      <c r="D2373" s="4" t="s">
        <v>104</v>
      </c>
      <c r="E2373" t="s">
        <v>495</v>
      </c>
      <c r="F2373" s="12" t="str">
        <f>IFERROR(VLOOKUP(B2373,'INSUMOS  JULIO'!$B$6:$CJ$109,72,0),"")</f>
        <v>0</v>
      </c>
      <c r="G2373" s="8">
        <f>IFERROR(VLOOKUP($B2373,'INSUMOS  JULIO'!$B$6:$CJ$109,73,0),"")</f>
        <v>85897.178999999989</v>
      </c>
      <c r="H2373" s="19">
        <f t="shared" si="144"/>
        <v>0</v>
      </c>
      <c r="I2373" s="1">
        <f t="shared" si="145"/>
        <v>0</v>
      </c>
      <c r="J2373" s="1">
        <f t="shared" si="146"/>
        <v>0</v>
      </c>
      <c r="K2373" s="19">
        <f t="shared" si="147"/>
        <v>0</v>
      </c>
    </row>
    <row r="2374" spans="2:11" ht="15">
      <c r="B2374" s="151">
        <v>170</v>
      </c>
      <c r="C2374" s="7" t="s">
        <v>105</v>
      </c>
      <c r="D2374" s="4" t="s">
        <v>106</v>
      </c>
      <c r="E2374" t="s">
        <v>495</v>
      </c>
      <c r="F2374" s="12">
        <f>IFERROR(VLOOKUP(B2374,'INSUMOS  JULIO'!$B$6:$CJ$109,72,0),"")</f>
        <v>0</v>
      </c>
      <c r="G2374" s="8">
        <f>IFERROR(VLOOKUP($B2374,'INSUMOS  JULIO'!$B$6:$CJ$109,73,0),"")</f>
        <v>19405.664000000001</v>
      </c>
      <c r="H2374" s="19">
        <f t="shared" ref="H2374:H2437" si="148">+F2374*G2374</f>
        <v>0</v>
      </c>
      <c r="I2374" s="1">
        <f t="shared" ref="I2374:I2437" si="149">+H2374*10%</f>
        <v>0</v>
      </c>
      <c r="J2374" s="1">
        <f t="shared" ref="J2374:J2437" si="150">+I2374*19%</f>
        <v>0</v>
      </c>
      <c r="K2374" s="19">
        <f t="shared" ref="K2374:K2437" si="151">SUM(H2374:J2374)</f>
        <v>0</v>
      </c>
    </row>
    <row r="2375" spans="2:11" ht="15">
      <c r="B2375" s="151">
        <v>173</v>
      </c>
      <c r="C2375" s="7" t="s">
        <v>105</v>
      </c>
      <c r="D2375" s="4" t="s">
        <v>107</v>
      </c>
      <c r="E2375" t="s">
        <v>495</v>
      </c>
      <c r="F2375" s="12" t="str">
        <f>IFERROR(VLOOKUP(B2375,'INSUMOS  JULIO'!$B$6:$CJ$109,72,0),"")</f>
        <v>0</v>
      </c>
      <c r="G2375" s="8">
        <f>IFERROR(VLOOKUP($B2375,'INSUMOS  JULIO'!$B$6:$CJ$109,73,0),"")</f>
        <v>0</v>
      </c>
      <c r="H2375" s="19">
        <f t="shared" si="148"/>
        <v>0</v>
      </c>
      <c r="I2375" s="1">
        <f t="shared" si="149"/>
        <v>0</v>
      </c>
      <c r="J2375" s="1">
        <f t="shared" si="150"/>
        <v>0</v>
      </c>
      <c r="K2375" s="19">
        <f t="shared" si="151"/>
        <v>0</v>
      </c>
    </row>
    <row r="2376" spans="2:11" ht="15">
      <c r="B2376" s="151">
        <v>174</v>
      </c>
      <c r="C2376" s="7" t="s">
        <v>108</v>
      </c>
      <c r="D2376" s="4" t="s">
        <v>109</v>
      </c>
      <c r="E2376" t="s">
        <v>495</v>
      </c>
      <c r="F2376" s="12" t="str">
        <f>IFERROR(VLOOKUP(B2376,'INSUMOS  JULIO'!$B$6:$CJ$109,72,0),"")</f>
        <v>0</v>
      </c>
      <c r="G2376" s="8">
        <f>IFERROR(VLOOKUP($B2376,'INSUMOS  JULIO'!$B$6:$CJ$109,73,0),"")</f>
        <v>6081.0860000000002</v>
      </c>
      <c r="H2376" s="19">
        <f t="shared" si="148"/>
        <v>0</v>
      </c>
      <c r="I2376" s="1">
        <f t="shared" si="149"/>
        <v>0</v>
      </c>
      <c r="J2376" s="1">
        <f t="shared" si="150"/>
        <v>0</v>
      </c>
      <c r="K2376" s="19">
        <f t="shared" si="151"/>
        <v>0</v>
      </c>
    </row>
    <row r="2377" spans="2:11" ht="15">
      <c r="B2377" s="151">
        <v>176</v>
      </c>
      <c r="C2377" s="7" t="s">
        <v>108</v>
      </c>
      <c r="D2377" s="4" t="s">
        <v>110</v>
      </c>
      <c r="E2377" t="s">
        <v>495</v>
      </c>
      <c r="F2377" s="12" t="str">
        <f>IFERROR(VLOOKUP(B2377,'INSUMOS  JULIO'!$B$6:$CJ$109,72,0),"")</f>
        <v>0</v>
      </c>
      <c r="G2377" s="8">
        <f>IFERROR(VLOOKUP($B2377,'INSUMOS  JULIO'!$B$6:$CJ$109,73,0),"")</f>
        <v>2749.4160000000002</v>
      </c>
      <c r="H2377" s="19">
        <f t="shared" si="148"/>
        <v>0</v>
      </c>
      <c r="I2377" s="1">
        <f t="shared" si="149"/>
        <v>0</v>
      </c>
      <c r="J2377" s="1">
        <f t="shared" si="150"/>
        <v>0</v>
      </c>
      <c r="K2377" s="19">
        <f t="shared" si="151"/>
        <v>0</v>
      </c>
    </row>
    <row r="2378" spans="2:11" ht="15">
      <c r="B2378" s="151">
        <v>192</v>
      </c>
      <c r="C2378" s="7" t="s">
        <v>149</v>
      </c>
      <c r="D2378" s="4" t="s">
        <v>111</v>
      </c>
      <c r="E2378" t="s">
        <v>495</v>
      </c>
      <c r="F2378" s="12">
        <f>IFERROR(VLOOKUP(B2378,'INSUMOS  JULIO'!$B$6:$CJ$109,72,0),"")</f>
        <v>0</v>
      </c>
      <c r="G2378" s="8">
        <f>IFERROR(VLOOKUP($B2378,'INSUMOS  JULIO'!$B$6:$CJ$109,73,0),"")</f>
        <v>6866.2880999999998</v>
      </c>
      <c r="H2378" s="19">
        <f t="shared" si="148"/>
        <v>0</v>
      </c>
      <c r="I2378" s="1">
        <f t="shared" si="149"/>
        <v>0</v>
      </c>
      <c r="J2378" s="1">
        <f t="shared" si="150"/>
        <v>0</v>
      </c>
      <c r="K2378" s="19">
        <f t="shared" si="151"/>
        <v>0</v>
      </c>
    </row>
    <row r="2379" spans="2:11" ht="15">
      <c r="B2379" s="151">
        <v>195</v>
      </c>
      <c r="C2379" s="7" t="s">
        <v>149</v>
      </c>
      <c r="D2379" s="4" t="s">
        <v>112</v>
      </c>
      <c r="E2379" t="s">
        <v>495</v>
      </c>
      <c r="F2379" s="12">
        <f>IFERROR(VLOOKUP(B2379,'INSUMOS  JULIO'!$B$6:$CJ$109,72,0),"")</f>
        <v>30</v>
      </c>
      <c r="G2379" s="8">
        <f>IFERROR(VLOOKUP($B2379,'INSUMOS  JULIO'!$B$6:$CJ$109,73,0),"")</f>
        <v>6431.0690000000004</v>
      </c>
      <c r="H2379" s="19">
        <f t="shared" si="148"/>
        <v>192932.07</v>
      </c>
      <c r="I2379" s="1">
        <f t="shared" si="149"/>
        <v>19293.207000000002</v>
      </c>
      <c r="J2379" s="1">
        <f t="shared" si="150"/>
        <v>3665.7093300000006</v>
      </c>
      <c r="K2379" s="19">
        <f t="shared" si="151"/>
        <v>215890.98633000001</v>
      </c>
    </row>
    <row r="2380" spans="2:11" ht="15">
      <c r="B2380" s="151">
        <v>204</v>
      </c>
      <c r="C2380" s="7" t="s">
        <v>150</v>
      </c>
      <c r="D2380" s="4" t="s">
        <v>113</v>
      </c>
      <c r="E2380" t="s">
        <v>495</v>
      </c>
      <c r="F2380" s="12">
        <f>IFERROR(VLOOKUP(B2380,'INSUMOS  JULIO'!$B$6:$CJ$109,72,0),"")</f>
        <v>5</v>
      </c>
      <c r="G2380" s="8">
        <f>IFERROR(VLOOKUP($B2380,'INSUMOS  JULIO'!$B$6:$CJ$109,73,0),"")</f>
        <v>14760.243999999999</v>
      </c>
      <c r="H2380" s="19">
        <f t="shared" si="148"/>
        <v>73801.22</v>
      </c>
      <c r="I2380" s="1">
        <f t="shared" si="149"/>
        <v>7380.1220000000003</v>
      </c>
      <c r="J2380" s="1">
        <f t="shared" si="150"/>
        <v>1402.2231800000002</v>
      </c>
      <c r="K2380" s="19">
        <f t="shared" si="151"/>
        <v>82583.565180000005</v>
      </c>
    </row>
    <row r="2381" spans="2:11" ht="27">
      <c r="B2381" s="151">
        <v>205</v>
      </c>
      <c r="C2381" s="7" t="s">
        <v>150</v>
      </c>
      <c r="D2381" s="4" t="s">
        <v>114</v>
      </c>
      <c r="E2381" t="s">
        <v>495</v>
      </c>
      <c r="F2381" s="12" t="str">
        <f>IFERROR(VLOOKUP(B2381,'INSUMOS  JULIO'!$B$6:$CJ$109,72,0),"")</f>
        <v>0</v>
      </c>
      <c r="G2381" s="8">
        <f>IFERROR(VLOOKUP($B2381,'INSUMOS  JULIO'!$B$6:$CJ$109,73,0),"")</f>
        <v>17690.432000000001</v>
      </c>
      <c r="H2381" s="19">
        <f t="shared" si="148"/>
        <v>0</v>
      </c>
      <c r="I2381" s="1">
        <f t="shared" si="149"/>
        <v>0</v>
      </c>
      <c r="J2381" s="1">
        <f t="shared" si="150"/>
        <v>0</v>
      </c>
      <c r="K2381" s="19">
        <f t="shared" si="151"/>
        <v>0</v>
      </c>
    </row>
    <row r="2382" spans="2:11" ht="15">
      <c r="B2382" s="151">
        <v>207</v>
      </c>
      <c r="C2382" s="7" t="s">
        <v>60</v>
      </c>
      <c r="D2382" s="4" t="s">
        <v>115</v>
      </c>
      <c r="E2382" t="s">
        <v>495</v>
      </c>
      <c r="F2382" s="12" t="str">
        <f>IFERROR(VLOOKUP(B2382,'INSUMOS  JULIO'!$B$6:$CJ$109,72,0),"")</f>
        <v>0</v>
      </c>
      <c r="G2382" s="8">
        <f>IFERROR(VLOOKUP($B2382,'INSUMOS  JULIO'!$B$6:$CJ$109,73,0),"")</f>
        <v>7186.7380000000003</v>
      </c>
      <c r="H2382" s="19">
        <f t="shared" si="148"/>
        <v>0</v>
      </c>
      <c r="I2382" s="1">
        <f t="shared" si="149"/>
        <v>0</v>
      </c>
      <c r="J2382" s="1">
        <f t="shared" si="150"/>
        <v>0</v>
      </c>
      <c r="K2382" s="19">
        <f t="shared" si="151"/>
        <v>0</v>
      </c>
    </row>
    <row r="2383" spans="2:11" ht="15">
      <c r="B2383" s="151">
        <v>208</v>
      </c>
      <c r="C2383" s="7" t="s">
        <v>151</v>
      </c>
      <c r="D2383" s="4" t="s">
        <v>634</v>
      </c>
      <c r="E2383" t="s">
        <v>495</v>
      </c>
      <c r="F2383" s="12" t="str">
        <f>IFERROR(VLOOKUP(B2383,'INSUMOS  JULIO'!$B$6:$CJ$109,72,0),"")</f>
        <v>0</v>
      </c>
      <c r="G2383" s="8">
        <f>IFERROR(VLOOKUP($B2383,'INSUMOS  JULIO'!$B$6:$CJ$109,73,0),"")</f>
        <v>50779.065000000002</v>
      </c>
      <c r="H2383" s="19">
        <f t="shared" si="148"/>
        <v>0</v>
      </c>
      <c r="I2383" s="1">
        <f t="shared" si="149"/>
        <v>0</v>
      </c>
      <c r="J2383" s="1">
        <f t="shared" si="150"/>
        <v>0</v>
      </c>
      <c r="K2383" s="19">
        <f t="shared" si="151"/>
        <v>0</v>
      </c>
    </row>
    <row r="2384" spans="2:11" ht="15">
      <c r="B2384" s="151">
        <v>209</v>
      </c>
      <c r="C2384" s="7" t="s">
        <v>151</v>
      </c>
      <c r="D2384" s="4" t="s">
        <v>635</v>
      </c>
      <c r="E2384" t="s">
        <v>495</v>
      </c>
      <c r="F2384" s="12" t="str">
        <f>IFERROR(VLOOKUP(B2384,'INSUMOS  JULIO'!$B$6:$CJ$109,72,0),"")</f>
        <v>0</v>
      </c>
      <c r="G2384" s="8">
        <f>IFERROR(VLOOKUP($B2384,'INSUMOS  JULIO'!$B$6:$CJ$109,73,0),"")</f>
        <v>37357.794999999998</v>
      </c>
      <c r="H2384" s="19">
        <f t="shared" si="148"/>
        <v>0</v>
      </c>
      <c r="I2384" s="1">
        <f t="shared" si="149"/>
        <v>0</v>
      </c>
      <c r="J2384" s="1">
        <f t="shared" si="150"/>
        <v>0</v>
      </c>
      <c r="K2384" s="19">
        <f t="shared" si="151"/>
        <v>0</v>
      </c>
    </row>
    <row r="2385" spans="2:11" ht="15">
      <c r="B2385" s="151">
        <v>210</v>
      </c>
      <c r="C2385" s="7" t="s">
        <v>151</v>
      </c>
      <c r="D2385" s="4" t="s">
        <v>636</v>
      </c>
      <c r="E2385" t="s">
        <v>495</v>
      </c>
      <c r="F2385" s="12" t="str">
        <f>IFERROR(VLOOKUP(B2385,'INSUMOS  JULIO'!$B$6:$CJ$109,72,0),"")</f>
        <v>0</v>
      </c>
      <c r="G2385" s="8">
        <f>IFERROR(VLOOKUP($B2385,'INSUMOS  JULIO'!$B$6:$CJ$109,73,0),"")</f>
        <v>22537.643999999997</v>
      </c>
      <c r="H2385" s="19">
        <f t="shared" si="148"/>
        <v>0</v>
      </c>
      <c r="I2385" s="1">
        <f t="shared" si="149"/>
        <v>0</v>
      </c>
      <c r="J2385" s="1">
        <f t="shared" si="150"/>
        <v>0</v>
      </c>
      <c r="K2385" s="19">
        <f t="shared" si="151"/>
        <v>0</v>
      </c>
    </row>
    <row r="2386" spans="2:11" ht="15">
      <c r="B2386" s="151">
        <v>211</v>
      </c>
      <c r="C2386" s="7" t="s">
        <v>151</v>
      </c>
      <c r="D2386" s="4" t="s">
        <v>637</v>
      </c>
      <c r="E2386" t="s">
        <v>495</v>
      </c>
      <c r="F2386" s="12" t="str">
        <f>IFERROR(VLOOKUP(B2386,'INSUMOS  JULIO'!$B$6:$CJ$109,72,0),"")</f>
        <v>0</v>
      </c>
      <c r="G2386" s="8">
        <f>IFERROR(VLOOKUP($B2386,'INSUMOS  JULIO'!$B$6:$CJ$109,73,0),"")</f>
        <v>15992.016</v>
      </c>
      <c r="H2386" s="19">
        <f t="shared" si="148"/>
        <v>0</v>
      </c>
      <c r="I2386" s="1">
        <f t="shared" si="149"/>
        <v>0</v>
      </c>
      <c r="J2386" s="1">
        <f t="shared" si="150"/>
        <v>0</v>
      </c>
      <c r="K2386" s="19">
        <f t="shared" si="151"/>
        <v>0</v>
      </c>
    </row>
    <row r="2387" spans="2:11" ht="15">
      <c r="B2387" s="151">
        <v>212</v>
      </c>
      <c r="C2387" s="7" t="s">
        <v>60</v>
      </c>
      <c r="D2387" s="4" t="s">
        <v>116</v>
      </c>
      <c r="E2387" t="s">
        <v>495</v>
      </c>
      <c r="F2387" s="12" t="str">
        <f>IFERROR(VLOOKUP(B2387,'INSUMOS  JULIO'!$B$6:$CJ$109,72,0),"")</f>
        <v>0</v>
      </c>
      <c r="G2387" s="8">
        <f>IFERROR(VLOOKUP($B2387,'INSUMOS  JULIO'!$B$6:$CJ$109,73,0),"")</f>
        <v>2505.5839999999998</v>
      </c>
      <c r="H2387" s="19">
        <f t="shared" si="148"/>
        <v>0</v>
      </c>
      <c r="I2387" s="1">
        <f t="shared" si="149"/>
        <v>0</v>
      </c>
      <c r="J2387" s="1">
        <f t="shared" si="150"/>
        <v>0</v>
      </c>
      <c r="K2387" s="19">
        <f t="shared" si="151"/>
        <v>0</v>
      </c>
    </row>
    <row r="2388" spans="2:11" ht="15">
      <c r="B2388" s="151">
        <v>213</v>
      </c>
      <c r="C2388" s="7" t="s">
        <v>46</v>
      </c>
      <c r="D2388" s="4" t="s">
        <v>638</v>
      </c>
      <c r="E2388" t="s">
        <v>495</v>
      </c>
      <c r="F2388" s="12" t="str">
        <f>IFERROR(VLOOKUP(B2388,'INSUMOS  JULIO'!$B$6:$CJ$109,72,0),"")</f>
        <v>0</v>
      </c>
      <c r="G2388" s="8">
        <f>IFERROR(VLOOKUP($B2388,'INSUMOS  JULIO'!$B$6:$CJ$109,73,0),"")</f>
        <v>0</v>
      </c>
      <c r="H2388" s="19">
        <f t="shared" si="148"/>
        <v>0</v>
      </c>
      <c r="I2388" s="1">
        <f t="shared" si="149"/>
        <v>0</v>
      </c>
      <c r="J2388" s="1">
        <f t="shared" si="150"/>
        <v>0</v>
      </c>
      <c r="K2388" s="19">
        <f t="shared" si="151"/>
        <v>0</v>
      </c>
    </row>
    <row r="2389" spans="2:11" ht="15">
      <c r="B2389" s="151">
        <v>215</v>
      </c>
      <c r="C2389" s="7" t="s">
        <v>450</v>
      </c>
      <c r="D2389" s="4" t="s">
        <v>639</v>
      </c>
      <c r="E2389" t="s">
        <v>495</v>
      </c>
      <c r="F2389" s="12" t="str">
        <f>IFERROR(VLOOKUP(B2389,'INSUMOS  JULIO'!$B$6:$CJ$109,72,0),"")</f>
        <v>0</v>
      </c>
      <c r="G2389" s="8">
        <f>IFERROR(VLOOKUP($B2389,'INSUMOS  JULIO'!$B$6:$CJ$109,73,0),"")</f>
        <v>10476.367999999999</v>
      </c>
      <c r="H2389" s="19">
        <f t="shared" si="148"/>
        <v>0</v>
      </c>
      <c r="I2389" s="1">
        <f t="shared" si="149"/>
        <v>0</v>
      </c>
      <c r="J2389" s="1">
        <f t="shared" si="150"/>
        <v>0</v>
      </c>
      <c r="K2389" s="19">
        <f t="shared" si="151"/>
        <v>0</v>
      </c>
    </row>
    <row r="2390" spans="2:11" ht="15">
      <c r="B2390" s="151">
        <v>216</v>
      </c>
      <c r="C2390" s="7" t="s">
        <v>450</v>
      </c>
      <c r="D2390" s="4" t="s">
        <v>640</v>
      </c>
      <c r="E2390" t="s">
        <v>495</v>
      </c>
      <c r="F2390" s="12" t="str">
        <f>IFERROR(VLOOKUP(B2390,'INSUMOS  JULIO'!$B$6:$CJ$109,72,0),"")</f>
        <v>0</v>
      </c>
      <c r="G2390" s="8">
        <f>IFERROR(VLOOKUP($B2390,'INSUMOS  JULIO'!$B$6:$CJ$109,73,0),"")</f>
        <v>3954.9129999999996</v>
      </c>
      <c r="H2390" s="19">
        <f t="shared" si="148"/>
        <v>0</v>
      </c>
      <c r="I2390" s="1">
        <f t="shared" si="149"/>
        <v>0</v>
      </c>
      <c r="J2390" s="1">
        <f t="shared" si="150"/>
        <v>0</v>
      </c>
      <c r="K2390" s="19">
        <f t="shared" si="151"/>
        <v>0</v>
      </c>
    </row>
    <row r="2391" spans="2:11" ht="15">
      <c r="B2391" s="151">
        <v>218</v>
      </c>
      <c r="C2391" s="7" t="s">
        <v>450</v>
      </c>
      <c r="D2391" s="4" t="s">
        <v>117</v>
      </c>
      <c r="E2391" t="s">
        <v>495</v>
      </c>
      <c r="F2391" s="12" t="str">
        <f>IFERROR(VLOOKUP(B2391,'INSUMOS  JULIO'!$B$6:$CJ$109,72,0),"")</f>
        <v>0</v>
      </c>
      <c r="G2391" s="8">
        <f>IFERROR(VLOOKUP($B2391,'INSUMOS  JULIO'!$B$6:$CJ$109,73,0),"")</f>
        <v>1437.768</v>
      </c>
      <c r="H2391" s="19">
        <f t="shared" si="148"/>
        <v>0</v>
      </c>
      <c r="I2391" s="1">
        <f t="shared" si="149"/>
        <v>0</v>
      </c>
      <c r="J2391" s="1">
        <f t="shared" si="150"/>
        <v>0</v>
      </c>
      <c r="K2391" s="19">
        <f t="shared" si="151"/>
        <v>0</v>
      </c>
    </row>
    <row r="2392" spans="2:11" ht="15">
      <c r="B2392" s="151">
        <v>251</v>
      </c>
      <c r="C2392" s="7" t="s">
        <v>33</v>
      </c>
      <c r="D2392" s="4" t="s">
        <v>118</v>
      </c>
      <c r="E2392" t="s">
        <v>495</v>
      </c>
      <c r="F2392" s="12" t="str">
        <f>IFERROR(VLOOKUP(B2392,'INSUMOS  JULIO'!$B$6:$CJ$109,72,0),"")</f>
        <v>0</v>
      </c>
      <c r="G2392" s="8">
        <f>IFERROR(VLOOKUP($B2392,'INSUMOS  JULIO'!$B$6:$CJ$109,73,0),"")</f>
        <v>16031.954000000002</v>
      </c>
      <c r="H2392" s="19">
        <f t="shared" si="148"/>
        <v>0</v>
      </c>
      <c r="I2392" s="1">
        <f t="shared" si="149"/>
        <v>0</v>
      </c>
      <c r="J2392" s="1">
        <f t="shared" si="150"/>
        <v>0</v>
      </c>
      <c r="K2392" s="19">
        <f t="shared" si="151"/>
        <v>0</v>
      </c>
    </row>
    <row r="2393" spans="2:11" ht="15">
      <c r="B2393" s="151">
        <v>255</v>
      </c>
      <c r="C2393" s="7" t="s">
        <v>60</v>
      </c>
      <c r="D2393" s="4" t="s">
        <v>641</v>
      </c>
      <c r="E2393" t="s">
        <v>495</v>
      </c>
      <c r="F2393" s="12" t="str">
        <f>IFERROR(VLOOKUP(B2393,'INSUMOS  JULIO'!$B$6:$CJ$109,72,0),"")</f>
        <v>0</v>
      </c>
      <c r="G2393" s="8">
        <f>IFERROR(VLOOKUP($B2393,'INSUMOS  JULIO'!$B$6:$CJ$109,73,0),"")</f>
        <v>29299.777999999998</v>
      </c>
      <c r="H2393" s="19">
        <f t="shared" si="148"/>
        <v>0</v>
      </c>
      <c r="I2393" s="1">
        <f t="shared" si="149"/>
        <v>0</v>
      </c>
      <c r="J2393" s="1">
        <f t="shared" si="150"/>
        <v>0</v>
      </c>
      <c r="K2393" s="19">
        <f t="shared" si="151"/>
        <v>0</v>
      </c>
    </row>
    <row r="2394" spans="2:11" ht="15">
      <c r="B2394" s="151">
        <v>257</v>
      </c>
      <c r="C2394" s="7" t="s">
        <v>60</v>
      </c>
      <c r="D2394" s="4" t="s">
        <v>642</v>
      </c>
      <c r="E2394" t="s">
        <v>495</v>
      </c>
      <c r="F2394" s="12" t="str">
        <f>IFERROR(VLOOKUP(B2394,'INSUMOS  JULIO'!$B$6:$CJ$109,72,0),"")</f>
        <v>0</v>
      </c>
      <c r="G2394" s="8">
        <f>IFERROR(VLOOKUP($B2394,'INSUMOS  JULIO'!$B$6:$CJ$109,73,0),"")</f>
        <v>18796.084000000003</v>
      </c>
      <c r="H2394" s="19">
        <f t="shared" si="148"/>
        <v>0</v>
      </c>
      <c r="I2394" s="1">
        <f t="shared" si="149"/>
        <v>0</v>
      </c>
      <c r="J2394" s="1">
        <f t="shared" si="150"/>
        <v>0</v>
      </c>
      <c r="K2394" s="19">
        <f t="shared" si="151"/>
        <v>0</v>
      </c>
    </row>
    <row r="2395" spans="2:11" ht="15">
      <c r="B2395" s="151">
        <v>260</v>
      </c>
      <c r="C2395" s="7" t="s">
        <v>449</v>
      </c>
      <c r="D2395" s="4" t="s">
        <v>643</v>
      </c>
      <c r="E2395" t="s">
        <v>495</v>
      </c>
      <c r="F2395" s="12" t="str">
        <f>IFERROR(VLOOKUP(B2395,'INSUMOS  JULIO'!$B$6:$CJ$109,72,0),"")</f>
        <v>0</v>
      </c>
      <c r="G2395" s="8">
        <f>IFERROR(VLOOKUP($B2395,'INSUMOS  JULIO'!$B$6:$CJ$109,73,0),"")</f>
        <v>3417.8520000000008</v>
      </c>
      <c r="H2395" s="19">
        <f t="shared" si="148"/>
        <v>0</v>
      </c>
      <c r="I2395" s="1">
        <f t="shared" si="149"/>
        <v>0</v>
      </c>
      <c r="J2395" s="1">
        <f t="shared" si="150"/>
        <v>0</v>
      </c>
      <c r="K2395" s="19">
        <f t="shared" si="151"/>
        <v>0</v>
      </c>
    </row>
    <row r="2396" spans="2:11" ht="15">
      <c r="B2396" s="151">
        <v>291</v>
      </c>
      <c r="C2396" s="7" t="s">
        <v>449</v>
      </c>
      <c r="D2396" s="4" t="s">
        <v>644</v>
      </c>
      <c r="E2396" t="s">
        <v>495</v>
      </c>
      <c r="F2396" s="12" t="str">
        <f>IFERROR(VLOOKUP(B2396,'INSUMOS  JULIO'!$B$6:$CJ$109,72,0),"")</f>
        <v>0</v>
      </c>
      <c r="G2396" s="8">
        <f>IFERROR(VLOOKUP($B2396,'INSUMOS  JULIO'!$B$6:$CJ$109,73,0),"")</f>
        <v>20454.562000000005</v>
      </c>
      <c r="H2396" s="19">
        <f t="shared" si="148"/>
        <v>0</v>
      </c>
      <c r="I2396" s="1">
        <f t="shared" si="149"/>
        <v>0</v>
      </c>
      <c r="J2396" s="1">
        <f t="shared" si="150"/>
        <v>0</v>
      </c>
      <c r="K2396" s="19">
        <f t="shared" si="151"/>
        <v>0</v>
      </c>
    </row>
    <row r="2397" spans="2:11" ht="15">
      <c r="B2397" s="151">
        <v>3</v>
      </c>
      <c r="C2397" s="7" t="s">
        <v>155</v>
      </c>
      <c r="D2397" s="4" t="s">
        <v>5</v>
      </c>
      <c r="E2397" t="s">
        <v>496</v>
      </c>
      <c r="F2397" s="12" t="str">
        <f>IFERROR(VLOOKUP($B2397,'INSUMOS  JULIO'!$B$6:$CJ$109,75,0),"")</f>
        <v>0</v>
      </c>
      <c r="G2397" s="8">
        <f>IFERROR(VLOOKUP($B2397,'INSUMOS  JULIO'!$B$6:$CJ$109,76,0),"")</f>
        <v>7268.7160000000003</v>
      </c>
      <c r="H2397" s="19">
        <f t="shared" si="148"/>
        <v>0</v>
      </c>
      <c r="I2397" s="1">
        <f t="shared" si="149"/>
        <v>0</v>
      </c>
      <c r="J2397" s="1">
        <f t="shared" si="150"/>
        <v>0</v>
      </c>
      <c r="K2397" s="19">
        <f t="shared" si="151"/>
        <v>0</v>
      </c>
    </row>
    <row r="2398" spans="2:11" ht="15">
      <c r="B2398" s="151">
        <v>5</v>
      </c>
      <c r="C2398" s="7" t="s">
        <v>6</v>
      </c>
      <c r="D2398" s="4" t="s">
        <v>7</v>
      </c>
      <c r="E2398" t="s">
        <v>496</v>
      </c>
      <c r="F2398" s="12" t="str">
        <f>IFERROR(VLOOKUP(B2398,'INSUMOS  JULIO'!$B$6:$CJ$109,75,0),"")</f>
        <v>0</v>
      </c>
      <c r="G2398" s="8">
        <f>IFERROR(VLOOKUP($B2398,'INSUMOS  JULIO'!$B$6:$CJ$109,76,0),"")</f>
        <v>6494.1289999999999</v>
      </c>
      <c r="H2398" s="19">
        <f t="shared" si="148"/>
        <v>0</v>
      </c>
      <c r="I2398" s="1">
        <f t="shared" si="149"/>
        <v>0</v>
      </c>
      <c r="J2398" s="1">
        <f t="shared" si="150"/>
        <v>0</v>
      </c>
      <c r="K2398" s="19">
        <f t="shared" si="151"/>
        <v>0</v>
      </c>
    </row>
    <row r="2399" spans="2:11" ht="15">
      <c r="B2399" s="151">
        <v>8</v>
      </c>
      <c r="C2399" s="7" t="s">
        <v>6</v>
      </c>
      <c r="D2399" s="4" t="s">
        <v>8</v>
      </c>
      <c r="E2399" t="s">
        <v>496</v>
      </c>
      <c r="F2399" s="12">
        <f>IFERROR(VLOOKUP(B2399,'INSUMOS  JULIO'!$B$6:$CJ$109,75,0),"")</f>
        <v>0</v>
      </c>
      <c r="G2399" s="8">
        <f>IFERROR(VLOOKUP($B2399,'INSUMOS  JULIO'!$B$6:$CJ$109,76,0),"")</f>
        <v>2211.3040000000001</v>
      </c>
      <c r="H2399" s="19">
        <f t="shared" si="148"/>
        <v>0</v>
      </c>
      <c r="I2399" s="1">
        <f t="shared" si="149"/>
        <v>0</v>
      </c>
      <c r="J2399" s="1">
        <f t="shared" si="150"/>
        <v>0</v>
      </c>
      <c r="K2399" s="19">
        <f t="shared" si="151"/>
        <v>0</v>
      </c>
    </row>
    <row r="2400" spans="2:11" ht="15">
      <c r="B2400" s="151">
        <v>9</v>
      </c>
      <c r="C2400" s="7" t="s">
        <v>9</v>
      </c>
      <c r="D2400" s="4" t="s">
        <v>10</v>
      </c>
      <c r="E2400" t="s">
        <v>496</v>
      </c>
      <c r="F2400" s="12">
        <f>IFERROR(VLOOKUP(B2400,'INSUMOS  JULIO'!$B$6:$CJ$109,75,0),"")</f>
        <v>0</v>
      </c>
      <c r="G2400" s="8">
        <f>IFERROR(VLOOKUP($B2400,'INSUMOS  JULIO'!$B$6:$CJ$109,76,0),"")</f>
        <v>3298.0379999999996</v>
      </c>
      <c r="H2400" s="19">
        <f t="shared" si="148"/>
        <v>0</v>
      </c>
      <c r="I2400" s="1">
        <f t="shared" si="149"/>
        <v>0</v>
      </c>
      <c r="J2400" s="1">
        <f t="shared" si="150"/>
        <v>0</v>
      </c>
      <c r="K2400" s="19">
        <f t="shared" si="151"/>
        <v>0</v>
      </c>
    </row>
    <row r="2401" spans="2:11" ht="15">
      <c r="B2401" s="151">
        <v>11</v>
      </c>
      <c r="C2401" s="7" t="s">
        <v>156</v>
      </c>
      <c r="D2401" s="4" t="s">
        <v>11</v>
      </c>
      <c r="E2401" t="s">
        <v>496</v>
      </c>
      <c r="F2401" s="12" t="str">
        <f>IFERROR(VLOOKUP(B2401,'INSUMOS  JULIO'!$B$6:$CJ$109,75,0),"")</f>
        <v>0</v>
      </c>
      <c r="G2401" s="8">
        <f>IFERROR(VLOOKUP($B2401,'INSUMOS  JULIO'!$B$6:$CJ$109,76,0),"")</f>
        <v>7739.5639999999985</v>
      </c>
      <c r="H2401" s="19">
        <f t="shared" si="148"/>
        <v>0</v>
      </c>
      <c r="I2401" s="1">
        <f t="shared" si="149"/>
        <v>0</v>
      </c>
      <c r="J2401" s="1">
        <f t="shared" si="150"/>
        <v>0</v>
      </c>
      <c r="K2401" s="19">
        <f t="shared" si="151"/>
        <v>0</v>
      </c>
    </row>
    <row r="2402" spans="2:11" ht="15">
      <c r="B2402" s="151">
        <v>13</v>
      </c>
      <c r="C2402" s="7" t="s">
        <v>157</v>
      </c>
      <c r="D2402" s="4" t="s">
        <v>12</v>
      </c>
      <c r="E2402" t="s">
        <v>496</v>
      </c>
      <c r="F2402" s="12">
        <f>IFERROR(VLOOKUP(B2402,'INSUMOS  JULIO'!$B$6:$CJ$109,75,0),"")</f>
        <v>0</v>
      </c>
      <c r="G2402" s="8">
        <f>IFERROR(VLOOKUP($B2402,'INSUMOS  JULIO'!$B$6:$CJ$109,76,0),"")</f>
        <v>6507.7919999999995</v>
      </c>
      <c r="H2402" s="19">
        <f t="shared" si="148"/>
        <v>0</v>
      </c>
      <c r="I2402" s="1">
        <f t="shared" si="149"/>
        <v>0</v>
      </c>
      <c r="J2402" s="1">
        <f t="shared" si="150"/>
        <v>0</v>
      </c>
      <c r="K2402" s="19">
        <f t="shared" si="151"/>
        <v>0</v>
      </c>
    </row>
    <row r="2403" spans="2:11" ht="15">
      <c r="B2403" s="151">
        <v>17</v>
      </c>
      <c r="C2403" s="7" t="s">
        <v>13</v>
      </c>
      <c r="D2403" s="4" t="s">
        <v>14</v>
      </c>
      <c r="E2403" t="s">
        <v>496</v>
      </c>
      <c r="F2403" s="12">
        <f>IFERROR(VLOOKUP(B2403,'INSUMOS  JULIO'!$B$6:$CJ$109,75,0),"")</f>
        <v>0</v>
      </c>
      <c r="G2403" s="8">
        <f>IFERROR(VLOOKUP($B2403,'INSUMOS  JULIO'!$B$6:$CJ$109,76,0),"")</f>
        <v>5647.0229999999992</v>
      </c>
      <c r="H2403" s="19">
        <f t="shared" si="148"/>
        <v>0</v>
      </c>
      <c r="I2403" s="1">
        <f t="shared" si="149"/>
        <v>0</v>
      </c>
      <c r="J2403" s="1">
        <f t="shared" si="150"/>
        <v>0</v>
      </c>
      <c r="K2403" s="19">
        <f t="shared" si="151"/>
        <v>0</v>
      </c>
    </row>
    <row r="2404" spans="2:11" ht="15">
      <c r="B2404" s="151">
        <v>20</v>
      </c>
      <c r="C2404" s="7" t="s">
        <v>13</v>
      </c>
      <c r="D2404" s="4" t="s">
        <v>15</v>
      </c>
      <c r="E2404" t="s">
        <v>496</v>
      </c>
      <c r="F2404" s="12">
        <f>IFERROR(VLOOKUP(B2404,'INSUMOS  JULIO'!$B$6:$CJ$109,75,0),"")</f>
        <v>0</v>
      </c>
      <c r="G2404" s="8">
        <f>IFERROR(VLOOKUP($B2404,'INSUMOS  JULIO'!$B$6:$CJ$109,76,0),"")</f>
        <v>0</v>
      </c>
      <c r="H2404" s="19">
        <f t="shared" si="148"/>
        <v>0</v>
      </c>
      <c r="I2404" s="1">
        <f t="shared" si="149"/>
        <v>0</v>
      </c>
      <c r="J2404" s="1">
        <f t="shared" si="150"/>
        <v>0</v>
      </c>
      <c r="K2404" s="19">
        <f t="shared" si="151"/>
        <v>0</v>
      </c>
    </row>
    <row r="2405" spans="2:11" ht="15">
      <c r="B2405" s="151">
        <v>21</v>
      </c>
      <c r="C2405" s="7" t="s">
        <v>16</v>
      </c>
      <c r="D2405" s="4" t="s">
        <v>17</v>
      </c>
      <c r="E2405" t="s">
        <v>496</v>
      </c>
      <c r="F2405" s="12">
        <f>IFERROR(VLOOKUP(B2405,'INSUMOS  JULIO'!$B$6:$CJ$109,75,0),"")</f>
        <v>0</v>
      </c>
      <c r="G2405" s="8">
        <f>IFERROR(VLOOKUP($B2405,'INSUMOS  JULIO'!$B$6:$CJ$109,76,0),"")</f>
        <v>5932.8950000000013</v>
      </c>
      <c r="H2405" s="19">
        <f t="shared" si="148"/>
        <v>0</v>
      </c>
      <c r="I2405" s="1">
        <f t="shared" si="149"/>
        <v>0</v>
      </c>
      <c r="J2405" s="1">
        <f t="shared" si="150"/>
        <v>0</v>
      </c>
      <c r="K2405" s="19">
        <f t="shared" si="151"/>
        <v>0</v>
      </c>
    </row>
    <row r="2406" spans="2:11" ht="15">
      <c r="B2406" s="151">
        <v>28</v>
      </c>
      <c r="C2406" s="7" t="s">
        <v>18</v>
      </c>
      <c r="D2406" s="4" t="s">
        <v>19</v>
      </c>
      <c r="E2406" t="s">
        <v>496</v>
      </c>
      <c r="F2406" s="12">
        <f>IFERROR(VLOOKUP(B2406,'INSUMOS  JULIO'!$B$6:$CJ$109,75,0),"")</f>
        <v>0</v>
      </c>
      <c r="G2406" s="8">
        <f>IFERROR(VLOOKUP($B2406,'INSUMOS  JULIO'!$B$6:$CJ$109,76,0),"")</f>
        <v>2764.13</v>
      </c>
      <c r="H2406" s="19">
        <f t="shared" si="148"/>
        <v>0</v>
      </c>
      <c r="I2406" s="1">
        <f t="shared" si="149"/>
        <v>0</v>
      </c>
      <c r="J2406" s="1">
        <f t="shared" si="150"/>
        <v>0</v>
      </c>
      <c r="K2406" s="19">
        <f t="shared" si="151"/>
        <v>0</v>
      </c>
    </row>
    <row r="2407" spans="2:11" ht="15">
      <c r="B2407" s="151">
        <v>29</v>
      </c>
      <c r="C2407" s="7" t="s">
        <v>20</v>
      </c>
      <c r="D2407" s="4" t="s">
        <v>21</v>
      </c>
      <c r="E2407" t="s">
        <v>496</v>
      </c>
      <c r="F2407" s="12" t="str">
        <f>IFERROR(VLOOKUP(B2407,'INSUMOS  JULIO'!$B$6:$CJ$109,75,0),"")</f>
        <v>0</v>
      </c>
      <c r="G2407" s="8">
        <f>IFERROR(VLOOKUP($B2407,'INSUMOS  JULIO'!$B$6:$CJ$109,76,0),"")</f>
        <v>4829.3450000000012</v>
      </c>
      <c r="H2407" s="19">
        <f t="shared" si="148"/>
        <v>0</v>
      </c>
      <c r="I2407" s="1">
        <f t="shared" si="149"/>
        <v>0</v>
      </c>
      <c r="J2407" s="1">
        <f t="shared" si="150"/>
        <v>0</v>
      </c>
      <c r="K2407" s="19">
        <f t="shared" si="151"/>
        <v>0</v>
      </c>
    </row>
    <row r="2408" spans="2:11" ht="15">
      <c r="B2408" s="151">
        <v>32</v>
      </c>
      <c r="C2408" s="7" t="s">
        <v>22</v>
      </c>
      <c r="D2408" s="4" t="s">
        <v>23</v>
      </c>
      <c r="E2408" t="s">
        <v>496</v>
      </c>
      <c r="F2408" s="12">
        <f>IFERROR(VLOOKUP(B2408,'INSUMOS  JULIO'!$B$6:$CJ$109,75,0),"")</f>
        <v>0</v>
      </c>
      <c r="G2408" s="8">
        <f>IFERROR(VLOOKUP($B2408,'INSUMOS  JULIO'!$B$6:$CJ$109,76,0),"")</f>
        <v>6716.8359</v>
      </c>
      <c r="H2408" s="19">
        <f t="shared" si="148"/>
        <v>0</v>
      </c>
      <c r="I2408" s="1">
        <f t="shared" si="149"/>
        <v>0</v>
      </c>
      <c r="J2408" s="1">
        <f t="shared" si="150"/>
        <v>0</v>
      </c>
      <c r="K2408" s="19">
        <f t="shared" si="151"/>
        <v>0</v>
      </c>
    </row>
    <row r="2409" spans="2:11" ht="15">
      <c r="B2409" s="151">
        <v>38</v>
      </c>
      <c r="C2409" s="7" t="s">
        <v>6</v>
      </c>
      <c r="D2409" s="4" t="s">
        <v>24</v>
      </c>
      <c r="E2409" t="s">
        <v>496</v>
      </c>
      <c r="F2409" s="12" t="str">
        <f>IFERROR(VLOOKUP(B2409,'INSUMOS  JULIO'!$B$6:$CJ$109,75,0),"")</f>
        <v>0</v>
      </c>
      <c r="G2409" s="8">
        <f>IFERROR(VLOOKUP($B2409,'INSUMOS  JULIO'!$B$6:$CJ$109,76,0),"")</f>
        <v>11100.662</v>
      </c>
      <c r="H2409" s="19">
        <f t="shared" si="148"/>
        <v>0</v>
      </c>
      <c r="I2409" s="1">
        <f t="shared" si="149"/>
        <v>0</v>
      </c>
      <c r="J2409" s="1">
        <f t="shared" si="150"/>
        <v>0</v>
      </c>
      <c r="K2409" s="19">
        <f t="shared" si="151"/>
        <v>0</v>
      </c>
    </row>
    <row r="2410" spans="2:11" ht="15">
      <c r="B2410" s="151">
        <v>41</v>
      </c>
      <c r="C2410" s="7" t="s">
        <v>155</v>
      </c>
      <c r="D2410" s="4" t="s">
        <v>25</v>
      </c>
      <c r="E2410" t="s">
        <v>496</v>
      </c>
      <c r="F2410" s="12" t="str">
        <f>IFERROR(VLOOKUP(B2410,'INSUMOS  JULIO'!$B$6:$CJ$109,75,0),"")</f>
        <v>0</v>
      </c>
      <c r="G2410" s="8">
        <f>IFERROR(VLOOKUP($B2410,'INSUMOS  JULIO'!$B$6:$CJ$109,76,0),"")</f>
        <v>7034.3429999999989</v>
      </c>
      <c r="H2410" s="19">
        <f t="shared" si="148"/>
        <v>0</v>
      </c>
      <c r="I2410" s="1">
        <f t="shared" si="149"/>
        <v>0</v>
      </c>
      <c r="J2410" s="1">
        <f t="shared" si="150"/>
        <v>0</v>
      </c>
      <c r="K2410" s="19">
        <f t="shared" si="151"/>
        <v>0</v>
      </c>
    </row>
    <row r="2411" spans="2:11" ht="15">
      <c r="B2411" s="151">
        <v>44</v>
      </c>
      <c r="C2411" s="7" t="s">
        <v>16</v>
      </c>
      <c r="D2411" s="4" t="s">
        <v>26</v>
      </c>
      <c r="E2411" t="s">
        <v>496</v>
      </c>
      <c r="F2411" s="12">
        <f>IFERROR(VLOOKUP(B2411,'INSUMOS  JULIO'!$B$6:$CJ$109,75,0),"")</f>
        <v>0</v>
      </c>
      <c r="G2411" s="8">
        <f>IFERROR(VLOOKUP($B2411,'INSUMOS  JULIO'!$B$6:$CJ$109,76,0),"")</f>
        <v>2787.2520000000004</v>
      </c>
      <c r="H2411" s="19">
        <f t="shared" si="148"/>
        <v>0</v>
      </c>
      <c r="I2411" s="1">
        <f t="shared" si="149"/>
        <v>0</v>
      </c>
      <c r="J2411" s="1">
        <f t="shared" si="150"/>
        <v>0</v>
      </c>
      <c r="K2411" s="19">
        <f t="shared" si="151"/>
        <v>0</v>
      </c>
    </row>
    <row r="2412" spans="2:11" ht="15">
      <c r="B2412" s="151">
        <v>46</v>
      </c>
      <c r="C2412" s="7" t="s">
        <v>27</v>
      </c>
      <c r="D2412" s="4" t="s">
        <v>28</v>
      </c>
      <c r="E2412" t="s">
        <v>496</v>
      </c>
      <c r="F2412" s="12" t="str">
        <f>IFERROR(VLOOKUP(B2412,'INSUMOS  JULIO'!$B$6:$CJ$109,75,0),"")</f>
        <v>0</v>
      </c>
      <c r="G2412" s="8">
        <f>IFERROR(VLOOKUP($B2412,'INSUMOS  JULIO'!$B$6:$CJ$109,76,0),"")</f>
        <v>7739.5640000000021</v>
      </c>
      <c r="H2412" s="19">
        <f t="shared" si="148"/>
        <v>0</v>
      </c>
      <c r="I2412" s="1">
        <f t="shared" si="149"/>
        <v>0</v>
      </c>
      <c r="J2412" s="1">
        <f t="shared" si="150"/>
        <v>0</v>
      </c>
      <c r="K2412" s="19">
        <f t="shared" si="151"/>
        <v>0</v>
      </c>
    </row>
    <row r="2413" spans="2:11" ht="15">
      <c r="B2413" s="151">
        <v>50</v>
      </c>
      <c r="C2413" s="7" t="s">
        <v>13</v>
      </c>
      <c r="D2413" s="4" t="s">
        <v>29</v>
      </c>
      <c r="E2413" t="s">
        <v>496</v>
      </c>
      <c r="F2413" s="12">
        <f>IFERROR(VLOOKUP(B2413,'INSUMOS  JULIO'!$B$6:$CJ$109,75,0),"")</f>
        <v>0</v>
      </c>
      <c r="G2413" s="8">
        <f>IFERROR(VLOOKUP($B2413,'INSUMOS  JULIO'!$B$6:$CJ$109,76,0),"")</f>
        <v>38567.495999999999</v>
      </c>
      <c r="H2413" s="19">
        <f t="shared" si="148"/>
        <v>0</v>
      </c>
      <c r="I2413" s="1">
        <f t="shared" si="149"/>
        <v>0</v>
      </c>
      <c r="J2413" s="1">
        <f t="shared" si="150"/>
        <v>0</v>
      </c>
      <c r="K2413" s="19">
        <f t="shared" si="151"/>
        <v>0</v>
      </c>
    </row>
    <row r="2414" spans="2:11" ht="15">
      <c r="B2414" s="151">
        <v>51</v>
      </c>
      <c r="C2414" s="7" t="s">
        <v>13</v>
      </c>
      <c r="D2414" s="4" t="s">
        <v>30</v>
      </c>
      <c r="E2414" t="s">
        <v>496</v>
      </c>
      <c r="F2414" s="12" t="str">
        <f>IFERROR(VLOOKUP(B2414,'INSUMOS  JULIO'!$B$6:$CJ$109,75,0),"")</f>
        <v>0</v>
      </c>
      <c r="G2414" s="8">
        <f>IFERROR(VLOOKUP($B2414,'INSUMOS  JULIO'!$B$6:$CJ$109,76,0),"")</f>
        <v>7739.5640000000021</v>
      </c>
      <c r="H2414" s="19">
        <f t="shared" si="148"/>
        <v>0</v>
      </c>
      <c r="I2414" s="1">
        <f t="shared" si="149"/>
        <v>0</v>
      </c>
      <c r="J2414" s="1">
        <f t="shared" si="150"/>
        <v>0</v>
      </c>
      <c r="K2414" s="19">
        <f t="shared" si="151"/>
        <v>0</v>
      </c>
    </row>
    <row r="2415" spans="2:11" ht="15">
      <c r="B2415" s="151">
        <v>52</v>
      </c>
      <c r="C2415" s="7" t="s">
        <v>13</v>
      </c>
      <c r="D2415" s="4" t="s">
        <v>31</v>
      </c>
      <c r="E2415" t="s">
        <v>496</v>
      </c>
      <c r="F2415" s="12">
        <f>IFERROR(VLOOKUP(B2415,'INSUMOS  JULIO'!$B$6:$CJ$109,75,0),"")</f>
        <v>0</v>
      </c>
      <c r="G2415" s="8">
        <f>IFERROR(VLOOKUP($B2415,'INSUMOS  JULIO'!$B$6:$CJ$109,76,0),"")</f>
        <v>6412.1509999999998</v>
      </c>
      <c r="H2415" s="19">
        <f t="shared" si="148"/>
        <v>0</v>
      </c>
      <c r="I2415" s="1">
        <f t="shared" si="149"/>
        <v>0</v>
      </c>
      <c r="J2415" s="1">
        <f t="shared" si="150"/>
        <v>0</v>
      </c>
      <c r="K2415" s="19">
        <f t="shared" si="151"/>
        <v>0</v>
      </c>
    </row>
    <row r="2416" spans="2:11" ht="15">
      <c r="B2416" s="151">
        <v>54</v>
      </c>
      <c r="C2416" s="7" t="s">
        <v>13</v>
      </c>
      <c r="D2416" s="4" t="s">
        <v>32</v>
      </c>
      <c r="E2416" t="s">
        <v>496</v>
      </c>
      <c r="F2416" s="12">
        <f>IFERROR(VLOOKUP(B2416,'INSUMOS  JULIO'!$B$6:$CJ$109,75,0),"")</f>
        <v>0</v>
      </c>
      <c r="G2416" s="8">
        <f>IFERROR(VLOOKUP($B2416,'INSUMOS  JULIO'!$B$6:$CJ$109,76,0),"")</f>
        <v>5359.049</v>
      </c>
      <c r="H2416" s="19">
        <f t="shared" si="148"/>
        <v>0</v>
      </c>
      <c r="I2416" s="1">
        <f t="shared" si="149"/>
        <v>0</v>
      </c>
      <c r="J2416" s="1">
        <f t="shared" si="150"/>
        <v>0</v>
      </c>
      <c r="K2416" s="19">
        <f t="shared" si="151"/>
        <v>0</v>
      </c>
    </row>
    <row r="2417" spans="2:11" ht="15">
      <c r="B2417" s="151">
        <v>57</v>
      </c>
      <c r="C2417" s="7" t="s">
        <v>33</v>
      </c>
      <c r="D2417" s="4" t="s">
        <v>34</v>
      </c>
      <c r="E2417" t="s">
        <v>496</v>
      </c>
      <c r="F2417" s="12">
        <f>IFERROR(VLOOKUP(B2417,'INSUMOS  JULIO'!$B$6:$CJ$109,75,0),"")</f>
        <v>0</v>
      </c>
      <c r="G2417" s="8">
        <f>IFERROR(VLOOKUP($B2417,'INSUMOS  JULIO'!$B$6:$CJ$109,76,0),"")</f>
        <v>12823.251000000004</v>
      </c>
      <c r="H2417" s="19">
        <f t="shared" si="148"/>
        <v>0</v>
      </c>
      <c r="I2417" s="1">
        <f t="shared" si="149"/>
        <v>0</v>
      </c>
      <c r="J2417" s="1">
        <f t="shared" si="150"/>
        <v>0</v>
      </c>
      <c r="K2417" s="19">
        <f t="shared" si="151"/>
        <v>0</v>
      </c>
    </row>
    <row r="2418" spans="2:11" ht="15">
      <c r="B2418" s="151">
        <v>59</v>
      </c>
      <c r="C2418" s="7" t="s">
        <v>16</v>
      </c>
      <c r="D2418" s="4" t="s">
        <v>35</v>
      </c>
      <c r="E2418" t="s">
        <v>496</v>
      </c>
      <c r="F2418" s="12" t="str">
        <f>IFERROR(VLOOKUP(B2418,'INSUMOS  JULIO'!$B$6:$CJ$109,75,0),"")</f>
        <v>0</v>
      </c>
      <c r="G2418" s="8">
        <f>IFERROR(VLOOKUP($B2418,'INSUMOS  JULIO'!$B$6:$CJ$109,76,0),"")</f>
        <v>5528.260000000002</v>
      </c>
      <c r="H2418" s="19">
        <f t="shared" si="148"/>
        <v>0</v>
      </c>
      <c r="I2418" s="1">
        <f t="shared" si="149"/>
        <v>0</v>
      </c>
      <c r="J2418" s="1">
        <f t="shared" si="150"/>
        <v>0</v>
      </c>
      <c r="K2418" s="19">
        <f t="shared" si="151"/>
        <v>0</v>
      </c>
    </row>
    <row r="2419" spans="2:11" ht="15">
      <c r="B2419" s="151">
        <v>62</v>
      </c>
      <c r="C2419" s="7" t="s">
        <v>36</v>
      </c>
      <c r="D2419" s="4" t="s">
        <v>37</v>
      </c>
      <c r="E2419" t="s">
        <v>496</v>
      </c>
      <c r="F2419" s="12">
        <f>IFERROR(VLOOKUP(B2419,'INSUMOS  JULIO'!$B$6:$CJ$109,75,0),"")</f>
        <v>0</v>
      </c>
      <c r="G2419" s="8">
        <f>IFERROR(VLOOKUP($B2419,'INSUMOS  JULIO'!$B$6:$CJ$109,76,0),"")</f>
        <v>10100.3202</v>
      </c>
      <c r="H2419" s="19">
        <f t="shared" si="148"/>
        <v>0</v>
      </c>
      <c r="I2419" s="1">
        <f t="shared" si="149"/>
        <v>0</v>
      </c>
      <c r="J2419" s="1">
        <f t="shared" si="150"/>
        <v>0</v>
      </c>
      <c r="K2419" s="19">
        <f t="shared" si="151"/>
        <v>0</v>
      </c>
    </row>
    <row r="2420" spans="2:11" ht="15">
      <c r="B2420" s="151">
        <v>63</v>
      </c>
      <c r="C2420" s="7" t="s">
        <v>36</v>
      </c>
      <c r="D2420" s="4" t="s">
        <v>38</v>
      </c>
      <c r="E2420" t="s">
        <v>496</v>
      </c>
      <c r="F2420" s="12">
        <f>IFERROR(VLOOKUP(B2420,'INSUMOS  JULIO'!$B$6:$CJ$109,75,0),"")</f>
        <v>0</v>
      </c>
      <c r="G2420" s="8">
        <f>IFERROR(VLOOKUP($B2420,'INSUMOS  JULIO'!$B$6:$CJ$109,76,0),"")</f>
        <v>8292.39</v>
      </c>
      <c r="H2420" s="19">
        <f t="shared" si="148"/>
        <v>0</v>
      </c>
      <c r="I2420" s="1">
        <f t="shared" si="149"/>
        <v>0</v>
      </c>
      <c r="J2420" s="1">
        <f t="shared" si="150"/>
        <v>0</v>
      </c>
      <c r="K2420" s="19">
        <f t="shared" si="151"/>
        <v>0</v>
      </c>
    </row>
    <row r="2421" spans="2:11" ht="15">
      <c r="B2421" s="151">
        <v>64</v>
      </c>
      <c r="C2421" s="7" t="s">
        <v>39</v>
      </c>
      <c r="D2421" s="4" t="s">
        <v>40</v>
      </c>
      <c r="E2421" t="s">
        <v>496</v>
      </c>
      <c r="F2421" s="12">
        <f>IFERROR(VLOOKUP(B2421,'INSUMOS  JULIO'!$B$6:$CJ$109,75,0),"")</f>
        <v>0</v>
      </c>
      <c r="G2421" s="8">
        <f>IFERROR(VLOOKUP($B2421,'INSUMOS  JULIO'!$B$6:$CJ$109,76,0),"")</f>
        <v>13820.650000000001</v>
      </c>
      <c r="H2421" s="19">
        <f t="shared" si="148"/>
        <v>0</v>
      </c>
      <c r="I2421" s="1">
        <f t="shared" si="149"/>
        <v>0</v>
      </c>
      <c r="J2421" s="1">
        <f t="shared" si="150"/>
        <v>0</v>
      </c>
      <c r="K2421" s="19">
        <f t="shared" si="151"/>
        <v>0</v>
      </c>
    </row>
    <row r="2422" spans="2:11" ht="15">
      <c r="B2422" s="151">
        <v>65</v>
      </c>
      <c r="C2422" s="7" t="s">
        <v>39</v>
      </c>
      <c r="D2422" s="4" t="s">
        <v>41</v>
      </c>
      <c r="E2422" t="s">
        <v>496</v>
      </c>
      <c r="F2422" s="12">
        <f>IFERROR(VLOOKUP(B2422,'INSUMOS  JULIO'!$B$6:$CJ$109,75,0),"")</f>
        <v>0</v>
      </c>
      <c r="G2422" s="8">
        <f>IFERROR(VLOOKUP($B2422,'INSUMOS  JULIO'!$B$6:$CJ$109,76,0),"")</f>
        <v>13820.650000000001</v>
      </c>
      <c r="H2422" s="19">
        <f t="shared" si="148"/>
        <v>0</v>
      </c>
      <c r="I2422" s="1">
        <f t="shared" si="149"/>
        <v>0</v>
      </c>
      <c r="J2422" s="1">
        <f t="shared" si="150"/>
        <v>0</v>
      </c>
      <c r="K2422" s="19">
        <f t="shared" si="151"/>
        <v>0</v>
      </c>
    </row>
    <row r="2423" spans="2:11" ht="15">
      <c r="B2423" s="151">
        <v>66</v>
      </c>
      <c r="C2423" s="7" t="s">
        <v>151</v>
      </c>
      <c r="D2423" s="4" t="s">
        <v>42</v>
      </c>
      <c r="E2423" t="s">
        <v>496</v>
      </c>
      <c r="F2423" s="12">
        <f>IFERROR(VLOOKUP(B2423,'INSUMOS  JULIO'!$B$6:$CJ$109,75,0),"")</f>
        <v>0</v>
      </c>
      <c r="G2423" s="8">
        <f>IFERROR(VLOOKUP($B2423,'INSUMOS  JULIO'!$B$6:$CJ$109,76,0),"")</f>
        <v>2887.0970000000002</v>
      </c>
      <c r="H2423" s="19">
        <f t="shared" si="148"/>
        <v>0</v>
      </c>
      <c r="I2423" s="1">
        <f t="shared" si="149"/>
        <v>0</v>
      </c>
      <c r="J2423" s="1">
        <f t="shared" si="150"/>
        <v>0</v>
      </c>
      <c r="K2423" s="19">
        <f t="shared" si="151"/>
        <v>0</v>
      </c>
    </row>
    <row r="2424" spans="2:11" ht="15">
      <c r="B2424" s="151">
        <v>71</v>
      </c>
      <c r="C2424" s="7" t="s">
        <v>151</v>
      </c>
      <c r="D2424" s="4" t="s">
        <v>43</v>
      </c>
      <c r="E2424" t="s">
        <v>496</v>
      </c>
      <c r="F2424" s="12" t="str">
        <f>IFERROR(VLOOKUP(B2424,'INSUMOS  JULIO'!$B$6:$CJ$109,75,0),"")</f>
        <v>0</v>
      </c>
      <c r="G2424" s="8">
        <f>IFERROR(VLOOKUP($B2424,'INSUMOS  JULIO'!$B$6:$CJ$109,76,0),"")</f>
        <v>5196.1440000000002</v>
      </c>
      <c r="H2424" s="19">
        <f t="shared" si="148"/>
        <v>0</v>
      </c>
      <c r="I2424" s="1">
        <f t="shared" si="149"/>
        <v>0</v>
      </c>
      <c r="J2424" s="1">
        <f t="shared" si="150"/>
        <v>0</v>
      </c>
      <c r="K2424" s="19">
        <f t="shared" si="151"/>
        <v>0</v>
      </c>
    </row>
    <row r="2425" spans="2:11" ht="15">
      <c r="B2425" s="151">
        <v>72</v>
      </c>
      <c r="C2425" s="7" t="s">
        <v>151</v>
      </c>
      <c r="D2425" s="4" t="s">
        <v>44</v>
      </c>
      <c r="E2425" t="s">
        <v>496</v>
      </c>
      <c r="F2425" s="12">
        <f>IFERROR(VLOOKUP(B2425,'INSUMOS  JULIO'!$B$6:$CJ$109,75,0),"")</f>
        <v>0</v>
      </c>
      <c r="G2425" s="8">
        <f>IFERROR(VLOOKUP($B2425,'INSUMOS  JULIO'!$B$6:$CJ$109,76,0),"")</f>
        <v>5196.1440000000002</v>
      </c>
      <c r="H2425" s="19">
        <f t="shared" si="148"/>
        <v>0</v>
      </c>
      <c r="I2425" s="1">
        <f t="shared" si="149"/>
        <v>0</v>
      </c>
      <c r="J2425" s="1">
        <f t="shared" si="150"/>
        <v>0</v>
      </c>
      <c r="K2425" s="19">
        <f t="shared" si="151"/>
        <v>0</v>
      </c>
    </row>
    <row r="2426" spans="2:11" ht="27">
      <c r="B2426" s="151">
        <v>73</v>
      </c>
      <c r="C2426" s="7" t="s">
        <v>151</v>
      </c>
      <c r="D2426" s="4" t="s">
        <v>45</v>
      </c>
      <c r="E2426" t="s">
        <v>496</v>
      </c>
      <c r="F2426" s="12">
        <f>IFERROR(VLOOKUP(B2426,'INSUMOS  JULIO'!$B$6:$CJ$109,75,0),"")</f>
        <v>0</v>
      </c>
      <c r="G2426" s="8">
        <f>IFERROR(VLOOKUP($B2426,'INSUMOS  JULIO'!$B$6:$CJ$109,76,0),"")</f>
        <v>4975.4340000000011</v>
      </c>
      <c r="H2426" s="19">
        <f t="shared" si="148"/>
        <v>0</v>
      </c>
      <c r="I2426" s="1">
        <f t="shared" si="149"/>
        <v>0</v>
      </c>
      <c r="J2426" s="1">
        <f t="shared" si="150"/>
        <v>0</v>
      </c>
      <c r="K2426" s="19">
        <f t="shared" si="151"/>
        <v>0</v>
      </c>
    </row>
    <row r="2427" spans="2:11" ht="15">
      <c r="B2427" s="151">
        <v>74</v>
      </c>
      <c r="C2427" s="7" t="s">
        <v>46</v>
      </c>
      <c r="D2427" s="4" t="s">
        <v>47</v>
      </c>
      <c r="E2427" t="s">
        <v>496</v>
      </c>
      <c r="F2427" s="12">
        <f>IFERROR(VLOOKUP(B2427,'INSUMOS  JULIO'!$B$6:$CJ$109,75,0),"")</f>
        <v>0</v>
      </c>
      <c r="G2427" s="8">
        <f>IFERROR(VLOOKUP($B2427,'INSUMOS  JULIO'!$B$6:$CJ$109,76,0),"")</f>
        <v>3261.2529999999997</v>
      </c>
      <c r="H2427" s="19">
        <f t="shared" si="148"/>
        <v>0</v>
      </c>
      <c r="I2427" s="1">
        <f t="shared" si="149"/>
        <v>0</v>
      </c>
      <c r="J2427" s="1">
        <f t="shared" si="150"/>
        <v>0</v>
      </c>
      <c r="K2427" s="19">
        <f t="shared" si="151"/>
        <v>0</v>
      </c>
    </row>
    <row r="2428" spans="2:11" ht="15">
      <c r="B2428" s="151">
        <v>79</v>
      </c>
      <c r="C2428" s="7" t="s">
        <v>159</v>
      </c>
      <c r="D2428" s="4" t="s">
        <v>48</v>
      </c>
      <c r="E2428" t="s">
        <v>496</v>
      </c>
      <c r="F2428" s="12">
        <f>IFERROR(VLOOKUP(B2428,'INSUMOS  JULIO'!$B$6:$CJ$109,75,0),"")</f>
        <v>0</v>
      </c>
      <c r="G2428" s="8">
        <f>IFERROR(VLOOKUP($B2428,'INSUMOS  JULIO'!$B$6:$CJ$109,76,0),"")</f>
        <v>541.2650000000001</v>
      </c>
      <c r="H2428" s="19">
        <f t="shared" si="148"/>
        <v>0</v>
      </c>
      <c r="I2428" s="1">
        <f t="shared" si="149"/>
        <v>0</v>
      </c>
      <c r="J2428" s="1">
        <f t="shared" si="150"/>
        <v>0</v>
      </c>
      <c r="K2428" s="19">
        <f t="shared" si="151"/>
        <v>0</v>
      </c>
    </row>
    <row r="2429" spans="2:11" ht="15">
      <c r="B2429" s="151">
        <v>80</v>
      </c>
      <c r="C2429" s="7" t="s">
        <v>159</v>
      </c>
      <c r="D2429" s="4" t="s">
        <v>49</v>
      </c>
      <c r="E2429" t="s">
        <v>496</v>
      </c>
      <c r="F2429" s="12">
        <f>IFERROR(VLOOKUP(B2429,'INSUMOS  JULIO'!$B$6:$CJ$109,75,0),"")</f>
        <v>0</v>
      </c>
      <c r="G2429" s="8">
        <f>IFERROR(VLOOKUP($B2429,'INSUMOS  JULIO'!$B$6:$CJ$109,76,0),"")</f>
        <v>433.01199999999994</v>
      </c>
      <c r="H2429" s="19">
        <f t="shared" si="148"/>
        <v>0</v>
      </c>
      <c r="I2429" s="1">
        <f t="shared" si="149"/>
        <v>0</v>
      </c>
      <c r="J2429" s="1">
        <f t="shared" si="150"/>
        <v>0</v>
      </c>
      <c r="K2429" s="19">
        <f t="shared" si="151"/>
        <v>0</v>
      </c>
    </row>
    <row r="2430" spans="2:11" ht="15">
      <c r="B2430" s="151">
        <v>81</v>
      </c>
      <c r="C2430" s="7" t="s">
        <v>159</v>
      </c>
      <c r="D2430" s="4" t="s">
        <v>50</v>
      </c>
      <c r="E2430" t="s">
        <v>496</v>
      </c>
      <c r="F2430" s="12">
        <f>IFERROR(VLOOKUP(B2430,'INSUMOS  JULIO'!$B$6:$CJ$109,75,0),"")</f>
        <v>0</v>
      </c>
      <c r="G2430" s="8">
        <f>IFERROR(VLOOKUP($B2430,'INSUMOS  JULIO'!$B$6:$CJ$109,76,0),"")</f>
        <v>211.251</v>
      </c>
      <c r="H2430" s="19">
        <f t="shared" si="148"/>
        <v>0</v>
      </c>
      <c r="I2430" s="1">
        <f t="shared" si="149"/>
        <v>0</v>
      </c>
      <c r="J2430" s="1">
        <f t="shared" si="150"/>
        <v>0</v>
      </c>
      <c r="K2430" s="19">
        <f t="shared" si="151"/>
        <v>0</v>
      </c>
    </row>
    <row r="2431" spans="2:11" ht="15">
      <c r="B2431" s="151">
        <v>82</v>
      </c>
      <c r="C2431" s="7" t="s">
        <v>159</v>
      </c>
      <c r="D2431" s="4" t="s">
        <v>51</v>
      </c>
      <c r="E2431" t="s">
        <v>496</v>
      </c>
      <c r="F2431" s="12" t="str">
        <f>IFERROR(VLOOKUP(B2431,'INSUMOS  JULIO'!$B$6:$CJ$109,75,0),"")</f>
        <v>0</v>
      </c>
      <c r="G2431" s="8">
        <f>IFERROR(VLOOKUP($B2431,'INSUMOS  JULIO'!$B$6:$CJ$109,76,0),"")</f>
        <v>1003.7049999999999</v>
      </c>
      <c r="H2431" s="19">
        <f t="shared" si="148"/>
        <v>0</v>
      </c>
      <c r="I2431" s="1">
        <f t="shared" si="149"/>
        <v>0</v>
      </c>
      <c r="J2431" s="1">
        <f t="shared" si="150"/>
        <v>0</v>
      </c>
      <c r="K2431" s="19">
        <f t="shared" si="151"/>
        <v>0</v>
      </c>
    </row>
    <row r="2432" spans="2:11" ht="15">
      <c r="B2432" s="151">
        <v>83</v>
      </c>
      <c r="C2432" s="7" t="s">
        <v>159</v>
      </c>
      <c r="D2432" s="4" t="s">
        <v>52</v>
      </c>
      <c r="E2432" t="s">
        <v>496</v>
      </c>
      <c r="F2432" s="12" t="str">
        <f>IFERROR(VLOOKUP(B2432,'INSUMOS  JULIO'!$B$6:$CJ$109,75,0),"")</f>
        <v>0</v>
      </c>
      <c r="G2432" s="8">
        <f>IFERROR(VLOOKUP($B2432,'INSUMOS  JULIO'!$B$6:$CJ$109,76,0),"")</f>
        <v>336.32</v>
      </c>
      <c r="H2432" s="19">
        <f t="shared" si="148"/>
        <v>0</v>
      </c>
      <c r="I2432" s="1">
        <f t="shared" si="149"/>
        <v>0</v>
      </c>
      <c r="J2432" s="1">
        <f t="shared" si="150"/>
        <v>0</v>
      </c>
      <c r="K2432" s="19">
        <f t="shared" si="151"/>
        <v>0</v>
      </c>
    </row>
    <row r="2433" spans="2:11" ht="15">
      <c r="B2433" s="151">
        <v>86</v>
      </c>
      <c r="C2433" s="7" t="s">
        <v>53</v>
      </c>
      <c r="D2433" s="4" t="s">
        <v>54</v>
      </c>
      <c r="E2433" t="s">
        <v>496</v>
      </c>
      <c r="F2433" s="12" t="str">
        <f>IFERROR(VLOOKUP(B2433,'INSUMOS  JULIO'!$B$6:$CJ$109,75,0),"")</f>
        <v>0</v>
      </c>
      <c r="G2433" s="8">
        <f>IFERROR(VLOOKUP($B2433,'INSUMOS  JULIO'!$B$6:$CJ$109,76,0),"")</f>
        <v>2792.5070000000005</v>
      </c>
      <c r="H2433" s="19">
        <f t="shared" si="148"/>
        <v>0</v>
      </c>
      <c r="I2433" s="1">
        <f t="shared" si="149"/>
        <v>0</v>
      </c>
      <c r="J2433" s="1">
        <f t="shared" si="150"/>
        <v>0</v>
      </c>
      <c r="K2433" s="19">
        <f t="shared" si="151"/>
        <v>0</v>
      </c>
    </row>
    <row r="2434" spans="2:11" ht="15">
      <c r="B2434" s="151">
        <v>87</v>
      </c>
      <c r="C2434" s="7" t="s">
        <v>53</v>
      </c>
      <c r="D2434" s="4" t="s">
        <v>55</v>
      </c>
      <c r="E2434" t="s">
        <v>496</v>
      </c>
      <c r="F2434" s="12" t="str">
        <f>IFERROR(VLOOKUP(B2434,'INSUMOS  JULIO'!$B$6:$CJ$109,75,0),"")</f>
        <v>0</v>
      </c>
      <c r="G2434" s="8">
        <f>IFERROR(VLOOKUP($B2434,'INSUMOS  JULIO'!$B$6:$CJ$109,76,0),"")</f>
        <v>0</v>
      </c>
      <c r="H2434" s="19">
        <f t="shared" si="148"/>
        <v>0</v>
      </c>
      <c r="I2434" s="1">
        <f t="shared" si="149"/>
        <v>0</v>
      </c>
      <c r="J2434" s="1">
        <f t="shared" si="150"/>
        <v>0</v>
      </c>
      <c r="K2434" s="19">
        <f t="shared" si="151"/>
        <v>0</v>
      </c>
    </row>
    <row r="2435" spans="2:11" ht="15">
      <c r="B2435" s="151">
        <v>88</v>
      </c>
      <c r="C2435" s="7" t="s">
        <v>53</v>
      </c>
      <c r="D2435" s="4" t="s">
        <v>56</v>
      </c>
      <c r="E2435" t="s">
        <v>496</v>
      </c>
      <c r="F2435" s="12">
        <f>IFERROR(VLOOKUP(B2435,'INSUMOS  JULIO'!$B$6:$CJ$109,75,0),"")</f>
        <v>0</v>
      </c>
      <c r="G2435" s="8">
        <f>IFERROR(VLOOKUP($B2435,'INSUMOS  JULIO'!$B$6:$CJ$109,76,0),"")</f>
        <v>2717.886</v>
      </c>
      <c r="H2435" s="19">
        <f t="shared" si="148"/>
        <v>0</v>
      </c>
      <c r="I2435" s="1">
        <f t="shared" si="149"/>
        <v>0</v>
      </c>
      <c r="J2435" s="1">
        <f t="shared" si="150"/>
        <v>0</v>
      </c>
      <c r="K2435" s="19">
        <f t="shared" si="151"/>
        <v>0</v>
      </c>
    </row>
    <row r="2436" spans="2:11" ht="15">
      <c r="B2436" s="151">
        <v>89</v>
      </c>
      <c r="C2436" s="7" t="s">
        <v>53</v>
      </c>
      <c r="D2436" s="4" t="s">
        <v>57</v>
      </c>
      <c r="E2436" t="s">
        <v>496</v>
      </c>
      <c r="F2436" s="12" t="str">
        <f>IFERROR(VLOOKUP(B2436,'INSUMOS  JULIO'!$B$6:$CJ$109,75,0),"")</f>
        <v>0</v>
      </c>
      <c r="G2436" s="8">
        <f>IFERROR(VLOOKUP($B2436,'INSUMOS  JULIO'!$B$6:$CJ$109,76,0),"")</f>
        <v>2650.6220000000003</v>
      </c>
      <c r="H2436" s="19">
        <f t="shared" si="148"/>
        <v>0</v>
      </c>
      <c r="I2436" s="1">
        <f t="shared" si="149"/>
        <v>0</v>
      </c>
      <c r="J2436" s="1">
        <f t="shared" si="150"/>
        <v>0</v>
      </c>
      <c r="K2436" s="19">
        <f t="shared" si="151"/>
        <v>0</v>
      </c>
    </row>
    <row r="2437" spans="2:11" ht="15">
      <c r="B2437" s="151">
        <v>91</v>
      </c>
      <c r="C2437" s="7" t="s">
        <v>160</v>
      </c>
      <c r="D2437" s="4" t="s">
        <v>58</v>
      </c>
      <c r="E2437" t="s">
        <v>496</v>
      </c>
      <c r="F2437" s="12" t="str">
        <f>IFERROR(VLOOKUP(B2437,'INSUMOS  JULIO'!$B$6:$CJ$109,75,0),"")</f>
        <v>0</v>
      </c>
      <c r="G2437" s="8">
        <f>IFERROR(VLOOKUP($B2437,'INSUMOS  JULIO'!$B$6:$CJ$109,76,0),"")</f>
        <v>4364.8029999999999</v>
      </c>
      <c r="H2437" s="19">
        <f t="shared" si="148"/>
        <v>0</v>
      </c>
      <c r="I2437" s="1">
        <f t="shared" si="149"/>
        <v>0</v>
      </c>
      <c r="J2437" s="1">
        <f t="shared" si="150"/>
        <v>0</v>
      </c>
      <c r="K2437" s="19">
        <f t="shared" si="151"/>
        <v>0</v>
      </c>
    </row>
    <row r="2438" spans="2:11" ht="15">
      <c r="B2438" s="151">
        <v>92</v>
      </c>
      <c r="C2438" s="7" t="s">
        <v>160</v>
      </c>
      <c r="D2438" s="4" t="s">
        <v>59</v>
      </c>
      <c r="E2438" t="s">
        <v>496</v>
      </c>
      <c r="F2438" s="12" t="str">
        <f>IFERROR(VLOOKUP(B2438,'INSUMOS  JULIO'!$B$6:$CJ$109,75,0),"")</f>
        <v>0</v>
      </c>
      <c r="G2438" s="8">
        <f>IFERROR(VLOOKUP($B2438,'INSUMOS  JULIO'!$B$6:$CJ$109,76,0),"")</f>
        <v>2380.5149999999999</v>
      </c>
      <c r="H2438" s="19">
        <f t="shared" ref="H2438:H2501" si="152">+F2438*G2438</f>
        <v>0</v>
      </c>
      <c r="I2438" s="1">
        <f t="shared" ref="I2438:I2501" si="153">+H2438*10%</f>
        <v>0</v>
      </c>
      <c r="J2438" s="1">
        <f t="shared" ref="J2438:J2501" si="154">+I2438*19%</f>
        <v>0</v>
      </c>
      <c r="K2438" s="19">
        <f t="shared" ref="K2438:K2501" si="155">SUM(H2438:J2438)</f>
        <v>0</v>
      </c>
    </row>
    <row r="2439" spans="2:11" ht="15">
      <c r="B2439" s="151">
        <v>94</v>
      </c>
      <c r="C2439" s="7" t="s">
        <v>60</v>
      </c>
      <c r="D2439" s="4" t="s">
        <v>61</v>
      </c>
      <c r="E2439" t="s">
        <v>496</v>
      </c>
      <c r="F2439" s="12" t="str">
        <f>IFERROR(VLOOKUP(B2439,'INSUMOS  JULIO'!$B$6:$CJ$109,75,0),"")</f>
        <v>0</v>
      </c>
      <c r="G2439" s="8">
        <f>IFERROR(VLOOKUP($B2439,'INSUMOS  JULIO'!$B$6:$CJ$109,76,0),"")</f>
        <v>3316.9560000000001</v>
      </c>
      <c r="H2439" s="19">
        <f t="shared" si="152"/>
        <v>0</v>
      </c>
      <c r="I2439" s="1">
        <f t="shared" si="153"/>
        <v>0</v>
      </c>
      <c r="J2439" s="1">
        <f t="shared" si="154"/>
        <v>0</v>
      </c>
      <c r="K2439" s="19">
        <f t="shared" si="155"/>
        <v>0</v>
      </c>
    </row>
    <row r="2440" spans="2:11" ht="15">
      <c r="B2440" s="151">
        <v>95</v>
      </c>
      <c r="C2440" s="7" t="s">
        <v>60</v>
      </c>
      <c r="D2440" s="4" t="s">
        <v>62</v>
      </c>
      <c r="E2440" t="s">
        <v>496</v>
      </c>
      <c r="F2440" s="12" t="str">
        <f>IFERROR(VLOOKUP(B2440,'INSUMOS  JULIO'!$B$6:$CJ$109,75,0),"")</f>
        <v>0</v>
      </c>
      <c r="G2440" s="8">
        <f>IFERROR(VLOOKUP($B2440,'INSUMOS  JULIO'!$B$6:$CJ$109,76,0),"")</f>
        <v>11056.52</v>
      </c>
      <c r="H2440" s="19">
        <f t="shared" si="152"/>
        <v>0</v>
      </c>
      <c r="I2440" s="1">
        <f t="shared" si="153"/>
        <v>0</v>
      </c>
      <c r="J2440" s="1">
        <f t="shared" si="154"/>
        <v>0</v>
      </c>
      <c r="K2440" s="19">
        <f t="shared" si="155"/>
        <v>0</v>
      </c>
    </row>
    <row r="2441" spans="2:11" ht="15">
      <c r="B2441" s="151">
        <v>98</v>
      </c>
      <c r="C2441" s="7" t="s">
        <v>151</v>
      </c>
      <c r="D2441" s="4" t="s">
        <v>63</v>
      </c>
      <c r="E2441" t="s">
        <v>496</v>
      </c>
      <c r="F2441" s="12">
        <f>IFERROR(VLOOKUP(B2441,'INSUMOS  JULIO'!$B$6:$CJ$109,75,0),"")</f>
        <v>0</v>
      </c>
      <c r="G2441" s="8">
        <f>IFERROR(VLOOKUP($B2441,'INSUMOS  JULIO'!$B$6:$CJ$109,76,0),"")</f>
        <v>6633.9120000000003</v>
      </c>
      <c r="H2441" s="19">
        <f t="shared" si="152"/>
        <v>0</v>
      </c>
      <c r="I2441" s="1">
        <f t="shared" si="153"/>
        <v>0</v>
      </c>
      <c r="J2441" s="1">
        <f t="shared" si="154"/>
        <v>0</v>
      </c>
      <c r="K2441" s="19">
        <f t="shared" si="155"/>
        <v>0</v>
      </c>
    </row>
    <row r="2442" spans="2:11" ht="15">
      <c r="B2442" s="151">
        <v>100</v>
      </c>
      <c r="C2442" s="7" t="s">
        <v>160</v>
      </c>
      <c r="D2442" s="4" t="s">
        <v>64</v>
      </c>
      <c r="E2442" t="s">
        <v>496</v>
      </c>
      <c r="F2442" s="12" t="str">
        <f>IFERROR(VLOOKUP(B2442,'INSUMOS  JULIO'!$B$6:$CJ$109,75,0),"")</f>
        <v>0</v>
      </c>
      <c r="G2442" s="8">
        <f>IFERROR(VLOOKUP($B2442,'INSUMOS  JULIO'!$B$6:$CJ$109,76,0),"")</f>
        <v>4364.8029999999999</v>
      </c>
      <c r="H2442" s="19">
        <f t="shared" si="152"/>
        <v>0</v>
      </c>
      <c r="I2442" s="1">
        <f t="shared" si="153"/>
        <v>0</v>
      </c>
      <c r="J2442" s="1">
        <f t="shared" si="154"/>
        <v>0</v>
      </c>
      <c r="K2442" s="19">
        <f t="shared" si="155"/>
        <v>0</v>
      </c>
    </row>
    <row r="2443" spans="2:11" ht="15">
      <c r="B2443" s="151">
        <v>102</v>
      </c>
      <c r="C2443" s="7" t="s">
        <v>60</v>
      </c>
      <c r="D2443" s="4" t="s">
        <v>65</v>
      </c>
      <c r="E2443" t="s">
        <v>496</v>
      </c>
      <c r="F2443" s="12" t="str">
        <f>IFERROR(VLOOKUP(B2443,'INSUMOS  JULIO'!$B$6:$CJ$109,75,0),"")</f>
        <v>0</v>
      </c>
      <c r="G2443" s="8">
        <f>IFERROR(VLOOKUP($B2443,'INSUMOS  JULIO'!$B$6:$CJ$109,76,0),"")</f>
        <v>3811.9770000000003</v>
      </c>
      <c r="H2443" s="19">
        <f t="shared" si="152"/>
        <v>0</v>
      </c>
      <c r="I2443" s="1">
        <f t="shared" si="153"/>
        <v>0</v>
      </c>
      <c r="J2443" s="1">
        <f t="shared" si="154"/>
        <v>0</v>
      </c>
      <c r="K2443" s="19">
        <f t="shared" si="155"/>
        <v>0</v>
      </c>
    </row>
    <row r="2444" spans="2:11" ht="15">
      <c r="B2444" s="151">
        <v>103</v>
      </c>
      <c r="C2444" s="7" t="s">
        <v>66</v>
      </c>
      <c r="D2444" s="4" t="s">
        <v>67</v>
      </c>
      <c r="E2444" t="s">
        <v>496</v>
      </c>
      <c r="F2444" s="12" t="str">
        <f>IFERROR(VLOOKUP(B2444,'INSUMOS  JULIO'!$B$6:$CJ$109,75,0),"")</f>
        <v>0</v>
      </c>
      <c r="G2444" s="8">
        <f>IFERROR(VLOOKUP($B2444,'INSUMOS  JULIO'!$B$6:$CJ$109,76,0),"")</f>
        <v>18022.547999999999</v>
      </c>
      <c r="H2444" s="19">
        <f t="shared" si="152"/>
        <v>0</v>
      </c>
      <c r="I2444" s="1">
        <f t="shared" si="153"/>
        <v>0</v>
      </c>
      <c r="J2444" s="1">
        <f t="shared" si="154"/>
        <v>0</v>
      </c>
      <c r="K2444" s="19">
        <f t="shared" si="155"/>
        <v>0</v>
      </c>
    </row>
    <row r="2445" spans="2:11" ht="15">
      <c r="B2445" s="151">
        <v>104</v>
      </c>
      <c r="C2445" s="7" t="s">
        <v>66</v>
      </c>
      <c r="D2445" s="4" t="s">
        <v>68</v>
      </c>
      <c r="E2445" t="s">
        <v>496</v>
      </c>
      <c r="F2445" s="12" t="str">
        <f>IFERROR(VLOOKUP(B2445,'INSUMOS  JULIO'!$B$6:$CJ$109,75,0),"")</f>
        <v>0</v>
      </c>
      <c r="G2445" s="8">
        <f>IFERROR(VLOOKUP($B2445,'INSUMOS  JULIO'!$B$6:$CJ$109,76,0),"")</f>
        <v>18022.547999999999</v>
      </c>
      <c r="H2445" s="19">
        <f t="shared" si="152"/>
        <v>0</v>
      </c>
      <c r="I2445" s="1">
        <f t="shared" si="153"/>
        <v>0</v>
      </c>
      <c r="J2445" s="1">
        <f t="shared" si="154"/>
        <v>0</v>
      </c>
      <c r="K2445" s="19">
        <f t="shared" si="155"/>
        <v>0</v>
      </c>
    </row>
    <row r="2446" spans="2:11" ht="15">
      <c r="B2446" s="151">
        <v>105</v>
      </c>
      <c r="C2446" s="7" t="s">
        <v>66</v>
      </c>
      <c r="D2446" s="4" t="s">
        <v>69</v>
      </c>
      <c r="E2446" t="s">
        <v>496</v>
      </c>
      <c r="F2446" s="12" t="str">
        <f>IFERROR(VLOOKUP(B2446,'INSUMOS  JULIO'!$B$6:$CJ$109,75,0),"")</f>
        <v>0</v>
      </c>
      <c r="G2446" s="8">
        <f>IFERROR(VLOOKUP($B2446,'INSUMOS  JULIO'!$B$6:$CJ$109,76,0),"")</f>
        <v>27641.3</v>
      </c>
      <c r="H2446" s="19">
        <f t="shared" si="152"/>
        <v>0</v>
      </c>
      <c r="I2446" s="1">
        <f t="shared" si="153"/>
        <v>0</v>
      </c>
      <c r="J2446" s="1">
        <f t="shared" si="154"/>
        <v>0</v>
      </c>
      <c r="K2446" s="19">
        <f t="shared" si="155"/>
        <v>0</v>
      </c>
    </row>
    <row r="2447" spans="2:11" ht="15">
      <c r="B2447" s="151">
        <v>106</v>
      </c>
      <c r="C2447" s="7" t="s">
        <v>66</v>
      </c>
      <c r="D2447" s="4" t="s">
        <v>70</v>
      </c>
      <c r="E2447" t="s">
        <v>496</v>
      </c>
      <c r="F2447" s="12" t="str">
        <f>IFERROR(VLOOKUP(B2447,'INSUMOS  JULIO'!$B$6:$CJ$109,75,0),"")</f>
        <v>0</v>
      </c>
      <c r="G2447" s="8">
        <f>IFERROR(VLOOKUP($B2447,'INSUMOS  JULIO'!$B$6:$CJ$109,76,0),"")</f>
        <v>0</v>
      </c>
      <c r="H2447" s="19">
        <f t="shared" si="152"/>
        <v>0</v>
      </c>
      <c r="I2447" s="1">
        <f t="shared" si="153"/>
        <v>0</v>
      </c>
      <c r="J2447" s="1">
        <f t="shared" si="154"/>
        <v>0</v>
      </c>
      <c r="K2447" s="19">
        <f t="shared" si="155"/>
        <v>0</v>
      </c>
    </row>
    <row r="2448" spans="2:11" ht="15">
      <c r="B2448" s="151">
        <v>108</v>
      </c>
      <c r="C2448" s="7" t="s">
        <v>66</v>
      </c>
      <c r="D2448" s="4" t="s">
        <v>71</v>
      </c>
      <c r="E2448" t="s">
        <v>496</v>
      </c>
      <c r="F2448" s="12" t="str">
        <f>IFERROR(VLOOKUP(B2448,'INSUMOS  JULIO'!$B$6:$CJ$109,75,0),"")</f>
        <v>0</v>
      </c>
      <c r="G2448" s="8">
        <f>IFERROR(VLOOKUP($B2448,'INSUMOS  JULIO'!$B$6:$CJ$109,76,0),"")</f>
        <v>38697.82</v>
      </c>
      <c r="H2448" s="19">
        <f t="shared" si="152"/>
        <v>0</v>
      </c>
      <c r="I2448" s="1">
        <f t="shared" si="153"/>
        <v>0</v>
      </c>
      <c r="J2448" s="1">
        <f t="shared" si="154"/>
        <v>0</v>
      </c>
      <c r="K2448" s="19">
        <f t="shared" si="155"/>
        <v>0</v>
      </c>
    </row>
    <row r="2449" spans="2:11" ht="15">
      <c r="B2449" s="151">
        <v>109</v>
      </c>
      <c r="C2449" s="7" t="s">
        <v>66</v>
      </c>
      <c r="D2449" s="4" t="s">
        <v>72</v>
      </c>
      <c r="E2449" t="s">
        <v>496</v>
      </c>
      <c r="F2449" s="12" t="str">
        <f>IFERROR(VLOOKUP(B2449,'INSUMOS  JULIO'!$B$6:$CJ$109,75,0),"")</f>
        <v>0</v>
      </c>
      <c r="G2449" s="8">
        <f>IFERROR(VLOOKUP($B2449,'INSUMOS  JULIO'!$B$6:$CJ$109,76,0),"")</f>
        <v>49754.340000000004</v>
      </c>
      <c r="H2449" s="19">
        <f t="shared" si="152"/>
        <v>0</v>
      </c>
      <c r="I2449" s="1">
        <f t="shared" si="153"/>
        <v>0</v>
      </c>
      <c r="J2449" s="1">
        <f t="shared" si="154"/>
        <v>0</v>
      </c>
      <c r="K2449" s="19">
        <f t="shared" si="155"/>
        <v>0</v>
      </c>
    </row>
    <row r="2450" spans="2:11" ht="15">
      <c r="B2450" s="151">
        <v>110</v>
      </c>
      <c r="C2450" s="7" t="s">
        <v>158</v>
      </c>
      <c r="D2450" s="4" t="s">
        <v>73</v>
      </c>
      <c r="E2450" t="s">
        <v>496</v>
      </c>
      <c r="F2450" s="12">
        <f>IFERROR(VLOOKUP(B2450,'INSUMOS  JULIO'!$B$6:$CJ$109,75,0),"")</f>
        <v>0</v>
      </c>
      <c r="G2450" s="8">
        <f>IFERROR(VLOOKUP($B2450,'INSUMOS  JULIO'!$B$6:$CJ$109,76,0),"")</f>
        <v>470.84799999999996</v>
      </c>
      <c r="H2450" s="19">
        <f t="shared" si="152"/>
        <v>0</v>
      </c>
      <c r="I2450" s="1">
        <f t="shared" si="153"/>
        <v>0</v>
      </c>
      <c r="J2450" s="1">
        <f t="shared" si="154"/>
        <v>0</v>
      </c>
      <c r="K2450" s="19">
        <f t="shared" si="155"/>
        <v>0</v>
      </c>
    </row>
    <row r="2451" spans="2:11" ht="15">
      <c r="B2451" s="151">
        <v>118</v>
      </c>
      <c r="C2451" s="7" t="s">
        <v>158</v>
      </c>
      <c r="D2451" s="4" t="s">
        <v>74</v>
      </c>
      <c r="E2451" t="s">
        <v>496</v>
      </c>
      <c r="F2451" s="12">
        <f>IFERROR(VLOOKUP(B2451,'INSUMOS  JULIO'!$B$6:$CJ$109,75,0),"")</f>
        <v>0</v>
      </c>
      <c r="G2451" s="8">
        <f>IFERROR(VLOOKUP($B2451,'INSUMOS  JULIO'!$B$6:$CJ$109,76,0),"")</f>
        <v>4129.7993999999999</v>
      </c>
      <c r="H2451" s="19">
        <f t="shared" si="152"/>
        <v>0</v>
      </c>
      <c r="I2451" s="1">
        <f t="shared" si="153"/>
        <v>0</v>
      </c>
      <c r="J2451" s="1">
        <f t="shared" si="154"/>
        <v>0</v>
      </c>
      <c r="K2451" s="19">
        <f t="shared" si="155"/>
        <v>0</v>
      </c>
    </row>
    <row r="2452" spans="2:11" ht="15">
      <c r="B2452" s="151">
        <v>119</v>
      </c>
      <c r="C2452" s="7" t="s">
        <v>158</v>
      </c>
      <c r="D2452" s="4" t="s">
        <v>75</v>
      </c>
      <c r="E2452" t="s">
        <v>496</v>
      </c>
      <c r="F2452" s="12" t="str">
        <f>IFERROR(VLOOKUP(B2452,'INSUMOS  JULIO'!$B$6:$CJ$109,75,0),"")</f>
        <v>0</v>
      </c>
      <c r="G2452" s="8">
        <f>IFERROR(VLOOKUP($B2452,'INSUMOS  JULIO'!$B$6:$CJ$109,76,0),"")</f>
        <v>2821.9350000000004</v>
      </c>
      <c r="H2452" s="19">
        <f t="shared" si="152"/>
        <v>0</v>
      </c>
      <c r="I2452" s="1">
        <f t="shared" si="153"/>
        <v>0</v>
      </c>
      <c r="J2452" s="1">
        <f t="shared" si="154"/>
        <v>0</v>
      </c>
      <c r="K2452" s="19">
        <f t="shared" si="155"/>
        <v>0</v>
      </c>
    </row>
    <row r="2453" spans="2:11" ht="15">
      <c r="B2453" s="151">
        <v>120</v>
      </c>
      <c r="C2453" s="7" t="s">
        <v>158</v>
      </c>
      <c r="D2453" s="4" t="s">
        <v>76</v>
      </c>
      <c r="E2453" t="s">
        <v>496</v>
      </c>
      <c r="F2453" s="12" t="str">
        <f>IFERROR(VLOOKUP(B2453,'INSUMOS  JULIO'!$B$6:$CJ$109,75,0),"")</f>
        <v>0</v>
      </c>
      <c r="G2453" s="8">
        <f>IFERROR(VLOOKUP($B2453,'INSUMOS  JULIO'!$B$6:$CJ$109,76,0),"")</f>
        <v>2821.9350000000004</v>
      </c>
      <c r="H2453" s="19">
        <f t="shared" si="152"/>
        <v>0</v>
      </c>
      <c r="I2453" s="1">
        <f t="shared" si="153"/>
        <v>0</v>
      </c>
      <c r="J2453" s="1">
        <f t="shared" si="154"/>
        <v>0</v>
      </c>
      <c r="K2453" s="19">
        <f t="shared" si="155"/>
        <v>0</v>
      </c>
    </row>
    <row r="2454" spans="2:11" ht="15">
      <c r="B2454" s="151">
        <v>122</v>
      </c>
      <c r="C2454" s="7" t="s">
        <v>158</v>
      </c>
      <c r="D2454" s="4" t="s">
        <v>77</v>
      </c>
      <c r="E2454" t="s">
        <v>496</v>
      </c>
      <c r="F2454" s="12" t="str">
        <f>IFERROR(VLOOKUP(B2454,'INSUMOS  JULIO'!$B$6:$CJ$109,75,0),"")</f>
        <v>0</v>
      </c>
      <c r="G2454" s="8">
        <f>IFERROR(VLOOKUP($B2454,'INSUMOS  JULIO'!$B$6:$CJ$109,76,0),"")</f>
        <v>5223.4699999999993</v>
      </c>
      <c r="H2454" s="19">
        <f t="shared" si="152"/>
        <v>0</v>
      </c>
      <c r="I2454" s="1">
        <f t="shared" si="153"/>
        <v>0</v>
      </c>
      <c r="J2454" s="1">
        <f t="shared" si="154"/>
        <v>0</v>
      </c>
      <c r="K2454" s="19">
        <f t="shared" si="155"/>
        <v>0</v>
      </c>
    </row>
    <row r="2455" spans="2:11" ht="15">
      <c r="B2455" s="151">
        <v>123</v>
      </c>
      <c r="C2455" s="7" t="s">
        <v>158</v>
      </c>
      <c r="D2455" s="4" t="s">
        <v>78</v>
      </c>
      <c r="E2455" t="s">
        <v>496</v>
      </c>
      <c r="F2455" s="12" t="str">
        <f>IFERROR(VLOOKUP(B2455,'INSUMOS  JULIO'!$B$6:$CJ$109,75,0),"")</f>
        <v>0</v>
      </c>
      <c r="G2455" s="8">
        <f>IFERROR(VLOOKUP($B2455,'INSUMOS  JULIO'!$B$6:$CJ$109,76,0),"")</f>
        <v>5765.7860000000001</v>
      </c>
      <c r="H2455" s="19">
        <f t="shared" si="152"/>
        <v>0</v>
      </c>
      <c r="I2455" s="1">
        <f t="shared" si="153"/>
        <v>0</v>
      </c>
      <c r="J2455" s="1">
        <f t="shared" si="154"/>
        <v>0</v>
      </c>
      <c r="K2455" s="19">
        <f t="shared" si="155"/>
        <v>0</v>
      </c>
    </row>
    <row r="2456" spans="2:11" ht="15">
      <c r="B2456" s="151">
        <v>124</v>
      </c>
      <c r="C2456" s="7" t="s">
        <v>158</v>
      </c>
      <c r="D2456" s="4" t="s">
        <v>79</v>
      </c>
      <c r="E2456" t="s">
        <v>496</v>
      </c>
      <c r="F2456" s="12" t="str">
        <f>IFERROR(VLOOKUP(B2456,'INSUMOS  JULIO'!$B$6:$CJ$109,75,0),"")</f>
        <v>0</v>
      </c>
      <c r="G2456" s="8">
        <f>IFERROR(VLOOKUP($B2456,'INSUMOS  JULIO'!$B$6:$CJ$109,76,0),"")</f>
        <v>5765.7860000000001</v>
      </c>
      <c r="H2456" s="19">
        <f t="shared" si="152"/>
        <v>0</v>
      </c>
      <c r="I2456" s="1">
        <f t="shared" si="153"/>
        <v>0</v>
      </c>
      <c r="J2456" s="1">
        <f t="shared" si="154"/>
        <v>0</v>
      </c>
      <c r="K2456" s="19">
        <f t="shared" si="155"/>
        <v>0</v>
      </c>
    </row>
    <row r="2457" spans="2:11" ht="15">
      <c r="B2457" s="151">
        <v>126</v>
      </c>
      <c r="C2457" s="7" t="s">
        <v>158</v>
      </c>
      <c r="D2457" s="4" t="s">
        <v>80</v>
      </c>
      <c r="E2457" t="s">
        <v>496</v>
      </c>
      <c r="F2457" s="12" t="str">
        <f>IFERROR(VLOOKUP(B2457,'INSUMOS  JULIO'!$B$6:$CJ$109,75,0),"")</f>
        <v>0</v>
      </c>
      <c r="G2457" s="8">
        <f>IFERROR(VLOOKUP($B2457,'INSUMOS  JULIO'!$B$6:$CJ$109,76,0),"")</f>
        <v>3316.9560000000001</v>
      </c>
      <c r="H2457" s="19">
        <f t="shared" si="152"/>
        <v>0</v>
      </c>
      <c r="I2457" s="1">
        <f t="shared" si="153"/>
        <v>0</v>
      </c>
      <c r="J2457" s="1">
        <f t="shared" si="154"/>
        <v>0</v>
      </c>
      <c r="K2457" s="19">
        <f t="shared" si="155"/>
        <v>0</v>
      </c>
    </row>
    <row r="2458" spans="2:11" ht="15">
      <c r="B2458" s="151">
        <v>127</v>
      </c>
      <c r="C2458" s="7" t="s">
        <v>158</v>
      </c>
      <c r="D2458" s="4" t="s">
        <v>81</v>
      </c>
      <c r="E2458" t="s">
        <v>496</v>
      </c>
      <c r="F2458" s="12" t="str">
        <f>IFERROR(VLOOKUP(B2458,'INSUMOS  JULIO'!$B$6:$CJ$109,75,0),"")</f>
        <v>0</v>
      </c>
      <c r="G2458" s="8">
        <f>IFERROR(VLOOKUP($B2458,'INSUMOS  JULIO'!$B$6:$CJ$109,76,0),"")</f>
        <v>3316.9560000000001</v>
      </c>
      <c r="H2458" s="19">
        <f t="shared" si="152"/>
        <v>0</v>
      </c>
      <c r="I2458" s="1">
        <f t="shared" si="153"/>
        <v>0</v>
      </c>
      <c r="J2458" s="1">
        <f t="shared" si="154"/>
        <v>0</v>
      </c>
      <c r="K2458" s="19">
        <f t="shared" si="155"/>
        <v>0</v>
      </c>
    </row>
    <row r="2459" spans="2:11" ht="15">
      <c r="B2459" s="151">
        <v>129</v>
      </c>
      <c r="C2459" s="7" t="s">
        <v>158</v>
      </c>
      <c r="D2459" s="4" t="s">
        <v>82</v>
      </c>
      <c r="E2459" t="s">
        <v>496</v>
      </c>
      <c r="F2459" s="12" t="str">
        <f>IFERROR(VLOOKUP(B2459,'INSUMOS  JULIO'!$B$6:$CJ$109,75,0),"")</f>
        <v>0</v>
      </c>
      <c r="G2459" s="8">
        <f>IFERROR(VLOOKUP($B2459,'INSUMOS  JULIO'!$B$6:$CJ$109,76,0),"")</f>
        <v>3787.8040000000001</v>
      </c>
      <c r="H2459" s="19">
        <f t="shared" si="152"/>
        <v>0</v>
      </c>
      <c r="I2459" s="1">
        <f t="shared" si="153"/>
        <v>0</v>
      </c>
      <c r="J2459" s="1">
        <f t="shared" si="154"/>
        <v>0</v>
      </c>
      <c r="K2459" s="19">
        <f t="shared" si="155"/>
        <v>0</v>
      </c>
    </row>
    <row r="2460" spans="2:11" ht="15">
      <c r="B2460" s="151">
        <v>131</v>
      </c>
      <c r="C2460" s="7" t="s">
        <v>158</v>
      </c>
      <c r="D2460" s="4" t="s">
        <v>83</v>
      </c>
      <c r="E2460" t="s">
        <v>496</v>
      </c>
      <c r="F2460" s="12" t="str">
        <f>IFERROR(VLOOKUP(B2460,'INSUMOS  JULIO'!$B$6:$CJ$109,75,0),"")</f>
        <v>0</v>
      </c>
      <c r="G2460" s="8">
        <f>IFERROR(VLOOKUP($B2460,'INSUMOS  JULIO'!$B$6:$CJ$109,76,0),"")</f>
        <v>0</v>
      </c>
      <c r="H2460" s="19">
        <f t="shared" si="152"/>
        <v>0</v>
      </c>
      <c r="I2460" s="1">
        <f t="shared" si="153"/>
        <v>0</v>
      </c>
      <c r="J2460" s="1">
        <f t="shared" si="154"/>
        <v>0</v>
      </c>
      <c r="K2460" s="19">
        <f t="shared" si="155"/>
        <v>0</v>
      </c>
    </row>
    <row r="2461" spans="2:11" ht="15">
      <c r="B2461" s="151">
        <v>132</v>
      </c>
      <c r="C2461" s="7" t="s">
        <v>158</v>
      </c>
      <c r="D2461" s="4" t="s">
        <v>84</v>
      </c>
      <c r="E2461" t="s">
        <v>496</v>
      </c>
      <c r="F2461" s="12" t="str">
        <f>IFERROR(VLOOKUP(B2461,'INSUMOS  JULIO'!$B$6:$CJ$109,75,0),"")</f>
        <v>0</v>
      </c>
      <c r="G2461" s="8">
        <f>IFERROR(VLOOKUP($B2461,'INSUMOS  JULIO'!$B$6:$CJ$109,76,0),"")</f>
        <v>0</v>
      </c>
      <c r="H2461" s="19">
        <f t="shared" si="152"/>
        <v>0</v>
      </c>
      <c r="I2461" s="1">
        <f t="shared" si="153"/>
        <v>0</v>
      </c>
      <c r="J2461" s="1">
        <f t="shared" si="154"/>
        <v>0</v>
      </c>
      <c r="K2461" s="19">
        <f t="shared" si="155"/>
        <v>0</v>
      </c>
    </row>
    <row r="2462" spans="2:11" ht="15">
      <c r="B2462" s="151">
        <v>134</v>
      </c>
      <c r="C2462" s="7" t="s">
        <v>158</v>
      </c>
      <c r="D2462" s="4" t="s">
        <v>85</v>
      </c>
      <c r="E2462" t="s">
        <v>496</v>
      </c>
      <c r="F2462" s="12" t="str">
        <f>IFERROR(VLOOKUP(B2462,'INSUMOS  JULIO'!$B$6:$CJ$109,75,0),"")</f>
        <v>0</v>
      </c>
      <c r="G2462" s="8">
        <f>IFERROR(VLOOKUP($B2462,'INSUMOS  JULIO'!$B$6:$CJ$109,76,0),"")</f>
        <v>0</v>
      </c>
      <c r="H2462" s="19">
        <f t="shared" si="152"/>
        <v>0</v>
      </c>
      <c r="I2462" s="1">
        <f t="shared" si="153"/>
        <v>0</v>
      </c>
      <c r="J2462" s="1">
        <f t="shared" si="154"/>
        <v>0</v>
      </c>
      <c r="K2462" s="19">
        <f t="shared" si="155"/>
        <v>0</v>
      </c>
    </row>
    <row r="2463" spans="2:11" ht="15">
      <c r="B2463" s="151">
        <v>135</v>
      </c>
      <c r="C2463" s="7" t="s">
        <v>152</v>
      </c>
      <c r="D2463" s="4" t="s">
        <v>86</v>
      </c>
      <c r="E2463" t="s">
        <v>496</v>
      </c>
      <c r="F2463" s="12">
        <f>IFERROR(VLOOKUP(B2463,'INSUMOS  JULIO'!$B$6:$CJ$109,75,0),"")</f>
        <v>0</v>
      </c>
      <c r="G2463" s="8">
        <f>IFERROR(VLOOKUP($B2463,'INSUMOS  JULIO'!$B$6:$CJ$109,76,0),"")</f>
        <v>6229.277</v>
      </c>
      <c r="H2463" s="19">
        <f t="shared" si="152"/>
        <v>0</v>
      </c>
      <c r="I2463" s="1">
        <f t="shared" si="153"/>
        <v>0</v>
      </c>
      <c r="J2463" s="1">
        <f t="shared" si="154"/>
        <v>0</v>
      </c>
      <c r="K2463" s="19">
        <f t="shared" si="155"/>
        <v>0</v>
      </c>
    </row>
    <row r="2464" spans="2:11" ht="15">
      <c r="B2464" s="151">
        <v>137</v>
      </c>
      <c r="C2464" s="7" t="s">
        <v>87</v>
      </c>
      <c r="D2464" s="4" t="s">
        <v>88</v>
      </c>
      <c r="E2464" t="s">
        <v>496</v>
      </c>
      <c r="F2464" s="12" t="str">
        <f>IFERROR(VLOOKUP(B2464,'INSUMOS  JULIO'!$B$6:$CJ$109,75,0),"")</f>
        <v>0</v>
      </c>
      <c r="G2464" s="8">
        <f>IFERROR(VLOOKUP($B2464,'INSUMOS  JULIO'!$B$6:$CJ$109,76,0),"")</f>
        <v>1245.4349999999999</v>
      </c>
      <c r="H2464" s="19">
        <f t="shared" si="152"/>
        <v>0</v>
      </c>
      <c r="I2464" s="1">
        <f t="shared" si="153"/>
        <v>0</v>
      </c>
      <c r="J2464" s="1">
        <f t="shared" si="154"/>
        <v>0</v>
      </c>
      <c r="K2464" s="19">
        <f t="shared" si="155"/>
        <v>0</v>
      </c>
    </row>
    <row r="2465" spans="2:11" ht="15">
      <c r="B2465" s="151">
        <v>139</v>
      </c>
      <c r="C2465" s="7" t="s">
        <v>87</v>
      </c>
      <c r="D2465" s="4" t="s">
        <v>89</v>
      </c>
      <c r="E2465" t="s">
        <v>496</v>
      </c>
      <c r="F2465" s="12">
        <f>IFERROR(VLOOKUP(B2465,'INSUMOS  JULIO'!$B$6:$CJ$109,75,0),"")</f>
        <v>0</v>
      </c>
      <c r="G2465" s="8">
        <f>IFERROR(VLOOKUP($B2465,'INSUMOS  JULIO'!$B$6:$CJ$109,76,0),"")</f>
        <v>25429.996000000003</v>
      </c>
      <c r="H2465" s="19">
        <f t="shared" si="152"/>
        <v>0</v>
      </c>
      <c r="I2465" s="1">
        <f t="shared" si="153"/>
        <v>0</v>
      </c>
      <c r="J2465" s="1">
        <f t="shared" si="154"/>
        <v>0</v>
      </c>
      <c r="K2465" s="19">
        <f t="shared" si="155"/>
        <v>0</v>
      </c>
    </row>
    <row r="2466" spans="2:11" ht="15">
      <c r="B2466" s="151">
        <v>151</v>
      </c>
      <c r="C2466" s="7" t="s">
        <v>90</v>
      </c>
      <c r="D2466" s="4" t="s">
        <v>91</v>
      </c>
      <c r="E2466" t="s">
        <v>496</v>
      </c>
      <c r="F2466" s="12">
        <f>IFERROR(VLOOKUP(B2466,'INSUMOS  JULIO'!$B$6:$CJ$109,75,0),"")</f>
        <v>0</v>
      </c>
      <c r="G2466" s="8">
        <f>IFERROR(VLOOKUP($B2466,'INSUMOS  JULIO'!$B$6:$CJ$109,76,0),"")</f>
        <v>7960.6944000000003</v>
      </c>
      <c r="H2466" s="19">
        <f t="shared" si="152"/>
        <v>0</v>
      </c>
      <c r="I2466" s="1">
        <f t="shared" si="153"/>
        <v>0</v>
      </c>
      <c r="J2466" s="1">
        <f t="shared" si="154"/>
        <v>0</v>
      </c>
      <c r="K2466" s="19">
        <f t="shared" si="155"/>
        <v>0</v>
      </c>
    </row>
    <row r="2467" spans="2:11" ht="15">
      <c r="B2467" s="151">
        <v>152</v>
      </c>
      <c r="C2467" s="7" t="s">
        <v>90</v>
      </c>
      <c r="D2467" s="4" t="s">
        <v>92</v>
      </c>
      <c r="E2467" t="s">
        <v>496</v>
      </c>
      <c r="F2467" s="12" t="str">
        <f>IFERROR(VLOOKUP(B2467,'INSUMOS  JULIO'!$B$6:$CJ$109,75,0),"")</f>
        <v>0</v>
      </c>
      <c r="G2467" s="8">
        <f>IFERROR(VLOOKUP($B2467,'INSUMOS  JULIO'!$B$6:$CJ$109,76,0),"")</f>
        <v>0</v>
      </c>
      <c r="H2467" s="19">
        <f t="shared" si="152"/>
        <v>0</v>
      </c>
      <c r="I2467" s="1">
        <f t="shared" si="153"/>
        <v>0</v>
      </c>
      <c r="J2467" s="1">
        <f t="shared" si="154"/>
        <v>0</v>
      </c>
      <c r="K2467" s="19">
        <f t="shared" si="155"/>
        <v>0</v>
      </c>
    </row>
    <row r="2468" spans="2:11" ht="15">
      <c r="B2468" s="151">
        <v>154</v>
      </c>
      <c r="C2468" s="7" t="s">
        <v>93</v>
      </c>
      <c r="D2468" s="4" t="s">
        <v>94</v>
      </c>
      <c r="E2468" t="s">
        <v>496</v>
      </c>
      <c r="F2468" s="12" t="str">
        <f>IFERROR(VLOOKUP(B2468,'INSUMOS  JULIO'!$B$6:$CJ$109,75,0),"")</f>
        <v>0</v>
      </c>
      <c r="G2468" s="8">
        <f>IFERROR(VLOOKUP($B2468,'INSUMOS  JULIO'!$B$6:$CJ$109,76,0),"")</f>
        <v>0</v>
      </c>
      <c r="H2468" s="19">
        <f t="shared" si="152"/>
        <v>0</v>
      </c>
      <c r="I2468" s="1">
        <f t="shared" si="153"/>
        <v>0</v>
      </c>
      <c r="J2468" s="1">
        <f t="shared" si="154"/>
        <v>0</v>
      </c>
      <c r="K2468" s="19">
        <f t="shared" si="155"/>
        <v>0</v>
      </c>
    </row>
    <row r="2469" spans="2:11" ht="15">
      <c r="B2469" s="151">
        <v>155</v>
      </c>
      <c r="C2469" s="7" t="s">
        <v>154</v>
      </c>
      <c r="D2469" s="4" t="s">
        <v>95</v>
      </c>
      <c r="E2469" t="s">
        <v>496</v>
      </c>
      <c r="F2469" s="12">
        <f>IFERROR(VLOOKUP(B2469,'INSUMOS  JULIO'!$B$6:$CJ$109,75,0),"")</f>
        <v>0</v>
      </c>
      <c r="G2469" s="8">
        <f>IFERROR(VLOOKUP($B2469,'INSUMOS  JULIO'!$B$6:$CJ$109,76,0),"")</f>
        <v>3703.7239999999997</v>
      </c>
      <c r="H2469" s="19">
        <f t="shared" si="152"/>
        <v>0</v>
      </c>
      <c r="I2469" s="1">
        <f t="shared" si="153"/>
        <v>0</v>
      </c>
      <c r="J2469" s="1">
        <f t="shared" si="154"/>
        <v>0</v>
      </c>
      <c r="K2469" s="19">
        <f t="shared" si="155"/>
        <v>0</v>
      </c>
    </row>
    <row r="2470" spans="2:11" ht="15">
      <c r="B2470" s="151">
        <v>156</v>
      </c>
      <c r="C2470" s="7" t="s">
        <v>154</v>
      </c>
      <c r="D2470" s="4" t="s">
        <v>96</v>
      </c>
      <c r="E2470" t="s">
        <v>496</v>
      </c>
      <c r="F2470" s="12" t="str">
        <f>IFERROR(VLOOKUP(B2470,'INSUMOS  JULIO'!$B$6:$CJ$109,75,0),"")</f>
        <v>0</v>
      </c>
      <c r="G2470" s="8">
        <f>IFERROR(VLOOKUP($B2470,'INSUMOS  JULIO'!$B$6:$CJ$109,76,0),"")</f>
        <v>4422.6080000000002</v>
      </c>
      <c r="H2470" s="19">
        <f t="shared" si="152"/>
        <v>0</v>
      </c>
      <c r="I2470" s="1">
        <f t="shared" si="153"/>
        <v>0</v>
      </c>
      <c r="J2470" s="1">
        <f t="shared" si="154"/>
        <v>0</v>
      </c>
      <c r="K2470" s="19">
        <f t="shared" si="155"/>
        <v>0</v>
      </c>
    </row>
    <row r="2471" spans="2:11" ht="15">
      <c r="B2471" s="151">
        <v>157</v>
      </c>
      <c r="C2471" s="7" t="s">
        <v>154</v>
      </c>
      <c r="D2471" s="4" t="s">
        <v>97</v>
      </c>
      <c r="E2471" t="s">
        <v>496</v>
      </c>
      <c r="F2471" s="12">
        <f>IFERROR(VLOOKUP(B2471,'INSUMOS  JULIO'!$B$6:$CJ$109,75,0),"")</f>
        <v>0</v>
      </c>
      <c r="G2471" s="8">
        <f>IFERROR(VLOOKUP($B2471,'INSUMOS  JULIO'!$B$6:$CJ$109,76,0),"")</f>
        <v>5970.7309999999998</v>
      </c>
      <c r="H2471" s="19">
        <f t="shared" si="152"/>
        <v>0</v>
      </c>
      <c r="I2471" s="1">
        <f t="shared" si="153"/>
        <v>0</v>
      </c>
      <c r="J2471" s="1">
        <f t="shared" si="154"/>
        <v>0</v>
      </c>
      <c r="K2471" s="19">
        <f t="shared" si="155"/>
        <v>0</v>
      </c>
    </row>
    <row r="2472" spans="2:11" ht="15">
      <c r="B2472" s="151">
        <v>159</v>
      </c>
      <c r="C2472" s="7" t="s">
        <v>152</v>
      </c>
      <c r="D2472" s="4" t="s">
        <v>98</v>
      </c>
      <c r="E2472" t="s">
        <v>496</v>
      </c>
      <c r="F2472" s="12" t="str">
        <f>IFERROR(VLOOKUP(B2472,'INSUMOS  JULIO'!$B$6:$CJ$109,75,0),"")</f>
        <v>0</v>
      </c>
      <c r="G2472" s="8">
        <f>IFERROR(VLOOKUP($B2472,'INSUMOS  JULIO'!$B$6:$CJ$109,76,0),"")</f>
        <v>0</v>
      </c>
      <c r="H2472" s="19">
        <f t="shared" si="152"/>
        <v>0</v>
      </c>
      <c r="I2472" s="1">
        <f t="shared" si="153"/>
        <v>0</v>
      </c>
      <c r="J2472" s="1">
        <f t="shared" si="154"/>
        <v>0</v>
      </c>
      <c r="K2472" s="19">
        <f t="shared" si="155"/>
        <v>0</v>
      </c>
    </row>
    <row r="2473" spans="2:11" ht="15">
      <c r="B2473" s="151">
        <v>160</v>
      </c>
      <c r="C2473" s="7" t="s">
        <v>153</v>
      </c>
      <c r="D2473" s="4" t="s">
        <v>99</v>
      </c>
      <c r="E2473" t="s">
        <v>496</v>
      </c>
      <c r="F2473" s="12" t="str">
        <f>IFERROR(VLOOKUP(B2473,'INSUMOS  JULIO'!$B$6:$CJ$109,75,0),"")</f>
        <v>0</v>
      </c>
      <c r="G2473" s="8">
        <f>IFERROR(VLOOKUP($B2473,'INSUMOS  JULIO'!$B$6:$CJ$109,76,0),"")</f>
        <v>2276.4660000000003</v>
      </c>
      <c r="H2473" s="19">
        <f t="shared" si="152"/>
        <v>0</v>
      </c>
      <c r="I2473" s="1">
        <f t="shared" si="153"/>
        <v>0</v>
      </c>
      <c r="J2473" s="1">
        <f t="shared" si="154"/>
        <v>0</v>
      </c>
      <c r="K2473" s="19">
        <f t="shared" si="155"/>
        <v>0</v>
      </c>
    </row>
    <row r="2474" spans="2:11" ht="15">
      <c r="B2474" s="151">
        <v>161</v>
      </c>
      <c r="C2474" s="7" t="s">
        <v>151</v>
      </c>
      <c r="D2474" s="4" t="s">
        <v>100</v>
      </c>
      <c r="E2474" t="s">
        <v>496</v>
      </c>
      <c r="F2474" s="12" t="str">
        <f>IFERROR(VLOOKUP(B2474,'INSUMOS  JULIO'!$B$6:$CJ$109,75,0),"")</f>
        <v>0</v>
      </c>
      <c r="G2474" s="8">
        <f>IFERROR(VLOOKUP($B2474,'INSUMOS  JULIO'!$B$6:$CJ$109,76,0),"")</f>
        <v>2236.5280000000002</v>
      </c>
      <c r="H2474" s="19">
        <f t="shared" si="152"/>
        <v>0</v>
      </c>
      <c r="I2474" s="1">
        <f t="shared" si="153"/>
        <v>0</v>
      </c>
      <c r="J2474" s="1">
        <f t="shared" si="154"/>
        <v>0</v>
      </c>
      <c r="K2474" s="19">
        <f t="shared" si="155"/>
        <v>0</v>
      </c>
    </row>
    <row r="2475" spans="2:11" ht="15">
      <c r="B2475" s="151">
        <v>162</v>
      </c>
      <c r="C2475" s="7" t="s">
        <v>66</v>
      </c>
      <c r="D2475" s="4" t="s">
        <v>101</v>
      </c>
      <c r="E2475" t="s">
        <v>496</v>
      </c>
      <c r="F2475" s="12">
        <f>IFERROR(VLOOKUP(B2475,'INSUMOS  JULIO'!$B$6:$CJ$109,75,0),"")</f>
        <v>0</v>
      </c>
      <c r="G2475" s="8">
        <f>IFERROR(VLOOKUP($B2475,'INSUMOS  JULIO'!$B$6:$CJ$109,76,0),"")</f>
        <v>2684.2539999999999</v>
      </c>
      <c r="H2475" s="19">
        <f t="shared" si="152"/>
        <v>0</v>
      </c>
      <c r="I2475" s="1">
        <f t="shared" si="153"/>
        <v>0</v>
      </c>
      <c r="J2475" s="1">
        <f t="shared" si="154"/>
        <v>0</v>
      </c>
      <c r="K2475" s="19">
        <f t="shared" si="155"/>
        <v>0</v>
      </c>
    </row>
    <row r="2476" spans="2:11" ht="15">
      <c r="B2476" s="151">
        <v>164</v>
      </c>
      <c r="C2476" s="7" t="s">
        <v>60</v>
      </c>
      <c r="D2476" s="4" t="s">
        <v>102</v>
      </c>
      <c r="E2476" t="s">
        <v>496</v>
      </c>
      <c r="F2476" s="12" t="str">
        <f>IFERROR(VLOOKUP(B2476,'INSUMOS  JULIO'!$B$6:$CJ$109,75,0),"")</f>
        <v>0</v>
      </c>
      <c r="G2476" s="8">
        <f>IFERROR(VLOOKUP($B2476,'INSUMOS  JULIO'!$B$6:$CJ$109,76,0),"")</f>
        <v>1658.4780000000001</v>
      </c>
      <c r="H2476" s="19">
        <f t="shared" si="152"/>
        <v>0</v>
      </c>
      <c r="I2476" s="1">
        <f t="shared" si="153"/>
        <v>0</v>
      </c>
      <c r="J2476" s="1">
        <f t="shared" si="154"/>
        <v>0</v>
      </c>
      <c r="K2476" s="19">
        <f t="shared" si="155"/>
        <v>0</v>
      </c>
    </row>
    <row r="2477" spans="2:11" ht="15">
      <c r="B2477" s="151">
        <v>169</v>
      </c>
      <c r="C2477" s="7" t="s">
        <v>103</v>
      </c>
      <c r="D2477" s="4" t="s">
        <v>104</v>
      </c>
      <c r="E2477" t="s">
        <v>496</v>
      </c>
      <c r="F2477" s="12" t="str">
        <f>IFERROR(VLOOKUP(B2477,'INSUMOS  JULIO'!$B$6:$CJ$109,75,0),"")</f>
        <v>0</v>
      </c>
      <c r="G2477" s="8">
        <f>IFERROR(VLOOKUP($B2477,'INSUMOS  JULIO'!$B$6:$CJ$109,76,0),"")</f>
        <v>85897.178999999989</v>
      </c>
      <c r="H2477" s="19">
        <f t="shared" si="152"/>
        <v>0</v>
      </c>
      <c r="I2477" s="1">
        <f t="shared" si="153"/>
        <v>0</v>
      </c>
      <c r="J2477" s="1">
        <f t="shared" si="154"/>
        <v>0</v>
      </c>
      <c r="K2477" s="19">
        <f t="shared" si="155"/>
        <v>0</v>
      </c>
    </row>
    <row r="2478" spans="2:11" ht="15">
      <c r="B2478" s="151">
        <v>170</v>
      </c>
      <c r="C2478" s="7" t="s">
        <v>105</v>
      </c>
      <c r="D2478" s="4" t="s">
        <v>106</v>
      </c>
      <c r="E2478" t="s">
        <v>496</v>
      </c>
      <c r="F2478" s="12">
        <f>IFERROR(VLOOKUP(B2478,'INSUMOS  JULIO'!$B$6:$CJ$109,75,0),"")</f>
        <v>0</v>
      </c>
      <c r="G2478" s="8">
        <f>IFERROR(VLOOKUP($B2478,'INSUMOS  JULIO'!$B$6:$CJ$109,76,0),"")</f>
        <v>19405.664000000001</v>
      </c>
      <c r="H2478" s="19">
        <f t="shared" si="152"/>
        <v>0</v>
      </c>
      <c r="I2478" s="1">
        <f t="shared" si="153"/>
        <v>0</v>
      </c>
      <c r="J2478" s="1">
        <f t="shared" si="154"/>
        <v>0</v>
      </c>
      <c r="K2478" s="19">
        <f t="shared" si="155"/>
        <v>0</v>
      </c>
    </row>
    <row r="2479" spans="2:11" ht="15">
      <c r="B2479" s="151">
        <v>173</v>
      </c>
      <c r="C2479" s="7" t="s">
        <v>105</v>
      </c>
      <c r="D2479" s="4" t="s">
        <v>107</v>
      </c>
      <c r="E2479" t="s">
        <v>496</v>
      </c>
      <c r="F2479" s="12" t="str">
        <f>IFERROR(VLOOKUP(B2479,'INSUMOS  JULIO'!$B$6:$CJ$109,75,0),"")</f>
        <v>0</v>
      </c>
      <c r="G2479" s="8">
        <f>IFERROR(VLOOKUP($B2479,'INSUMOS  JULIO'!$B$6:$CJ$109,76,0),"")</f>
        <v>0</v>
      </c>
      <c r="H2479" s="19">
        <f t="shared" si="152"/>
        <v>0</v>
      </c>
      <c r="I2479" s="1">
        <f t="shared" si="153"/>
        <v>0</v>
      </c>
      <c r="J2479" s="1">
        <f t="shared" si="154"/>
        <v>0</v>
      </c>
      <c r="K2479" s="19">
        <f t="shared" si="155"/>
        <v>0</v>
      </c>
    </row>
    <row r="2480" spans="2:11" ht="15">
      <c r="B2480" s="151">
        <v>174</v>
      </c>
      <c r="C2480" s="7" t="s">
        <v>108</v>
      </c>
      <c r="D2480" s="4" t="s">
        <v>109</v>
      </c>
      <c r="E2480" t="s">
        <v>496</v>
      </c>
      <c r="F2480" s="12" t="str">
        <f>IFERROR(VLOOKUP(B2480,'INSUMOS  JULIO'!$B$6:$CJ$109,75,0),"")</f>
        <v>0</v>
      </c>
      <c r="G2480" s="8">
        <f>IFERROR(VLOOKUP($B2480,'INSUMOS  JULIO'!$B$6:$CJ$109,76,0),"")</f>
        <v>6081.0860000000002</v>
      </c>
      <c r="H2480" s="19">
        <f t="shared" si="152"/>
        <v>0</v>
      </c>
      <c r="I2480" s="1">
        <f t="shared" si="153"/>
        <v>0</v>
      </c>
      <c r="J2480" s="1">
        <f t="shared" si="154"/>
        <v>0</v>
      </c>
      <c r="K2480" s="19">
        <f t="shared" si="155"/>
        <v>0</v>
      </c>
    </row>
    <row r="2481" spans="2:11" ht="15">
      <c r="B2481" s="151">
        <v>176</v>
      </c>
      <c r="C2481" s="7" t="s">
        <v>108</v>
      </c>
      <c r="D2481" s="4" t="s">
        <v>110</v>
      </c>
      <c r="E2481" t="s">
        <v>496</v>
      </c>
      <c r="F2481" s="12" t="str">
        <f>IFERROR(VLOOKUP(B2481,'INSUMOS  JULIO'!$B$6:$CJ$109,75,0),"")</f>
        <v>0</v>
      </c>
      <c r="G2481" s="8">
        <f>IFERROR(VLOOKUP($B2481,'INSUMOS  JULIO'!$B$6:$CJ$109,76,0),"")</f>
        <v>2749.4160000000002</v>
      </c>
      <c r="H2481" s="19">
        <f t="shared" si="152"/>
        <v>0</v>
      </c>
      <c r="I2481" s="1">
        <f t="shared" si="153"/>
        <v>0</v>
      </c>
      <c r="J2481" s="1">
        <f t="shared" si="154"/>
        <v>0</v>
      </c>
      <c r="K2481" s="19">
        <f t="shared" si="155"/>
        <v>0</v>
      </c>
    </row>
    <row r="2482" spans="2:11" ht="15">
      <c r="B2482" s="151">
        <v>192</v>
      </c>
      <c r="C2482" s="7" t="s">
        <v>149</v>
      </c>
      <c r="D2482" s="4" t="s">
        <v>111</v>
      </c>
      <c r="E2482" t="s">
        <v>496</v>
      </c>
      <c r="F2482" s="12">
        <f>IFERROR(VLOOKUP(B2482,'INSUMOS  JULIO'!$B$6:$CJ$109,75,0),"")</f>
        <v>0</v>
      </c>
      <c r="G2482" s="8">
        <f>IFERROR(VLOOKUP($B2482,'INSUMOS  JULIO'!$B$6:$CJ$109,76,0),"")</f>
        <v>6866.2880999999998</v>
      </c>
      <c r="H2482" s="19">
        <f t="shared" si="152"/>
        <v>0</v>
      </c>
      <c r="I2482" s="1">
        <f t="shared" si="153"/>
        <v>0</v>
      </c>
      <c r="J2482" s="1">
        <f t="shared" si="154"/>
        <v>0</v>
      </c>
      <c r="K2482" s="19">
        <f t="shared" si="155"/>
        <v>0</v>
      </c>
    </row>
    <row r="2483" spans="2:11" ht="15">
      <c r="B2483" s="151">
        <v>195</v>
      </c>
      <c r="C2483" s="7" t="s">
        <v>149</v>
      </c>
      <c r="D2483" s="4" t="s">
        <v>112</v>
      </c>
      <c r="E2483" t="s">
        <v>496</v>
      </c>
      <c r="F2483" s="12">
        <f>IFERROR(VLOOKUP(B2483,'INSUMOS  JULIO'!$B$6:$CJ$109,75,0),"")</f>
        <v>0</v>
      </c>
      <c r="G2483" s="8">
        <f>IFERROR(VLOOKUP($B2483,'INSUMOS  JULIO'!$B$6:$CJ$109,76,0),"")</f>
        <v>6431.0690000000004</v>
      </c>
      <c r="H2483" s="19">
        <f t="shared" si="152"/>
        <v>0</v>
      </c>
      <c r="I2483" s="1">
        <f t="shared" si="153"/>
        <v>0</v>
      </c>
      <c r="J2483" s="1">
        <f t="shared" si="154"/>
        <v>0</v>
      </c>
      <c r="K2483" s="19">
        <f t="shared" si="155"/>
        <v>0</v>
      </c>
    </row>
    <row r="2484" spans="2:11" ht="15">
      <c r="B2484" s="151">
        <v>204</v>
      </c>
      <c r="C2484" s="7" t="s">
        <v>150</v>
      </c>
      <c r="D2484" s="4" t="s">
        <v>113</v>
      </c>
      <c r="E2484" t="s">
        <v>496</v>
      </c>
      <c r="F2484" s="12">
        <f>IFERROR(VLOOKUP(B2484,'INSUMOS  JULIO'!$B$6:$CJ$109,75,0),"")</f>
        <v>6</v>
      </c>
      <c r="G2484" s="8">
        <f>IFERROR(VLOOKUP($B2484,'INSUMOS  JULIO'!$B$6:$CJ$109,76,0),"")</f>
        <v>14760.243999999999</v>
      </c>
      <c r="H2484" s="19">
        <f t="shared" si="152"/>
        <v>88561.463999999993</v>
      </c>
      <c r="I2484" s="1">
        <f t="shared" si="153"/>
        <v>8856.1463999999996</v>
      </c>
      <c r="J2484" s="1">
        <f t="shared" si="154"/>
        <v>1682.6678159999999</v>
      </c>
      <c r="K2484" s="19">
        <f t="shared" si="155"/>
        <v>99100.278215999992</v>
      </c>
    </row>
    <row r="2485" spans="2:11" ht="27">
      <c r="B2485" s="151">
        <v>205</v>
      </c>
      <c r="C2485" s="7" t="s">
        <v>150</v>
      </c>
      <c r="D2485" s="4" t="s">
        <v>114</v>
      </c>
      <c r="E2485" t="s">
        <v>496</v>
      </c>
      <c r="F2485" s="12" t="str">
        <f>IFERROR(VLOOKUP(B2485,'INSUMOS  JULIO'!$B$6:$CJ$109,75,0),"")</f>
        <v>0</v>
      </c>
      <c r="G2485" s="8">
        <f>IFERROR(VLOOKUP($B2485,'INSUMOS  JULIO'!$B$6:$CJ$109,76,0),"")</f>
        <v>17690.432000000001</v>
      </c>
      <c r="H2485" s="19">
        <f t="shared" si="152"/>
        <v>0</v>
      </c>
      <c r="I2485" s="1">
        <f t="shared" si="153"/>
        <v>0</v>
      </c>
      <c r="J2485" s="1">
        <f t="shared" si="154"/>
        <v>0</v>
      </c>
      <c r="K2485" s="19">
        <f t="shared" si="155"/>
        <v>0</v>
      </c>
    </row>
    <row r="2486" spans="2:11" ht="15">
      <c r="B2486" s="151">
        <v>207</v>
      </c>
      <c r="C2486" s="7" t="s">
        <v>60</v>
      </c>
      <c r="D2486" s="4" t="s">
        <v>115</v>
      </c>
      <c r="E2486" t="s">
        <v>496</v>
      </c>
      <c r="F2486" s="12" t="str">
        <f>IFERROR(VLOOKUP(B2486,'INSUMOS  JULIO'!$B$6:$CJ$109,75,0),"")</f>
        <v>0</v>
      </c>
      <c r="G2486" s="8">
        <f>IFERROR(VLOOKUP($B2486,'INSUMOS  JULIO'!$B$6:$CJ$109,76,0),"")</f>
        <v>7186.7380000000003</v>
      </c>
      <c r="H2486" s="19">
        <f t="shared" si="152"/>
        <v>0</v>
      </c>
      <c r="I2486" s="1">
        <f t="shared" si="153"/>
        <v>0</v>
      </c>
      <c r="J2486" s="1">
        <f t="shared" si="154"/>
        <v>0</v>
      </c>
      <c r="K2486" s="19">
        <f t="shared" si="155"/>
        <v>0</v>
      </c>
    </row>
    <row r="2487" spans="2:11" ht="15">
      <c r="B2487" s="151">
        <v>208</v>
      </c>
      <c r="C2487" s="7" t="s">
        <v>151</v>
      </c>
      <c r="D2487" s="4" t="s">
        <v>634</v>
      </c>
      <c r="E2487" t="s">
        <v>496</v>
      </c>
      <c r="F2487" s="12" t="str">
        <f>IFERROR(VLOOKUP(B2487,'INSUMOS  JULIO'!$B$6:$CJ$109,75,0),"")</f>
        <v>0</v>
      </c>
      <c r="G2487" s="8">
        <f>IFERROR(VLOOKUP($B2487,'INSUMOS  JULIO'!$B$6:$CJ$109,76,0),"")</f>
        <v>50779.065000000002</v>
      </c>
      <c r="H2487" s="19">
        <f t="shared" si="152"/>
        <v>0</v>
      </c>
      <c r="I2487" s="1">
        <f t="shared" si="153"/>
        <v>0</v>
      </c>
      <c r="J2487" s="1">
        <f t="shared" si="154"/>
        <v>0</v>
      </c>
      <c r="K2487" s="19">
        <f t="shared" si="155"/>
        <v>0</v>
      </c>
    </row>
    <row r="2488" spans="2:11" ht="15">
      <c r="B2488" s="151">
        <v>209</v>
      </c>
      <c r="C2488" s="7" t="s">
        <v>151</v>
      </c>
      <c r="D2488" s="4" t="s">
        <v>635</v>
      </c>
      <c r="E2488" t="s">
        <v>496</v>
      </c>
      <c r="F2488" s="12" t="str">
        <f>IFERROR(VLOOKUP(B2488,'INSUMOS  JULIO'!$B$6:$CJ$109,75,0),"")</f>
        <v>0</v>
      </c>
      <c r="G2488" s="8">
        <f>IFERROR(VLOOKUP($B2488,'INSUMOS  JULIO'!$B$6:$CJ$109,76,0),"")</f>
        <v>37357.794999999998</v>
      </c>
      <c r="H2488" s="19">
        <f t="shared" si="152"/>
        <v>0</v>
      </c>
      <c r="I2488" s="1">
        <f t="shared" si="153"/>
        <v>0</v>
      </c>
      <c r="J2488" s="1">
        <f t="shared" si="154"/>
        <v>0</v>
      </c>
      <c r="K2488" s="19">
        <f t="shared" si="155"/>
        <v>0</v>
      </c>
    </row>
    <row r="2489" spans="2:11" ht="15">
      <c r="B2489" s="151">
        <v>210</v>
      </c>
      <c r="C2489" s="7" t="s">
        <v>151</v>
      </c>
      <c r="D2489" s="4" t="s">
        <v>636</v>
      </c>
      <c r="E2489" t="s">
        <v>496</v>
      </c>
      <c r="F2489" s="12" t="str">
        <f>IFERROR(VLOOKUP(B2489,'INSUMOS  JULIO'!$B$6:$CJ$109,75,0),"")</f>
        <v>0</v>
      </c>
      <c r="G2489" s="8">
        <f>IFERROR(VLOOKUP($B2489,'INSUMOS  JULIO'!$B$6:$CJ$109,76,0),"")</f>
        <v>22537.643999999997</v>
      </c>
      <c r="H2489" s="19">
        <f t="shared" si="152"/>
        <v>0</v>
      </c>
      <c r="I2489" s="1">
        <f t="shared" si="153"/>
        <v>0</v>
      </c>
      <c r="J2489" s="1">
        <f t="shared" si="154"/>
        <v>0</v>
      </c>
      <c r="K2489" s="19">
        <f t="shared" si="155"/>
        <v>0</v>
      </c>
    </row>
    <row r="2490" spans="2:11" ht="15">
      <c r="B2490" s="151">
        <v>211</v>
      </c>
      <c r="C2490" s="7" t="s">
        <v>151</v>
      </c>
      <c r="D2490" s="4" t="s">
        <v>637</v>
      </c>
      <c r="E2490" t="s">
        <v>496</v>
      </c>
      <c r="F2490" s="12" t="str">
        <f>IFERROR(VLOOKUP(B2490,'INSUMOS  JULIO'!$B$6:$CJ$109,75,0),"")</f>
        <v>0</v>
      </c>
      <c r="G2490" s="8">
        <f>IFERROR(VLOOKUP($B2490,'INSUMOS  JULIO'!$B$6:$CJ$109,76,0),"")</f>
        <v>15992.016</v>
      </c>
      <c r="H2490" s="19">
        <f t="shared" si="152"/>
        <v>0</v>
      </c>
      <c r="I2490" s="1">
        <f t="shared" si="153"/>
        <v>0</v>
      </c>
      <c r="J2490" s="1">
        <f t="shared" si="154"/>
        <v>0</v>
      </c>
      <c r="K2490" s="19">
        <f t="shared" si="155"/>
        <v>0</v>
      </c>
    </row>
    <row r="2491" spans="2:11" ht="15">
      <c r="B2491" s="151">
        <v>212</v>
      </c>
      <c r="C2491" s="7" t="s">
        <v>60</v>
      </c>
      <c r="D2491" s="4" t="s">
        <v>116</v>
      </c>
      <c r="E2491" t="s">
        <v>496</v>
      </c>
      <c r="F2491" s="12" t="str">
        <f>IFERROR(VLOOKUP(B2491,'INSUMOS  JULIO'!$B$6:$CJ$109,75,0),"")</f>
        <v>0</v>
      </c>
      <c r="G2491" s="8">
        <f>IFERROR(VLOOKUP($B2491,'INSUMOS  JULIO'!$B$6:$CJ$109,76,0),"")</f>
        <v>2505.5839999999998</v>
      </c>
      <c r="H2491" s="19">
        <f t="shared" si="152"/>
        <v>0</v>
      </c>
      <c r="I2491" s="1">
        <f t="shared" si="153"/>
        <v>0</v>
      </c>
      <c r="J2491" s="1">
        <f t="shared" si="154"/>
        <v>0</v>
      </c>
      <c r="K2491" s="19">
        <f t="shared" si="155"/>
        <v>0</v>
      </c>
    </row>
    <row r="2492" spans="2:11" ht="15">
      <c r="B2492" s="151">
        <v>213</v>
      </c>
      <c r="C2492" s="7" t="s">
        <v>46</v>
      </c>
      <c r="D2492" s="4" t="s">
        <v>638</v>
      </c>
      <c r="E2492" t="s">
        <v>496</v>
      </c>
      <c r="F2492" s="12" t="str">
        <f>IFERROR(VLOOKUP(B2492,'INSUMOS  JULIO'!$B$6:$CJ$109,75,0),"")</f>
        <v>0</v>
      </c>
      <c r="G2492" s="8">
        <f>IFERROR(VLOOKUP($B2492,'INSUMOS  JULIO'!$B$6:$CJ$109,76,0),"")</f>
        <v>0</v>
      </c>
      <c r="H2492" s="19">
        <f t="shared" si="152"/>
        <v>0</v>
      </c>
      <c r="I2492" s="1">
        <f t="shared" si="153"/>
        <v>0</v>
      </c>
      <c r="J2492" s="1">
        <f t="shared" si="154"/>
        <v>0</v>
      </c>
      <c r="K2492" s="19">
        <f t="shared" si="155"/>
        <v>0</v>
      </c>
    </row>
    <row r="2493" spans="2:11" ht="15">
      <c r="B2493" s="151">
        <v>215</v>
      </c>
      <c r="C2493" s="7" t="s">
        <v>450</v>
      </c>
      <c r="D2493" s="4" t="s">
        <v>639</v>
      </c>
      <c r="E2493" t="s">
        <v>496</v>
      </c>
      <c r="F2493" s="12" t="str">
        <f>IFERROR(VLOOKUP(B2493,'INSUMOS  JULIO'!$B$6:$CJ$109,75,0),"")</f>
        <v>0</v>
      </c>
      <c r="G2493" s="8">
        <f>IFERROR(VLOOKUP($B2493,'INSUMOS  JULIO'!$B$6:$CJ$109,76,0),"")</f>
        <v>10476.367999999999</v>
      </c>
      <c r="H2493" s="19">
        <f t="shared" si="152"/>
        <v>0</v>
      </c>
      <c r="I2493" s="1">
        <f t="shared" si="153"/>
        <v>0</v>
      </c>
      <c r="J2493" s="1">
        <f t="shared" si="154"/>
        <v>0</v>
      </c>
      <c r="K2493" s="19">
        <f t="shared" si="155"/>
        <v>0</v>
      </c>
    </row>
    <row r="2494" spans="2:11" ht="15">
      <c r="B2494" s="151">
        <v>216</v>
      </c>
      <c r="C2494" s="7" t="s">
        <v>450</v>
      </c>
      <c r="D2494" s="4" t="s">
        <v>640</v>
      </c>
      <c r="E2494" t="s">
        <v>496</v>
      </c>
      <c r="F2494" s="12" t="str">
        <f>IFERROR(VLOOKUP(B2494,'INSUMOS  JULIO'!$B$6:$CJ$109,75,0),"")</f>
        <v>0</v>
      </c>
      <c r="G2494" s="8">
        <f>IFERROR(VLOOKUP($B2494,'INSUMOS  JULIO'!$B$6:$CJ$109,76,0),"")</f>
        <v>3954.9129999999996</v>
      </c>
      <c r="H2494" s="19">
        <f t="shared" si="152"/>
        <v>0</v>
      </c>
      <c r="I2494" s="1">
        <f t="shared" si="153"/>
        <v>0</v>
      </c>
      <c r="J2494" s="1">
        <f t="shared" si="154"/>
        <v>0</v>
      </c>
      <c r="K2494" s="19">
        <f t="shared" si="155"/>
        <v>0</v>
      </c>
    </row>
    <row r="2495" spans="2:11" ht="15">
      <c r="B2495" s="151">
        <v>218</v>
      </c>
      <c r="C2495" s="7" t="s">
        <v>450</v>
      </c>
      <c r="D2495" s="4" t="s">
        <v>117</v>
      </c>
      <c r="E2495" t="s">
        <v>496</v>
      </c>
      <c r="F2495" s="12" t="str">
        <f>IFERROR(VLOOKUP(B2495,'INSUMOS  JULIO'!$B$6:$CJ$109,75,0),"")</f>
        <v>0</v>
      </c>
      <c r="G2495" s="8">
        <f>IFERROR(VLOOKUP($B2495,'INSUMOS  JULIO'!$B$6:$CJ$109,76,0),"")</f>
        <v>1437.768</v>
      </c>
      <c r="H2495" s="19">
        <f t="shared" si="152"/>
        <v>0</v>
      </c>
      <c r="I2495" s="1">
        <f t="shared" si="153"/>
        <v>0</v>
      </c>
      <c r="J2495" s="1">
        <f t="shared" si="154"/>
        <v>0</v>
      </c>
      <c r="K2495" s="19">
        <f t="shared" si="155"/>
        <v>0</v>
      </c>
    </row>
    <row r="2496" spans="2:11" ht="15">
      <c r="B2496" s="151">
        <v>251</v>
      </c>
      <c r="C2496" s="7" t="s">
        <v>33</v>
      </c>
      <c r="D2496" s="4" t="s">
        <v>118</v>
      </c>
      <c r="E2496" t="s">
        <v>496</v>
      </c>
      <c r="F2496" s="12" t="str">
        <f>IFERROR(VLOOKUP(B2496,'INSUMOS  JULIO'!$B$6:$CJ$109,75,0),"")</f>
        <v>0</v>
      </c>
      <c r="G2496" s="8">
        <f>IFERROR(VLOOKUP($B2496,'INSUMOS  JULIO'!$B$6:$CJ$109,76,0),"")</f>
        <v>16031.954000000002</v>
      </c>
      <c r="H2496" s="19">
        <f t="shared" si="152"/>
        <v>0</v>
      </c>
      <c r="I2496" s="1">
        <f t="shared" si="153"/>
        <v>0</v>
      </c>
      <c r="J2496" s="1">
        <f t="shared" si="154"/>
        <v>0</v>
      </c>
      <c r="K2496" s="19">
        <f t="shared" si="155"/>
        <v>0</v>
      </c>
    </row>
    <row r="2497" spans="2:11" ht="15">
      <c r="B2497" s="151">
        <v>255</v>
      </c>
      <c r="C2497" s="7" t="s">
        <v>60</v>
      </c>
      <c r="D2497" s="4" t="s">
        <v>641</v>
      </c>
      <c r="E2497" t="s">
        <v>496</v>
      </c>
      <c r="F2497" s="12" t="str">
        <f>IFERROR(VLOOKUP(B2497,'INSUMOS  JULIO'!$B$6:$CJ$109,75,0),"")</f>
        <v>0</v>
      </c>
      <c r="G2497" s="8">
        <f>IFERROR(VLOOKUP($B2497,'INSUMOS  JULIO'!$B$6:$CJ$109,76,0),"")</f>
        <v>29299.777999999998</v>
      </c>
      <c r="H2497" s="19">
        <f t="shared" si="152"/>
        <v>0</v>
      </c>
      <c r="I2497" s="1">
        <f t="shared" si="153"/>
        <v>0</v>
      </c>
      <c r="J2497" s="1">
        <f t="shared" si="154"/>
        <v>0</v>
      </c>
      <c r="K2497" s="19">
        <f t="shared" si="155"/>
        <v>0</v>
      </c>
    </row>
    <row r="2498" spans="2:11" ht="15">
      <c r="B2498" s="151">
        <v>257</v>
      </c>
      <c r="C2498" s="7" t="s">
        <v>60</v>
      </c>
      <c r="D2498" s="4" t="s">
        <v>642</v>
      </c>
      <c r="E2498" t="s">
        <v>496</v>
      </c>
      <c r="F2498" s="12" t="str">
        <f>IFERROR(VLOOKUP(B2498,'INSUMOS  JULIO'!$B$6:$CJ$109,75,0),"")</f>
        <v>0</v>
      </c>
      <c r="G2498" s="8">
        <f>IFERROR(VLOOKUP($B2498,'INSUMOS  JULIO'!$B$6:$CJ$109,76,0),"")</f>
        <v>18796.084000000003</v>
      </c>
      <c r="H2498" s="19">
        <f t="shared" si="152"/>
        <v>0</v>
      </c>
      <c r="I2498" s="1">
        <f t="shared" si="153"/>
        <v>0</v>
      </c>
      <c r="J2498" s="1">
        <f t="shared" si="154"/>
        <v>0</v>
      </c>
      <c r="K2498" s="19">
        <f t="shared" si="155"/>
        <v>0</v>
      </c>
    </row>
    <row r="2499" spans="2:11" ht="15">
      <c r="B2499" s="151">
        <v>260</v>
      </c>
      <c r="C2499" s="7" t="s">
        <v>449</v>
      </c>
      <c r="D2499" s="4" t="s">
        <v>643</v>
      </c>
      <c r="E2499" t="s">
        <v>496</v>
      </c>
      <c r="F2499" s="12" t="str">
        <f>IFERROR(VLOOKUP(B2499,'INSUMOS  JULIO'!$B$6:$CJ$109,75,0),"")</f>
        <v>0</v>
      </c>
      <c r="G2499" s="8">
        <f>IFERROR(VLOOKUP($B2499,'INSUMOS  JULIO'!$B$6:$CJ$109,76,0),"")</f>
        <v>3417.8520000000008</v>
      </c>
      <c r="H2499" s="19">
        <f t="shared" si="152"/>
        <v>0</v>
      </c>
      <c r="I2499" s="1">
        <f t="shared" si="153"/>
        <v>0</v>
      </c>
      <c r="J2499" s="1">
        <f t="shared" si="154"/>
        <v>0</v>
      </c>
      <c r="K2499" s="19">
        <f t="shared" si="155"/>
        <v>0</v>
      </c>
    </row>
    <row r="2500" spans="2:11" ht="15">
      <c r="B2500" s="151">
        <v>291</v>
      </c>
      <c r="C2500" s="7" t="s">
        <v>449</v>
      </c>
      <c r="D2500" s="4" t="s">
        <v>644</v>
      </c>
      <c r="E2500" t="s">
        <v>496</v>
      </c>
      <c r="F2500" s="12" t="str">
        <f>IFERROR(VLOOKUP(B2500,'INSUMOS  JULIO'!$B$6:$CJ$109,75,0),"")</f>
        <v>0</v>
      </c>
      <c r="G2500" s="8">
        <f>IFERROR(VLOOKUP($B2500,'INSUMOS  JULIO'!$B$6:$CJ$109,76,0),"")</f>
        <v>20454.562000000005</v>
      </c>
      <c r="H2500" s="19">
        <f t="shared" si="152"/>
        <v>0</v>
      </c>
      <c r="I2500" s="1">
        <f t="shared" si="153"/>
        <v>0</v>
      </c>
      <c r="J2500" s="1">
        <f t="shared" si="154"/>
        <v>0</v>
      </c>
      <c r="K2500" s="19">
        <f t="shared" si="155"/>
        <v>0</v>
      </c>
    </row>
    <row r="2501" spans="2:11" ht="15">
      <c r="B2501" s="151">
        <v>3</v>
      </c>
      <c r="C2501" s="7" t="s">
        <v>155</v>
      </c>
      <c r="D2501" s="4" t="s">
        <v>5</v>
      </c>
      <c r="E2501" t="s">
        <v>709</v>
      </c>
      <c r="F2501" s="12" t="str">
        <f>IFERROR(VLOOKUP($B2501,'INSUMOS  JULIO'!$B$6:$CJ$109,78,0),"")</f>
        <v>0</v>
      </c>
      <c r="G2501" s="8">
        <f>IFERROR(VLOOKUP($B2501,'INSUMOS  JULIO'!$B$6:$CJ$109,79,0),"")</f>
        <v>7268.7160000000003</v>
      </c>
      <c r="H2501" s="19">
        <f t="shared" si="152"/>
        <v>0</v>
      </c>
      <c r="I2501" s="1">
        <f t="shared" si="153"/>
        <v>0</v>
      </c>
      <c r="J2501" s="1">
        <f t="shared" si="154"/>
        <v>0</v>
      </c>
      <c r="K2501" s="19">
        <f t="shared" si="155"/>
        <v>0</v>
      </c>
    </row>
    <row r="2502" spans="2:11" ht="15">
      <c r="B2502" s="151">
        <v>5</v>
      </c>
      <c r="C2502" s="7" t="s">
        <v>6</v>
      </c>
      <c r="D2502" s="4" t="s">
        <v>7</v>
      </c>
      <c r="E2502" t="s">
        <v>709</v>
      </c>
      <c r="F2502" s="12" t="str">
        <f>IFERROR(VLOOKUP(B2502,'INSUMOS  JULIO'!$B$6:$CJ$109,78,0),"")</f>
        <v>0</v>
      </c>
      <c r="G2502" s="8">
        <f>IFERROR(VLOOKUP($B2502,'INSUMOS  JULIO'!$B$6:$CJ$109,79,0),"")</f>
        <v>6494.1289999999999</v>
      </c>
      <c r="H2502" s="19">
        <f t="shared" ref="H2502:H2565" si="156">+F2502*G2502</f>
        <v>0</v>
      </c>
      <c r="I2502" s="1">
        <f t="shared" ref="I2502:I2565" si="157">+H2502*10%</f>
        <v>0</v>
      </c>
      <c r="J2502" s="1">
        <f t="shared" ref="J2502:J2565" si="158">+I2502*19%</f>
        <v>0</v>
      </c>
      <c r="K2502" s="19">
        <f t="shared" ref="K2502:K2565" si="159">SUM(H2502:J2502)</f>
        <v>0</v>
      </c>
    </row>
    <row r="2503" spans="2:11" ht="15">
      <c r="B2503" s="151">
        <v>8</v>
      </c>
      <c r="C2503" s="7" t="s">
        <v>6</v>
      </c>
      <c r="D2503" s="4" t="s">
        <v>8</v>
      </c>
      <c r="E2503" t="s">
        <v>709</v>
      </c>
      <c r="F2503" s="12">
        <f>IFERROR(VLOOKUP(B2503,'INSUMOS  JULIO'!$B$6:$CJ$109,78,0),"")</f>
        <v>0</v>
      </c>
      <c r="G2503" s="8">
        <f>IFERROR(VLOOKUP($B2503,'INSUMOS  JULIO'!$B$6:$CJ$109,79,0),"")</f>
        <v>2211.3040000000001</v>
      </c>
      <c r="H2503" s="19">
        <f t="shared" si="156"/>
        <v>0</v>
      </c>
      <c r="I2503" s="1">
        <f t="shared" si="157"/>
        <v>0</v>
      </c>
      <c r="J2503" s="1">
        <f t="shared" si="158"/>
        <v>0</v>
      </c>
      <c r="K2503" s="19">
        <f t="shared" si="159"/>
        <v>0</v>
      </c>
    </row>
    <row r="2504" spans="2:11" ht="15">
      <c r="B2504" s="151">
        <v>9</v>
      </c>
      <c r="C2504" s="7" t="s">
        <v>9</v>
      </c>
      <c r="D2504" s="4" t="s">
        <v>10</v>
      </c>
      <c r="E2504" t="s">
        <v>709</v>
      </c>
      <c r="F2504" s="12">
        <f>IFERROR(VLOOKUP(B2504,'INSUMOS  JULIO'!$B$6:$CJ$109,78,0),"")</f>
        <v>0</v>
      </c>
      <c r="G2504" s="8">
        <f>IFERROR(VLOOKUP($B2504,'INSUMOS  JULIO'!$B$6:$CJ$109,79,0),"")</f>
        <v>3298.0379999999996</v>
      </c>
      <c r="H2504" s="19">
        <f t="shared" si="156"/>
        <v>0</v>
      </c>
      <c r="I2504" s="1">
        <f t="shared" si="157"/>
        <v>0</v>
      </c>
      <c r="J2504" s="1">
        <f t="shared" si="158"/>
        <v>0</v>
      </c>
      <c r="K2504" s="19">
        <f t="shared" si="159"/>
        <v>0</v>
      </c>
    </row>
    <row r="2505" spans="2:11" ht="15">
      <c r="B2505" s="151">
        <v>11</v>
      </c>
      <c r="C2505" s="7" t="s">
        <v>156</v>
      </c>
      <c r="D2505" s="4" t="s">
        <v>11</v>
      </c>
      <c r="E2505" t="s">
        <v>709</v>
      </c>
      <c r="F2505" s="12" t="str">
        <f>IFERROR(VLOOKUP(B2505,'INSUMOS  JULIO'!$B$6:$CJ$109,78,0),"")</f>
        <v>0</v>
      </c>
      <c r="G2505" s="8">
        <f>IFERROR(VLOOKUP($B2505,'INSUMOS  JULIO'!$B$6:$CJ$109,79,0),"")</f>
        <v>7739.5639999999985</v>
      </c>
      <c r="H2505" s="19">
        <f t="shared" si="156"/>
        <v>0</v>
      </c>
      <c r="I2505" s="1">
        <f t="shared" si="157"/>
        <v>0</v>
      </c>
      <c r="J2505" s="1">
        <f t="shared" si="158"/>
        <v>0</v>
      </c>
      <c r="K2505" s="19">
        <f t="shared" si="159"/>
        <v>0</v>
      </c>
    </row>
    <row r="2506" spans="2:11" ht="15">
      <c r="B2506" s="151">
        <v>13</v>
      </c>
      <c r="C2506" s="7" t="s">
        <v>157</v>
      </c>
      <c r="D2506" s="4" t="s">
        <v>12</v>
      </c>
      <c r="E2506" t="s">
        <v>709</v>
      </c>
      <c r="F2506" s="12">
        <f>IFERROR(VLOOKUP(B2506,'INSUMOS  JULIO'!$B$6:$CJ$109,78,0),"")</f>
        <v>0</v>
      </c>
      <c r="G2506" s="8">
        <f>IFERROR(VLOOKUP($B2506,'INSUMOS  JULIO'!$B$6:$CJ$109,79,0),"")</f>
        <v>6507.7919999999995</v>
      </c>
      <c r="H2506" s="19">
        <f t="shared" si="156"/>
        <v>0</v>
      </c>
      <c r="I2506" s="1">
        <f t="shared" si="157"/>
        <v>0</v>
      </c>
      <c r="J2506" s="1">
        <f t="shared" si="158"/>
        <v>0</v>
      </c>
      <c r="K2506" s="19">
        <f t="shared" si="159"/>
        <v>0</v>
      </c>
    </row>
    <row r="2507" spans="2:11" ht="15">
      <c r="B2507" s="151">
        <v>17</v>
      </c>
      <c r="C2507" s="7" t="s">
        <v>13</v>
      </c>
      <c r="D2507" s="4" t="s">
        <v>14</v>
      </c>
      <c r="E2507" t="s">
        <v>709</v>
      </c>
      <c r="F2507" s="12">
        <f>IFERROR(VLOOKUP(B2507,'INSUMOS  JULIO'!$B$6:$CJ$109,78,0),"")</f>
        <v>0</v>
      </c>
      <c r="G2507" s="8">
        <f>IFERROR(VLOOKUP($B2507,'INSUMOS  JULIO'!$B$6:$CJ$109,79,0),"")</f>
        <v>5647.0229999999992</v>
      </c>
      <c r="H2507" s="19">
        <f t="shared" si="156"/>
        <v>0</v>
      </c>
      <c r="I2507" s="1">
        <f t="shared" si="157"/>
        <v>0</v>
      </c>
      <c r="J2507" s="1">
        <f t="shared" si="158"/>
        <v>0</v>
      </c>
      <c r="K2507" s="19">
        <f t="shared" si="159"/>
        <v>0</v>
      </c>
    </row>
    <row r="2508" spans="2:11" ht="15">
      <c r="B2508" s="151">
        <v>20</v>
      </c>
      <c r="C2508" s="7" t="s">
        <v>13</v>
      </c>
      <c r="D2508" s="4" t="s">
        <v>15</v>
      </c>
      <c r="E2508" t="s">
        <v>709</v>
      </c>
      <c r="F2508" s="12">
        <f>IFERROR(VLOOKUP(B2508,'INSUMOS  JULIO'!$B$6:$CJ$109,78,0),"")</f>
        <v>0</v>
      </c>
      <c r="G2508" s="8">
        <f>IFERROR(VLOOKUP($B2508,'INSUMOS  JULIO'!$B$6:$CJ$109,79,0),"")</f>
        <v>0</v>
      </c>
      <c r="H2508" s="19">
        <f t="shared" si="156"/>
        <v>0</v>
      </c>
      <c r="I2508" s="1">
        <f t="shared" si="157"/>
        <v>0</v>
      </c>
      <c r="J2508" s="1">
        <f t="shared" si="158"/>
        <v>0</v>
      </c>
      <c r="K2508" s="19">
        <f t="shared" si="159"/>
        <v>0</v>
      </c>
    </row>
    <row r="2509" spans="2:11" ht="15">
      <c r="B2509" s="151">
        <v>21</v>
      </c>
      <c r="C2509" s="7" t="s">
        <v>16</v>
      </c>
      <c r="D2509" s="4" t="s">
        <v>17</v>
      </c>
      <c r="E2509" t="s">
        <v>709</v>
      </c>
      <c r="F2509" s="12">
        <f>IFERROR(VLOOKUP(B2509,'INSUMOS  JULIO'!$B$6:$CJ$109,78,0),"")</f>
        <v>0</v>
      </c>
      <c r="G2509" s="8">
        <f>IFERROR(VLOOKUP($B2509,'INSUMOS  JULIO'!$B$6:$CJ$109,79,0),"")</f>
        <v>5932.8950000000013</v>
      </c>
      <c r="H2509" s="19">
        <f t="shared" si="156"/>
        <v>0</v>
      </c>
      <c r="I2509" s="1">
        <f t="shared" si="157"/>
        <v>0</v>
      </c>
      <c r="J2509" s="1">
        <f t="shared" si="158"/>
        <v>0</v>
      </c>
      <c r="K2509" s="19">
        <f t="shared" si="159"/>
        <v>0</v>
      </c>
    </row>
    <row r="2510" spans="2:11" ht="15">
      <c r="B2510" s="151">
        <v>28</v>
      </c>
      <c r="C2510" s="7" t="s">
        <v>18</v>
      </c>
      <c r="D2510" s="4" t="s">
        <v>19</v>
      </c>
      <c r="E2510" t="s">
        <v>709</v>
      </c>
      <c r="F2510" s="12">
        <f>IFERROR(VLOOKUP(B2510,'INSUMOS  JULIO'!$B$6:$CJ$109,78,0),"")</f>
        <v>0</v>
      </c>
      <c r="G2510" s="8">
        <f>IFERROR(VLOOKUP($B2510,'INSUMOS  JULIO'!$B$6:$CJ$109,79,0),"")</f>
        <v>2764.13</v>
      </c>
      <c r="H2510" s="19">
        <f t="shared" si="156"/>
        <v>0</v>
      </c>
      <c r="I2510" s="1">
        <f t="shared" si="157"/>
        <v>0</v>
      </c>
      <c r="J2510" s="1">
        <f t="shared" si="158"/>
        <v>0</v>
      </c>
      <c r="K2510" s="19">
        <f t="shared" si="159"/>
        <v>0</v>
      </c>
    </row>
    <row r="2511" spans="2:11" ht="15">
      <c r="B2511" s="151">
        <v>29</v>
      </c>
      <c r="C2511" s="7" t="s">
        <v>20</v>
      </c>
      <c r="D2511" s="4" t="s">
        <v>21</v>
      </c>
      <c r="E2511" t="s">
        <v>709</v>
      </c>
      <c r="F2511" s="12" t="str">
        <f>IFERROR(VLOOKUP(B2511,'INSUMOS  JULIO'!$B$6:$CJ$109,78,0),"")</f>
        <v>0</v>
      </c>
      <c r="G2511" s="8">
        <f>IFERROR(VLOOKUP($B2511,'INSUMOS  JULIO'!$B$6:$CJ$109,79,0),"")</f>
        <v>4829.3450000000012</v>
      </c>
      <c r="H2511" s="19">
        <f t="shared" si="156"/>
        <v>0</v>
      </c>
      <c r="I2511" s="1">
        <f t="shared" si="157"/>
        <v>0</v>
      </c>
      <c r="J2511" s="1">
        <f t="shared" si="158"/>
        <v>0</v>
      </c>
      <c r="K2511" s="19">
        <f t="shared" si="159"/>
        <v>0</v>
      </c>
    </row>
    <row r="2512" spans="2:11" ht="15">
      <c r="B2512" s="151">
        <v>32</v>
      </c>
      <c r="C2512" s="7" t="s">
        <v>22</v>
      </c>
      <c r="D2512" s="4" t="s">
        <v>23</v>
      </c>
      <c r="E2512" t="s">
        <v>709</v>
      </c>
      <c r="F2512" s="12">
        <f>IFERROR(VLOOKUP(B2512,'INSUMOS  JULIO'!$B$6:$CJ$109,78,0),"")</f>
        <v>0</v>
      </c>
      <c r="G2512" s="8">
        <f>IFERROR(VLOOKUP($B2512,'INSUMOS  JULIO'!$B$6:$CJ$109,79,0),"")</f>
        <v>4115.7160000000003</v>
      </c>
      <c r="H2512" s="19">
        <f t="shared" si="156"/>
        <v>0</v>
      </c>
      <c r="I2512" s="1">
        <f t="shared" si="157"/>
        <v>0</v>
      </c>
      <c r="J2512" s="1">
        <f t="shared" si="158"/>
        <v>0</v>
      </c>
      <c r="K2512" s="19">
        <f t="shared" si="159"/>
        <v>0</v>
      </c>
    </row>
    <row r="2513" spans="2:11" ht="15">
      <c r="B2513" s="151">
        <v>38</v>
      </c>
      <c r="C2513" s="7" t="s">
        <v>6</v>
      </c>
      <c r="D2513" s="4" t="s">
        <v>24</v>
      </c>
      <c r="E2513" t="s">
        <v>709</v>
      </c>
      <c r="F2513" s="12" t="str">
        <f>IFERROR(VLOOKUP(B2513,'INSUMOS  JULIO'!$B$6:$CJ$109,78,0),"")</f>
        <v>0</v>
      </c>
      <c r="G2513" s="8">
        <f>IFERROR(VLOOKUP($B2513,'INSUMOS  JULIO'!$B$6:$CJ$109,79,0),"")</f>
        <v>11100.662</v>
      </c>
      <c r="H2513" s="19">
        <f t="shared" si="156"/>
        <v>0</v>
      </c>
      <c r="I2513" s="1">
        <f t="shared" si="157"/>
        <v>0</v>
      </c>
      <c r="J2513" s="1">
        <f t="shared" si="158"/>
        <v>0</v>
      </c>
      <c r="K2513" s="19">
        <f t="shared" si="159"/>
        <v>0</v>
      </c>
    </row>
    <row r="2514" spans="2:11" ht="15">
      <c r="B2514" s="151">
        <v>41</v>
      </c>
      <c r="C2514" s="7" t="s">
        <v>155</v>
      </c>
      <c r="D2514" s="4" t="s">
        <v>25</v>
      </c>
      <c r="E2514" t="s">
        <v>709</v>
      </c>
      <c r="F2514" s="12" t="str">
        <f>IFERROR(VLOOKUP(B2514,'INSUMOS  JULIO'!$B$6:$CJ$109,78,0),"")</f>
        <v>0</v>
      </c>
      <c r="G2514" s="8">
        <f>IFERROR(VLOOKUP($B2514,'INSUMOS  JULIO'!$B$6:$CJ$109,79,0),"")</f>
        <v>7034.3429999999989</v>
      </c>
      <c r="H2514" s="19">
        <f t="shared" si="156"/>
        <v>0</v>
      </c>
      <c r="I2514" s="1">
        <f t="shared" si="157"/>
        <v>0</v>
      </c>
      <c r="J2514" s="1">
        <f t="shared" si="158"/>
        <v>0</v>
      </c>
      <c r="K2514" s="19">
        <f t="shared" si="159"/>
        <v>0</v>
      </c>
    </row>
    <row r="2515" spans="2:11" ht="15">
      <c r="B2515" s="151">
        <v>44</v>
      </c>
      <c r="C2515" s="7" t="s">
        <v>16</v>
      </c>
      <c r="D2515" s="4" t="s">
        <v>26</v>
      </c>
      <c r="E2515" t="s">
        <v>709</v>
      </c>
      <c r="F2515" s="12">
        <f>IFERROR(VLOOKUP(B2515,'INSUMOS  JULIO'!$B$6:$CJ$109,78,0),"")</f>
        <v>0</v>
      </c>
      <c r="G2515" s="8">
        <f>IFERROR(VLOOKUP($B2515,'INSUMOS  JULIO'!$B$6:$CJ$109,79,0),"")</f>
        <v>2787.2520000000004</v>
      </c>
      <c r="H2515" s="19">
        <f t="shared" si="156"/>
        <v>0</v>
      </c>
      <c r="I2515" s="1">
        <f t="shared" si="157"/>
        <v>0</v>
      </c>
      <c r="J2515" s="1">
        <f t="shared" si="158"/>
        <v>0</v>
      </c>
      <c r="K2515" s="19">
        <f t="shared" si="159"/>
        <v>0</v>
      </c>
    </row>
    <row r="2516" spans="2:11" ht="15">
      <c r="B2516" s="151">
        <v>46</v>
      </c>
      <c r="C2516" s="7" t="s">
        <v>27</v>
      </c>
      <c r="D2516" s="4" t="s">
        <v>28</v>
      </c>
      <c r="E2516" t="s">
        <v>709</v>
      </c>
      <c r="F2516" s="12" t="str">
        <f>IFERROR(VLOOKUP(B2516,'INSUMOS  JULIO'!$B$6:$CJ$109,78,0),"")</f>
        <v>0</v>
      </c>
      <c r="G2516" s="8">
        <f>IFERROR(VLOOKUP($B2516,'INSUMOS  JULIO'!$B$6:$CJ$109,79,0),"")</f>
        <v>7739.5640000000021</v>
      </c>
      <c r="H2516" s="19">
        <f t="shared" si="156"/>
        <v>0</v>
      </c>
      <c r="I2516" s="1">
        <f t="shared" si="157"/>
        <v>0</v>
      </c>
      <c r="J2516" s="1">
        <f t="shared" si="158"/>
        <v>0</v>
      </c>
      <c r="K2516" s="19">
        <f t="shared" si="159"/>
        <v>0</v>
      </c>
    </row>
    <row r="2517" spans="2:11" ht="15">
      <c r="B2517" s="151">
        <v>50</v>
      </c>
      <c r="C2517" s="7" t="s">
        <v>13</v>
      </c>
      <c r="D2517" s="4" t="s">
        <v>29</v>
      </c>
      <c r="E2517" t="s">
        <v>709</v>
      </c>
      <c r="F2517" s="12">
        <f>IFERROR(VLOOKUP(B2517,'INSUMOS  JULIO'!$B$6:$CJ$109,78,0),"")</f>
        <v>0</v>
      </c>
      <c r="G2517" s="8">
        <f>IFERROR(VLOOKUP($B2517,'INSUMOS  JULIO'!$B$6:$CJ$109,79,0),"")</f>
        <v>38567.495999999999</v>
      </c>
      <c r="H2517" s="19">
        <f t="shared" si="156"/>
        <v>0</v>
      </c>
      <c r="I2517" s="1">
        <f t="shared" si="157"/>
        <v>0</v>
      </c>
      <c r="J2517" s="1">
        <f t="shared" si="158"/>
        <v>0</v>
      </c>
      <c r="K2517" s="19">
        <f t="shared" si="159"/>
        <v>0</v>
      </c>
    </row>
    <row r="2518" spans="2:11" ht="15">
      <c r="B2518" s="151">
        <v>51</v>
      </c>
      <c r="C2518" s="7" t="s">
        <v>13</v>
      </c>
      <c r="D2518" s="4" t="s">
        <v>30</v>
      </c>
      <c r="E2518" t="s">
        <v>709</v>
      </c>
      <c r="F2518" s="12" t="str">
        <f>IFERROR(VLOOKUP(B2518,'INSUMOS  JULIO'!$B$6:$CJ$109,78,0),"")</f>
        <v>0</v>
      </c>
      <c r="G2518" s="8">
        <f>IFERROR(VLOOKUP($B2518,'INSUMOS  JULIO'!$B$6:$CJ$109,79,0),"")</f>
        <v>7739.5640000000021</v>
      </c>
      <c r="H2518" s="19">
        <f t="shared" si="156"/>
        <v>0</v>
      </c>
      <c r="I2518" s="1">
        <f t="shared" si="157"/>
        <v>0</v>
      </c>
      <c r="J2518" s="1">
        <f t="shared" si="158"/>
        <v>0</v>
      </c>
      <c r="K2518" s="19">
        <f t="shared" si="159"/>
        <v>0</v>
      </c>
    </row>
    <row r="2519" spans="2:11" ht="15">
      <c r="B2519" s="151">
        <v>52</v>
      </c>
      <c r="C2519" s="7" t="s">
        <v>13</v>
      </c>
      <c r="D2519" s="4" t="s">
        <v>31</v>
      </c>
      <c r="E2519" t="s">
        <v>709</v>
      </c>
      <c r="F2519" s="12">
        <f>IFERROR(VLOOKUP(B2519,'INSUMOS  JULIO'!$B$6:$CJ$109,78,0),"")</f>
        <v>0</v>
      </c>
      <c r="G2519" s="8">
        <f>IFERROR(VLOOKUP($B2519,'INSUMOS  JULIO'!$B$6:$CJ$109,79,0),"")</f>
        <v>6412.1509999999998</v>
      </c>
      <c r="H2519" s="19">
        <f t="shared" si="156"/>
        <v>0</v>
      </c>
      <c r="I2519" s="1">
        <f t="shared" si="157"/>
        <v>0</v>
      </c>
      <c r="J2519" s="1">
        <f t="shared" si="158"/>
        <v>0</v>
      </c>
      <c r="K2519" s="19">
        <f t="shared" si="159"/>
        <v>0</v>
      </c>
    </row>
    <row r="2520" spans="2:11" ht="15">
      <c r="B2520" s="151">
        <v>54</v>
      </c>
      <c r="C2520" s="7" t="s">
        <v>13</v>
      </c>
      <c r="D2520" s="4" t="s">
        <v>32</v>
      </c>
      <c r="E2520" t="s">
        <v>709</v>
      </c>
      <c r="F2520" s="12">
        <f>IFERROR(VLOOKUP(B2520,'INSUMOS  JULIO'!$B$6:$CJ$109,78,0),"")</f>
        <v>0</v>
      </c>
      <c r="G2520" s="8">
        <f>IFERROR(VLOOKUP($B2520,'INSUMOS  JULIO'!$B$6:$CJ$109,79,0),"")</f>
        <v>5359.049</v>
      </c>
      <c r="H2520" s="19">
        <f t="shared" si="156"/>
        <v>0</v>
      </c>
      <c r="I2520" s="1">
        <f t="shared" si="157"/>
        <v>0</v>
      </c>
      <c r="J2520" s="1">
        <f t="shared" si="158"/>
        <v>0</v>
      </c>
      <c r="K2520" s="19">
        <f t="shared" si="159"/>
        <v>0</v>
      </c>
    </row>
    <row r="2521" spans="2:11" ht="15">
      <c r="B2521" s="151">
        <v>57</v>
      </c>
      <c r="C2521" s="7" t="s">
        <v>33</v>
      </c>
      <c r="D2521" s="4" t="s">
        <v>34</v>
      </c>
      <c r="E2521" t="s">
        <v>709</v>
      </c>
      <c r="F2521" s="12">
        <f>IFERROR(VLOOKUP(B2521,'INSUMOS  JULIO'!$B$6:$CJ$109,78,0),"")</f>
        <v>0</v>
      </c>
      <c r="G2521" s="8">
        <f>IFERROR(VLOOKUP($B2521,'INSUMOS  JULIO'!$B$6:$CJ$109,79,0),"")</f>
        <v>12823.251000000004</v>
      </c>
      <c r="H2521" s="19">
        <f t="shared" si="156"/>
        <v>0</v>
      </c>
      <c r="I2521" s="1">
        <f t="shared" si="157"/>
        <v>0</v>
      </c>
      <c r="J2521" s="1">
        <f t="shared" si="158"/>
        <v>0</v>
      </c>
      <c r="K2521" s="19">
        <f t="shared" si="159"/>
        <v>0</v>
      </c>
    </row>
    <row r="2522" spans="2:11" ht="15">
      <c r="B2522" s="151">
        <v>59</v>
      </c>
      <c r="C2522" s="7" t="s">
        <v>16</v>
      </c>
      <c r="D2522" s="4" t="s">
        <v>35</v>
      </c>
      <c r="E2522" t="s">
        <v>709</v>
      </c>
      <c r="F2522" s="12" t="str">
        <f>IFERROR(VLOOKUP(B2522,'INSUMOS  JULIO'!$B$6:$CJ$109,78,0),"")</f>
        <v>0</v>
      </c>
      <c r="G2522" s="8">
        <f>IFERROR(VLOOKUP($B2522,'INSUMOS  JULIO'!$B$6:$CJ$109,79,0),"")</f>
        <v>5528.260000000002</v>
      </c>
      <c r="H2522" s="19">
        <f t="shared" si="156"/>
        <v>0</v>
      </c>
      <c r="I2522" s="1">
        <f t="shared" si="157"/>
        <v>0</v>
      </c>
      <c r="J2522" s="1">
        <f t="shared" si="158"/>
        <v>0</v>
      </c>
      <c r="K2522" s="19">
        <f t="shared" si="159"/>
        <v>0</v>
      </c>
    </row>
    <row r="2523" spans="2:11" ht="15">
      <c r="B2523" s="151">
        <v>62</v>
      </c>
      <c r="C2523" s="7" t="s">
        <v>36</v>
      </c>
      <c r="D2523" s="4" t="s">
        <v>37</v>
      </c>
      <c r="E2523" t="s">
        <v>709</v>
      </c>
      <c r="F2523" s="12">
        <f>IFERROR(VLOOKUP(B2523,'INSUMOS  JULIO'!$B$6:$CJ$109,78,0),"")</f>
        <v>2</v>
      </c>
      <c r="G2523" s="8">
        <f>IFERROR(VLOOKUP($B2523,'INSUMOS  JULIO'!$B$6:$CJ$109,79,0),"")</f>
        <v>5167.7669999999998</v>
      </c>
      <c r="H2523" s="19">
        <f t="shared" si="156"/>
        <v>10335.534</v>
      </c>
      <c r="I2523" s="1">
        <f t="shared" si="157"/>
        <v>1033.5534</v>
      </c>
      <c r="J2523" s="1">
        <f t="shared" si="158"/>
        <v>196.375146</v>
      </c>
      <c r="K2523" s="19">
        <f t="shared" si="159"/>
        <v>11565.462546000001</v>
      </c>
    </row>
    <row r="2524" spans="2:11" ht="15">
      <c r="B2524" s="151">
        <v>63</v>
      </c>
      <c r="C2524" s="7" t="s">
        <v>36</v>
      </c>
      <c r="D2524" s="4" t="s">
        <v>38</v>
      </c>
      <c r="E2524" t="s">
        <v>709</v>
      </c>
      <c r="F2524" s="12">
        <f>IFERROR(VLOOKUP(B2524,'INSUMOS  JULIO'!$B$6:$CJ$109,78,0),"")</f>
        <v>5</v>
      </c>
      <c r="G2524" s="8">
        <f>IFERROR(VLOOKUP($B2524,'INSUMOS  JULIO'!$B$6:$CJ$109,79,0),"")</f>
        <v>8292.39</v>
      </c>
      <c r="H2524" s="19">
        <f t="shared" si="156"/>
        <v>41461.949999999997</v>
      </c>
      <c r="I2524" s="1">
        <f t="shared" si="157"/>
        <v>4146.1949999999997</v>
      </c>
      <c r="J2524" s="1">
        <f t="shared" si="158"/>
        <v>787.77704999999992</v>
      </c>
      <c r="K2524" s="19">
        <f t="shared" si="159"/>
        <v>46395.922049999994</v>
      </c>
    </row>
    <row r="2525" spans="2:11" ht="15">
      <c r="B2525" s="151">
        <v>64</v>
      </c>
      <c r="C2525" s="7" t="s">
        <v>39</v>
      </c>
      <c r="D2525" s="4" t="s">
        <v>40</v>
      </c>
      <c r="E2525" t="s">
        <v>709</v>
      </c>
      <c r="F2525" s="12">
        <f>IFERROR(VLOOKUP(B2525,'INSUMOS  JULIO'!$B$6:$CJ$109,78,0),"")</f>
        <v>0</v>
      </c>
      <c r="G2525" s="8">
        <f>IFERROR(VLOOKUP($B2525,'INSUMOS  JULIO'!$B$6:$CJ$109,79,0),"")</f>
        <v>13820.650000000001</v>
      </c>
      <c r="H2525" s="19">
        <f t="shared" si="156"/>
        <v>0</v>
      </c>
      <c r="I2525" s="1">
        <f t="shared" si="157"/>
        <v>0</v>
      </c>
      <c r="J2525" s="1">
        <f t="shared" si="158"/>
        <v>0</v>
      </c>
      <c r="K2525" s="19">
        <f t="shared" si="159"/>
        <v>0</v>
      </c>
    </row>
    <row r="2526" spans="2:11" ht="15">
      <c r="B2526" s="151">
        <v>65</v>
      </c>
      <c r="C2526" s="7" t="s">
        <v>39</v>
      </c>
      <c r="D2526" s="4" t="s">
        <v>41</v>
      </c>
      <c r="E2526" t="s">
        <v>709</v>
      </c>
      <c r="F2526" s="12">
        <f>IFERROR(VLOOKUP(B2526,'INSUMOS  JULIO'!$B$6:$CJ$109,78,0),"")</f>
        <v>0</v>
      </c>
      <c r="G2526" s="8">
        <f>IFERROR(VLOOKUP($B2526,'INSUMOS  JULIO'!$B$6:$CJ$109,79,0),"")</f>
        <v>13820.650000000001</v>
      </c>
      <c r="H2526" s="19">
        <f t="shared" si="156"/>
        <v>0</v>
      </c>
      <c r="I2526" s="1">
        <f t="shared" si="157"/>
        <v>0</v>
      </c>
      <c r="J2526" s="1">
        <f t="shared" si="158"/>
        <v>0</v>
      </c>
      <c r="K2526" s="19">
        <f t="shared" si="159"/>
        <v>0</v>
      </c>
    </row>
    <row r="2527" spans="2:11" ht="15">
      <c r="B2527" s="151">
        <v>66</v>
      </c>
      <c r="C2527" s="7" t="s">
        <v>151</v>
      </c>
      <c r="D2527" s="4" t="s">
        <v>42</v>
      </c>
      <c r="E2527" t="s">
        <v>709</v>
      </c>
      <c r="F2527" s="12">
        <f>IFERROR(VLOOKUP(B2527,'INSUMOS  JULIO'!$B$6:$CJ$109,78,0),"")</f>
        <v>0</v>
      </c>
      <c r="G2527" s="8">
        <f>IFERROR(VLOOKUP($B2527,'INSUMOS  JULIO'!$B$6:$CJ$109,79,0),"")</f>
        <v>2887.0970000000002</v>
      </c>
      <c r="H2527" s="19">
        <f t="shared" si="156"/>
        <v>0</v>
      </c>
      <c r="I2527" s="1">
        <f t="shared" si="157"/>
        <v>0</v>
      </c>
      <c r="J2527" s="1">
        <f t="shared" si="158"/>
        <v>0</v>
      </c>
      <c r="K2527" s="19">
        <f t="shared" si="159"/>
        <v>0</v>
      </c>
    </row>
    <row r="2528" spans="2:11" ht="15">
      <c r="B2528" s="151">
        <v>71</v>
      </c>
      <c r="C2528" s="7" t="s">
        <v>151</v>
      </c>
      <c r="D2528" s="4" t="s">
        <v>43</v>
      </c>
      <c r="E2528" t="s">
        <v>709</v>
      </c>
      <c r="F2528" s="12" t="str">
        <f>IFERROR(VLOOKUP(B2528,'INSUMOS  JULIO'!$B$6:$CJ$109,78,0),"")</f>
        <v>0</v>
      </c>
      <c r="G2528" s="8">
        <f>IFERROR(VLOOKUP($B2528,'INSUMOS  JULIO'!$B$6:$CJ$109,79,0),"")</f>
        <v>5196.1440000000002</v>
      </c>
      <c r="H2528" s="19">
        <f t="shared" si="156"/>
        <v>0</v>
      </c>
      <c r="I2528" s="1">
        <f t="shared" si="157"/>
        <v>0</v>
      </c>
      <c r="J2528" s="1">
        <f t="shared" si="158"/>
        <v>0</v>
      </c>
      <c r="K2528" s="19">
        <f t="shared" si="159"/>
        <v>0</v>
      </c>
    </row>
    <row r="2529" spans="2:11" ht="15">
      <c r="B2529" s="151">
        <v>72</v>
      </c>
      <c r="C2529" s="7" t="s">
        <v>151</v>
      </c>
      <c r="D2529" s="4" t="s">
        <v>44</v>
      </c>
      <c r="E2529" t="s">
        <v>709</v>
      </c>
      <c r="F2529" s="12">
        <f>IFERROR(VLOOKUP(B2529,'INSUMOS  JULIO'!$B$6:$CJ$109,78,0),"")</f>
        <v>0</v>
      </c>
      <c r="G2529" s="8">
        <f>IFERROR(VLOOKUP($B2529,'INSUMOS  JULIO'!$B$6:$CJ$109,79,0),"")</f>
        <v>5196.1440000000002</v>
      </c>
      <c r="H2529" s="19">
        <f t="shared" si="156"/>
        <v>0</v>
      </c>
      <c r="I2529" s="1">
        <f t="shared" si="157"/>
        <v>0</v>
      </c>
      <c r="J2529" s="1">
        <f t="shared" si="158"/>
        <v>0</v>
      </c>
      <c r="K2529" s="19">
        <f t="shared" si="159"/>
        <v>0</v>
      </c>
    </row>
    <row r="2530" spans="2:11" ht="27">
      <c r="B2530" s="151">
        <v>73</v>
      </c>
      <c r="C2530" s="7" t="s">
        <v>151</v>
      </c>
      <c r="D2530" s="4" t="s">
        <v>45</v>
      </c>
      <c r="E2530" t="s">
        <v>709</v>
      </c>
      <c r="F2530" s="12">
        <f>IFERROR(VLOOKUP(B2530,'INSUMOS  JULIO'!$B$6:$CJ$109,78,0),"")</f>
        <v>0</v>
      </c>
      <c r="G2530" s="8">
        <f>IFERROR(VLOOKUP($B2530,'INSUMOS  JULIO'!$B$6:$CJ$109,79,0),"")</f>
        <v>4975.4340000000011</v>
      </c>
      <c r="H2530" s="19">
        <f t="shared" si="156"/>
        <v>0</v>
      </c>
      <c r="I2530" s="1">
        <f t="shared" si="157"/>
        <v>0</v>
      </c>
      <c r="J2530" s="1">
        <f t="shared" si="158"/>
        <v>0</v>
      </c>
      <c r="K2530" s="19">
        <f t="shared" si="159"/>
        <v>0</v>
      </c>
    </row>
    <row r="2531" spans="2:11" ht="15">
      <c r="B2531" s="151">
        <v>74</v>
      </c>
      <c r="C2531" s="7" t="s">
        <v>46</v>
      </c>
      <c r="D2531" s="4" t="s">
        <v>47</v>
      </c>
      <c r="E2531" t="s">
        <v>709</v>
      </c>
      <c r="F2531" s="12">
        <f>IFERROR(VLOOKUP(B2531,'INSUMOS  JULIO'!$B$6:$CJ$109,78,0),"")</f>
        <v>0</v>
      </c>
      <c r="G2531" s="8">
        <f>IFERROR(VLOOKUP($B2531,'INSUMOS  JULIO'!$B$6:$CJ$109,79,0),"")</f>
        <v>3261.2529999999997</v>
      </c>
      <c r="H2531" s="19">
        <f t="shared" si="156"/>
        <v>0</v>
      </c>
      <c r="I2531" s="1">
        <f t="shared" si="157"/>
        <v>0</v>
      </c>
      <c r="J2531" s="1">
        <f t="shared" si="158"/>
        <v>0</v>
      </c>
      <c r="K2531" s="19">
        <f t="shared" si="159"/>
        <v>0</v>
      </c>
    </row>
    <row r="2532" spans="2:11" ht="15">
      <c r="B2532" s="151">
        <v>79</v>
      </c>
      <c r="C2532" s="7" t="s">
        <v>159</v>
      </c>
      <c r="D2532" s="4" t="s">
        <v>48</v>
      </c>
      <c r="E2532" t="s">
        <v>709</v>
      </c>
      <c r="F2532" s="12">
        <f>IFERROR(VLOOKUP(B2532,'INSUMOS  JULIO'!$B$6:$CJ$109,78,0),"")</f>
        <v>0</v>
      </c>
      <c r="G2532" s="8">
        <f>IFERROR(VLOOKUP($B2532,'INSUMOS  JULIO'!$B$6:$CJ$109,79,0),"")</f>
        <v>541.2650000000001</v>
      </c>
      <c r="H2532" s="19">
        <f t="shared" si="156"/>
        <v>0</v>
      </c>
      <c r="I2532" s="1">
        <f t="shared" si="157"/>
        <v>0</v>
      </c>
      <c r="J2532" s="1">
        <f t="shared" si="158"/>
        <v>0</v>
      </c>
      <c r="K2532" s="19">
        <f t="shared" si="159"/>
        <v>0</v>
      </c>
    </row>
    <row r="2533" spans="2:11" ht="15">
      <c r="B2533" s="151">
        <v>80</v>
      </c>
      <c r="C2533" s="7" t="s">
        <v>159</v>
      </c>
      <c r="D2533" s="4" t="s">
        <v>49</v>
      </c>
      <c r="E2533" t="s">
        <v>709</v>
      </c>
      <c r="F2533" s="12">
        <f>IFERROR(VLOOKUP(B2533,'INSUMOS  JULIO'!$B$6:$CJ$109,78,0),"")</f>
        <v>0</v>
      </c>
      <c r="G2533" s="8">
        <f>IFERROR(VLOOKUP($B2533,'INSUMOS  JULIO'!$B$6:$CJ$109,79,0),"")</f>
        <v>433.01199999999994</v>
      </c>
      <c r="H2533" s="19">
        <f t="shared" si="156"/>
        <v>0</v>
      </c>
      <c r="I2533" s="1">
        <f t="shared" si="157"/>
        <v>0</v>
      </c>
      <c r="J2533" s="1">
        <f t="shared" si="158"/>
        <v>0</v>
      </c>
      <c r="K2533" s="19">
        <f t="shared" si="159"/>
        <v>0</v>
      </c>
    </row>
    <row r="2534" spans="2:11" ht="15">
      <c r="B2534" s="151">
        <v>81</v>
      </c>
      <c r="C2534" s="7" t="s">
        <v>159</v>
      </c>
      <c r="D2534" s="4" t="s">
        <v>50</v>
      </c>
      <c r="E2534" t="s">
        <v>709</v>
      </c>
      <c r="F2534" s="12">
        <f>IFERROR(VLOOKUP(B2534,'INSUMOS  JULIO'!$B$6:$CJ$109,78,0),"")</f>
        <v>0</v>
      </c>
      <c r="G2534" s="8">
        <f>IFERROR(VLOOKUP($B2534,'INSUMOS  JULIO'!$B$6:$CJ$109,79,0),"")</f>
        <v>211.251</v>
      </c>
      <c r="H2534" s="19">
        <f t="shared" si="156"/>
        <v>0</v>
      </c>
      <c r="I2534" s="1">
        <f t="shared" si="157"/>
        <v>0</v>
      </c>
      <c r="J2534" s="1">
        <f t="shared" si="158"/>
        <v>0</v>
      </c>
      <c r="K2534" s="19">
        <f t="shared" si="159"/>
        <v>0</v>
      </c>
    </row>
    <row r="2535" spans="2:11" ht="15">
      <c r="B2535" s="151">
        <v>82</v>
      </c>
      <c r="C2535" s="7" t="s">
        <v>159</v>
      </c>
      <c r="D2535" s="4" t="s">
        <v>51</v>
      </c>
      <c r="E2535" t="s">
        <v>709</v>
      </c>
      <c r="F2535" s="12" t="str">
        <f>IFERROR(VLOOKUP(B2535,'INSUMOS  JULIO'!$B$6:$CJ$109,78,0),"")</f>
        <v>0</v>
      </c>
      <c r="G2535" s="8">
        <f>IFERROR(VLOOKUP($B2535,'INSUMOS  JULIO'!$B$6:$CJ$109,79,0),"")</f>
        <v>1003.7049999999999</v>
      </c>
      <c r="H2535" s="19">
        <f t="shared" si="156"/>
        <v>0</v>
      </c>
      <c r="I2535" s="1">
        <f t="shared" si="157"/>
        <v>0</v>
      </c>
      <c r="J2535" s="1">
        <f t="shared" si="158"/>
        <v>0</v>
      </c>
      <c r="K2535" s="19">
        <f t="shared" si="159"/>
        <v>0</v>
      </c>
    </row>
    <row r="2536" spans="2:11" ht="15">
      <c r="B2536" s="151">
        <v>83</v>
      </c>
      <c r="C2536" s="7" t="s">
        <v>159</v>
      </c>
      <c r="D2536" s="4" t="s">
        <v>52</v>
      </c>
      <c r="E2536" t="s">
        <v>709</v>
      </c>
      <c r="F2536" s="12" t="str">
        <f>IFERROR(VLOOKUP(B2536,'INSUMOS  JULIO'!$B$6:$CJ$109,78,0),"")</f>
        <v>0</v>
      </c>
      <c r="G2536" s="8">
        <f>IFERROR(VLOOKUP($B2536,'INSUMOS  JULIO'!$B$6:$CJ$109,79,0),"")</f>
        <v>336.32</v>
      </c>
      <c r="H2536" s="19">
        <f t="shared" si="156"/>
        <v>0</v>
      </c>
      <c r="I2536" s="1">
        <f t="shared" si="157"/>
        <v>0</v>
      </c>
      <c r="J2536" s="1">
        <f t="shared" si="158"/>
        <v>0</v>
      </c>
      <c r="K2536" s="19">
        <f t="shared" si="159"/>
        <v>0</v>
      </c>
    </row>
    <row r="2537" spans="2:11" ht="15">
      <c r="B2537" s="151">
        <v>86</v>
      </c>
      <c r="C2537" s="7" t="s">
        <v>53</v>
      </c>
      <c r="D2537" s="4" t="s">
        <v>54</v>
      </c>
      <c r="E2537" t="s">
        <v>709</v>
      </c>
      <c r="F2537" s="12" t="str">
        <f>IFERROR(VLOOKUP(B2537,'INSUMOS  JULIO'!$B$6:$CJ$109,78,0),"")</f>
        <v>0</v>
      </c>
      <c r="G2537" s="8">
        <f>IFERROR(VLOOKUP($B2537,'INSUMOS  JULIO'!$B$6:$CJ$109,79,0),"")</f>
        <v>2792.5070000000005</v>
      </c>
      <c r="H2537" s="19">
        <f t="shared" si="156"/>
        <v>0</v>
      </c>
      <c r="I2537" s="1">
        <f t="shared" si="157"/>
        <v>0</v>
      </c>
      <c r="J2537" s="1">
        <f t="shared" si="158"/>
        <v>0</v>
      </c>
      <c r="K2537" s="19">
        <f t="shared" si="159"/>
        <v>0</v>
      </c>
    </row>
    <row r="2538" spans="2:11" ht="15">
      <c r="B2538" s="151">
        <v>87</v>
      </c>
      <c r="C2538" s="7" t="s">
        <v>53</v>
      </c>
      <c r="D2538" s="4" t="s">
        <v>55</v>
      </c>
      <c r="E2538" t="s">
        <v>709</v>
      </c>
      <c r="F2538" s="12" t="str">
        <f>IFERROR(VLOOKUP(B2538,'INSUMOS  JULIO'!$B$6:$CJ$109,78,0),"")</f>
        <v>0</v>
      </c>
      <c r="G2538" s="8">
        <f>IFERROR(VLOOKUP($B2538,'INSUMOS  JULIO'!$B$6:$CJ$109,79,0),"")</f>
        <v>0</v>
      </c>
      <c r="H2538" s="19">
        <f t="shared" si="156"/>
        <v>0</v>
      </c>
      <c r="I2538" s="1">
        <f t="shared" si="157"/>
        <v>0</v>
      </c>
      <c r="J2538" s="1">
        <f t="shared" si="158"/>
        <v>0</v>
      </c>
      <c r="K2538" s="19">
        <f t="shared" si="159"/>
        <v>0</v>
      </c>
    </row>
    <row r="2539" spans="2:11" ht="15">
      <c r="B2539" s="151">
        <v>88</v>
      </c>
      <c r="C2539" s="7" t="s">
        <v>53</v>
      </c>
      <c r="D2539" s="4" t="s">
        <v>56</v>
      </c>
      <c r="E2539" t="s">
        <v>709</v>
      </c>
      <c r="F2539" s="12">
        <f>IFERROR(VLOOKUP(B2539,'INSUMOS  JULIO'!$B$6:$CJ$109,78,0),"")</f>
        <v>6</v>
      </c>
      <c r="G2539" s="8">
        <f>IFERROR(VLOOKUP($B2539,'INSUMOS  JULIO'!$B$6:$CJ$109,79,0),"")</f>
        <v>2717.886</v>
      </c>
      <c r="H2539" s="19">
        <f t="shared" si="156"/>
        <v>16307.315999999999</v>
      </c>
      <c r="I2539" s="1">
        <f t="shared" si="157"/>
        <v>1630.7316000000001</v>
      </c>
      <c r="J2539" s="1">
        <f t="shared" si="158"/>
        <v>309.83900400000005</v>
      </c>
      <c r="K2539" s="19">
        <f t="shared" si="159"/>
        <v>18247.886603999999</v>
      </c>
    </row>
    <row r="2540" spans="2:11" ht="15">
      <c r="B2540" s="151">
        <v>89</v>
      </c>
      <c r="C2540" s="7" t="s">
        <v>53</v>
      </c>
      <c r="D2540" s="4" t="s">
        <v>57</v>
      </c>
      <c r="E2540" t="s">
        <v>709</v>
      </c>
      <c r="F2540" s="12" t="str">
        <f>IFERROR(VLOOKUP(B2540,'INSUMOS  JULIO'!$B$6:$CJ$109,78,0),"")</f>
        <v>0</v>
      </c>
      <c r="G2540" s="8">
        <f>IFERROR(VLOOKUP($B2540,'INSUMOS  JULIO'!$B$6:$CJ$109,79,0),"")</f>
        <v>2650.6220000000003</v>
      </c>
      <c r="H2540" s="19">
        <f t="shared" si="156"/>
        <v>0</v>
      </c>
      <c r="I2540" s="1">
        <f t="shared" si="157"/>
        <v>0</v>
      </c>
      <c r="J2540" s="1">
        <f t="shared" si="158"/>
        <v>0</v>
      </c>
      <c r="K2540" s="19">
        <f t="shared" si="159"/>
        <v>0</v>
      </c>
    </row>
    <row r="2541" spans="2:11" ht="15">
      <c r="B2541" s="151">
        <v>91</v>
      </c>
      <c r="C2541" s="7" t="s">
        <v>160</v>
      </c>
      <c r="D2541" s="4" t="s">
        <v>58</v>
      </c>
      <c r="E2541" t="s">
        <v>709</v>
      </c>
      <c r="F2541" s="12" t="str">
        <f>IFERROR(VLOOKUP(B2541,'INSUMOS  JULIO'!$B$6:$CJ$109,78,0),"")</f>
        <v>0</v>
      </c>
      <c r="G2541" s="8">
        <f>IFERROR(VLOOKUP($B2541,'INSUMOS  JULIO'!$B$6:$CJ$109,79,0),"")</f>
        <v>4364.8029999999999</v>
      </c>
      <c r="H2541" s="19">
        <f t="shared" si="156"/>
        <v>0</v>
      </c>
      <c r="I2541" s="1">
        <f t="shared" si="157"/>
        <v>0</v>
      </c>
      <c r="J2541" s="1">
        <f t="shared" si="158"/>
        <v>0</v>
      </c>
      <c r="K2541" s="19">
        <f t="shared" si="159"/>
        <v>0</v>
      </c>
    </row>
    <row r="2542" spans="2:11" ht="15">
      <c r="B2542" s="151">
        <v>92</v>
      </c>
      <c r="C2542" s="7" t="s">
        <v>160</v>
      </c>
      <c r="D2542" s="4" t="s">
        <v>59</v>
      </c>
      <c r="E2542" t="s">
        <v>709</v>
      </c>
      <c r="F2542" s="12" t="str">
        <f>IFERROR(VLOOKUP(B2542,'INSUMOS  JULIO'!$B$6:$CJ$109,78,0),"")</f>
        <v>0</v>
      </c>
      <c r="G2542" s="8">
        <f>IFERROR(VLOOKUP($B2542,'INSUMOS  JULIO'!$B$6:$CJ$109,79,0),"")</f>
        <v>2380.5149999999999</v>
      </c>
      <c r="H2542" s="19">
        <f t="shared" si="156"/>
        <v>0</v>
      </c>
      <c r="I2542" s="1">
        <f t="shared" si="157"/>
        <v>0</v>
      </c>
      <c r="J2542" s="1">
        <f t="shared" si="158"/>
        <v>0</v>
      </c>
      <c r="K2542" s="19">
        <f t="shared" si="159"/>
        <v>0</v>
      </c>
    </row>
    <row r="2543" spans="2:11" ht="15">
      <c r="B2543" s="151">
        <v>94</v>
      </c>
      <c r="C2543" s="7" t="s">
        <v>60</v>
      </c>
      <c r="D2543" s="4" t="s">
        <v>61</v>
      </c>
      <c r="E2543" t="s">
        <v>709</v>
      </c>
      <c r="F2543" s="12" t="str">
        <f>IFERROR(VLOOKUP(B2543,'INSUMOS  JULIO'!$B$6:$CJ$109,78,0),"")</f>
        <v>0</v>
      </c>
      <c r="G2543" s="8">
        <f>IFERROR(VLOOKUP($B2543,'INSUMOS  JULIO'!$B$6:$CJ$109,79,0),"")</f>
        <v>3316.9560000000001</v>
      </c>
      <c r="H2543" s="19">
        <f t="shared" si="156"/>
        <v>0</v>
      </c>
      <c r="I2543" s="1">
        <f t="shared" si="157"/>
        <v>0</v>
      </c>
      <c r="J2543" s="1">
        <f t="shared" si="158"/>
        <v>0</v>
      </c>
      <c r="K2543" s="19">
        <f t="shared" si="159"/>
        <v>0</v>
      </c>
    </row>
    <row r="2544" spans="2:11" ht="15">
      <c r="B2544" s="151">
        <v>95</v>
      </c>
      <c r="C2544" s="7" t="s">
        <v>60</v>
      </c>
      <c r="D2544" s="4" t="s">
        <v>62</v>
      </c>
      <c r="E2544" t="s">
        <v>709</v>
      </c>
      <c r="F2544" s="12" t="str">
        <f>IFERROR(VLOOKUP(B2544,'INSUMOS  JULIO'!$B$6:$CJ$109,78,0),"")</f>
        <v>0</v>
      </c>
      <c r="G2544" s="8">
        <f>IFERROR(VLOOKUP($B2544,'INSUMOS  JULIO'!$B$6:$CJ$109,79,0),"")</f>
        <v>11056.52</v>
      </c>
      <c r="H2544" s="19">
        <f t="shared" si="156"/>
        <v>0</v>
      </c>
      <c r="I2544" s="1">
        <f t="shared" si="157"/>
        <v>0</v>
      </c>
      <c r="J2544" s="1">
        <f t="shared" si="158"/>
        <v>0</v>
      </c>
      <c r="K2544" s="19">
        <f t="shared" si="159"/>
        <v>0</v>
      </c>
    </row>
    <row r="2545" spans="2:11" ht="15">
      <c r="B2545" s="151">
        <v>98</v>
      </c>
      <c r="C2545" s="7" t="s">
        <v>151</v>
      </c>
      <c r="D2545" s="4" t="s">
        <v>63</v>
      </c>
      <c r="E2545" t="s">
        <v>709</v>
      </c>
      <c r="F2545" s="12">
        <f>IFERROR(VLOOKUP(B2545,'INSUMOS  JULIO'!$B$6:$CJ$109,78,0),"")</f>
        <v>0</v>
      </c>
      <c r="G2545" s="8">
        <f>IFERROR(VLOOKUP($B2545,'INSUMOS  JULIO'!$B$6:$CJ$109,79,0),"")</f>
        <v>6633.9120000000003</v>
      </c>
      <c r="H2545" s="19">
        <f t="shared" si="156"/>
        <v>0</v>
      </c>
      <c r="I2545" s="1">
        <f t="shared" si="157"/>
        <v>0</v>
      </c>
      <c r="J2545" s="1">
        <f t="shared" si="158"/>
        <v>0</v>
      </c>
      <c r="K2545" s="19">
        <f t="shared" si="159"/>
        <v>0</v>
      </c>
    </row>
    <row r="2546" spans="2:11" ht="15">
      <c r="B2546" s="151">
        <v>100</v>
      </c>
      <c r="C2546" s="7" t="s">
        <v>160</v>
      </c>
      <c r="D2546" s="4" t="s">
        <v>64</v>
      </c>
      <c r="E2546" t="s">
        <v>709</v>
      </c>
      <c r="F2546" s="12" t="str">
        <f>IFERROR(VLOOKUP(B2546,'INSUMOS  JULIO'!$B$6:$CJ$109,78,0),"")</f>
        <v>0</v>
      </c>
      <c r="G2546" s="8">
        <f>IFERROR(VLOOKUP($B2546,'INSUMOS  JULIO'!$B$6:$CJ$109,79,0),"")</f>
        <v>4364.8029999999999</v>
      </c>
      <c r="H2546" s="19">
        <f t="shared" si="156"/>
        <v>0</v>
      </c>
      <c r="I2546" s="1">
        <f t="shared" si="157"/>
        <v>0</v>
      </c>
      <c r="J2546" s="1">
        <f t="shared" si="158"/>
        <v>0</v>
      </c>
      <c r="K2546" s="19">
        <f t="shared" si="159"/>
        <v>0</v>
      </c>
    </row>
    <row r="2547" spans="2:11" ht="15">
      <c r="B2547" s="151">
        <v>102</v>
      </c>
      <c r="C2547" s="7" t="s">
        <v>60</v>
      </c>
      <c r="D2547" s="4" t="s">
        <v>65</v>
      </c>
      <c r="E2547" t="s">
        <v>709</v>
      </c>
      <c r="F2547" s="12" t="str">
        <f>IFERROR(VLOOKUP(B2547,'INSUMOS  JULIO'!$B$6:$CJ$109,78,0),"")</f>
        <v>0</v>
      </c>
      <c r="G2547" s="8">
        <f>IFERROR(VLOOKUP($B2547,'INSUMOS  JULIO'!$B$6:$CJ$109,79,0),"")</f>
        <v>3811.9770000000003</v>
      </c>
      <c r="H2547" s="19">
        <f t="shared" si="156"/>
        <v>0</v>
      </c>
      <c r="I2547" s="1">
        <f t="shared" si="157"/>
        <v>0</v>
      </c>
      <c r="J2547" s="1">
        <f t="shared" si="158"/>
        <v>0</v>
      </c>
      <c r="K2547" s="19">
        <f t="shared" si="159"/>
        <v>0</v>
      </c>
    </row>
    <row r="2548" spans="2:11" ht="15">
      <c r="B2548" s="151">
        <v>103</v>
      </c>
      <c r="C2548" s="7" t="s">
        <v>66</v>
      </c>
      <c r="D2548" s="4" t="s">
        <v>67</v>
      </c>
      <c r="E2548" t="s">
        <v>709</v>
      </c>
      <c r="F2548" s="12" t="str">
        <f>IFERROR(VLOOKUP(B2548,'INSUMOS  JULIO'!$B$6:$CJ$109,78,0),"")</f>
        <v>0</v>
      </c>
      <c r="G2548" s="8">
        <f>IFERROR(VLOOKUP($B2548,'INSUMOS  JULIO'!$B$6:$CJ$109,79,0),"")</f>
        <v>18022.547999999999</v>
      </c>
      <c r="H2548" s="19">
        <f t="shared" si="156"/>
        <v>0</v>
      </c>
      <c r="I2548" s="1">
        <f t="shared" si="157"/>
        <v>0</v>
      </c>
      <c r="J2548" s="1">
        <f t="shared" si="158"/>
        <v>0</v>
      </c>
      <c r="K2548" s="19">
        <f t="shared" si="159"/>
        <v>0</v>
      </c>
    </row>
    <row r="2549" spans="2:11" ht="15">
      <c r="B2549" s="151">
        <v>104</v>
      </c>
      <c r="C2549" s="7" t="s">
        <v>66</v>
      </c>
      <c r="D2549" s="4" t="s">
        <v>68</v>
      </c>
      <c r="E2549" t="s">
        <v>709</v>
      </c>
      <c r="F2549" s="12" t="str">
        <f>IFERROR(VLOOKUP(B2549,'INSUMOS  JULIO'!$B$6:$CJ$109,78,0),"")</f>
        <v>0</v>
      </c>
      <c r="G2549" s="8">
        <f>IFERROR(VLOOKUP($B2549,'INSUMOS  JULIO'!$B$6:$CJ$109,79,0),"")</f>
        <v>18022.547999999999</v>
      </c>
      <c r="H2549" s="19">
        <f t="shared" si="156"/>
        <v>0</v>
      </c>
      <c r="I2549" s="1">
        <f t="shared" si="157"/>
        <v>0</v>
      </c>
      <c r="J2549" s="1">
        <f t="shared" si="158"/>
        <v>0</v>
      </c>
      <c r="K2549" s="19">
        <f t="shared" si="159"/>
        <v>0</v>
      </c>
    </row>
    <row r="2550" spans="2:11" ht="15">
      <c r="B2550" s="151">
        <v>105</v>
      </c>
      <c r="C2550" s="7" t="s">
        <v>66</v>
      </c>
      <c r="D2550" s="4" t="s">
        <v>69</v>
      </c>
      <c r="E2550" t="s">
        <v>709</v>
      </c>
      <c r="F2550" s="12" t="str">
        <f>IFERROR(VLOOKUP(B2550,'INSUMOS  JULIO'!$B$6:$CJ$109,78,0),"")</f>
        <v>0</v>
      </c>
      <c r="G2550" s="8">
        <f>IFERROR(VLOOKUP($B2550,'INSUMOS  JULIO'!$B$6:$CJ$109,79,0),"")</f>
        <v>27641.3</v>
      </c>
      <c r="H2550" s="19">
        <f t="shared" si="156"/>
        <v>0</v>
      </c>
      <c r="I2550" s="1">
        <f t="shared" si="157"/>
        <v>0</v>
      </c>
      <c r="J2550" s="1">
        <f t="shared" si="158"/>
        <v>0</v>
      </c>
      <c r="K2550" s="19">
        <f t="shared" si="159"/>
        <v>0</v>
      </c>
    </row>
    <row r="2551" spans="2:11" ht="15">
      <c r="B2551" s="151">
        <v>106</v>
      </c>
      <c r="C2551" s="7" t="s">
        <v>66</v>
      </c>
      <c r="D2551" s="4" t="s">
        <v>70</v>
      </c>
      <c r="E2551" t="s">
        <v>709</v>
      </c>
      <c r="F2551" s="12" t="str">
        <f>IFERROR(VLOOKUP(B2551,'INSUMOS  JULIO'!$B$6:$CJ$109,78,0),"")</f>
        <v>0</v>
      </c>
      <c r="G2551" s="8">
        <f>IFERROR(VLOOKUP($B2551,'INSUMOS  JULIO'!$B$6:$CJ$109,79,0),"")</f>
        <v>0</v>
      </c>
      <c r="H2551" s="19">
        <f t="shared" si="156"/>
        <v>0</v>
      </c>
      <c r="I2551" s="1">
        <f t="shared" si="157"/>
        <v>0</v>
      </c>
      <c r="J2551" s="1">
        <f t="shared" si="158"/>
        <v>0</v>
      </c>
      <c r="K2551" s="19">
        <f t="shared" si="159"/>
        <v>0</v>
      </c>
    </row>
    <row r="2552" spans="2:11" ht="15">
      <c r="B2552" s="151">
        <v>108</v>
      </c>
      <c r="C2552" s="7" t="s">
        <v>66</v>
      </c>
      <c r="D2552" s="4" t="s">
        <v>71</v>
      </c>
      <c r="E2552" t="s">
        <v>709</v>
      </c>
      <c r="F2552" s="12" t="str">
        <f>IFERROR(VLOOKUP(B2552,'INSUMOS  JULIO'!$B$6:$CJ$109,78,0),"")</f>
        <v>0</v>
      </c>
      <c r="G2552" s="8">
        <f>IFERROR(VLOOKUP($B2552,'INSUMOS  JULIO'!$B$6:$CJ$109,79,0),"")</f>
        <v>38697.82</v>
      </c>
      <c r="H2552" s="19">
        <f t="shared" si="156"/>
        <v>0</v>
      </c>
      <c r="I2552" s="1">
        <f t="shared" si="157"/>
        <v>0</v>
      </c>
      <c r="J2552" s="1">
        <f t="shared" si="158"/>
        <v>0</v>
      </c>
      <c r="K2552" s="19">
        <f t="shared" si="159"/>
        <v>0</v>
      </c>
    </row>
    <row r="2553" spans="2:11" ht="15">
      <c r="B2553" s="151">
        <v>109</v>
      </c>
      <c r="C2553" s="7" t="s">
        <v>66</v>
      </c>
      <c r="D2553" s="4" t="s">
        <v>72</v>
      </c>
      <c r="E2553" t="s">
        <v>709</v>
      </c>
      <c r="F2553" s="12" t="str">
        <f>IFERROR(VLOOKUP(B2553,'INSUMOS  JULIO'!$B$6:$CJ$109,78,0),"")</f>
        <v>0</v>
      </c>
      <c r="G2553" s="8">
        <f>IFERROR(VLOOKUP($B2553,'INSUMOS  JULIO'!$B$6:$CJ$109,79,0),"")</f>
        <v>49754.340000000004</v>
      </c>
      <c r="H2553" s="19">
        <f t="shared" si="156"/>
        <v>0</v>
      </c>
      <c r="I2553" s="1">
        <f t="shared" si="157"/>
        <v>0</v>
      </c>
      <c r="J2553" s="1">
        <f t="shared" si="158"/>
        <v>0</v>
      </c>
      <c r="K2553" s="19">
        <f t="shared" si="159"/>
        <v>0</v>
      </c>
    </row>
    <row r="2554" spans="2:11" ht="15">
      <c r="B2554" s="151">
        <v>110</v>
      </c>
      <c r="C2554" s="7" t="s">
        <v>158</v>
      </c>
      <c r="D2554" s="4" t="s">
        <v>73</v>
      </c>
      <c r="E2554" t="s">
        <v>709</v>
      </c>
      <c r="F2554" s="12">
        <f>IFERROR(VLOOKUP(B2554,'INSUMOS  JULIO'!$B$6:$CJ$109,78,0),"")</f>
        <v>0</v>
      </c>
      <c r="G2554" s="8">
        <f>IFERROR(VLOOKUP($B2554,'INSUMOS  JULIO'!$B$6:$CJ$109,79,0),"")</f>
        <v>470.84799999999996</v>
      </c>
      <c r="H2554" s="19">
        <f t="shared" si="156"/>
        <v>0</v>
      </c>
      <c r="I2554" s="1">
        <f t="shared" si="157"/>
        <v>0</v>
      </c>
      <c r="J2554" s="1">
        <f t="shared" si="158"/>
        <v>0</v>
      </c>
      <c r="K2554" s="19">
        <f t="shared" si="159"/>
        <v>0</v>
      </c>
    </row>
    <row r="2555" spans="2:11" ht="15">
      <c r="B2555" s="151">
        <v>118</v>
      </c>
      <c r="C2555" s="7" t="s">
        <v>158</v>
      </c>
      <c r="D2555" s="4" t="s">
        <v>74</v>
      </c>
      <c r="E2555" t="s">
        <v>709</v>
      </c>
      <c r="F2555" s="12">
        <f>IFERROR(VLOOKUP(B2555,'INSUMOS  JULIO'!$B$6:$CJ$109,78,0),"")</f>
        <v>0</v>
      </c>
      <c r="G2555" s="8">
        <f>IFERROR(VLOOKUP($B2555,'INSUMOS  JULIO'!$B$6:$CJ$109,79,0),"")</f>
        <v>2455.136</v>
      </c>
      <c r="H2555" s="19">
        <f t="shared" si="156"/>
        <v>0</v>
      </c>
      <c r="I2555" s="1">
        <f t="shared" si="157"/>
        <v>0</v>
      </c>
      <c r="J2555" s="1">
        <f t="shared" si="158"/>
        <v>0</v>
      </c>
      <c r="K2555" s="19">
        <f t="shared" si="159"/>
        <v>0</v>
      </c>
    </row>
    <row r="2556" spans="2:11" ht="15">
      <c r="B2556" s="151">
        <v>119</v>
      </c>
      <c r="C2556" s="7" t="s">
        <v>158</v>
      </c>
      <c r="D2556" s="4" t="s">
        <v>75</v>
      </c>
      <c r="E2556" t="s">
        <v>709</v>
      </c>
      <c r="F2556" s="12" t="str">
        <f>IFERROR(VLOOKUP(B2556,'INSUMOS  JULIO'!$B$6:$CJ$109,78,0),"")</f>
        <v>0</v>
      </c>
      <c r="G2556" s="8">
        <f>IFERROR(VLOOKUP($B2556,'INSUMOS  JULIO'!$B$6:$CJ$109,79,0),"")</f>
        <v>2821.9350000000004</v>
      </c>
      <c r="H2556" s="19">
        <f t="shared" si="156"/>
        <v>0</v>
      </c>
      <c r="I2556" s="1">
        <f t="shared" si="157"/>
        <v>0</v>
      </c>
      <c r="J2556" s="1">
        <f t="shared" si="158"/>
        <v>0</v>
      </c>
      <c r="K2556" s="19">
        <f t="shared" si="159"/>
        <v>0</v>
      </c>
    </row>
    <row r="2557" spans="2:11" ht="15">
      <c r="B2557" s="151">
        <v>120</v>
      </c>
      <c r="C2557" s="7" t="s">
        <v>158</v>
      </c>
      <c r="D2557" s="4" t="s">
        <v>76</v>
      </c>
      <c r="E2557" t="s">
        <v>709</v>
      </c>
      <c r="F2557" s="12" t="str">
        <f>IFERROR(VLOOKUP(B2557,'INSUMOS  JULIO'!$B$6:$CJ$109,78,0),"")</f>
        <v>0</v>
      </c>
      <c r="G2557" s="8">
        <f>IFERROR(VLOOKUP($B2557,'INSUMOS  JULIO'!$B$6:$CJ$109,79,0),"")</f>
        <v>2821.9350000000004</v>
      </c>
      <c r="H2557" s="19">
        <f t="shared" si="156"/>
        <v>0</v>
      </c>
      <c r="I2557" s="1">
        <f t="shared" si="157"/>
        <v>0</v>
      </c>
      <c r="J2557" s="1">
        <f t="shared" si="158"/>
        <v>0</v>
      </c>
      <c r="K2557" s="19">
        <f t="shared" si="159"/>
        <v>0</v>
      </c>
    </row>
    <row r="2558" spans="2:11" ht="15">
      <c r="B2558" s="151">
        <v>122</v>
      </c>
      <c r="C2558" s="7" t="s">
        <v>158</v>
      </c>
      <c r="D2558" s="4" t="s">
        <v>77</v>
      </c>
      <c r="E2558" t="s">
        <v>709</v>
      </c>
      <c r="F2558" s="12" t="str">
        <f>IFERROR(VLOOKUP(B2558,'INSUMOS  JULIO'!$B$6:$CJ$109,78,0),"")</f>
        <v>0</v>
      </c>
      <c r="G2558" s="8">
        <f>IFERROR(VLOOKUP($B2558,'INSUMOS  JULIO'!$B$6:$CJ$109,79,0),"")</f>
        <v>5223.4699999999993</v>
      </c>
      <c r="H2558" s="19">
        <f t="shared" si="156"/>
        <v>0</v>
      </c>
      <c r="I2558" s="1">
        <f t="shared" si="157"/>
        <v>0</v>
      </c>
      <c r="J2558" s="1">
        <f t="shared" si="158"/>
        <v>0</v>
      </c>
      <c r="K2558" s="19">
        <f t="shared" si="159"/>
        <v>0</v>
      </c>
    </row>
    <row r="2559" spans="2:11" ht="15">
      <c r="B2559" s="151">
        <v>123</v>
      </c>
      <c r="C2559" s="7" t="s">
        <v>158</v>
      </c>
      <c r="D2559" s="4" t="s">
        <v>78</v>
      </c>
      <c r="E2559" t="s">
        <v>709</v>
      </c>
      <c r="F2559" s="12" t="str">
        <f>IFERROR(VLOOKUP(B2559,'INSUMOS  JULIO'!$B$6:$CJ$109,78,0),"")</f>
        <v>0</v>
      </c>
      <c r="G2559" s="8">
        <f>IFERROR(VLOOKUP($B2559,'INSUMOS  JULIO'!$B$6:$CJ$109,79,0),"")</f>
        <v>5765.7860000000001</v>
      </c>
      <c r="H2559" s="19">
        <f t="shared" si="156"/>
        <v>0</v>
      </c>
      <c r="I2559" s="1">
        <f t="shared" si="157"/>
        <v>0</v>
      </c>
      <c r="J2559" s="1">
        <f t="shared" si="158"/>
        <v>0</v>
      </c>
      <c r="K2559" s="19">
        <f t="shared" si="159"/>
        <v>0</v>
      </c>
    </row>
    <row r="2560" spans="2:11" ht="15">
      <c r="B2560" s="151">
        <v>124</v>
      </c>
      <c r="C2560" s="7" t="s">
        <v>158</v>
      </c>
      <c r="D2560" s="4" t="s">
        <v>79</v>
      </c>
      <c r="E2560" t="s">
        <v>709</v>
      </c>
      <c r="F2560" s="12" t="str">
        <f>IFERROR(VLOOKUP(B2560,'INSUMOS  JULIO'!$B$6:$CJ$109,78,0),"")</f>
        <v>0</v>
      </c>
      <c r="G2560" s="8">
        <f>IFERROR(VLOOKUP($B2560,'INSUMOS  JULIO'!$B$6:$CJ$109,79,0),"")</f>
        <v>5765.7860000000001</v>
      </c>
      <c r="H2560" s="19">
        <f t="shared" si="156"/>
        <v>0</v>
      </c>
      <c r="I2560" s="1">
        <f t="shared" si="157"/>
        <v>0</v>
      </c>
      <c r="J2560" s="1">
        <f t="shared" si="158"/>
        <v>0</v>
      </c>
      <c r="K2560" s="19">
        <f t="shared" si="159"/>
        <v>0</v>
      </c>
    </row>
    <row r="2561" spans="2:11" ht="15">
      <c r="B2561" s="151">
        <v>126</v>
      </c>
      <c r="C2561" s="7" t="s">
        <v>158</v>
      </c>
      <c r="D2561" s="4" t="s">
        <v>80</v>
      </c>
      <c r="E2561" t="s">
        <v>709</v>
      </c>
      <c r="F2561" s="12" t="str">
        <f>IFERROR(VLOOKUP(B2561,'INSUMOS  JULIO'!$B$6:$CJ$109,78,0),"")</f>
        <v>0</v>
      </c>
      <c r="G2561" s="8">
        <f>IFERROR(VLOOKUP($B2561,'INSUMOS  JULIO'!$B$6:$CJ$109,79,0),"")</f>
        <v>3316.9560000000001</v>
      </c>
      <c r="H2561" s="19">
        <f t="shared" si="156"/>
        <v>0</v>
      </c>
      <c r="I2561" s="1">
        <f t="shared" si="157"/>
        <v>0</v>
      </c>
      <c r="J2561" s="1">
        <f t="shared" si="158"/>
        <v>0</v>
      </c>
      <c r="K2561" s="19">
        <f t="shared" si="159"/>
        <v>0</v>
      </c>
    </row>
    <row r="2562" spans="2:11" ht="15">
      <c r="B2562" s="151">
        <v>127</v>
      </c>
      <c r="C2562" s="7" t="s">
        <v>158</v>
      </c>
      <c r="D2562" s="4" t="s">
        <v>81</v>
      </c>
      <c r="E2562" t="s">
        <v>709</v>
      </c>
      <c r="F2562" s="12" t="str">
        <f>IFERROR(VLOOKUP(B2562,'INSUMOS  JULIO'!$B$6:$CJ$109,78,0),"")</f>
        <v>0</v>
      </c>
      <c r="G2562" s="8">
        <f>IFERROR(VLOOKUP($B2562,'INSUMOS  JULIO'!$B$6:$CJ$109,79,0),"")</f>
        <v>3316.9560000000001</v>
      </c>
      <c r="H2562" s="19">
        <f t="shared" si="156"/>
        <v>0</v>
      </c>
      <c r="I2562" s="1">
        <f t="shared" si="157"/>
        <v>0</v>
      </c>
      <c r="J2562" s="1">
        <f t="shared" si="158"/>
        <v>0</v>
      </c>
      <c r="K2562" s="19">
        <f t="shared" si="159"/>
        <v>0</v>
      </c>
    </row>
    <row r="2563" spans="2:11" ht="15">
      <c r="B2563" s="151">
        <v>129</v>
      </c>
      <c r="C2563" s="7" t="s">
        <v>158</v>
      </c>
      <c r="D2563" s="4" t="s">
        <v>82</v>
      </c>
      <c r="E2563" t="s">
        <v>709</v>
      </c>
      <c r="F2563" s="12" t="str">
        <f>IFERROR(VLOOKUP(B2563,'INSUMOS  JULIO'!$B$6:$CJ$109,78,0),"")</f>
        <v>0</v>
      </c>
      <c r="G2563" s="8">
        <f>IFERROR(VLOOKUP($B2563,'INSUMOS  JULIO'!$B$6:$CJ$109,79,0),"")</f>
        <v>3787.8040000000001</v>
      </c>
      <c r="H2563" s="19">
        <f t="shared" si="156"/>
        <v>0</v>
      </c>
      <c r="I2563" s="1">
        <f t="shared" si="157"/>
        <v>0</v>
      </c>
      <c r="J2563" s="1">
        <f t="shared" si="158"/>
        <v>0</v>
      </c>
      <c r="K2563" s="19">
        <f t="shared" si="159"/>
        <v>0</v>
      </c>
    </row>
    <row r="2564" spans="2:11" ht="15">
      <c r="B2564" s="151">
        <v>131</v>
      </c>
      <c r="C2564" s="7" t="s">
        <v>158</v>
      </c>
      <c r="D2564" s="4" t="s">
        <v>83</v>
      </c>
      <c r="E2564" t="s">
        <v>709</v>
      </c>
      <c r="F2564" s="12" t="str">
        <f>IFERROR(VLOOKUP(B2564,'INSUMOS  JULIO'!$B$6:$CJ$109,78,0),"")</f>
        <v>0</v>
      </c>
      <c r="G2564" s="8">
        <f>IFERROR(VLOOKUP($B2564,'INSUMOS  JULIO'!$B$6:$CJ$109,79,0),"")</f>
        <v>0</v>
      </c>
      <c r="H2564" s="19">
        <f t="shared" si="156"/>
        <v>0</v>
      </c>
      <c r="I2564" s="1">
        <f t="shared" si="157"/>
        <v>0</v>
      </c>
      <c r="J2564" s="1">
        <f t="shared" si="158"/>
        <v>0</v>
      </c>
      <c r="K2564" s="19">
        <f t="shared" si="159"/>
        <v>0</v>
      </c>
    </row>
    <row r="2565" spans="2:11" ht="15">
      <c r="B2565" s="151">
        <v>132</v>
      </c>
      <c r="C2565" s="7" t="s">
        <v>158</v>
      </c>
      <c r="D2565" s="4" t="s">
        <v>84</v>
      </c>
      <c r="E2565" t="s">
        <v>709</v>
      </c>
      <c r="F2565" s="12" t="str">
        <f>IFERROR(VLOOKUP(B2565,'INSUMOS  JULIO'!$B$6:$CJ$109,78,0),"")</f>
        <v>0</v>
      </c>
      <c r="G2565" s="8">
        <f>IFERROR(VLOOKUP($B2565,'INSUMOS  JULIO'!$B$6:$CJ$109,79,0),"")</f>
        <v>0</v>
      </c>
      <c r="H2565" s="19">
        <f t="shared" si="156"/>
        <v>0</v>
      </c>
      <c r="I2565" s="1">
        <f t="shared" si="157"/>
        <v>0</v>
      </c>
      <c r="J2565" s="1">
        <f t="shared" si="158"/>
        <v>0</v>
      </c>
      <c r="K2565" s="19">
        <f t="shared" si="159"/>
        <v>0</v>
      </c>
    </row>
    <row r="2566" spans="2:11" ht="15">
      <c r="B2566" s="151">
        <v>134</v>
      </c>
      <c r="C2566" s="7" t="s">
        <v>158</v>
      </c>
      <c r="D2566" s="4" t="s">
        <v>85</v>
      </c>
      <c r="E2566" t="s">
        <v>709</v>
      </c>
      <c r="F2566" s="12" t="str">
        <f>IFERROR(VLOOKUP(B2566,'INSUMOS  JULIO'!$B$6:$CJ$109,78,0),"")</f>
        <v>0</v>
      </c>
      <c r="G2566" s="8">
        <f>IFERROR(VLOOKUP($B2566,'INSUMOS  JULIO'!$B$6:$CJ$109,79,0),"")</f>
        <v>0</v>
      </c>
      <c r="H2566" s="19">
        <f t="shared" ref="H2566:H2604" si="160">+F2566*G2566</f>
        <v>0</v>
      </c>
      <c r="I2566" s="1">
        <f t="shared" ref="I2566:I2604" si="161">+H2566*10%</f>
        <v>0</v>
      </c>
      <c r="J2566" s="1">
        <f t="shared" ref="J2566:J2604" si="162">+I2566*19%</f>
        <v>0</v>
      </c>
      <c r="K2566" s="19">
        <f t="shared" ref="K2566:K2604" si="163">SUM(H2566:J2566)</f>
        <v>0</v>
      </c>
    </row>
    <row r="2567" spans="2:11" ht="15">
      <c r="B2567" s="151">
        <v>135</v>
      </c>
      <c r="C2567" s="7" t="s">
        <v>152</v>
      </c>
      <c r="D2567" s="4" t="s">
        <v>86</v>
      </c>
      <c r="E2567" t="s">
        <v>709</v>
      </c>
      <c r="F2567" s="12">
        <f>IFERROR(VLOOKUP(B2567,'INSUMOS  JULIO'!$B$6:$CJ$109,78,0),"")</f>
        <v>0</v>
      </c>
      <c r="G2567" s="8">
        <f>IFERROR(VLOOKUP($B2567,'INSUMOS  JULIO'!$B$6:$CJ$109,79,0),"")</f>
        <v>6229.277</v>
      </c>
      <c r="H2567" s="19">
        <f t="shared" si="160"/>
        <v>0</v>
      </c>
      <c r="I2567" s="1">
        <f t="shared" si="161"/>
        <v>0</v>
      </c>
      <c r="J2567" s="1">
        <f t="shared" si="162"/>
        <v>0</v>
      </c>
      <c r="K2567" s="19">
        <f t="shared" si="163"/>
        <v>0</v>
      </c>
    </row>
    <row r="2568" spans="2:11" ht="15">
      <c r="B2568" s="151">
        <v>137</v>
      </c>
      <c r="C2568" s="7" t="s">
        <v>87</v>
      </c>
      <c r="D2568" s="4" t="s">
        <v>88</v>
      </c>
      <c r="E2568" t="s">
        <v>709</v>
      </c>
      <c r="F2568" s="12" t="str">
        <f>IFERROR(VLOOKUP(B2568,'INSUMOS  JULIO'!$B$6:$CJ$109,78,0),"")</f>
        <v>0</v>
      </c>
      <c r="G2568" s="8">
        <f>IFERROR(VLOOKUP($B2568,'INSUMOS  JULIO'!$B$6:$CJ$109,79,0),"")</f>
        <v>1245.4349999999999</v>
      </c>
      <c r="H2568" s="19">
        <f t="shared" si="160"/>
        <v>0</v>
      </c>
      <c r="I2568" s="1">
        <f t="shared" si="161"/>
        <v>0</v>
      </c>
      <c r="J2568" s="1">
        <f t="shared" si="162"/>
        <v>0</v>
      </c>
      <c r="K2568" s="19">
        <f t="shared" si="163"/>
        <v>0</v>
      </c>
    </row>
    <row r="2569" spans="2:11" ht="15">
      <c r="B2569" s="151">
        <v>139</v>
      </c>
      <c r="C2569" s="7" t="s">
        <v>87</v>
      </c>
      <c r="D2569" s="4" t="s">
        <v>89</v>
      </c>
      <c r="E2569" t="s">
        <v>709</v>
      </c>
      <c r="F2569" s="12">
        <f>IFERROR(VLOOKUP(B2569,'INSUMOS  JULIO'!$B$6:$CJ$109,78,0),"")</f>
        <v>0</v>
      </c>
      <c r="G2569" s="8">
        <f>IFERROR(VLOOKUP($B2569,'INSUMOS  JULIO'!$B$6:$CJ$109,79,0),"")</f>
        <v>25429.996000000003</v>
      </c>
      <c r="H2569" s="19">
        <f t="shared" si="160"/>
        <v>0</v>
      </c>
      <c r="I2569" s="1">
        <f t="shared" si="161"/>
        <v>0</v>
      </c>
      <c r="J2569" s="1">
        <f t="shared" si="162"/>
        <v>0</v>
      </c>
      <c r="K2569" s="19">
        <f t="shared" si="163"/>
        <v>0</v>
      </c>
    </row>
    <row r="2570" spans="2:11" ht="15">
      <c r="B2570" s="151">
        <v>151</v>
      </c>
      <c r="C2570" s="7" t="s">
        <v>90</v>
      </c>
      <c r="D2570" s="4" t="s">
        <v>91</v>
      </c>
      <c r="E2570" t="s">
        <v>709</v>
      </c>
      <c r="F2570" s="12">
        <f>IFERROR(VLOOKUP(B2570,'INSUMOS  JULIO'!$B$6:$CJ$109,78,0),"")</f>
        <v>24</v>
      </c>
      <c r="G2570" s="8">
        <f>IFERROR(VLOOKUP($B2570,'INSUMOS  JULIO'!$B$6:$CJ$109,79,0),"")</f>
        <v>4422.6080000000002</v>
      </c>
      <c r="H2570" s="19">
        <f t="shared" si="160"/>
        <v>106142.592</v>
      </c>
      <c r="I2570" s="1">
        <f t="shared" si="161"/>
        <v>10614.2592</v>
      </c>
      <c r="J2570" s="1">
        <f t="shared" si="162"/>
        <v>2016.7092480000001</v>
      </c>
      <c r="K2570" s="19">
        <f t="shared" si="163"/>
        <v>118773.560448</v>
      </c>
    </row>
    <row r="2571" spans="2:11" ht="15">
      <c r="B2571" s="151">
        <v>152</v>
      </c>
      <c r="C2571" s="7" t="s">
        <v>90</v>
      </c>
      <c r="D2571" s="4" t="s">
        <v>92</v>
      </c>
      <c r="E2571" t="s">
        <v>709</v>
      </c>
      <c r="F2571" s="12" t="str">
        <f>IFERROR(VLOOKUP(B2571,'INSUMOS  JULIO'!$B$6:$CJ$109,78,0),"")</f>
        <v>0</v>
      </c>
      <c r="G2571" s="8">
        <f>IFERROR(VLOOKUP($B2571,'INSUMOS  JULIO'!$B$6:$CJ$109,79,0),"")</f>
        <v>0</v>
      </c>
      <c r="H2571" s="19">
        <f t="shared" si="160"/>
        <v>0</v>
      </c>
      <c r="I2571" s="1">
        <f t="shared" si="161"/>
        <v>0</v>
      </c>
      <c r="J2571" s="1">
        <f t="shared" si="162"/>
        <v>0</v>
      </c>
      <c r="K2571" s="19">
        <f t="shared" si="163"/>
        <v>0</v>
      </c>
    </row>
    <row r="2572" spans="2:11" ht="15">
      <c r="B2572" s="151">
        <v>154</v>
      </c>
      <c r="C2572" s="7" t="s">
        <v>93</v>
      </c>
      <c r="D2572" s="4" t="s">
        <v>94</v>
      </c>
      <c r="E2572" t="s">
        <v>709</v>
      </c>
      <c r="F2572" s="12" t="str">
        <f>IFERROR(VLOOKUP(B2572,'INSUMOS  JULIO'!$B$6:$CJ$109,78,0),"")</f>
        <v>0</v>
      </c>
      <c r="G2572" s="8">
        <f>IFERROR(VLOOKUP($B2572,'INSUMOS  JULIO'!$B$6:$CJ$109,79,0),"")</f>
        <v>0</v>
      </c>
      <c r="H2572" s="19">
        <f t="shared" si="160"/>
        <v>0</v>
      </c>
      <c r="I2572" s="1">
        <f t="shared" si="161"/>
        <v>0</v>
      </c>
      <c r="J2572" s="1">
        <f t="shared" si="162"/>
        <v>0</v>
      </c>
      <c r="K2572" s="19">
        <f t="shared" si="163"/>
        <v>0</v>
      </c>
    </row>
    <row r="2573" spans="2:11" ht="15">
      <c r="B2573" s="151">
        <v>155</v>
      </c>
      <c r="C2573" s="7" t="s">
        <v>154</v>
      </c>
      <c r="D2573" s="4" t="s">
        <v>95</v>
      </c>
      <c r="E2573" t="s">
        <v>709</v>
      </c>
      <c r="F2573" s="12">
        <f>IFERROR(VLOOKUP(B2573,'INSUMOS  JULIO'!$B$6:$CJ$109,78,0),"")</f>
        <v>0</v>
      </c>
      <c r="G2573" s="8">
        <f>IFERROR(VLOOKUP($B2573,'INSUMOS  JULIO'!$B$6:$CJ$109,79,0),"")</f>
        <v>3703.7239999999997</v>
      </c>
      <c r="H2573" s="19">
        <f t="shared" si="160"/>
        <v>0</v>
      </c>
      <c r="I2573" s="1">
        <f t="shared" si="161"/>
        <v>0</v>
      </c>
      <c r="J2573" s="1">
        <f t="shared" si="162"/>
        <v>0</v>
      </c>
      <c r="K2573" s="19">
        <f t="shared" si="163"/>
        <v>0</v>
      </c>
    </row>
    <row r="2574" spans="2:11" ht="15">
      <c r="B2574" s="151">
        <v>156</v>
      </c>
      <c r="C2574" s="7" t="s">
        <v>154</v>
      </c>
      <c r="D2574" s="4" t="s">
        <v>96</v>
      </c>
      <c r="E2574" t="s">
        <v>709</v>
      </c>
      <c r="F2574" s="12" t="str">
        <f>IFERROR(VLOOKUP(B2574,'INSUMOS  JULIO'!$B$6:$CJ$109,78,0),"")</f>
        <v>0</v>
      </c>
      <c r="G2574" s="8">
        <f>IFERROR(VLOOKUP($B2574,'INSUMOS  JULIO'!$B$6:$CJ$109,79,0),"")</f>
        <v>4422.6080000000002</v>
      </c>
      <c r="H2574" s="19">
        <f t="shared" si="160"/>
        <v>0</v>
      </c>
      <c r="I2574" s="1">
        <f t="shared" si="161"/>
        <v>0</v>
      </c>
      <c r="J2574" s="1">
        <f t="shared" si="162"/>
        <v>0</v>
      </c>
      <c r="K2574" s="19">
        <f t="shared" si="163"/>
        <v>0</v>
      </c>
    </row>
    <row r="2575" spans="2:11" ht="15">
      <c r="B2575" s="151">
        <v>157</v>
      </c>
      <c r="C2575" s="7" t="s">
        <v>154</v>
      </c>
      <c r="D2575" s="4" t="s">
        <v>97</v>
      </c>
      <c r="E2575" t="s">
        <v>709</v>
      </c>
      <c r="F2575" s="12">
        <f>IFERROR(VLOOKUP(B2575,'INSUMOS  JULIO'!$B$6:$CJ$109,78,0),"")</f>
        <v>0</v>
      </c>
      <c r="G2575" s="8">
        <f>IFERROR(VLOOKUP($B2575,'INSUMOS  JULIO'!$B$6:$CJ$109,79,0),"")</f>
        <v>5970.7309999999998</v>
      </c>
      <c r="H2575" s="19">
        <f t="shared" si="160"/>
        <v>0</v>
      </c>
      <c r="I2575" s="1">
        <f t="shared" si="161"/>
        <v>0</v>
      </c>
      <c r="J2575" s="1">
        <f t="shared" si="162"/>
        <v>0</v>
      </c>
      <c r="K2575" s="19">
        <f t="shared" si="163"/>
        <v>0</v>
      </c>
    </row>
    <row r="2576" spans="2:11" ht="15">
      <c r="B2576" s="151">
        <v>159</v>
      </c>
      <c r="C2576" s="7" t="s">
        <v>152</v>
      </c>
      <c r="D2576" s="4" t="s">
        <v>98</v>
      </c>
      <c r="E2576" t="s">
        <v>709</v>
      </c>
      <c r="F2576" s="12" t="str">
        <f>IFERROR(VLOOKUP(B2576,'INSUMOS  JULIO'!$B$6:$CJ$109,78,0),"")</f>
        <v>0</v>
      </c>
      <c r="G2576" s="8">
        <f>IFERROR(VLOOKUP($B2576,'INSUMOS  JULIO'!$B$6:$CJ$109,79,0),"")</f>
        <v>0</v>
      </c>
      <c r="H2576" s="19">
        <f t="shared" si="160"/>
        <v>0</v>
      </c>
      <c r="I2576" s="1">
        <f t="shared" si="161"/>
        <v>0</v>
      </c>
      <c r="J2576" s="1">
        <f t="shared" si="162"/>
        <v>0</v>
      </c>
      <c r="K2576" s="19">
        <f t="shared" si="163"/>
        <v>0</v>
      </c>
    </row>
    <row r="2577" spans="2:11" ht="15">
      <c r="B2577" s="151">
        <v>160</v>
      </c>
      <c r="C2577" s="7" t="s">
        <v>153</v>
      </c>
      <c r="D2577" s="4" t="s">
        <v>99</v>
      </c>
      <c r="E2577" t="s">
        <v>709</v>
      </c>
      <c r="F2577" s="12" t="str">
        <f>IFERROR(VLOOKUP(B2577,'INSUMOS  JULIO'!$B$6:$CJ$109,78,0),"")</f>
        <v>0</v>
      </c>
      <c r="G2577" s="8">
        <f>IFERROR(VLOOKUP($B2577,'INSUMOS  JULIO'!$B$6:$CJ$109,79,0),"")</f>
        <v>2276.4660000000003</v>
      </c>
      <c r="H2577" s="19">
        <f t="shared" si="160"/>
        <v>0</v>
      </c>
      <c r="I2577" s="1">
        <f t="shared" si="161"/>
        <v>0</v>
      </c>
      <c r="J2577" s="1">
        <f t="shared" si="162"/>
        <v>0</v>
      </c>
      <c r="K2577" s="19">
        <f t="shared" si="163"/>
        <v>0</v>
      </c>
    </row>
    <row r="2578" spans="2:11" ht="15">
      <c r="B2578" s="151">
        <v>161</v>
      </c>
      <c r="C2578" s="7" t="s">
        <v>151</v>
      </c>
      <c r="D2578" s="4" t="s">
        <v>100</v>
      </c>
      <c r="E2578" t="s">
        <v>709</v>
      </c>
      <c r="F2578" s="12" t="str">
        <f>IFERROR(VLOOKUP(B2578,'INSUMOS  JULIO'!$B$6:$CJ$109,78,0),"")</f>
        <v>0</v>
      </c>
      <c r="G2578" s="8">
        <f>IFERROR(VLOOKUP($B2578,'INSUMOS  JULIO'!$B$6:$CJ$109,79,0),"")</f>
        <v>2236.5280000000002</v>
      </c>
      <c r="H2578" s="19">
        <f t="shared" si="160"/>
        <v>0</v>
      </c>
      <c r="I2578" s="1">
        <f t="shared" si="161"/>
        <v>0</v>
      </c>
      <c r="J2578" s="1">
        <f t="shared" si="162"/>
        <v>0</v>
      </c>
      <c r="K2578" s="19">
        <f t="shared" si="163"/>
        <v>0</v>
      </c>
    </row>
    <row r="2579" spans="2:11" ht="15">
      <c r="B2579" s="151">
        <v>162</v>
      </c>
      <c r="C2579" s="7" t="s">
        <v>66</v>
      </c>
      <c r="D2579" s="4" t="s">
        <v>101</v>
      </c>
      <c r="E2579" t="s">
        <v>709</v>
      </c>
      <c r="F2579" s="12">
        <f>IFERROR(VLOOKUP(B2579,'INSUMOS  JULIO'!$B$6:$CJ$109,78,0),"")</f>
        <v>0</v>
      </c>
      <c r="G2579" s="8">
        <f>IFERROR(VLOOKUP($B2579,'INSUMOS  JULIO'!$B$6:$CJ$109,79,0),"")</f>
        <v>2684.2539999999999</v>
      </c>
      <c r="H2579" s="19">
        <f t="shared" si="160"/>
        <v>0</v>
      </c>
      <c r="I2579" s="1">
        <f t="shared" si="161"/>
        <v>0</v>
      </c>
      <c r="J2579" s="1">
        <f t="shared" si="162"/>
        <v>0</v>
      </c>
      <c r="K2579" s="19">
        <f t="shared" si="163"/>
        <v>0</v>
      </c>
    </row>
    <row r="2580" spans="2:11" ht="15">
      <c r="B2580" s="151">
        <v>164</v>
      </c>
      <c r="C2580" s="7" t="s">
        <v>60</v>
      </c>
      <c r="D2580" s="4" t="s">
        <v>102</v>
      </c>
      <c r="E2580" t="s">
        <v>709</v>
      </c>
      <c r="F2580" s="12" t="str">
        <f>IFERROR(VLOOKUP(B2580,'INSUMOS  JULIO'!$B$6:$CJ$109,78,0),"")</f>
        <v>0</v>
      </c>
      <c r="G2580" s="8">
        <f>IFERROR(VLOOKUP($B2580,'INSUMOS  JULIO'!$B$6:$CJ$109,79,0),"")</f>
        <v>1658.4780000000001</v>
      </c>
      <c r="H2580" s="19">
        <f t="shared" si="160"/>
        <v>0</v>
      </c>
      <c r="I2580" s="1">
        <f t="shared" si="161"/>
        <v>0</v>
      </c>
      <c r="J2580" s="1">
        <f t="shared" si="162"/>
        <v>0</v>
      </c>
      <c r="K2580" s="19">
        <f t="shared" si="163"/>
        <v>0</v>
      </c>
    </row>
    <row r="2581" spans="2:11" ht="15">
      <c r="B2581" s="151">
        <v>169</v>
      </c>
      <c r="C2581" s="7" t="s">
        <v>103</v>
      </c>
      <c r="D2581" s="4" t="s">
        <v>104</v>
      </c>
      <c r="E2581" t="s">
        <v>709</v>
      </c>
      <c r="F2581" s="12" t="str">
        <f>IFERROR(VLOOKUP(B2581,'INSUMOS  JULIO'!$B$6:$CJ$109,78,0),"")</f>
        <v>0</v>
      </c>
      <c r="G2581" s="8">
        <f>IFERROR(VLOOKUP($B2581,'INSUMOS  JULIO'!$B$6:$CJ$109,79,0),"")</f>
        <v>85897.178999999989</v>
      </c>
      <c r="H2581" s="19">
        <f t="shared" si="160"/>
        <v>0</v>
      </c>
      <c r="I2581" s="1">
        <f t="shared" si="161"/>
        <v>0</v>
      </c>
      <c r="J2581" s="1">
        <f t="shared" si="162"/>
        <v>0</v>
      </c>
      <c r="K2581" s="19">
        <f t="shared" si="163"/>
        <v>0</v>
      </c>
    </row>
    <row r="2582" spans="2:11" ht="15">
      <c r="B2582" s="151">
        <v>170</v>
      </c>
      <c r="C2582" s="7" t="s">
        <v>105</v>
      </c>
      <c r="D2582" s="4" t="s">
        <v>106</v>
      </c>
      <c r="E2582" t="s">
        <v>709</v>
      </c>
      <c r="F2582" s="12">
        <f>IFERROR(VLOOKUP(B2582,'INSUMOS  JULIO'!$B$6:$CJ$109,78,0),"")</f>
        <v>0</v>
      </c>
      <c r="G2582" s="8">
        <f>IFERROR(VLOOKUP($B2582,'INSUMOS  JULIO'!$B$6:$CJ$109,79,0),"")</f>
        <v>19405.664000000001</v>
      </c>
      <c r="H2582" s="19">
        <f t="shared" si="160"/>
        <v>0</v>
      </c>
      <c r="I2582" s="1">
        <f t="shared" si="161"/>
        <v>0</v>
      </c>
      <c r="J2582" s="1">
        <f t="shared" si="162"/>
        <v>0</v>
      </c>
      <c r="K2582" s="19">
        <f t="shared" si="163"/>
        <v>0</v>
      </c>
    </row>
    <row r="2583" spans="2:11" ht="15">
      <c r="B2583" s="151">
        <v>173</v>
      </c>
      <c r="C2583" s="7" t="s">
        <v>105</v>
      </c>
      <c r="D2583" s="4" t="s">
        <v>107</v>
      </c>
      <c r="E2583" t="s">
        <v>709</v>
      </c>
      <c r="F2583" s="12" t="str">
        <f>IFERROR(VLOOKUP(B2583,'INSUMOS  JULIO'!$B$6:$CJ$109,78,0),"")</f>
        <v>0</v>
      </c>
      <c r="G2583" s="8">
        <f>IFERROR(VLOOKUP($B2583,'INSUMOS  JULIO'!$B$6:$CJ$109,79,0),"")</f>
        <v>0</v>
      </c>
      <c r="H2583" s="19">
        <f t="shared" si="160"/>
        <v>0</v>
      </c>
      <c r="I2583" s="1">
        <f t="shared" si="161"/>
        <v>0</v>
      </c>
      <c r="J2583" s="1">
        <f t="shared" si="162"/>
        <v>0</v>
      </c>
      <c r="K2583" s="19">
        <f t="shared" si="163"/>
        <v>0</v>
      </c>
    </row>
    <row r="2584" spans="2:11" ht="15">
      <c r="B2584" s="151">
        <v>174</v>
      </c>
      <c r="C2584" s="7" t="s">
        <v>108</v>
      </c>
      <c r="D2584" s="4" t="s">
        <v>109</v>
      </c>
      <c r="E2584" t="s">
        <v>709</v>
      </c>
      <c r="F2584" s="12" t="str">
        <f>IFERROR(VLOOKUP(B2584,'INSUMOS  JULIO'!$B$6:$CJ$109,78,0),"")</f>
        <v>0</v>
      </c>
      <c r="G2584" s="8">
        <f>IFERROR(VLOOKUP($B2584,'INSUMOS  JULIO'!$B$6:$CJ$109,79,0),"")</f>
        <v>6081.0860000000002</v>
      </c>
      <c r="H2584" s="19">
        <f t="shared" si="160"/>
        <v>0</v>
      </c>
      <c r="I2584" s="1">
        <f t="shared" si="161"/>
        <v>0</v>
      </c>
      <c r="J2584" s="1">
        <f t="shared" si="162"/>
        <v>0</v>
      </c>
      <c r="K2584" s="19">
        <f t="shared" si="163"/>
        <v>0</v>
      </c>
    </row>
    <row r="2585" spans="2:11" ht="15">
      <c r="B2585" s="151">
        <v>176</v>
      </c>
      <c r="C2585" s="7" t="s">
        <v>108</v>
      </c>
      <c r="D2585" s="4" t="s">
        <v>110</v>
      </c>
      <c r="E2585" t="s">
        <v>709</v>
      </c>
      <c r="F2585" s="12" t="str">
        <f>IFERROR(VLOOKUP(B2585,'INSUMOS  JULIO'!$B$6:$CJ$109,78,0),"")</f>
        <v>0</v>
      </c>
      <c r="G2585" s="8">
        <f>IFERROR(VLOOKUP($B2585,'INSUMOS  JULIO'!$B$6:$CJ$109,79,0),"")</f>
        <v>2749.4160000000002</v>
      </c>
      <c r="H2585" s="19">
        <f t="shared" si="160"/>
        <v>0</v>
      </c>
      <c r="I2585" s="1">
        <f t="shared" si="161"/>
        <v>0</v>
      </c>
      <c r="J2585" s="1">
        <f t="shared" si="162"/>
        <v>0</v>
      </c>
      <c r="K2585" s="19">
        <f t="shared" si="163"/>
        <v>0</v>
      </c>
    </row>
    <row r="2586" spans="2:11" ht="15">
      <c r="B2586" s="151">
        <v>192</v>
      </c>
      <c r="C2586" s="7" t="s">
        <v>149</v>
      </c>
      <c r="D2586" s="4" t="s">
        <v>111</v>
      </c>
      <c r="E2586" t="s">
        <v>709</v>
      </c>
      <c r="F2586" s="12">
        <f>IFERROR(VLOOKUP(B2586,'INSUMOS  JULIO'!$B$6:$CJ$109,78,0),"")</f>
        <v>40</v>
      </c>
      <c r="G2586" s="8">
        <f>IFERROR(VLOOKUP($B2586,'INSUMOS  JULIO'!$B$6:$CJ$109,79,0),"")</f>
        <v>3930.7400000000002</v>
      </c>
      <c r="H2586" s="19">
        <f t="shared" si="160"/>
        <v>157229.6</v>
      </c>
      <c r="I2586" s="1">
        <f t="shared" si="161"/>
        <v>15722.960000000001</v>
      </c>
      <c r="J2586" s="1">
        <f t="shared" si="162"/>
        <v>2987.3624000000004</v>
      </c>
      <c r="K2586" s="19">
        <f t="shared" si="163"/>
        <v>175939.92240000001</v>
      </c>
    </row>
    <row r="2587" spans="2:11" ht="15">
      <c r="B2587" s="151">
        <v>195</v>
      </c>
      <c r="C2587" s="7" t="s">
        <v>149</v>
      </c>
      <c r="D2587" s="4" t="s">
        <v>112</v>
      </c>
      <c r="E2587" t="s">
        <v>709</v>
      </c>
      <c r="F2587" s="12">
        <f>IFERROR(VLOOKUP(B2587,'INSUMOS  JULIO'!$B$6:$CJ$109,78,0),"")</f>
        <v>40</v>
      </c>
      <c r="G2587" s="8">
        <f>IFERROR(VLOOKUP($B2587,'INSUMOS  JULIO'!$B$6:$CJ$109,79,0),"")</f>
        <v>6431.0690000000004</v>
      </c>
      <c r="H2587" s="19">
        <f t="shared" si="160"/>
        <v>257242.76</v>
      </c>
      <c r="I2587" s="1">
        <f t="shared" si="161"/>
        <v>25724.276000000002</v>
      </c>
      <c r="J2587" s="1">
        <f t="shared" si="162"/>
        <v>4887.6124400000008</v>
      </c>
      <c r="K2587" s="19">
        <f t="shared" si="163"/>
        <v>287854.64844000002</v>
      </c>
    </row>
    <row r="2588" spans="2:11" ht="15">
      <c r="B2588" s="151">
        <v>204</v>
      </c>
      <c r="C2588" s="7" t="s">
        <v>150</v>
      </c>
      <c r="D2588" s="4" t="s">
        <v>113</v>
      </c>
      <c r="E2588" t="s">
        <v>709</v>
      </c>
      <c r="F2588" s="12">
        <f>IFERROR(VLOOKUP(B2588,'INSUMOS  JULIO'!$B$6:$CJ$109,78,0),"")</f>
        <v>5</v>
      </c>
      <c r="G2588" s="8">
        <f>IFERROR(VLOOKUP($B2588,'INSUMOS  JULIO'!$B$6:$CJ$109,79,0),"")</f>
        <v>14760.243999999999</v>
      </c>
      <c r="H2588" s="19">
        <f t="shared" si="160"/>
        <v>73801.22</v>
      </c>
      <c r="I2588" s="1">
        <f t="shared" si="161"/>
        <v>7380.1220000000003</v>
      </c>
      <c r="J2588" s="1">
        <f t="shared" si="162"/>
        <v>1402.2231800000002</v>
      </c>
      <c r="K2588" s="19">
        <f t="shared" si="163"/>
        <v>82583.565180000005</v>
      </c>
    </row>
    <row r="2589" spans="2:11" ht="27">
      <c r="B2589" s="151">
        <v>205</v>
      </c>
      <c r="C2589" s="7" t="s">
        <v>150</v>
      </c>
      <c r="D2589" s="4" t="s">
        <v>114</v>
      </c>
      <c r="E2589" t="s">
        <v>709</v>
      </c>
      <c r="F2589" s="12" t="str">
        <f>IFERROR(VLOOKUP(B2589,'INSUMOS  JULIO'!$B$6:$CJ$109,78,0),"")</f>
        <v>0</v>
      </c>
      <c r="G2589" s="8">
        <f>IFERROR(VLOOKUP($B2589,'INSUMOS  JULIO'!$B$6:$CJ$109,79,0),"")</f>
        <v>17690.432000000001</v>
      </c>
      <c r="H2589" s="19">
        <f t="shared" si="160"/>
        <v>0</v>
      </c>
      <c r="I2589" s="1">
        <f t="shared" si="161"/>
        <v>0</v>
      </c>
      <c r="J2589" s="1">
        <f t="shared" si="162"/>
        <v>0</v>
      </c>
      <c r="K2589" s="19">
        <f t="shared" si="163"/>
        <v>0</v>
      </c>
    </row>
    <row r="2590" spans="2:11" ht="15">
      <c r="B2590" s="151">
        <v>207</v>
      </c>
      <c r="C2590" s="7" t="s">
        <v>60</v>
      </c>
      <c r="D2590" s="4" t="s">
        <v>115</v>
      </c>
      <c r="E2590" t="s">
        <v>709</v>
      </c>
      <c r="F2590" s="12" t="str">
        <f>IFERROR(VLOOKUP(B2590,'INSUMOS  JULIO'!$B$6:$CJ$109,78,0),"")</f>
        <v>0</v>
      </c>
      <c r="G2590" s="8">
        <f>IFERROR(VLOOKUP($B2590,'INSUMOS  JULIO'!$B$6:$CJ$109,79,0),"")</f>
        <v>7186.7380000000003</v>
      </c>
      <c r="H2590" s="19">
        <f t="shared" si="160"/>
        <v>0</v>
      </c>
      <c r="I2590" s="1">
        <f t="shared" si="161"/>
        <v>0</v>
      </c>
      <c r="J2590" s="1">
        <f t="shared" si="162"/>
        <v>0</v>
      </c>
      <c r="K2590" s="19">
        <f t="shared" si="163"/>
        <v>0</v>
      </c>
    </row>
    <row r="2591" spans="2:11" ht="15">
      <c r="B2591" s="151">
        <v>208</v>
      </c>
      <c r="C2591" s="7" t="s">
        <v>151</v>
      </c>
      <c r="D2591" s="4" t="s">
        <v>634</v>
      </c>
      <c r="E2591" t="s">
        <v>709</v>
      </c>
      <c r="F2591" s="12" t="str">
        <f>IFERROR(VLOOKUP(B2591,'INSUMOS  JULIO'!$B$6:$CJ$109,78,0),"")</f>
        <v>0</v>
      </c>
      <c r="G2591" s="8">
        <f>IFERROR(VLOOKUP($B2591,'INSUMOS  JULIO'!$B$6:$CJ$109,79,0),"")</f>
        <v>50779.065000000002</v>
      </c>
      <c r="H2591" s="19">
        <f t="shared" si="160"/>
        <v>0</v>
      </c>
      <c r="I2591" s="1">
        <f t="shared" si="161"/>
        <v>0</v>
      </c>
      <c r="J2591" s="1">
        <f t="shared" si="162"/>
        <v>0</v>
      </c>
      <c r="K2591" s="19">
        <f t="shared" si="163"/>
        <v>0</v>
      </c>
    </row>
    <row r="2592" spans="2:11" ht="15">
      <c r="B2592" s="151">
        <v>209</v>
      </c>
      <c r="C2592" s="7" t="s">
        <v>151</v>
      </c>
      <c r="D2592" s="4" t="s">
        <v>635</v>
      </c>
      <c r="E2592" t="s">
        <v>709</v>
      </c>
      <c r="F2592" s="12" t="str">
        <f>IFERROR(VLOOKUP(B2592,'INSUMOS  JULIO'!$B$6:$CJ$109,78,0),"")</f>
        <v>0</v>
      </c>
      <c r="G2592" s="8">
        <f>IFERROR(VLOOKUP($B2592,'INSUMOS  JULIO'!$B$6:$CJ$109,79,0),"")</f>
        <v>37357.794999999998</v>
      </c>
      <c r="H2592" s="19">
        <f t="shared" si="160"/>
        <v>0</v>
      </c>
      <c r="I2592" s="1">
        <f t="shared" si="161"/>
        <v>0</v>
      </c>
      <c r="J2592" s="1">
        <f t="shared" si="162"/>
        <v>0</v>
      </c>
      <c r="K2592" s="19">
        <f t="shared" si="163"/>
        <v>0</v>
      </c>
    </row>
    <row r="2593" spans="2:11" ht="15">
      <c r="B2593" s="151">
        <v>210</v>
      </c>
      <c r="C2593" s="7" t="s">
        <v>151</v>
      </c>
      <c r="D2593" s="4" t="s">
        <v>636</v>
      </c>
      <c r="E2593" t="s">
        <v>709</v>
      </c>
      <c r="F2593" s="12" t="str">
        <f>IFERROR(VLOOKUP(B2593,'INSUMOS  JULIO'!$B$6:$CJ$109,78,0),"")</f>
        <v>0</v>
      </c>
      <c r="G2593" s="8">
        <f>IFERROR(VLOOKUP($B2593,'INSUMOS  JULIO'!$B$6:$CJ$109,79,0),"")</f>
        <v>22537.643999999997</v>
      </c>
      <c r="H2593" s="19">
        <f t="shared" si="160"/>
        <v>0</v>
      </c>
      <c r="I2593" s="1">
        <f t="shared" si="161"/>
        <v>0</v>
      </c>
      <c r="J2593" s="1">
        <f t="shared" si="162"/>
        <v>0</v>
      </c>
      <c r="K2593" s="19">
        <f t="shared" si="163"/>
        <v>0</v>
      </c>
    </row>
    <row r="2594" spans="2:11" ht="15">
      <c r="B2594" s="151">
        <v>211</v>
      </c>
      <c r="C2594" s="7" t="s">
        <v>151</v>
      </c>
      <c r="D2594" s="4" t="s">
        <v>637</v>
      </c>
      <c r="E2594" t="s">
        <v>709</v>
      </c>
      <c r="F2594" s="12" t="str">
        <f>IFERROR(VLOOKUP(B2594,'INSUMOS  JULIO'!$B$6:$CJ$109,78,0),"")</f>
        <v>0</v>
      </c>
      <c r="G2594" s="8">
        <f>IFERROR(VLOOKUP($B2594,'INSUMOS  JULIO'!$B$6:$CJ$109,79,0),"")</f>
        <v>15992.016</v>
      </c>
      <c r="H2594" s="19">
        <f t="shared" si="160"/>
        <v>0</v>
      </c>
      <c r="I2594" s="1">
        <f t="shared" si="161"/>
        <v>0</v>
      </c>
      <c r="J2594" s="1">
        <f t="shared" si="162"/>
        <v>0</v>
      </c>
      <c r="K2594" s="19">
        <f t="shared" si="163"/>
        <v>0</v>
      </c>
    </row>
    <row r="2595" spans="2:11" ht="15">
      <c r="B2595" s="151">
        <v>212</v>
      </c>
      <c r="C2595" s="7" t="s">
        <v>60</v>
      </c>
      <c r="D2595" s="4" t="s">
        <v>116</v>
      </c>
      <c r="E2595" t="s">
        <v>709</v>
      </c>
      <c r="F2595" s="12" t="str">
        <f>IFERROR(VLOOKUP(B2595,'INSUMOS  JULIO'!$B$6:$CJ$109,78,0),"")</f>
        <v>0</v>
      </c>
      <c r="G2595" s="8">
        <f>IFERROR(VLOOKUP($B2595,'INSUMOS  JULIO'!$B$6:$CJ$109,79,0),"")</f>
        <v>2505.5839999999998</v>
      </c>
      <c r="H2595" s="19">
        <f t="shared" si="160"/>
        <v>0</v>
      </c>
      <c r="I2595" s="1">
        <f t="shared" si="161"/>
        <v>0</v>
      </c>
      <c r="J2595" s="1">
        <f t="shared" si="162"/>
        <v>0</v>
      </c>
      <c r="K2595" s="19">
        <f t="shared" si="163"/>
        <v>0</v>
      </c>
    </row>
    <row r="2596" spans="2:11" ht="15">
      <c r="B2596" s="151">
        <v>213</v>
      </c>
      <c r="C2596" s="7" t="s">
        <v>46</v>
      </c>
      <c r="D2596" s="4" t="s">
        <v>638</v>
      </c>
      <c r="E2596" t="s">
        <v>709</v>
      </c>
      <c r="F2596" s="12" t="str">
        <f>IFERROR(VLOOKUP(B2596,'INSUMOS  JULIO'!$B$6:$CJ$109,78,0),"")</f>
        <v>0</v>
      </c>
      <c r="G2596" s="8">
        <f>IFERROR(VLOOKUP($B2596,'INSUMOS  JULIO'!$B$6:$CJ$109,79,0),"")</f>
        <v>0</v>
      </c>
      <c r="H2596" s="19">
        <f t="shared" si="160"/>
        <v>0</v>
      </c>
      <c r="I2596" s="1">
        <f t="shared" si="161"/>
        <v>0</v>
      </c>
      <c r="J2596" s="1">
        <f t="shared" si="162"/>
        <v>0</v>
      </c>
      <c r="K2596" s="19">
        <f t="shared" si="163"/>
        <v>0</v>
      </c>
    </row>
    <row r="2597" spans="2:11" ht="15">
      <c r="B2597" s="151">
        <v>215</v>
      </c>
      <c r="C2597" s="7" t="s">
        <v>450</v>
      </c>
      <c r="D2597" s="4" t="s">
        <v>639</v>
      </c>
      <c r="E2597" t="s">
        <v>709</v>
      </c>
      <c r="F2597" s="12" t="str">
        <f>IFERROR(VLOOKUP(B2597,'INSUMOS  JULIO'!$B$6:$CJ$109,78,0),"")</f>
        <v>0</v>
      </c>
      <c r="G2597" s="8">
        <f>IFERROR(VLOOKUP($B2597,'INSUMOS  JULIO'!$B$6:$CJ$109,79,0),"")</f>
        <v>10476.367999999999</v>
      </c>
      <c r="H2597" s="19">
        <f t="shared" si="160"/>
        <v>0</v>
      </c>
      <c r="I2597" s="1">
        <f t="shared" si="161"/>
        <v>0</v>
      </c>
      <c r="J2597" s="1">
        <f t="shared" si="162"/>
        <v>0</v>
      </c>
      <c r="K2597" s="19">
        <f t="shared" si="163"/>
        <v>0</v>
      </c>
    </row>
    <row r="2598" spans="2:11" ht="15">
      <c r="B2598" s="151">
        <v>216</v>
      </c>
      <c r="C2598" s="7" t="s">
        <v>450</v>
      </c>
      <c r="D2598" s="4" t="s">
        <v>640</v>
      </c>
      <c r="E2598" t="s">
        <v>709</v>
      </c>
      <c r="F2598" s="12" t="str">
        <f>IFERROR(VLOOKUP(B2598,'INSUMOS  JULIO'!$B$6:$CJ$109,78,0),"")</f>
        <v>0</v>
      </c>
      <c r="G2598" s="8">
        <f>IFERROR(VLOOKUP($B2598,'INSUMOS  JULIO'!$B$6:$CJ$109,79,0),"")</f>
        <v>3954.9129999999996</v>
      </c>
      <c r="H2598" s="19">
        <f t="shared" si="160"/>
        <v>0</v>
      </c>
      <c r="I2598" s="1">
        <f t="shared" si="161"/>
        <v>0</v>
      </c>
      <c r="J2598" s="1">
        <f t="shared" si="162"/>
        <v>0</v>
      </c>
      <c r="K2598" s="19">
        <f t="shared" si="163"/>
        <v>0</v>
      </c>
    </row>
    <row r="2599" spans="2:11" ht="15">
      <c r="B2599" s="151">
        <v>218</v>
      </c>
      <c r="C2599" s="7" t="s">
        <v>450</v>
      </c>
      <c r="D2599" s="4" t="s">
        <v>117</v>
      </c>
      <c r="E2599" t="s">
        <v>709</v>
      </c>
      <c r="F2599" s="12" t="str">
        <f>IFERROR(VLOOKUP(B2599,'INSUMOS  JULIO'!$B$6:$CJ$109,78,0),"")</f>
        <v>0</v>
      </c>
      <c r="G2599" s="8">
        <f>IFERROR(VLOOKUP($B2599,'INSUMOS  JULIO'!$B$6:$CJ$109,79,0),"")</f>
        <v>1437.768</v>
      </c>
      <c r="H2599" s="19">
        <f t="shared" si="160"/>
        <v>0</v>
      </c>
      <c r="I2599" s="1">
        <f t="shared" si="161"/>
        <v>0</v>
      </c>
      <c r="J2599" s="1">
        <f t="shared" si="162"/>
        <v>0</v>
      </c>
      <c r="K2599" s="19">
        <f t="shared" si="163"/>
        <v>0</v>
      </c>
    </row>
    <row r="2600" spans="2:11" ht="15">
      <c r="B2600" s="151">
        <v>251</v>
      </c>
      <c r="C2600" s="7" t="s">
        <v>33</v>
      </c>
      <c r="D2600" s="4" t="s">
        <v>118</v>
      </c>
      <c r="E2600" t="s">
        <v>709</v>
      </c>
      <c r="F2600" s="12" t="str">
        <f>IFERROR(VLOOKUP(B2600,'INSUMOS  JULIO'!$B$6:$CJ$109,78,0),"")</f>
        <v>0</v>
      </c>
      <c r="G2600" s="8">
        <f>IFERROR(VLOOKUP($B2600,'INSUMOS  JULIO'!$B$6:$CJ$109,79,0),"")</f>
        <v>16031.954000000002</v>
      </c>
      <c r="H2600" s="19">
        <f t="shared" si="160"/>
        <v>0</v>
      </c>
      <c r="I2600" s="1">
        <f t="shared" si="161"/>
        <v>0</v>
      </c>
      <c r="J2600" s="1">
        <f t="shared" si="162"/>
        <v>0</v>
      </c>
      <c r="K2600" s="19">
        <f t="shared" si="163"/>
        <v>0</v>
      </c>
    </row>
    <row r="2601" spans="2:11" ht="15">
      <c r="B2601" s="151">
        <v>255</v>
      </c>
      <c r="C2601" s="7" t="s">
        <v>60</v>
      </c>
      <c r="D2601" s="4" t="s">
        <v>641</v>
      </c>
      <c r="E2601" t="s">
        <v>709</v>
      </c>
      <c r="F2601" s="12" t="str">
        <f>IFERROR(VLOOKUP(B2601,'INSUMOS  JULIO'!$B$6:$CJ$109,78,0),"")</f>
        <v>0</v>
      </c>
      <c r="G2601" s="8">
        <f>IFERROR(VLOOKUP($B2601,'INSUMOS  JULIO'!$B$6:$CJ$109,79,0),"")</f>
        <v>29299.777999999998</v>
      </c>
      <c r="H2601" s="19">
        <f t="shared" si="160"/>
        <v>0</v>
      </c>
      <c r="I2601" s="1">
        <f t="shared" si="161"/>
        <v>0</v>
      </c>
      <c r="J2601" s="1">
        <f t="shared" si="162"/>
        <v>0</v>
      </c>
      <c r="K2601" s="19">
        <f t="shared" si="163"/>
        <v>0</v>
      </c>
    </row>
    <row r="2602" spans="2:11" ht="15">
      <c r="B2602" s="151">
        <v>257</v>
      </c>
      <c r="C2602" s="7" t="s">
        <v>60</v>
      </c>
      <c r="D2602" s="4" t="s">
        <v>642</v>
      </c>
      <c r="E2602" t="s">
        <v>709</v>
      </c>
      <c r="F2602" s="12" t="str">
        <f>IFERROR(VLOOKUP(B2602,'INSUMOS  JULIO'!$B$6:$CJ$109,78,0),"")</f>
        <v>0</v>
      </c>
      <c r="G2602" s="8">
        <f>IFERROR(VLOOKUP($B2602,'INSUMOS  JULIO'!$B$6:$CJ$109,79,0),"")</f>
        <v>18796.084000000003</v>
      </c>
      <c r="H2602" s="19">
        <f t="shared" si="160"/>
        <v>0</v>
      </c>
      <c r="I2602" s="1">
        <f t="shared" si="161"/>
        <v>0</v>
      </c>
      <c r="J2602" s="1">
        <f t="shared" si="162"/>
        <v>0</v>
      </c>
      <c r="K2602" s="19">
        <f t="shared" si="163"/>
        <v>0</v>
      </c>
    </row>
    <row r="2603" spans="2:11" ht="15">
      <c r="B2603" s="151">
        <v>260</v>
      </c>
      <c r="C2603" s="7" t="s">
        <v>449</v>
      </c>
      <c r="D2603" s="4" t="s">
        <v>643</v>
      </c>
      <c r="E2603" t="s">
        <v>709</v>
      </c>
      <c r="F2603" s="12" t="str">
        <f>IFERROR(VLOOKUP(B2603,'INSUMOS  JULIO'!$B$6:$CJ$109,78,0),"")</f>
        <v>0</v>
      </c>
      <c r="G2603" s="8">
        <f>IFERROR(VLOOKUP($B2603,'INSUMOS  JULIO'!$B$6:$CJ$109,79,0),"")</f>
        <v>3417.8520000000008</v>
      </c>
      <c r="H2603" s="19">
        <f t="shared" si="160"/>
        <v>0</v>
      </c>
      <c r="I2603" s="1">
        <f t="shared" si="161"/>
        <v>0</v>
      </c>
      <c r="J2603" s="1">
        <f t="shared" si="162"/>
        <v>0</v>
      </c>
      <c r="K2603" s="19">
        <f t="shared" si="163"/>
        <v>0</v>
      </c>
    </row>
    <row r="2604" spans="2:11" ht="15">
      <c r="B2604" s="151">
        <v>291</v>
      </c>
      <c r="C2604" s="7" t="s">
        <v>449</v>
      </c>
      <c r="D2604" s="4" t="s">
        <v>644</v>
      </c>
      <c r="E2604" t="s">
        <v>709</v>
      </c>
      <c r="F2604" s="12" t="str">
        <f>IFERROR(VLOOKUP(B2604,'INSUMOS  JULIO'!$B$6:$CJ$109,78,0),"")</f>
        <v>0</v>
      </c>
      <c r="G2604" s="8">
        <f>IFERROR(VLOOKUP($B2604,'INSUMOS  JULIO'!$B$6:$CJ$109,79,0),"")</f>
        <v>20454.562000000005</v>
      </c>
      <c r="H2604" s="19">
        <f t="shared" si="160"/>
        <v>0</v>
      </c>
      <c r="I2604" s="1">
        <f t="shared" si="161"/>
        <v>0</v>
      </c>
      <c r="J2604" s="1">
        <f t="shared" si="162"/>
        <v>0</v>
      </c>
      <c r="K2604" s="19">
        <f t="shared" si="163"/>
        <v>0</v>
      </c>
    </row>
    <row r="2606" spans="2:11">
      <c r="F2606" s="210">
        <f>SUM(F5:F2605)</f>
        <v>7353</v>
      </c>
      <c r="H2606" s="211">
        <f>SUM(H5:H2605)</f>
        <v>63194459.895199977</v>
      </c>
      <c r="I2606" s="211">
        <f t="shared" ref="I2606:J2606" si="164">SUM(I5:I2605)</f>
        <v>6319445.9895199994</v>
      </c>
      <c r="J2606" s="211">
        <f t="shared" si="164"/>
        <v>1200694.7380088009</v>
      </c>
      <c r="K2606" s="211">
        <f>SUM(K5:K2605)</f>
        <v>70714600.622728899</v>
      </c>
    </row>
  </sheetData>
  <autoFilter ref="A4:F2604" xr:uid="{00000000-0009-0000-0000-000010000000}"/>
  <conditionalFormatting sqref="A4">
    <cfRule type="duplicateValues" dxfId="272" priority="173"/>
  </conditionalFormatting>
  <conditionalFormatting sqref="D5:D107">
    <cfRule type="duplicateValues" dxfId="271" priority="163"/>
    <cfRule type="duplicateValues" dxfId="270" priority="164"/>
  </conditionalFormatting>
  <conditionalFormatting sqref="D108">
    <cfRule type="duplicateValues" dxfId="269" priority="165"/>
    <cfRule type="duplicateValues" dxfId="268" priority="166"/>
  </conditionalFormatting>
  <conditionalFormatting sqref="D109:D211">
    <cfRule type="duplicateValues" dxfId="267" priority="159"/>
    <cfRule type="duplicateValues" dxfId="266" priority="160"/>
  </conditionalFormatting>
  <conditionalFormatting sqref="D212">
    <cfRule type="duplicateValues" dxfId="265" priority="161"/>
    <cfRule type="duplicateValues" dxfId="264" priority="162"/>
  </conditionalFormatting>
  <conditionalFormatting sqref="D213:D315">
    <cfRule type="duplicateValues" dxfId="263" priority="155"/>
    <cfRule type="duplicateValues" dxfId="262" priority="156"/>
  </conditionalFormatting>
  <conditionalFormatting sqref="D316">
    <cfRule type="duplicateValues" dxfId="261" priority="157"/>
    <cfRule type="duplicateValues" dxfId="260" priority="158"/>
  </conditionalFormatting>
  <conditionalFormatting sqref="D317:D419">
    <cfRule type="duplicateValues" dxfId="259" priority="151"/>
    <cfRule type="duplicateValues" dxfId="258" priority="152"/>
  </conditionalFormatting>
  <conditionalFormatting sqref="D420">
    <cfRule type="duplicateValues" dxfId="257" priority="153"/>
    <cfRule type="duplicateValues" dxfId="256" priority="154"/>
  </conditionalFormatting>
  <conditionalFormatting sqref="D421:D523">
    <cfRule type="duplicateValues" dxfId="255" priority="147"/>
    <cfRule type="duplicateValues" dxfId="254" priority="148"/>
  </conditionalFormatting>
  <conditionalFormatting sqref="D524">
    <cfRule type="duplicateValues" dxfId="253" priority="149"/>
    <cfRule type="duplicateValues" dxfId="252" priority="150"/>
  </conditionalFormatting>
  <conditionalFormatting sqref="D525:D627">
    <cfRule type="duplicateValues" dxfId="251" priority="143"/>
    <cfRule type="duplicateValues" dxfId="250" priority="144"/>
  </conditionalFormatting>
  <conditionalFormatting sqref="D628">
    <cfRule type="duplicateValues" dxfId="249" priority="145"/>
    <cfRule type="duplicateValues" dxfId="248" priority="146"/>
  </conditionalFormatting>
  <conditionalFormatting sqref="D629:D731">
    <cfRule type="duplicateValues" dxfId="247" priority="139"/>
    <cfRule type="duplicateValues" dxfId="246" priority="140"/>
  </conditionalFormatting>
  <conditionalFormatting sqref="D732">
    <cfRule type="duplicateValues" dxfId="245" priority="141"/>
    <cfRule type="duplicateValues" dxfId="244" priority="142"/>
  </conditionalFormatting>
  <conditionalFormatting sqref="D733:D835">
    <cfRule type="duplicateValues" dxfId="243" priority="135"/>
    <cfRule type="duplicateValues" dxfId="242" priority="136"/>
  </conditionalFormatting>
  <conditionalFormatting sqref="D836">
    <cfRule type="duplicateValues" dxfId="241" priority="137"/>
    <cfRule type="duplicateValues" dxfId="240" priority="138"/>
  </conditionalFormatting>
  <conditionalFormatting sqref="D837:D939">
    <cfRule type="duplicateValues" dxfId="239" priority="131"/>
    <cfRule type="duplicateValues" dxfId="238" priority="132"/>
  </conditionalFormatting>
  <conditionalFormatting sqref="D940">
    <cfRule type="duplicateValues" dxfId="237" priority="133"/>
    <cfRule type="duplicateValues" dxfId="236" priority="134"/>
  </conditionalFormatting>
  <conditionalFormatting sqref="D941:D1043">
    <cfRule type="duplicateValues" dxfId="235" priority="127"/>
    <cfRule type="duplicateValues" dxfId="234" priority="128"/>
  </conditionalFormatting>
  <conditionalFormatting sqref="D1044">
    <cfRule type="duplicateValues" dxfId="233" priority="129"/>
    <cfRule type="duplicateValues" dxfId="232" priority="130"/>
  </conditionalFormatting>
  <conditionalFormatting sqref="D1045:D1147">
    <cfRule type="duplicateValues" dxfId="231" priority="123"/>
    <cfRule type="duplicateValues" dxfId="230" priority="124"/>
  </conditionalFormatting>
  <conditionalFormatting sqref="D1148">
    <cfRule type="duplicateValues" dxfId="229" priority="125"/>
    <cfRule type="duplicateValues" dxfId="228" priority="126"/>
  </conditionalFormatting>
  <conditionalFormatting sqref="D1149:D1251">
    <cfRule type="duplicateValues" dxfId="227" priority="119"/>
    <cfRule type="duplicateValues" dxfId="226" priority="120"/>
  </conditionalFormatting>
  <conditionalFormatting sqref="D1252">
    <cfRule type="duplicateValues" dxfId="225" priority="121"/>
    <cfRule type="duplicateValues" dxfId="224" priority="122"/>
  </conditionalFormatting>
  <conditionalFormatting sqref="D1253:D1355">
    <cfRule type="duplicateValues" dxfId="223" priority="115"/>
    <cfRule type="duplicateValues" dxfId="222" priority="116"/>
  </conditionalFormatting>
  <conditionalFormatting sqref="D1356">
    <cfRule type="duplicateValues" dxfId="221" priority="117"/>
    <cfRule type="duplicateValues" dxfId="220" priority="118"/>
  </conditionalFormatting>
  <conditionalFormatting sqref="D1357:D1459">
    <cfRule type="duplicateValues" dxfId="219" priority="111"/>
    <cfRule type="duplicateValues" dxfId="218" priority="112"/>
  </conditionalFormatting>
  <conditionalFormatting sqref="D1460">
    <cfRule type="duplicateValues" dxfId="217" priority="113"/>
    <cfRule type="duplicateValues" dxfId="216" priority="114"/>
  </conditionalFormatting>
  <conditionalFormatting sqref="D1461:D1563">
    <cfRule type="duplicateValues" dxfId="215" priority="99"/>
    <cfRule type="duplicateValues" dxfId="214" priority="100"/>
  </conditionalFormatting>
  <conditionalFormatting sqref="D1564">
    <cfRule type="duplicateValues" dxfId="213" priority="101"/>
    <cfRule type="duplicateValues" dxfId="212" priority="102"/>
  </conditionalFormatting>
  <conditionalFormatting sqref="D1565:D1667">
    <cfRule type="duplicateValues" dxfId="211" priority="95"/>
    <cfRule type="duplicateValues" dxfId="210" priority="96"/>
  </conditionalFormatting>
  <conditionalFormatting sqref="D1668">
    <cfRule type="duplicateValues" dxfId="209" priority="97"/>
    <cfRule type="duplicateValues" dxfId="208" priority="98"/>
  </conditionalFormatting>
  <conditionalFormatting sqref="D1669:D1771">
    <cfRule type="duplicateValues" dxfId="207" priority="91"/>
    <cfRule type="duplicateValues" dxfId="206" priority="92"/>
  </conditionalFormatting>
  <conditionalFormatting sqref="D1772">
    <cfRule type="duplicateValues" dxfId="205" priority="93"/>
    <cfRule type="duplicateValues" dxfId="204" priority="94"/>
  </conditionalFormatting>
  <conditionalFormatting sqref="D1773:D1875">
    <cfRule type="duplicateValues" dxfId="203" priority="87"/>
    <cfRule type="duplicateValues" dxfId="202" priority="88"/>
  </conditionalFormatting>
  <conditionalFormatting sqref="D1876">
    <cfRule type="duplicateValues" dxfId="201" priority="89"/>
    <cfRule type="duplicateValues" dxfId="200" priority="90"/>
  </conditionalFormatting>
  <conditionalFormatting sqref="D1877:D1979">
    <cfRule type="duplicateValues" dxfId="199" priority="83"/>
    <cfRule type="duplicateValues" dxfId="198" priority="84"/>
  </conditionalFormatting>
  <conditionalFormatting sqref="D1980">
    <cfRule type="duplicateValues" dxfId="197" priority="85"/>
    <cfRule type="duplicateValues" dxfId="196" priority="86"/>
  </conditionalFormatting>
  <conditionalFormatting sqref="D1981:D2083">
    <cfRule type="duplicateValues" dxfId="195" priority="79"/>
    <cfRule type="duplicateValues" dxfId="194" priority="80"/>
  </conditionalFormatting>
  <conditionalFormatting sqref="D2084">
    <cfRule type="duplicateValues" dxfId="193" priority="81"/>
    <cfRule type="duplicateValues" dxfId="192" priority="82"/>
  </conditionalFormatting>
  <conditionalFormatting sqref="D2085:D2187">
    <cfRule type="duplicateValues" dxfId="191" priority="75"/>
    <cfRule type="duplicateValues" dxfId="190" priority="76"/>
  </conditionalFormatting>
  <conditionalFormatting sqref="D2188">
    <cfRule type="duplicateValues" dxfId="189" priority="77"/>
    <cfRule type="duplicateValues" dxfId="188" priority="78"/>
  </conditionalFormatting>
  <conditionalFormatting sqref="D2189:D2291">
    <cfRule type="duplicateValues" dxfId="187" priority="71"/>
    <cfRule type="duplicateValues" dxfId="186" priority="72"/>
  </conditionalFormatting>
  <conditionalFormatting sqref="D2292">
    <cfRule type="duplicateValues" dxfId="185" priority="73"/>
    <cfRule type="duplicateValues" dxfId="184" priority="74"/>
  </conditionalFormatting>
  <conditionalFormatting sqref="D2293:D2395">
    <cfRule type="duplicateValues" dxfId="183" priority="67"/>
    <cfRule type="duplicateValues" dxfId="182" priority="68"/>
  </conditionalFormatting>
  <conditionalFormatting sqref="D2396">
    <cfRule type="duplicateValues" dxfId="181" priority="69"/>
    <cfRule type="duplicateValues" dxfId="180" priority="70"/>
  </conditionalFormatting>
  <conditionalFormatting sqref="D2397:D2499">
    <cfRule type="duplicateValues" dxfId="179" priority="63"/>
    <cfRule type="duplicateValues" dxfId="178" priority="64"/>
  </conditionalFormatting>
  <conditionalFormatting sqref="D2500">
    <cfRule type="duplicateValues" dxfId="177" priority="65"/>
    <cfRule type="duplicateValues" dxfId="176" priority="66"/>
  </conditionalFormatting>
  <conditionalFormatting sqref="D2501:D2603">
    <cfRule type="duplicateValues" dxfId="175" priority="59"/>
    <cfRule type="duplicateValues" dxfId="174" priority="60"/>
  </conditionalFormatting>
  <conditionalFormatting sqref="D2604">
    <cfRule type="duplicateValues" dxfId="173" priority="61"/>
    <cfRule type="duplicateValues" dxfId="172" priority="62"/>
  </conditionalFormatting>
  <conditionalFormatting sqref="F3 D3:E4">
    <cfRule type="duplicateValues" dxfId="171" priority="10502"/>
  </conditionalFormatting>
  <conditionalFormatting sqref="F5:G2604">
    <cfRule type="cellIs" dxfId="170" priority="1" operator="lessThan">
      <formula>0</formula>
    </cfRule>
  </conditionalFormatting>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D3:Z9"/>
  <sheetViews>
    <sheetView zoomScale="120" zoomScaleNormal="120" workbookViewId="0">
      <selection activeCell="Q4" sqref="Q4"/>
    </sheetView>
  </sheetViews>
  <sheetFormatPr baseColWidth="10" defaultRowHeight="15"/>
  <cols>
    <col min="4" max="4" width="41" bestFit="1" customWidth="1"/>
    <col min="5" max="5" width="8.85546875" customWidth="1"/>
    <col min="6" max="6" width="17.28515625" customWidth="1"/>
    <col min="7" max="7" width="16.42578125" hidden="1" customWidth="1"/>
    <col min="9" max="9" width="14.140625" bestFit="1" customWidth="1"/>
    <col min="11" max="11" width="17.140625" customWidth="1"/>
    <col min="13" max="13" width="13.140625" customWidth="1"/>
    <col min="15" max="22" width="14.28515625" customWidth="1"/>
    <col min="23" max="23" width="14.140625" bestFit="1" customWidth="1"/>
    <col min="24" max="24" width="12.5703125" bestFit="1" customWidth="1"/>
    <col min="25" max="25" width="11.5703125" bestFit="1" customWidth="1"/>
    <col min="26" max="26" width="22.42578125" customWidth="1"/>
  </cols>
  <sheetData>
    <row r="3" spans="4:26">
      <c r="D3" s="229" t="s">
        <v>779</v>
      </c>
      <c r="E3" s="229" t="s">
        <v>780</v>
      </c>
      <c r="F3" s="229" t="s">
        <v>781</v>
      </c>
      <c r="G3" s="229" t="s">
        <v>782</v>
      </c>
      <c r="H3" s="308" t="s">
        <v>783</v>
      </c>
      <c r="I3" s="308"/>
      <c r="J3" s="308" t="s">
        <v>784</v>
      </c>
      <c r="K3" s="308"/>
      <c r="L3" s="308" t="s">
        <v>785</v>
      </c>
      <c r="M3" s="308"/>
      <c r="N3" s="308" t="s">
        <v>786</v>
      </c>
      <c r="O3" s="308"/>
      <c r="P3" s="229" t="s">
        <v>787</v>
      </c>
      <c r="Q3" s="229" t="s">
        <v>1178</v>
      </c>
      <c r="R3" s="229" t="s">
        <v>1179</v>
      </c>
      <c r="S3" s="229" t="s">
        <v>1180</v>
      </c>
      <c r="T3" s="229" t="s">
        <v>1181</v>
      </c>
      <c r="U3" s="229" t="s">
        <v>1182</v>
      </c>
      <c r="V3" s="229" t="s">
        <v>1183</v>
      </c>
      <c r="W3" s="220" t="s">
        <v>239</v>
      </c>
      <c r="X3" s="220" t="s">
        <v>146</v>
      </c>
      <c r="Y3" s="220" t="s">
        <v>147</v>
      </c>
      <c r="Z3" s="220" t="s">
        <v>788</v>
      </c>
    </row>
    <row r="4" spans="4:26">
      <c r="D4" s="230" t="s">
        <v>0</v>
      </c>
      <c r="E4" s="231" t="s">
        <v>241</v>
      </c>
      <c r="F4" s="232" t="s">
        <v>212</v>
      </c>
      <c r="G4" s="233">
        <v>15254</v>
      </c>
      <c r="H4" s="234">
        <v>33</v>
      </c>
      <c r="I4" s="235">
        <f>+G4*H4</f>
        <v>503382</v>
      </c>
      <c r="K4" s="235">
        <f t="shared" ref="K4:K6" si="0">+G4*H4</f>
        <v>503382</v>
      </c>
      <c r="M4" s="235">
        <f t="shared" ref="M4:M6" si="1">+H4*G4</f>
        <v>503382</v>
      </c>
      <c r="O4" s="235">
        <f t="shared" ref="O4:O6" si="2">+G4*H4</f>
        <v>503382</v>
      </c>
      <c r="P4" s="235">
        <f>+G4*H4</f>
        <v>503382</v>
      </c>
      <c r="Q4" s="235">
        <f>+P4</f>
        <v>503382</v>
      </c>
      <c r="R4" s="235">
        <f t="shared" ref="R4:V4" si="3">+Q4</f>
        <v>503382</v>
      </c>
      <c r="S4" s="235">
        <f t="shared" si="3"/>
        <v>503382</v>
      </c>
      <c r="T4" s="235">
        <f t="shared" si="3"/>
        <v>503382</v>
      </c>
      <c r="U4" s="235">
        <f t="shared" si="3"/>
        <v>503382</v>
      </c>
      <c r="V4" s="235">
        <f t="shared" si="3"/>
        <v>503382</v>
      </c>
      <c r="W4" s="52">
        <f>+I4+K4+M4+O4+P4</f>
        <v>2516910</v>
      </c>
      <c r="X4" s="51">
        <f>+W4*10%</f>
        <v>251691</v>
      </c>
      <c r="Y4" s="51">
        <f>+X4*19%</f>
        <v>47821.29</v>
      </c>
      <c r="Z4" s="236">
        <f>SUM(W4:Y4)</f>
        <v>2816422.29</v>
      </c>
    </row>
    <row r="5" spans="4:26">
      <c r="D5" s="230" t="s">
        <v>187</v>
      </c>
      <c r="E5" s="231" t="s">
        <v>242</v>
      </c>
      <c r="F5" s="232" t="s">
        <v>213</v>
      </c>
      <c r="G5" s="233">
        <v>15254</v>
      </c>
      <c r="H5" s="234">
        <v>5</v>
      </c>
      <c r="I5" s="235">
        <f t="shared" ref="I5:I6" si="4">+G5*H5</f>
        <v>76270</v>
      </c>
      <c r="K5" s="235">
        <f t="shared" si="0"/>
        <v>76270</v>
      </c>
      <c r="M5" s="235">
        <f t="shared" si="1"/>
        <v>76270</v>
      </c>
      <c r="O5" s="235">
        <f t="shared" si="2"/>
        <v>76270</v>
      </c>
      <c r="P5" s="235">
        <f t="shared" ref="P5:P6" si="5">+G5*H5</f>
        <v>76270</v>
      </c>
      <c r="Q5" s="235">
        <f t="shared" ref="Q5:V5" si="6">+P5</f>
        <v>76270</v>
      </c>
      <c r="R5" s="235">
        <f t="shared" si="6"/>
        <v>76270</v>
      </c>
      <c r="S5" s="235">
        <f t="shared" si="6"/>
        <v>76270</v>
      </c>
      <c r="T5" s="235">
        <f t="shared" si="6"/>
        <v>76270</v>
      </c>
      <c r="U5" s="235">
        <f t="shared" si="6"/>
        <v>76270</v>
      </c>
      <c r="V5" s="235">
        <f t="shared" si="6"/>
        <v>76270</v>
      </c>
      <c r="W5" s="52">
        <f>+I5+K5+M5+O5+P5</f>
        <v>381350</v>
      </c>
      <c r="X5" s="51">
        <f t="shared" ref="X5:X6" si="7">+W5*10%</f>
        <v>38135</v>
      </c>
      <c r="Y5" s="51">
        <f t="shared" ref="Y5:Y6" si="8">+X5*19%</f>
        <v>7245.65</v>
      </c>
      <c r="Z5" s="236">
        <f t="shared" ref="Z5:Z6" si="9">SUM(W5:Y5)</f>
        <v>426730.65</v>
      </c>
    </row>
    <row r="6" spans="4:26">
      <c r="D6" s="230" t="s">
        <v>188</v>
      </c>
      <c r="E6" s="231" t="s">
        <v>243</v>
      </c>
      <c r="F6" s="232" t="s">
        <v>214</v>
      </c>
      <c r="G6" s="233">
        <v>15254</v>
      </c>
      <c r="H6" s="234">
        <v>2</v>
      </c>
      <c r="I6" s="235">
        <f t="shared" si="4"/>
        <v>30508</v>
      </c>
      <c r="K6" s="235">
        <f t="shared" si="0"/>
        <v>30508</v>
      </c>
      <c r="M6" s="235">
        <f t="shared" si="1"/>
        <v>30508</v>
      </c>
      <c r="O6" s="235">
        <f t="shared" si="2"/>
        <v>30508</v>
      </c>
      <c r="P6" s="235">
        <f t="shared" si="5"/>
        <v>30508</v>
      </c>
      <c r="Q6" s="235">
        <f t="shared" ref="Q6:V6" si="10">+P6</f>
        <v>30508</v>
      </c>
      <c r="R6" s="235">
        <f t="shared" si="10"/>
        <v>30508</v>
      </c>
      <c r="S6" s="235">
        <f t="shared" si="10"/>
        <v>30508</v>
      </c>
      <c r="T6" s="235">
        <f t="shared" si="10"/>
        <v>30508</v>
      </c>
      <c r="U6" s="235">
        <f t="shared" si="10"/>
        <v>30508</v>
      </c>
      <c r="V6" s="235">
        <f t="shared" si="10"/>
        <v>30508</v>
      </c>
      <c r="W6" s="52">
        <f>+I6+K6+M6+O6+P6</f>
        <v>152540</v>
      </c>
      <c r="X6" s="51">
        <f t="shared" si="7"/>
        <v>15254</v>
      </c>
      <c r="Y6" s="51">
        <f t="shared" si="8"/>
        <v>2898.26</v>
      </c>
      <c r="Z6" s="236">
        <f t="shared" si="9"/>
        <v>170692.26</v>
      </c>
    </row>
    <row r="7" spans="4:26">
      <c r="H7" s="237">
        <f t="shared" ref="H7:P7" si="11">SUM(H4:H6)</f>
        <v>40</v>
      </c>
      <c r="I7" s="238">
        <f t="shared" si="11"/>
        <v>610160</v>
      </c>
      <c r="J7" s="238">
        <f t="shared" si="11"/>
        <v>0</v>
      </c>
      <c r="K7" s="238">
        <f t="shared" si="11"/>
        <v>610160</v>
      </c>
      <c r="L7" s="238">
        <f t="shared" si="11"/>
        <v>0</v>
      </c>
      <c r="M7" s="238">
        <f t="shared" si="11"/>
        <v>610160</v>
      </c>
      <c r="N7" s="238">
        <f t="shared" si="11"/>
        <v>0</v>
      </c>
      <c r="O7" s="238">
        <f t="shared" si="11"/>
        <v>610160</v>
      </c>
      <c r="P7" s="238">
        <f t="shared" si="11"/>
        <v>610160</v>
      </c>
      <c r="Q7" s="238">
        <f t="shared" ref="Q7:V7" si="12">SUM(Q4:Q6)</f>
        <v>610160</v>
      </c>
      <c r="R7" s="238">
        <f t="shared" si="12"/>
        <v>610160</v>
      </c>
      <c r="S7" s="238">
        <f t="shared" si="12"/>
        <v>610160</v>
      </c>
      <c r="T7" s="238">
        <f t="shared" si="12"/>
        <v>610160</v>
      </c>
      <c r="U7" s="238">
        <f t="shared" si="12"/>
        <v>610160</v>
      </c>
      <c r="V7" s="238">
        <f t="shared" si="12"/>
        <v>610160</v>
      </c>
      <c r="W7" s="238">
        <f>SUM(W4:W6)</f>
        <v>3050800</v>
      </c>
      <c r="X7" s="238">
        <f>SUM(X4:X6)</f>
        <v>305080</v>
      </c>
      <c r="Y7" s="238">
        <f>SUM(Y4:Y6)</f>
        <v>57965.200000000004</v>
      </c>
      <c r="Z7" s="238">
        <f>SUM(Z4:Z6)</f>
        <v>3413845.2</v>
      </c>
    </row>
    <row r="9" spans="4:26">
      <c r="I9" s="42"/>
    </row>
  </sheetData>
  <mergeCells count="4">
    <mergeCell ref="H3:I3"/>
    <mergeCell ref="J3:K3"/>
    <mergeCell ref="L3:M3"/>
    <mergeCell ref="N3:O3"/>
  </mergeCells>
  <conditionalFormatting sqref="N56:N57">
    <cfRule type="expression" dxfId="169" priority="1">
      <formula>ISERROR($W56)</formula>
    </cfRule>
  </conditionalFormatting>
  <conditionalFormatting sqref="O53:O54">
    <cfRule type="expression" dxfId="168" priority="6">
      <formula>ISERROR($F54)</formula>
    </cfRule>
  </conditionalFormatting>
  <conditionalFormatting sqref="O55">
    <cfRule type="expression" dxfId="167" priority="4">
      <formula>ISERROR($K53)</formula>
    </cfRule>
  </conditionalFormatting>
  <conditionalFormatting sqref="O55:O58">
    <cfRule type="expression" dxfId="166" priority="2">
      <formula>ISERROR($X55)</formula>
    </cfRule>
  </conditionalFormatting>
  <conditionalFormatting sqref="O56:O57">
    <cfRule type="expression" dxfId="165" priority="3">
      <formula>ISERROR($F56)</formula>
    </cfRule>
  </conditionalFormatting>
  <conditionalFormatting sqref="O58">
    <cfRule type="expression" dxfId="164" priority="5">
      <formula>ISERROR($K59)</formula>
    </cfRule>
  </conditionalFormatting>
  <dataValidations count="5">
    <dataValidation type="list" allowBlank="1" showInputMessage="1" showErrorMessage="1" sqref="WVP98308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C65578 JD65578 SZ65578 ACV65578 AMR65578 AWN65578 BGJ65578 BQF65578 CAB65578 CJX65578 CTT65578 DDP65578 DNL65578 DXH65578 EHD65578 EQZ65578 FAV65578 FKR65578 FUN65578 GEJ65578 GOF65578 GYB65578 HHX65578 HRT65578 IBP65578 ILL65578 IVH65578 JFD65578 JOZ65578 JYV65578 KIR65578 KSN65578 LCJ65578 LMF65578 LWB65578 MFX65578 MPT65578 MZP65578 NJL65578 NTH65578 ODD65578 OMZ65578 OWV65578 PGR65578 PQN65578 QAJ65578 QKF65578 QUB65578 RDX65578 RNT65578 RXP65578 SHL65578 SRH65578 TBD65578 TKZ65578 TUV65578 UER65578 UON65578 UYJ65578 VIF65578 VSB65578 WBX65578 WLT65578 WVP65578 C131114 JD131114 SZ131114 ACV131114 AMR131114 AWN131114 BGJ131114 BQF131114 CAB131114 CJX131114 CTT131114 DDP131114 DNL131114 DXH131114 EHD131114 EQZ131114 FAV131114 FKR131114 FUN131114 GEJ131114 GOF131114 GYB131114 HHX131114 HRT131114 IBP131114 ILL131114 IVH131114 JFD131114 JOZ131114 JYV131114 KIR131114 KSN131114 LCJ131114 LMF131114 LWB131114 MFX131114 MPT131114 MZP131114 NJL131114 NTH131114 ODD131114 OMZ131114 OWV131114 PGR131114 PQN131114 QAJ131114 QKF131114 QUB131114 RDX131114 RNT131114 RXP131114 SHL131114 SRH131114 TBD131114 TKZ131114 TUV131114 UER131114 UON131114 UYJ131114 VIF131114 VSB131114 WBX131114 WLT131114 WVP131114 C196650 JD196650 SZ196650 ACV196650 AMR196650 AWN196650 BGJ196650 BQF196650 CAB196650 CJX196650 CTT196650 DDP196650 DNL196650 DXH196650 EHD196650 EQZ196650 FAV196650 FKR196650 FUN196650 GEJ196650 GOF196650 GYB196650 HHX196650 HRT196650 IBP196650 ILL196650 IVH196650 JFD196650 JOZ196650 JYV196650 KIR196650 KSN196650 LCJ196650 LMF196650 LWB196650 MFX196650 MPT196650 MZP196650 NJL196650 NTH196650 ODD196650 OMZ196650 OWV196650 PGR196650 PQN196650 QAJ196650 QKF196650 QUB196650 RDX196650 RNT196650 RXP196650 SHL196650 SRH196650 TBD196650 TKZ196650 TUV196650 UER196650 UON196650 UYJ196650 VIF196650 VSB196650 WBX196650 WLT196650 WVP196650 C262186 JD262186 SZ262186 ACV262186 AMR262186 AWN262186 BGJ262186 BQF262186 CAB262186 CJX262186 CTT262186 DDP262186 DNL262186 DXH262186 EHD262186 EQZ262186 FAV262186 FKR262186 FUN262186 GEJ262186 GOF262186 GYB262186 HHX262186 HRT262186 IBP262186 ILL262186 IVH262186 JFD262186 JOZ262186 JYV262186 KIR262186 KSN262186 LCJ262186 LMF262186 LWB262186 MFX262186 MPT262186 MZP262186 NJL262186 NTH262186 ODD262186 OMZ262186 OWV262186 PGR262186 PQN262186 QAJ262186 QKF262186 QUB262186 RDX262186 RNT262186 RXP262186 SHL262186 SRH262186 TBD262186 TKZ262186 TUV262186 UER262186 UON262186 UYJ262186 VIF262186 VSB262186 WBX262186 WLT262186 WVP262186 C327722 JD327722 SZ327722 ACV327722 AMR327722 AWN327722 BGJ327722 BQF327722 CAB327722 CJX327722 CTT327722 DDP327722 DNL327722 DXH327722 EHD327722 EQZ327722 FAV327722 FKR327722 FUN327722 GEJ327722 GOF327722 GYB327722 HHX327722 HRT327722 IBP327722 ILL327722 IVH327722 JFD327722 JOZ327722 JYV327722 KIR327722 KSN327722 LCJ327722 LMF327722 LWB327722 MFX327722 MPT327722 MZP327722 NJL327722 NTH327722 ODD327722 OMZ327722 OWV327722 PGR327722 PQN327722 QAJ327722 QKF327722 QUB327722 RDX327722 RNT327722 RXP327722 SHL327722 SRH327722 TBD327722 TKZ327722 TUV327722 UER327722 UON327722 UYJ327722 VIF327722 VSB327722 WBX327722 WLT327722 WVP327722 C393258 JD393258 SZ393258 ACV393258 AMR393258 AWN393258 BGJ393258 BQF393258 CAB393258 CJX393258 CTT393258 DDP393258 DNL393258 DXH393258 EHD393258 EQZ393258 FAV393258 FKR393258 FUN393258 GEJ393258 GOF393258 GYB393258 HHX393258 HRT393258 IBP393258 ILL393258 IVH393258 JFD393258 JOZ393258 JYV393258 KIR393258 KSN393258 LCJ393258 LMF393258 LWB393258 MFX393258 MPT393258 MZP393258 NJL393258 NTH393258 ODD393258 OMZ393258 OWV393258 PGR393258 PQN393258 QAJ393258 QKF393258 QUB393258 RDX393258 RNT393258 RXP393258 SHL393258 SRH393258 TBD393258 TKZ393258 TUV393258 UER393258 UON393258 UYJ393258 VIF393258 VSB393258 WBX393258 WLT393258 WVP393258 C458794 JD458794 SZ458794 ACV458794 AMR458794 AWN458794 BGJ458794 BQF458794 CAB458794 CJX458794 CTT458794 DDP458794 DNL458794 DXH458794 EHD458794 EQZ458794 FAV458794 FKR458794 FUN458794 GEJ458794 GOF458794 GYB458794 HHX458794 HRT458794 IBP458794 ILL458794 IVH458794 JFD458794 JOZ458794 JYV458794 KIR458794 KSN458794 LCJ458794 LMF458794 LWB458794 MFX458794 MPT458794 MZP458794 NJL458794 NTH458794 ODD458794 OMZ458794 OWV458794 PGR458794 PQN458794 QAJ458794 QKF458794 QUB458794 RDX458794 RNT458794 RXP458794 SHL458794 SRH458794 TBD458794 TKZ458794 TUV458794 UER458794 UON458794 UYJ458794 VIF458794 VSB458794 WBX458794 WLT458794 WVP458794 C524330 JD524330 SZ524330 ACV524330 AMR524330 AWN524330 BGJ524330 BQF524330 CAB524330 CJX524330 CTT524330 DDP524330 DNL524330 DXH524330 EHD524330 EQZ524330 FAV524330 FKR524330 FUN524330 GEJ524330 GOF524330 GYB524330 HHX524330 HRT524330 IBP524330 ILL524330 IVH524330 JFD524330 JOZ524330 JYV524330 KIR524330 KSN524330 LCJ524330 LMF524330 LWB524330 MFX524330 MPT524330 MZP524330 NJL524330 NTH524330 ODD524330 OMZ524330 OWV524330 PGR524330 PQN524330 QAJ524330 QKF524330 QUB524330 RDX524330 RNT524330 RXP524330 SHL524330 SRH524330 TBD524330 TKZ524330 TUV524330 UER524330 UON524330 UYJ524330 VIF524330 VSB524330 WBX524330 WLT524330 WVP524330 C589866 JD589866 SZ589866 ACV589866 AMR589866 AWN589866 BGJ589866 BQF589866 CAB589866 CJX589866 CTT589866 DDP589866 DNL589866 DXH589866 EHD589866 EQZ589866 FAV589866 FKR589866 FUN589866 GEJ589866 GOF589866 GYB589866 HHX589866 HRT589866 IBP589866 ILL589866 IVH589866 JFD589866 JOZ589866 JYV589866 KIR589866 KSN589866 LCJ589866 LMF589866 LWB589866 MFX589866 MPT589866 MZP589866 NJL589866 NTH589866 ODD589866 OMZ589866 OWV589866 PGR589866 PQN589866 QAJ589866 QKF589866 QUB589866 RDX589866 RNT589866 RXP589866 SHL589866 SRH589866 TBD589866 TKZ589866 TUV589866 UER589866 UON589866 UYJ589866 VIF589866 VSB589866 WBX589866 WLT589866 WVP589866 C655402 JD655402 SZ655402 ACV655402 AMR655402 AWN655402 BGJ655402 BQF655402 CAB655402 CJX655402 CTT655402 DDP655402 DNL655402 DXH655402 EHD655402 EQZ655402 FAV655402 FKR655402 FUN655402 GEJ655402 GOF655402 GYB655402 HHX655402 HRT655402 IBP655402 ILL655402 IVH655402 JFD655402 JOZ655402 JYV655402 KIR655402 KSN655402 LCJ655402 LMF655402 LWB655402 MFX655402 MPT655402 MZP655402 NJL655402 NTH655402 ODD655402 OMZ655402 OWV655402 PGR655402 PQN655402 QAJ655402 QKF655402 QUB655402 RDX655402 RNT655402 RXP655402 SHL655402 SRH655402 TBD655402 TKZ655402 TUV655402 UER655402 UON655402 UYJ655402 VIF655402 VSB655402 WBX655402 WLT655402 WVP655402 C720938 JD720938 SZ720938 ACV720938 AMR720938 AWN720938 BGJ720938 BQF720938 CAB720938 CJX720938 CTT720938 DDP720938 DNL720938 DXH720938 EHD720938 EQZ720938 FAV720938 FKR720938 FUN720938 GEJ720938 GOF720938 GYB720938 HHX720938 HRT720938 IBP720938 ILL720938 IVH720938 JFD720938 JOZ720938 JYV720938 KIR720938 KSN720938 LCJ720938 LMF720938 LWB720938 MFX720938 MPT720938 MZP720938 NJL720938 NTH720938 ODD720938 OMZ720938 OWV720938 PGR720938 PQN720938 QAJ720938 QKF720938 QUB720938 RDX720938 RNT720938 RXP720938 SHL720938 SRH720938 TBD720938 TKZ720938 TUV720938 UER720938 UON720938 UYJ720938 VIF720938 VSB720938 WBX720938 WLT720938 WVP720938 C786474 JD786474 SZ786474 ACV786474 AMR786474 AWN786474 BGJ786474 BQF786474 CAB786474 CJX786474 CTT786474 DDP786474 DNL786474 DXH786474 EHD786474 EQZ786474 FAV786474 FKR786474 FUN786474 GEJ786474 GOF786474 GYB786474 HHX786474 HRT786474 IBP786474 ILL786474 IVH786474 JFD786474 JOZ786474 JYV786474 KIR786474 KSN786474 LCJ786474 LMF786474 LWB786474 MFX786474 MPT786474 MZP786474 NJL786474 NTH786474 ODD786474 OMZ786474 OWV786474 PGR786474 PQN786474 QAJ786474 QKF786474 QUB786474 RDX786474 RNT786474 RXP786474 SHL786474 SRH786474 TBD786474 TKZ786474 TUV786474 UER786474 UON786474 UYJ786474 VIF786474 VSB786474 WBX786474 WLT786474 WVP786474 C852010 JD852010 SZ852010 ACV852010 AMR852010 AWN852010 BGJ852010 BQF852010 CAB852010 CJX852010 CTT852010 DDP852010 DNL852010 DXH852010 EHD852010 EQZ852010 FAV852010 FKR852010 FUN852010 GEJ852010 GOF852010 GYB852010 HHX852010 HRT852010 IBP852010 ILL852010 IVH852010 JFD852010 JOZ852010 JYV852010 KIR852010 KSN852010 LCJ852010 LMF852010 LWB852010 MFX852010 MPT852010 MZP852010 NJL852010 NTH852010 ODD852010 OMZ852010 OWV852010 PGR852010 PQN852010 QAJ852010 QKF852010 QUB852010 RDX852010 RNT852010 RXP852010 SHL852010 SRH852010 TBD852010 TKZ852010 TUV852010 UER852010 UON852010 UYJ852010 VIF852010 VSB852010 WBX852010 WLT852010 WVP852010 C917546 JD917546 SZ917546 ACV917546 AMR917546 AWN917546 BGJ917546 BQF917546 CAB917546 CJX917546 CTT917546 DDP917546 DNL917546 DXH917546 EHD917546 EQZ917546 FAV917546 FKR917546 FUN917546 GEJ917546 GOF917546 GYB917546 HHX917546 HRT917546 IBP917546 ILL917546 IVH917546 JFD917546 JOZ917546 JYV917546 KIR917546 KSN917546 LCJ917546 LMF917546 LWB917546 MFX917546 MPT917546 MZP917546 NJL917546 NTH917546 ODD917546 OMZ917546 OWV917546 PGR917546 PQN917546 QAJ917546 QKF917546 QUB917546 RDX917546 RNT917546 RXP917546 SHL917546 SRH917546 TBD917546 TKZ917546 TUV917546 UER917546 UON917546 UYJ917546 VIF917546 VSB917546 WBX917546 WLT917546 WVP917546 C983082 JD983082 SZ983082 ACV983082 AMR983082 AWN983082 BGJ983082 BQF983082 CAB983082 CJX983082 CTT983082 DDP983082 DNL983082 DXH983082 EHD983082 EQZ983082 FAV983082 FKR983082 FUN983082 GEJ983082 GOF983082 GYB983082 HHX983082 HRT983082 IBP983082 ILL983082 IVH983082 JFD983082 JOZ983082 JYV983082 KIR983082 KSN983082 LCJ983082 LMF983082 LWB983082 MFX983082 MPT983082 MZP983082 NJL983082 NTH983082 ODD983082 OMZ983082 OWV983082 PGR983082 PQN983082 QAJ983082 QKF983082 QUB983082 RDX983082 RNT983082 RXP983082 SHL983082 SRH983082 TBD983082 TKZ983082 TUV983082 UER983082 UON983082 UYJ983082 VIF983082 VSB983082 WBX983082 WLT983082 C2" xr:uid="{00000000-0002-0000-1100-000000000000}"/>
    <dataValidation type="decimal" allowBlank="1" showInputMessage="1" showErrorMessage="1" errorTitle="Error" error="Mayor a 1" promptTitle="Porcentaje de AIU" prompt="Mayor a 1" sqref="L53 JN53 TJ53 ADF53 ANB53 AWX53 BGT53 BQP53 CAL53 CKH53 CUD53 DDZ53 DNV53 DXR53 EHN53 ERJ53 FBF53 FLB53 FUX53 GET53 GOP53 GYL53 HIH53 HSD53 IBZ53 ILV53 IVR53 JFN53 JPJ53 JZF53 KJB53 KSX53 LCT53 LMP53 LWL53 MGH53 MQD53 MZZ53 NJV53 NTR53 ODN53 ONJ53 OXF53 PHB53 PQX53 QAT53 QKP53 QUL53 REH53 ROD53 RXZ53 SHV53 SRR53 TBN53 TLJ53 TVF53 UFB53 UOX53 UYT53 VIP53 VSL53 WCH53 WMD53 WVZ53 L65589 JN65589 TJ65589 ADF65589 ANB65589 AWX65589 BGT65589 BQP65589 CAL65589 CKH65589 CUD65589 DDZ65589 DNV65589 DXR65589 EHN65589 ERJ65589 FBF65589 FLB65589 FUX65589 GET65589 GOP65589 GYL65589 HIH65589 HSD65589 IBZ65589 ILV65589 IVR65589 JFN65589 JPJ65589 JZF65589 KJB65589 KSX65589 LCT65589 LMP65589 LWL65589 MGH65589 MQD65589 MZZ65589 NJV65589 NTR65589 ODN65589 ONJ65589 OXF65589 PHB65589 PQX65589 QAT65589 QKP65589 QUL65589 REH65589 ROD65589 RXZ65589 SHV65589 SRR65589 TBN65589 TLJ65589 TVF65589 UFB65589 UOX65589 UYT65589 VIP65589 VSL65589 WCH65589 WMD65589 WVZ65589 L131125 JN131125 TJ131125 ADF131125 ANB131125 AWX131125 BGT131125 BQP131125 CAL131125 CKH131125 CUD131125 DDZ131125 DNV131125 DXR131125 EHN131125 ERJ131125 FBF131125 FLB131125 FUX131125 GET131125 GOP131125 GYL131125 HIH131125 HSD131125 IBZ131125 ILV131125 IVR131125 JFN131125 JPJ131125 JZF131125 KJB131125 KSX131125 LCT131125 LMP131125 LWL131125 MGH131125 MQD131125 MZZ131125 NJV131125 NTR131125 ODN131125 ONJ131125 OXF131125 PHB131125 PQX131125 QAT131125 QKP131125 QUL131125 REH131125 ROD131125 RXZ131125 SHV131125 SRR131125 TBN131125 TLJ131125 TVF131125 UFB131125 UOX131125 UYT131125 VIP131125 VSL131125 WCH131125 WMD131125 WVZ131125 L196661 JN196661 TJ196661 ADF196661 ANB196661 AWX196661 BGT196661 BQP196661 CAL196661 CKH196661 CUD196661 DDZ196661 DNV196661 DXR196661 EHN196661 ERJ196661 FBF196661 FLB196661 FUX196661 GET196661 GOP196661 GYL196661 HIH196661 HSD196661 IBZ196661 ILV196661 IVR196661 JFN196661 JPJ196661 JZF196661 KJB196661 KSX196661 LCT196661 LMP196661 LWL196661 MGH196661 MQD196661 MZZ196661 NJV196661 NTR196661 ODN196661 ONJ196661 OXF196661 PHB196661 PQX196661 QAT196661 QKP196661 QUL196661 REH196661 ROD196661 RXZ196661 SHV196661 SRR196661 TBN196661 TLJ196661 TVF196661 UFB196661 UOX196661 UYT196661 VIP196661 VSL196661 WCH196661 WMD196661 WVZ196661 L262197 JN262197 TJ262197 ADF262197 ANB262197 AWX262197 BGT262197 BQP262197 CAL262197 CKH262197 CUD262197 DDZ262197 DNV262197 DXR262197 EHN262197 ERJ262197 FBF262197 FLB262197 FUX262197 GET262197 GOP262197 GYL262197 HIH262197 HSD262197 IBZ262197 ILV262197 IVR262197 JFN262197 JPJ262197 JZF262197 KJB262197 KSX262197 LCT262197 LMP262197 LWL262197 MGH262197 MQD262197 MZZ262197 NJV262197 NTR262197 ODN262197 ONJ262197 OXF262197 PHB262197 PQX262197 QAT262197 QKP262197 QUL262197 REH262197 ROD262197 RXZ262197 SHV262197 SRR262197 TBN262197 TLJ262197 TVF262197 UFB262197 UOX262197 UYT262197 VIP262197 VSL262197 WCH262197 WMD262197 WVZ262197 L327733 JN327733 TJ327733 ADF327733 ANB327733 AWX327733 BGT327733 BQP327733 CAL327733 CKH327733 CUD327733 DDZ327733 DNV327733 DXR327733 EHN327733 ERJ327733 FBF327733 FLB327733 FUX327733 GET327733 GOP327733 GYL327733 HIH327733 HSD327733 IBZ327733 ILV327733 IVR327733 JFN327733 JPJ327733 JZF327733 KJB327733 KSX327733 LCT327733 LMP327733 LWL327733 MGH327733 MQD327733 MZZ327733 NJV327733 NTR327733 ODN327733 ONJ327733 OXF327733 PHB327733 PQX327733 QAT327733 QKP327733 QUL327733 REH327733 ROD327733 RXZ327733 SHV327733 SRR327733 TBN327733 TLJ327733 TVF327733 UFB327733 UOX327733 UYT327733 VIP327733 VSL327733 WCH327733 WMD327733 WVZ327733 L393269 JN393269 TJ393269 ADF393269 ANB393269 AWX393269 BGT393269 BQP393269 CAL393269 CKH393269 CUD393269 DDZ393269 DNV393269 DXR393269 EHN393269 ERJ393269 FBF393269 FLB393269 FUX393269 GET393269 GOP393269 GYL393269 HIH393269 HSD393269 IBZ393269 ILV393269 IVR393269 JFN393269 JPJ393269 JZF393269 KJB393269 KSX393269 LCT393269 LMP393269 LWL393269 MGH393269 MQD393269 MZZ393269 NJV393269 NTR393269 ODN393269 ONJ393269 OXF393269 PHB393269 PQX393269 QAT393269 QKP393269 QUL393269 REH393269 ROD393269 RXZ393269 SHV393269 SRR393269 TBN393269 TLJ393269 TVF393269 UFB393269 UOX393269 UYT393269 VIP393269 VSL393269 WCH393269 WMD393269 WVZ393269 L458805 JN458805 TJ458805 ADF458805 ANB458805 AWX458805 BGT458805 BQP458805 CAL458805 CKH458805 CUD458805 DDZ458805 DNV458805 DXR458805 EHN458805 ERJ458805 FBF458805 FLB458805 FUX458805 GET458805 GOP458805 GYL458805 HIH458805 HSD458805 IBZ458805 ILV458805 IVR458805 JFN458805 JPJ458805 JZF458805 KJB458805 KSX458805 LCT458805 LMP458805 LWL458805 MGH458805 MQD458805 MZZ458805 NJV458805 NTR458805 ODN458805 ONJ458805 OXF458805 PHB458805 PQX458805 QAT458805 QKP458805 QUL458805 REH458805 ROD458805 RXZ458805 SHV458805 SRR458805 TBN458805 TLJ458805 TVF458805 UFB458805 UOX458805 UYT458805 VIP458805 VSL458805 WCH458805 WMD458805 WVZ458805 L524341 JN524341 TJ524341 ADF524341 ANB524341 AWX524341 BGT524341 BQP524341 CAL524341 CKH524341 CUD524341 DDZ524341 DNV524341 DXR524341 EHN524341 ERJ524341 FBF524341 FLB524341 FUX524341 GET524341 GOP524341 GYL524341 HIH524341 HSD524341 IBZ524341 ILV524341 IVR524341 JFN524341 JPJ524341 JZF524341 KJB524341 KSX524341 LCT524341 LMP524341 LWL524341 MGH524341 MQD524341 MZZ524341 NJV524341 NTR524341 ODN524341 ONJ524341 OXF524341 PHB524341 PQX524341 QAT524341 QKP524341 QUL524341 REH524341 ROD524341 RXZ524341 SHV524341 SRR524341 TBN524341 TLJ524341 TVF524341 UFB524341 UOX524341 UYT524341 VIP524341 VSL524341 WCH524341 WMD524341 WVZ524341 L589877 JN589877 TJ589877 ADF589877 ANB589877 AWX589877 BGT589877 BQP589877 CAL589877 CKH589877 CUD589877 DDZ589877 DNV589877 DXR589877 EHN589877 ERJ589877 FBF589877 FLB589877 FUX589877 GET589877 GOP589877 GYL589877 HIH589877 HSD589877 IBZ589877 ILV589877 IVR589877 JFN589877 JPJ589877 JZF589877 KJB589877 KSX589877 LCT589877 LMP589877 LWL589877 MGH589877 MQD589877 MZZ589877 NJV589877 NTR589877 ODN589877 ONJ589877 OXF589877 PHB589877 PQX589877 QAT589877 QKP589877 QUL589877 REH589877 ROD589877 RXZ589877 SHV589877 SRR589877 TBN589877 TLJ589877 TVF589877 UFB589877 UOX589877 UYT589877 VIP589877 VSL589877 WCH589877 WMD589877 WVZ589877 L655413 JN655413 TJ655413 ADF655413 ANB655413 AWX655413 BGT655413 BQP655413 CAL655413 CKH655413 CUD655413 DDZ655413 DNV655413 DXR655413 EHN655413 ERJ655413 FBF655413 FLB655413 FUX655413 GET655413 GOP655413 GYL655413 HIH655413 HSD655413 IBZ655413 ILV655413 IVR655413 JFN655413 JPJ655413 JZF655413 KJB655413 KSX655413 LCT655413 LMP655413 LWL655413 MGH655413 MQD655413 MZZ655413 NJV655413 NTR655413 ODN655413 ONJ655413 OXF655413 PHB655413 PQX655413 QAT655413 QKP655413 QUL655413 REH655413 ROD655413 RXZ655413 SHV655413 SRR655413 TBN655413 TLJ655413 TVF655413 UFB655413 UOX655413 UYT655413 VIP655413 VSL655413 WCH655413 WMD655413 WVZ655413 L720949 JN720949 TJ720949 ADF720949 ANB720949 AWX720949 BGT720949 BQP720949 CAL720949 CKH720949 CUD720949 DDZ720949 DNV720949 DXR720949 EHN720949 ERJ720949 FBF720949 FLB720949 FUX720949 GET720949 GOP720949 GYL720949 HIH720949 HSD720949 IBZ720949 ILV720949 IVR720949 JFN720949 JPJ720949 JZF720949 KJB720949 KSX720949 LCT720949 LMP720949 LWL720949 MGH720949 MQD720949 MZZ720949 NJV720949 NTR720949 ODN720949 ONJ720949 OXF720949 PHB720949 PQX720949 QAT720949 QKP720949 QUL720949 REH720949 ROD720949 RXZ720949 SHV720949 SRR720949 TBN720949 TLJ720949 TVF720949 UFB720949 UOX720949 UYT720949 VIP720949 VSL720949 WCH720949 WMD720949 WVZ720949 L786485 JN786485 TJ786485 ADF786485 ANB786485 AWX786485 BGT786485 BQP786485 CAL786485 CKH786485 CUD786485 DDZ786485 DNV786485 DXR786485 EHN786485 ERJ786485 FBF786485 FLB786485 FUX786485 GET786485 GOP786485 GYL786485 HIH786485 HSD786485 IBZ786485 ILV786485 IVR786485 JFN786485 JPJ786485 JZF786485 KJB786485 KSX786485 LCT786485 LMP786485 LWL786485 MGH786485 MQD786485 MZZ786485 NJV786485 NTR786485 ODN786485 ONJ786485 OXF786485 PHB786485 PQX786485 QAT786485 QKP786485 QUL786485 REH786485 ROD786485 RXZ786485 SHV786485 SRR786485 TBN786485 TLJ786485 TVF786485 UFB786485 UOX786485 UYT786485 VIP786485 VSL786485 WCH786485 WMD786485 WVZ786485 L852021 JN852021 TJ852021 ADF852021 ANB852021 AWX852021 BGT852021 BQP852021 CAL852021 CKH852021 CUD852021 DDZ852021 DNV852021 DXR852021 EHN852021 ERJ852021 FBF852021 FLB852021 FUX852021 GET852021 GOP852021 GYL852021 HIH852021 HSD852021 IBZ852021 ILV852021 IVR852021 JFN852021 JPJ852021 JZF852021 KJB852021 KSX852021 LCT852021 LMP852021 LWL852021 MGH852021 MQD852021 MZZ852021 NJV852021 NTR852021 ODN852021 ONJ852021 OXF852021 PHB852021 PQX852021 QAT852021 QKP852021 QUL852021 REH852021 ROD852021 RXZ852021 SHV852021 SRR852021 TBN852021 TLJ852021 TVF852021 UFB852021 UOX852021 UYT852021 VIP852021 VSL852021 WCH852021 WMD852021 WVZ852021 L917557 JN917557 TJ917557 ADF917557 ANB917557 AWX917557 BGT917557 BQP917557 CAL917557 CKH917557 CUD917557 DDZ917557 DNV917557 DXR917557 EHN917557 ERJ917557 FBF917557 FLB917557 FUX917557 GET917557 GOP917557 GYL917557 HIH917557 HSD917557 IBZ917557 ILV917557 IVR917557 JFN917557 JPJ917557 JZF917557 KJB917557 KSX917557 LCT917557 LMP917557 LWL917557 MGH917557 MQD917557 MZZ917557 NJV917557 NTR917557 ODN917557 ONJ917557 OXF917557 PHB917557 PQX917557 QAT917557 QKP917557 QUL917557 REH917557 ROD917557 RXZ917557 SHV917557 SRR917557 TBN917557 TLJ917557 TVF917557 UFB917557 UOX917557 UYT917557 VIP917557 VSL917557 WCH917557 WMD917557 WVZ917557 L983093 JN983093 TJ983093 ADF983093 ANB983093 AWX983093 BGT983093 BQP983093 CAL983093 CKH983093 CUD983093 DDZ983093 DNV983093 DXR983093 EHN983093 ERJ983093 FBF983093 FLB983093 FUX983093 GET983093 GOP983093 GYL983093 HIH983093 HSD983093 IBZ983093 ILV983093 IVR983093 JFN983093 JPJ983093 JZF983093 KJB983093 KSX983093 LCT983093 LMP983093 LWL983093 MGH983093 MQD983093 MZZ983093 NJV983093 NTR983093 ODN983093 ONJ983093 OXF983093 PHB983093 PQX983093 QAT983093 QKP983093 QUL983093 REH983093 ROD983093 RXZ983093 SHV983093 SRR983093 TBN983093 TLJ983093 TVF983093 UFB983093 UOX983093 UYT983093 VIP983093 VSL983093 WCH983093 WMD983093 WVZ983093" xr:uid="{00000000-0002-0000-1100-000001000000}"/>
    <dataValidation type="decimal" allowBlank="1" showInputMessage="1" showErrorMessage="1" errorTitle="Error" error="Mayor o igual a 1 y Menor al Ofertado" promptTitle="Porcentaje de AIU" prompt="Mayor o igual a 1 y Menor al Ofertado" sqref="WWB983096 JP56 TL56 ADH56 AND56 AWZ56 BGV56 BQR56 CAN56 CKJ56 CUF56 DEB56 DNX56 DXT56 EHP56 ERL56 FBH56 FLD56 FUZ56 GEV56 GOR56 GYN56 HIJ56 HSF56 ICB56 ILX56 IVT56 JFP56 JPL56 JZH56 KJD56 KSZ56 LCV56 LMR56 LWN56 MGJ56 MQF56 NAB56 NJX56 NTT56 ODP56 ONL56 OXH56 PHD56 PQZ56 QAV56 QKR56 QUN56 REJ56 ROF56 RYB56 SHX56 SRT56 TBP56 TLL56 TVH56 UFD56 UOZ56 UYV56 VIR56 VSN56 WCJ56 WMF56 WWB56 N65592 JP65592 TL65592 ADH65592 AND65592 AWZ65592 BGV65592 BQR65592 CAN65592 CKJ65592 CUF65592 DEB65592 DNX65592 DXT65592 EHP65592 ERL65592 FBH65592 FLD65592 FUZ65592 GEV65592 GOR65592 GYN65592 HIJ65592 HSF65592 ICB65592 ILX65592 IVT65592 JFP65592 JPL65592 JZH65592 KJD65592 KSZ65592 LCV65592 LMR65592 LWN65592 MGJ65592 MQF65592 NAB65592 NJX65592 NTT65592 ODP65592 ONL65592 OXH65592 PHD65592 PQZ65592 QAV65592 QKR65592 QUN65592 REJ65592 ROF65592 RYB65592 SHX65592 SRT65592 TBP65592 TLL65592 TVH65592 UFD65592 UOZ65592 UYV65592 VIR65592 VSN65592 WCJ65592 WMF65592 WWB65592 N131128 JP131128 TL131128 ADH131128 AND131128 AWZ131128 BGV131128 BQR131128 CAN131128 CKJ131128 CUF131128 DEB131128 DNX131128 DXT131128 EHP131128 ERL131128 FBH131128 FLD131128 FUZ131128 GEV131128 GOR131128 GYN131128 HIJ131128 HSF131128 ICB131128 ILX131128 IVT131128 JFP131128 JPL131128 JZH131128 KJD131128 KSZ131128 LCV131128 LMR131128 LWN131128 MGJ131128 MQF131128 NAB131128 NJX131128 NTT131128 ODP131128 ONL131128 OXH131128 PHD131128 PQZ131128 QAV131128 QKR131128 QUN131128 REJ131128 ROF131128 RYB131128 SHX131128 SRT131128 TBP131128 TLL131128 TVH131128 UFD131128 UOZ131128 UYV131128 VIR131128 VSN131128 WCJ131128 WMF131128 WWB131128 N196664 JP196664 TL196664 ADH196664 AND196664 AWZ196664 BGV196664 BQR196664 CAN196664 CKJ196664 CUF196664 DEB196664 DNX196664 DXT196664 EHP196664 ERL196664 FBH196664 FLD196664 FUZ196664 GEV196664 GOR196664 GYN196664 HIJ196664 HSF196664 ICB196664 ILX196664 IVT196664 JFP196664 JPL196664 JZH196664 KJD196664 KSZ196664 LCV196664 LMR196664 LWN196664 MGJ196664 MQF196664 NAB196664 NJX196664 NTT196664 ODP196664 ONL196664 OXH196664 PHD196664 PQZ196664 QAV196664 QKR196664 QUN196664 REJ196664 ROF196664 RYB196664 SHX196664 SRT196664 TBP196664 TLL196664 TVH196664 UFD196664 UOZ196664 UYV196664 VIR196664 VSN196664 WCJ196664 WMF196664 WWB196664 N262200 JP262200 TL262200 ADH262200 AND262200 AWZ262200 BGV262200 BQR262200 CAN262200 CKJ262200 CUF262200 DEB262200 DNX262200 DXT262200 EHP262200 ERL262200 FBH262200 FLD262200 FUZ262200 GEV262200 GOR262200 GYN262200 HIJ262200 HSF262200 ICB262200 ILX262200 IVT262200 JFP262200 JPL262200 JZH262200 KJD262200 KSZ262200 LCV262200 LMR262200 LWN262200 MGJ262200 MQF262200 NAB262200 NJX262200 NTT262200 ODP262200 ONL262200 OXH262200 PHD262200 PQZ262200 QAV262200 QKR262200 QUN262200 REJ262200 ROF262200 RYB262200 SHX262200 SRT262200 TBP262200 TLL262200 TVH262200 UFD262200 UOZ262200 UYV262200 VIR262200 VSN262200 WCJ262200 WMF262200 WWB262200 N327736 JP327736 TL327736 ADH327736 AND327736 AWZ327736 BGV327736 BQR327736 CAN327736 CKJ327736 CUF327736 DEB327736 DNX327736 DXT327736 EHP327736 ERL327736 FBH327736 FLD327736 FUZ327736 GEV327736 GOR327736 GYN327736 HIJ327736 HSF327736 ICB327736 ILX327736 IVT327736 JFP327736 JPL327736 JZH327736 KJD327736 KSZ327736 LCV327736 LMR327736 LWN327736 MGJ327736 MQF327736 NAB327736 NJX327736 NTT327736 ODP327736 ONL327736 OXH327736 PHD327736 PQZ327736 QAV327736 QKR327736 QUN327736 REJ327736 ROF327736 RYB327736 SHX327736 SRT327736 TBP327736 TLL327736 TVH327736 UFD327736 UOZ327736 UYV327736 VIR327736 VSN327736 WCJ327736 WMF327736 WWB327736 N393272 JP393272 TL393272 ADH393272 AND393272 AWZ393272 BGV393272 BQR393272 CAN393272 CKJ393272 CUF393272 DEB393272 DNX393272 DXT393272 EHP393272 ERL393272 FBH393272 FLD393272 FUZ393272 GEV393272 GOR393272 GYN393272 HIJ393272 HSF393272 ICB393272 ILX393272 IVT393272 JFP393272 JPL393272 JZH393272 KJD393272 KSZ393272 LCV393272 LMR393272 LWN393272 MGJ393272 MQF393272 NAB393272 NJX393272 NTT393272 ODP393272 ONL393272 OXH393272 PHD393272 PQZ393272 QAV393272 QKR393272 QUN393272 REJ393272 ROF393272 RYB393272 SHX393272 SRT393272 TBP393272 TLL393272 TVH393272 UFD393272 UOZ393272 UYV393272 VIR393272 VSN393272 WCJ393272 WMF393272 WWB393272 N458808 JP458808 TL458808 ADH458808 AND458808 AWZ458808 BGV458808 BQR458808 CAN458808 CKJ458808 CUF458808 DEB458808 DNX458808 DXT458808 EHP458808 ERL458808 FBH458808 FLD458808 FUZ458808 GEV458808 GOR458808 GYN458808 HIJ458808 HSF458808 ICB458808 ILX458808 IVT458808 JFP458808 JPL458808 JZH458808 KJD458808 KSZ458808 LCV458808 LMR458808 LWN458808 MGJ458808 MQF458808 NAB458808 NJX458808 NTT458808 ODP458808 ONL458808 OXH458808 PHD458808 PQZ458808 QAV458808 QKR458808 QUN458808 REJ458808 ROF458808 RYB458808 SHX458808 SRT458808 TBP458808 TLL458808 TVH458808 UFD458808 UOZ458808 UYV458808 VIR458808 VSN458808 WCJ458808 WMF458808 WWB458808 N524344 JP524344 TL524344 ADH524344 AND524344 AWZ524344 BGV524344 BQR524344 CAN524344 CKJ524344 CUF524344 DEB524344 DNX524344 DXT524344 EHP524344 ERL524344 FBH524344 FLD524344 FUZ524344 GEV524344 GOR524344 GYN524344 HIJ524344 HSF524344 ICB524344 ILX524344 IVT524344 JFP524344 JPL524344 JZH524344 KJD524344 KSZ524344 LCV524344 LMR524344 LWN524344 MGJ524344 MQF524344 NAB524344 NJX524344 NTT524344 ODP524344 ONL524344 OXH524344 PHD524344 PQZ524344 QAV524344 QKR524344 QUN524344 REJ524344 ROF524344 RYB524344 SHX524344 SRT524344 TBP524344 TLL524344 TVH524344 UFD524344 UOZ524344 UYV524344 VIR524344 VSN524344 WCJ524344 WMF524344 WWB524344 N589880 JP589880 TL589880 ADH589880 AND589880 AWZ589880 BGV589880 BQR589880 CAN589880 CKJ589880 CUF589880 DEB589880 DNX589880 DXT589880 EHP589880 ERL589880 FBH589880 FLD589880 FUZ589880 GEV589880 GOR589880 GYN589880 HIJ589880 HSF589880 ICB589880 ILX589880 IVT589880 JFP589880 JPL589880 JZH589880 KJD589880 KSZ589880 LCV589880 LMR589880 LWN589880 MGJ589880 MQF589880 NAB589880 NJX589880 NTT589880 ODP589880 ONL589880 OXH589880 PHD589880 PQZ589880 QAV589880 QKR589880 QUN589880 REJ589880 ROF589880 RYB589880 SHX589880 SRT589880 TBP589880 TLL589880 TVH589880 UFD589880 UOZ589880 UYV589880 VIR589880 VSN589880 WCJ589880 WMF589880 WWB589880 N655416 JP655416 TL655416 ADH655416 AND655416 AWZ655416 BGV655416 BQR655416 CAN655416 CKJ655416 CUF655416 DEB655416 DNX655416 DXT655416 EHP655416 ERL655416 FBH655416 FLD655416 FUZ655416 GEV655416 GOR655416 GYN655416 HIJ655416 HSF655416 ICB655416 ILX655416 IVT655416 JFP655416 JPL655416 JZH655416 KJD655416 KSZ655416 LCV655416 LMR655416 LWN655416 MGJ655416 MQF655416 NAB655416 NJX655416 NTT655416 ODP655416 ONL655416 OXH655416 PHD655416 PQZ655416 QAV655416 QKR655416 QUN655416 REJ655416 ROF655416 RYB655416 SHX655416 SRT655416 TBP655416 TLL655416 TVH655416 UFD655416 UOZ655416 UYV655416 VIR655416 VSN655416 WCJ655416 WMF655416 WWB655416 N720952 JP720952 TL720952 ADH720952 AND720952 AWZ720952 BGV720952 BQR720952 CAN720952 CKJ720952 CUF720952 DEB720952 DNX720952 DXT720952 EHP720952 ERL720952 FBH720952 FLD720952 FUZ720952 GEV720952 GOR720952 GYN720952 HIJ720952 HSF720952 ICB720952 ILX720952 IVT720952 JFP720952 JPL720952 JZH720952 KJD720952 KSZ720952 LCV720952 LMR720952 LWN720952 MGJ720952 MQF720952 NAB720952 NJX720952 NTT720952 ODP720952 ONL720952 OXH720952 PHD720952 PQZ720952 QAV720952 QKR720952 QUN720952 REJ720952 ROF720952 RYB720952 SHX720952 SRT720952 TBP720952 TLL720952 TVH720952 UFD720952 UOZ720952 UYV720952 VIR720952 VSN720952 WCJ720952 WMF720952 WWB720952 N786488 JP786488 TL786488 ADH786488 AND786488 AWZ786488 BGV786488 BQR786488 CAN786488 CKJ786488 CUF786488 DEB786488 DNX786488 DXT786488 EHP786488 ERL786488 FBH786488 FLD786488 FUZ786488 GEV786488 GOR786488 GYN786488 HIJ786488 HSF786488 ICB786488 ILX786488 IVT786488 JFP786488 JPL786488 JZH786488 KJD786488 KSZ786488 LCV786488 LMR786488 LWN786488 MGJ786488 MQF786488 NAB786488 NJX786488 NTT786488 ODP786488 ONL786488 OXH786488 PHD786488 PQZ786488 QAV786488 QKR786488 QUN786488 REJ786488 ROF786488 RYB786488 SHX786488 SRT786488 TBP786488 TLL786488 TVH786488 UFD786488 UOZ786488 UYV786488 VIR786488 VSN786488 WCJ786488 WMF786488 WWB786488 N852024 JP852024 TL852024 ADH852024 AND852024 AWZ852024 BGV852024 BQR852024 CAN852024 CKJ852024 CUF852024 DEB852024 DNX852024 DXT852024 EHP852024 ERL852024 FBH852024 FLD852024 FUZ852024 GEV852024 GOR852024 GYN852024 HIJ852024 HSF852024 ICB852024 ILX852024 IVT852024 JFP852024 JPL852024 JZH852024 KJD852024 KSZ852024 LCV852024 LMR852024 LWN852024 MGJ852024 MQF852024 NAB852024 NJX852024 NTT852024 ODP852024 ONL852024 OXH852024 PHD852024 PQZ852024 QAV852024 QKR852024 QUN852024 REJ852024 ROF852024 RYB852024 SHX852024 SRT852024 TBP852024 TLL852024 TVH852024 UFD852024 UOZ852024 UYV852024 VIR852024 VSN852024 WCJ852024 WMF852024 WWB852024 N917560 JP917560 TL917560 ADH917560 AND917560 AWZ917560 BGV917560 BQR917560 CAN917560 CKJ917560 CUF917560 DEB917560 DNX917560 DXT917560 EHP917560 ERL917560 FBH917560 FLD917560 FUZ917560 GEV917560 GOR917560 GYN917560 HIJ917560 HSF917560 ICB917560 ILX917560 IVT917560 JFP917560 JPL917560 JZH917560 KJD917560 KSZ917560 LCV917560 LMR917560 LWN917560 MGJ917560 MQF917560 NAB917560 NJX917560 NTT917560 ODP917560 ONL917560 OXH917560 PHD917560 PQZ917560 QAV917560 QKR917560 QUN917560 REJ917560 ROF917560 RYB917560 SHX917560 SRT917560 TBP917560 TLL917560 TVH917560 UFD917560 UOZ917560 UYV917560 VIR917560 VSN917560 WCJ917560 WMF917560 WWB917560 N983096 JP983096 TL983096 ADH983096 AND983096 AWZ983096 BGV983096 BQR983096 CAN983096 CKJ983096 CUF983096 DEB983096 DNX983096 DXT983096 EHP983096 ERL983096 FBH983096 FLD983096 FUZ983096 GEV983096 GOR983096 GYN983096 HIJ983096 HSF983096 ICB983096 ILX983096 IVT983096 JFP983096 JPL983096 JZH983096 KJD983096 KSZ983096 LCV983096 LMR983096 LWN983096 MGJ983096 MQF983096 NAB983096 NJX983096 NTT983096 ODP983096 ONL983096 OXH983096 PHD983096 PQZ983096 QAV983096 QKR983096 QUN983096 REJ983096 ROF983096 RYB983096 SHX983096 SRT983096 TBP983096 TLL983096 TVH983096 UFD983096 UOZ983096 UYV983096 VIR983096 VSN983096 WCJ983096 WMF983096 N56:N57" xr:uid="{00000000-0002-0000-1100-000002000000}"/>
    <dataValidation operator="greaterThanOrEqual" allowBlank="1" showInputMessage="1" showErrorMessage="1" sqref="JK65587 TG65587 ADC65587 AMY65587 AWU65587 BGQ65587 BQM65587 CAI65587 CKE65587 CUA65587 DDW65587 DNS65587 DXO65587 EHK65587 ERG65587 FBC65587 FKY65587 FUU65587 GEQ65587 GOM65587 GYI65587 HIE65587 HSA65587 IBW65587 ILS65587 IVO65587 JFK65587 JPG65587 JZC65587 KIY65587 KSU65587 LCQ65587 LMM65587 LWI65587 MGE65587 MQA65587 MZW65587 NJS65587 NTO65587 ODK65587 ONG65587 OXC65587 PGY65587 PQU65587 QAQ65587 QKM65587 QUI65587 REE65587 ROA65587 RXW65587 SHS65587 SRO65587 TBK65587 TLG65587 TVC65587 UEY65587 UOU65587 UYQ65587 VIM65587 VSI65587 WCE65587 WMA65587 WVW65587 JK131123 TG131123 ADC131123 AMY131123 AWU131123 BGQ131123 BQM131123 CAI131123 CKE131123 CUA131123 DDW131123 DNS131123 DXO131123 EHK131123 ERG131123 FBC131123 FKY131123 FUU131123 GEQ131123 GOM131123 GYI131123 HIE131123 HSA131123 IBW131123 ILS131123 IVO131123 JFK131123 JPG131123 JZC131123 KIY131123 KSU131123 LCQ131123 LMM131123 LWI131123 MGE131123 MQA131123 MZW131123 NJS131123 NTO131123 ODK131123 ONG131123 OXC131123 PGY131123 PQU131123 QAQ131123 QKM131123 QUI131123 REE131123 ROA131123 RXW131123 SHS131123 SRO131123 TBK131123 TLG131123 TVC131123 UEY131123 UOU131123 UYQ131123 VIM131123 VSI131123 WCE131123 WMA131123 WVW131123 JK196659 TG196659 ADC196659 AMY196659 AWU196659 BGQ196659 BQM196659 CAI196659 CKE196659 CUA196659 DDW196659 DNS196659 DXO196659 EHK196659 ERG196659 FBC196659 FKY196659 FUU196659 GEQ196659 GOM196659 GYI196659 HIE196659 HSA196659 IBW196659 ILS196659 IVO196659 JFK196659 JPG196659 JZC196659 KIY196659 KSU196659 LCQ196659 LMM196659 LWI196659 MGE196659 MQA196659 MZW196659 NJS196659 NTO196659 ODK196659 ONG196659 OXC196659 PGY196659 PQU196659 QAQ196659 QKM196659 QUI196659 REE196659 ROA196659 RXW196659 SHS196659 SRO196659 TBK196659 TLG196659 TVC196659 UEY196659 UOU196659 UYQ196659 VIM196659 VSI196659 WCE196659 WMA196659 WVW196659 JK262195 TG262195 ADC262195 AMY262195 AWU262195 BGQ262195 BQM262195 CAI262195 CKE262195 CUA262195 DDW262195 DNS262195 DXO262195 EHK262195 ERG262195 FBC262195 FKY262195 FUU262195 GEQ262195 GOM262195 GYI262195 HIE262195 HSA262195 IBW262195 ILS262195 IVO262195 JFK262195 JPG262195 JZC262195 KIY262195 KSU262195 LCQ262195 LMM262195 LWI262195 MGE262195 MQA262195 MZW262195 NJS262195 NTO262195 ODK262195 ONG262195 OXC262195 PGY262195 PQU262195 QAQ262195 QKM262195 QUI262195 REE262195 ROA262195 RXW262195 SHS262195 SRO262195 TBK262195 TLG262195 TVC262195 UEY262195 UOU262195 UYQ262195 VIM262195 VSI262195 WCE262195 WMA262195 WVW262195 JK327731 TG327731 ADC327731 AMY327731 AWU327731 BGQ327731 BQM327731 CAI327731 CKE327731 CUA327731 DDW327731 DNS327731 DXO327731 EHK327731 ERG327731 FBC327731 FKY327731 FUU327731 GEQ327731 GOM327731 GYI327731 HIE327731 HSA327731 IBW327731 ILS327731 IVO327731 JFK327731 JPG327731 JZC327731 KIY327731 KSU327731 LCQ327731 LMM327731 LWI327731 MGE327731 MQA327731 MZW327731 NJS327731 NTO327731 ODK327731 ONG327731 OXC327731 PGY327731 PQU327731 QAQ327731 QKM327731 QUI327731 REE327731 ROA327731 RXW327731 SHS327731 SRO327731 TBK327731 TLG327731 TVC327731 UEY327731 UOU327731 UYQ327731 VIM327731 VSI327731 WCE327731 WMA327731 WVW327731 JK393267 TG393267 ADC393267 AMY393267 AWU393267 BGQ393267 BQM393267 CAI393267 CKE393267 CUA393267 DDW393267 DNS393267 DXO393267 EHK393267 ERG393267 FBC393267 FKY393267 FUU393267 GEQ393267 GOM393267 GYI393267 HIE393267 HSA393267 IBW393267 ILS393267 IVO393267 JFK393267 JPG393267 JZC393267 KIY393267 KSU393267 LCQ393267 LMM393267 LWI393267 MGE393267 MQA393267 MZW393267 NJS393267 NTO393267 ODK393267 ONG393267 OXC393267 PGY393267 PQU393267 QAQ393267 QKM393267 QUI393267 REE393267 ROA393267 RXW393267 SHS393267 SRO393267 TBK393267 TLG393267 TVC393267 UEY393267 UOU393267 UYQ393267 VIM393267 VSI393267 WCE393267 WMA393267 WVW393267 JK458803 TG458803 ADC458803 AMY458803 AWU458803 BGQ458803 BQM458803 CAI458803 CKE458803 CUA458803 DDW458803 DNS458803 DXO458803 EHK458803 ERG458803 FBC458803 FKY458803 FUU458803 GEQ458803 GOM458803 GYI458803 HIE458803 HSA458803 IBW458803 ILS458803 IVO458803 JFK458803 JPG458803 JZC458803 KIY458803 KSU458803 LCQ458803 LMM458803 LWI458803 MGE458803 MQA458803 MZW458803 NJS458803 NTO458803 ODK458803 ONG458803 OXC458803 PGY458803 PQU458803 QAQ458803 QKM458803 QUI458803 REE458803 ROA458803 RXW458803 SHS458803 SRO458803 TBK458803 TLG458803 TVC458803 UEY458803 UOU458803 UYQ458803 VIM458803 VSI458803 WCE458803 WMA458803 WVW458803 JK524339 TG524339 ADC524339 AMY524339 AWU524339 BGQ524339 BQM524339 CAI524339 CKE524339 CUA524339 DDW524339 DNS524339 DXO524339 EHK524339 ERG524339 FBC524339 FKY524339 FUU524339 GEQ524339 GOM524339 GYI524339 HIE524339 HSA524339 IBW524339 ILS524339 IVO524339 JFK524339 JPG524339 JZC524339 KIY524339 KSU524339 LCQ524339 LMM524339 LWI524339 MGE524339 MQA524339 MZW524339 NJS524339 NTO524339 ODK524339 ONG524339 OXC524339 PGY524339 PQU524339 QAQ524339 QKM524339 QUI524339 REE524339 ROA524339 RXW524339 SHS524339 SRO524339 TBK524339 TLG524339 TVC524339 UEY524339 UOU524339 UYQ524339 VIM524339 VSI524339 WCE524339 WMA524339 WVW524339 JK589875 TG589875 ADC589875 AMY589875 AWU589875 BGQ589875 BQM589875 CAI589875 CKE589875 CUA589875 DDW589875 DNS589875 DXO589875 EHK589875 ERG589875 FBC589875 FKY589875 FUU589875 GEQ589875 GOM589875 GYI589875 HIE589875 HSA589875 IBW589875 ILS589875 IVO589875 JFK589875 JPG589875 JZC589875 KIY589875 KSU589875 LCQ589875 LMM589875 LWI589875 MGE589875 MQA589875 MZW589875 NJS589875 NTO589875 ODK589875 ONG589875 OXC589875 PGY589875 PQU589875 QAQ589875 QKM589875 QUI589875 REE589875 ROA589875 RXW589875 SHS589875 SRO589875 TBK589875 TLG589875 TVC589875 UEY589875 UOU589875 UYQ589875 VIM589875 VSI589875 WCE589875 WMA589875 WVW589875 JK655411 TG655411 ADC655411 AMY655411 AWU655411 BGQ655411 BQM655411 CAI655411 CKE655411 CUA655411 DDW655411 DNS655411 DXO655411 EHK655411 ERG655411 FBC655411 FKY655411 FUU655411 GEQ655411 GOM655411 GYI655411 HIE655411 HSA655411 IBW655411 ILS655411 IVO655411 JFK655411 JPG655411 JZC655411 KIY655411 KSU655411 LCQ655411 LMM655411 LWI655411 MGE655411 MQA655411 MZW655411 NJS655411 NTO655411 ODK655411 ONG655411 OXC655411 PGY655411 PQU655411 QAQ655411 QKM655411 QUI655411 REE655411 ROA655411 RXW655411 SHS655411 SRO655411 TBK655411 TLG655411 TVC655411 UEY655411 UOU655411 UYQ655411 VIM655411 VSI655411 WCE655411 WMA655411 WVW655411 JK720947 TG720947 ADC720947 AMY720947 AWU720947 BGQ720947 BQM720947 CAI720947 CKE720947 CUA720947 DDW720947 DNS720947 DXO720947 EHK720947 ERG720947 FBC720947 FKY720947 FUU720947 GEQ720947 GOM720947 GYI720947 HIE720947 HSA720947 IBW720947 ILS720947 IVO720947 JFK720947 JPG720947 JZC720947 KIY720947 KSU720947 LCQ720947 LMM720947 LWI720947 MGE720947 MQA720947 MZW720947 NJS720947 NTO720947 ODK720947 ONG720947 OXC720947 PGY720947 PQU720947 QAQ720947 QKM720947 QUI720947 REE720947 ROA720947 RXW720947 SHS720947 SRO720947 TBK720947 TLG720947 TVC720947 UEY720947 UOU720947 UYQ720947 VIM720947 VSI720947 WCE720947 WMA720947 WVW720947 JK786483 TG786483 ADC786483 AMY786483 AWU786483 BGQ786483 BQM786483 CAI786483 CKE786483 CUA786483 DDW786483 DNS786483 DXO786483 EHK786483 ERG786483 FBC786483 FKY786483 FUU786483 GEQ786483 GOM786483 GYI786483 HIE786483 HSA786483 IBW786483 ILS786483 IVO786483 JFK786483 JPG786483 JZC786483 KIY786483 KSU786483 LCQ786483 LMM786483 LWI786483 MGE786483 MQA786483 MZW786483 NJS786483 NTO786483 ODK786483 ONG786483 OXC786483 PGY786483 PQU786483 QAQ786483 QKM786483 QUI786483 REE786483 ROA786483 RXW786483 SHS786483 SRO786483 TBK786483 TLG786483 TVC786483 UEY786483 UOU786483 UYQ786483 VIM786483 VSI786483 WCE786483 WMA786483 WVW786483 JK852019 TG852019 ADC852019 AMY852019 AWU852019 BGQ852019 BQM852019 CAI852019 CKE852019 CUA852019 DDW852019 DNS852019 DXO852019 EHK852019 ERG852019 FBC852019 FKY852019 FUU852019 GEQ852019 GOM852019 GYI852019 HIE852019 HSA852019 IBW852019 ILS852019 IVO852019 JFK852019 JPG852019 JZC852019 KIY852019 KSU852019 LCQ852019 LMM852019 LWI852019 MGE852019 MQA852019 MZW852019 NJS852019 NTO852019 ODK852019 ONG852019 OXC852019 PGY852019 PQU852019 QAQ852019 QKM852019 QUI852019 REE852019 ROA852019 RXW852019 SHS852019 SRO852019 TBK852019 TLG852019 TVC852019 UEY852019 UOU852019 UYQ852019 VIM852019 VSI852019 WCE852019 WMA852019 WVW852019 JK917555 TG917555 ADC917555 AMY917555 AWU917555 BGQ917555 BQM917555 CAI917555 CKE917555 CUA917555 DDW917555 DNS917555 DXO917555 EHK917555 ERG917555 FBC917555 FKY917555 FUU917555 GEQ917555 GOM917555 GYI917555 HIE917555 HSA917555 IBW917555 ILS917555 IVO917555 JFK917555 JPG917555 JZC917555 KIY917555 KSU917555 LCQ917555 LMM917555 LWI917555 MGE917555 MQA917555 MZW917555 NJS917555 NTO917555 ODK917555 ONG917555 OXC917555 PGY917555 PQU917555 QAQ917555 QKM917555 QUI917555 REE917555 ROA917555 RXW917555 SHS917555 SRO917555 TBK917555 TLG917555 TVC917555 UEY917555 UOU917555 UYQ917555 VIM917555 VSI917555 WCE917555 WMA917555 WVW917555 JK983091 TG983091 ADC983091 AMY983091 AWU983091 BGQ983091 BQM983091 CAI983091 CKE983091 CUA983091 DDW983091 DNS983091 DXO983091 EHK983091 ERG983091 FBC983091 FKY983091 FUU983091 GEQ983091 GOM983091 GYI983091 HIE983091 HSA983091 IBW983091 ILS983091 IVO983091 JFK983091 JPG983091 JZC983091 KIY983091 KSU983091 LCQ983091 LMM983091 LWI983091 MGE983091 MQA983091 MZW983091 NJS983091 NTO983091 ODK983091 ONG983091 OXC983091 PGY983091 PQU983091 QAQ983091 QKM983091 QUI983091 REE983091 ROA983091 RXW983091 SHS983091 SRO983091 TBK983091 TLG983091 TVC983091 UEY983091 UOU983091 UYQ983091 VIM983091 VSI983091 WCE983091 WMA983091 WVW983091" xr:uid="{00000000-0002-0000-1100-000003000000}"/>
    <dataValidation type="custom" operator="greaterThanOrEqual" allowBlank="1" showInputMessage="1" showErrorMessage="1" errorTitle="Error" error="El porcentaje que ingreso no esta en este rango 0%-100%, o el resultado del descuento en menor al precio piso $ 2,700,125" promptTitle="Porcentaje Descuento" prompt="Ingrese % de descuento de 0%-100% y el resultado del descuento no puede ser menor al precio piso $ 2,700,125" sqref="WVW983086:WVW983090 JK65582:JK65586 TG65582:TG65586 ADC65582:ADC65586 AMY65582:AMY65586 AWU65582:AWU65586 BGQ65582:BGQ65586 BQM65582:BQM65586 CAI65582:CAI65586 CKE65582:CKE65586 CUA65582:CUA65586 DDW65582:DDW65586 DNS65582:DNS65586 DXO65582:DXO65586 EHK65582:EHK65586 ERG65582:ERG65586 FBC65582:FBC65586 FKY65582:FKY65586 FUU65582:FUU65586 GEQ65582:GEQ65586 GOM65582:GOM65586 GYI65582:GYI65586 HIE65582:HIE65586 HSA65582:HSA65586 IBW65582:IBW65586 ILS65582:ILS65586 IVO65582:IVO65586 JFK65582:JFK65586 JPG65582:JPG65586 JZC65582:JZC65586 KIY65582:KIY65586 KSU65582:KSU65586 LCQ65582:LCQ65586 LMM65582:LMM65586 LWI65582:LWI65586 MGE65582:MGE65586 MQA65582:MQA65586 MZW65582:MZW65586 NJS65582:NJS65586 NTO65582:NTO65586 ODK65582:ODK65586 ONG65582:ONG65586 OXC65582:OXC65586 PGY65582:PGY65586 PQU65582:PQU65586 QAQ65582:QAQ65586 QKM65582:QKM65586 QUI65582:QUI65586 REE65582:REE65586 ROA65582:ROA65586 RXW65582:RXW65586 SHS65582:SHS65586 SRO65582:SRO65586 TBK65582:TBK65586 TLG65582:TLG65586 TVC65582:TVC65586 UEY65582:UEY65586 UOU65582:UOU65586 UYQ65582:UYQ65586 VIM65582:VIM65586 VSI65582:VSI65586 WCE65582:WCE65586 WMA65582:WMA65586 WVW65582:WVW65586 JK131118:JK131122 TG131118:TG131122 ADC131118:ADC131122 AMY131118:AMY131122 AWU131118:AWU131122 BGQ131118:BGQ131122 BQM131118:BQM131122 CAI131118:CAI131122 CKE131118:CKE131122 CUA131118:CUA131122 DDW131118:DDW131122 DNS131118:DNS131122 DXO131118:DXO131122 EHK131118:EHK131122 ERG131118:ERG131122 FBC131118:FBC131122 FKY131118:FKY131122 FUU131118:FUU131122 GEQ131118:GEQ131122 GOM131118:GOM131122 GYI131118:GYI131122 HIE131118:HIE131122 HSA131118:HSA131122 IBW131118:IBW131122 ILS131118:ILS131122 IVO131118:IVO131122 JFK131118:JFK131122 JPG131118:JPG131122 JZC131118:JZC131122 KIY131118:KIY131122 KSU131118:KSU131122 LCQ131118:LCQ131122 LMM131118:LMM131122 LWI131118:LWI131122 MGE131118:MGE131122 MQA131118:MQA131122 MZW131118:MZW131122 NJS131118:NJS131122 NTO131118:NTO131122 ODK131118:ODK131122 ONG131118:ONG131122 OXC131118:OXC131122 PGY131118:PGY131122 PQU131118:PQU131122 QAQ131118:QAQ131122 QKM131118:QKM131122 QUI131118:QUI131122 REE131118:REE131122 ROA131118:ROA131122 RXW131118:RXW131122 SHS131118:SHS131122 SRO131118:SRO131122 TBK131118:TBK131122 TLG131118:TLG131122 TVC131118:TVC131122 UEY131118:UEY131122 UOU131118:UOU131122 UYQ131118:UYQ131122 VIM131118:VIM131122 VSI131118:VSI131122 WCE131118:WCE131122 WMA131118:WMA131122 WVW131118:WVW131122 JK196654:JK196658 TG196654:TG196658 ADC196654:ADC196658 AMY196654:AMY196658 AWU196654:AWU196658 BGQ196654:BGQ196658 BQM196654:BQM196658 CAI196654:CAI196658 CKE196654:CKE196658 CUA196654:CUA196658 DDW196654:DDW196658 DNS196654:DNS196658 DXO196654:DXO196658 EHK196654:EHK196658 ERG196654:ERG196658 FBC196654:FBC196658 FKY196654:FKY196658 FUU196654:FUU196658 GEQ196654:GEQ196658 GOM196654:GOM196658 GYI196654:GYI196658 HIE196654:HIE196658 HSA196654:HSA196658 IBW196654:IBW196658 ILS196654:ILS196658 IVO196654:IVO196658 JFK196654:JFK196658 JPG196654:JPG196658 JZC196654:JZC196658 KIY196654:KIY196658 KSU196654:KSU196658 LCQ196654:LCQ196658 LMM196654:LMM196658 LWI196654:LWI196658 MGE196654:MGE196658 MQA196654:MQA196658 MZW196654:MZW196658 NJS196654:NJS196658 NTO196654:NTO196658 ODK196654:ODK196658 ONG196654:ONG196658 OXC196654:OXC196658 PGY196654:PGY196658 PQU196654:PQU196658 QAQ196654:QAQ196658 QKM196654:QKM196658 QUI196654:QUI196658 REE196654:REE196658 ROA196654:ROA196658 RXW196654:RXW196658 SHS196654:SHS196658 SRO196654:SRO196658 TBK196654:TBK196658 TLG196654:TLG196658 TVC196654:TVC196658 UEY196654:UEY196658 UOU196654:UOU196658 UYQ196654:UYQ196658 VIM196654:VIM196658 VSI196654:VSI196658 WCE196654:WCE196658 WMA196654:WMA196658 WVW196654:WVW196658 JK262190:JK262194 TG262190:TG262194 ADC262190:ADC262194 AMY262190:AMY262194 AWU262190:AWU262194 BGQ262190:BGQ262194 BQM262190:BQM262194 CAI262190:CAI262194 CKE262190:CKE262194 CUA262190:CUA262194 DDW262190:DDW262194 DNS262190:DNS262194 DXO262190:DXO262194 EHK262190:EHK262194 ERG262190:ERG262194 FBC262190:FBC262194 FKY262190:FKY262194 FUU262190:FUU262194 GEQ262190:GEQ262194 GOM262190:GOM262194 GYI262190:GYI262194 HIE262190:HIE262194 HSA262190:HSA262194 IBW262190:IBW262194 ILS262190:ILS262194 IVO262190:IVO262194 JFK262190:JFK262194 JPG262190:JPG262194 JZC262190:JZC262194 KIY262190:KIY262194 KSU262190:KSU262194 LCQ262190:LCQ262194 LMM262190:LMM262194 LWI262190:LWI262194 MGE262190:MGE262194 MQA262190:MQA262194 MZW262190:MZW262194 NJS262190:NJS262194 NTO262190:NTO262194 ODK262190:ODK262194 ONG262190:ONG262194 OXC262190:OXC262194 PGY262190:PGY262194 PQU262190:PQU262194 QAQ262190:QAQ262194 QKM262190:QKM262194 QUI262190:QUI262194 REE262190:REE262194 ROA262190:ROA262194 RXW262190:RXW262194 SHS262190:SHS262194 SRO262190:SRO262194 TBK262190:TBK262194 TLG262190:TLG262194 TVC262190:TVC262194 UEY262190:UEY262194 UOU262190:UOU262194 UYQ262190:UYQ262194 VIM262190:VIM262194 VSI262190:VSI262194 WCE262190:WCE262194 WMA262190:WMA262194 WVW262190:WVW262194 JK327726:JK327730 TG327726:TG327730 ADC327726:ADC327730 AMY327726:AMY327730 AWU327726:AWU327730 BGQ327726:BGQ327730 BQM327726:BQM327730 CAI327726:CAI327730 CKE327726:CKE327730 CUA327726:CUA327730 DDW327726:DDW327730 DNS327726:DNS327730 DXO327726:DXO327730 EHK327726:EHK327730 ERG327726:ERG327730 FBC327726:FBC327730 FKY327726:FKY327730 FUU327726:FUU327730 GEQ327726:GEQ327730 GOM327726:GOM327730 GYI327726:GYI327730 HIE327726:HIE327730 HSA327726:HSA327730 IBW327726:IBW327730 ILS327726:ILS327730 IVO327726:IVO327730 JFK327726:JFK327730 JPG327726:JPG327730 JZC327726:JZC327730 KIY327726:KIY327730 KSU327726:KSU327730 LCQ327726:LCQ327730 LMM327726:LMM327730 LWI327726:LWI327730 MGE327726:MGE327730 MQA327726:MQA327730 MZW327726:MZW327730 NJS327726:NJS327730 NTO327726:NTO327730 ODK327726:ODK327730 ONG327726:ONG327730 OXC327726:OXC327730 PGY327726:PGY327730 PQU327726:PQU327730 QAQ327726:QAQ327730 QKM327726:QKM327730 QUI327726:QUI327730 REE327726:REE327730 ROA327726:ROA327730 RXW327726:RXW327730 SHS327726:SHS327730 SRO327726:SRO327730 TBK327726:TBK327730 TLG327726:TLG327730 TVC327726:TVC327730 UEY327726:UEY327730 UOU327726:UOU327730 UYQ327726:UYQ327730 VIM327726:VIM327730 VSI327726:VSI327730 WCE327726:WCE327730 WMA327726:WMA327730 WVW327726:WVW327730 JK393262:JK393266 TG393262:TG393266 ADC393262:ADC393266 AMY393262:AMY393266 AWU393262:AWU393266 BGQ393262:BGQ393266 BQM393262:BQM393266 CAI393262:CAI393266 CKE393262:CKE393266 CUA393262:CUA393266 DDW393262:DDW393266 DNS393262:DNS393266 DXO393262:DXO393266 EHK393262:EHK393266 ERG393262:ERG393266 FBC393262:FBC393266 FKY393262:FKY393266 FUU393262:FUU393266 GEQ393262:GEQ393266 GOM393262:GOM393266 GYI393262:GYI393266 HIE393262:HIE393266 HSA393262:HSA393266 IBW393262:IBW393266 ILS393262:ILS393266 IVO393262:IVO393266 JFK393262:JFK393266 JPG393262:JPG393266 JZC393262:JZC393266 KIY393262:KIY393266 KSU393262:KSU393266 LCQ393262:LCQ393266 LMM393262:LMM393266 LWI393262:LWI393266 MGE393262:MGE393266 MQA393262:MQA393266 MZW393262:MZW393266 NJS393262:NJS393266 NTO393262:NTO393266 ODK393262:ODK393266 ONG393262:ONG393266 OXC393262:OXC393266 PGY393262:PGY393266 PQU393262:PQU393266 QAQ393262:QAQ393266 QKM393262:QKM393266 QUI393262:QUI393266 REE393262:REE393266 ROA393262:ROA393266 RXW393262:RXW393266 SHS393262:SHS393266 SRO393262:SRO393266 TBK393262:TBK393266 TLG393262:TLG393266 TVC393262:TVC393266 UEY393262:UEY393266 UOU393262:UOU393266 UYQ393262:UYQ393266 VIM393262:VIM393266 VSI393262:VSI393266 WCE393262:WCE393266 WMA393262:WMA393266 WVW393262:WVW393266 JK458798:JK458802 TG458798:TG458802 ADC458798:ADC458802 AMY458798:AMY458802 AWU458798:AWU458802 BGQ458798:BGQ458802 BQM458798:BQM458802 CAI458798:CAI458802 CKE458798:CKE458802 CUA458798:CUA458802 DDW458798:DDW458802 DNS458798:DNS458802 DXO458798:DXO458802 EHK458798:EHK458802 ERG458798:ERG458802 FBC458798:FBC458802 FKY458798:FKY458802 FUU458798:FUU458802 GEQ458798:GEQ458802 GOM458798:GOM458802 GYI458798:GYI458802 HIE458798:HIE458802 HSA458798:HSA458802 IBW458798:IBW458802 ILS458798:ILS458802 IVO458798:IVO458802 JFK458798:JFK458802 JPG458798:JPG458802 JZC458798:JZC458802 KIY458798:KIY458802 KSU458798:KSU458802 LCQ458798:LCQ458802 LMM458798:LMM458802 LWI458798:LWI458802 MGE458798:MGE458802 MQA458798:MQA458802 MZW458798:MZW458802 NJS458798:NJS458802 NTO458798:NTO458802 ODK458798:ODK458802 ONG458798:ONG458802 OXC458798:OXC458802 PGY458798:PGY458802 PQU458798:PQU458802 QAQ458798:QAQ458802 QKM458798:QKM458802 QUI458798:QUI458802 REE458798:REE458802 ROA458798:ROA458802 RXW458798:RXW458802 SHS458798:SHS458802 SRO458798:SRO458802 TBK458798:TBK458802 TLG458798:TLG458802 TVC458798:TVC458802 UEY458798:UEY458802 UOU458798:UOU458802 UYQ458798:UYQ458802 VIM458798:VIM458802 VSI458798:VSI458802 WCE458798:WCE458802 WMA458798:WMA458802 WVW458798:WVW458802 JK524334:JK524338 TG524334:TG524338 ADC524334:ADC524338 AMY524334:AMY524338 AWU524334:AWU524338 BGQ524334:BGQ524338 BQM524334:BQM524338 CAI524334:CAI524338 CKE524334:CKE524338 CUA524334:CUA524338 DDW524334:DDW524338 DNS524334:DNS524338 DXO524334:DXO524338 EHK524334:EHK524338 ERG524334:ERG524338 FBC524334:FBC524338 FKY524334:FKY524338 FUU524334:FUU524338 GEQ524334:GEQ524338 GOM524334:GOM524338 GYI524334:GYI524338 HIE524334:HIE524338 HSA524334:HSA524338 IBW524334:IBW524338 ILS524334:ILS524338 IVO524334:IVO524338 JFK524334:JFK524338 JPG524334:JPG524338 JZC524334:JZC524338 KIY524334:KIY524338 KSU524334:KSU524338 LCQ524334:LCQ524338 LMM524334:LMM524338 LWI524334:LWI524338 MGE524334:MGE524338 MQA524334:MQA524338 MZW524334:MZW524338 NJS524334:NJS524338 NTO524334:NTO524338 ODK524334:ODK524338 ONG524334:ONG524338 OXC524334:OXC524338 PGY524334:PGY524338 PQU524334:PQU524338 QAQ524334:QAQ524338 QKM524334:QKM524338 QUI524334:QUI524338 REE524334:REE524338 ROA524334:ROA524338 RXW524334:RXW524338 SHS524334:SHS524338 SRO524334:SRO524338 TBK524334:TBK524338 TLG524334:TLG524338 TVC524334:TVC524338 UEY524334:UEY524338 UOU524334:UOU524338 UYQ524334:UYQ524338 VIM524334:VIM524338 VSI524334:VSI524338 WCE524334:WCE524338 WMA524334:WMA524338 WVW524334:WVW524338 JK589870:JK589874 TG589870:TG589874 ADC589870:ADC589874 AMY589870:AMY589874 AWU589870:AWU589874 BGQ589870:BGQ589874 BQM589870:BQM589874 CAI589870:CAI589874 CKE589870:CKE589874 CUA589870:CUA589874 DDW589870:DDW589874 DNS589870:DNS589874 DXO589870:DXO589874 EHK589870:EHK589874 ERG589870:ERG589874 FBC589870:FBC589874 FKY589870:FKY589874 FUU589870:FUU589874 GEQ589870:GEQ589874 GOM589870:GOM589874 GYI589870:GYI589874 HIE589870:HIE589874 HSA589870:HSA589874 IBW589870:IBW589874 ILS589870:ILS589874 IVO589870:IVO589874 JFK589870:JFK589874 JPG589870:JPG589874 JZC589870:JZC589874 KIY589870:KIY589874 KSU589870:KSU589874 LCQ589870:LCQ589874 LMM589870:LMM589874 LWI589870:LWI589874 MGE589870:MGE589874 MQA589870:MQA589874 MZW589870:MZW589874 NJS589870:NJS589874 NTO589870:NTO589874 ODK589870:ODK589874 ONG589870:ONG589874 OXC589870:OXC589874 PGY589870:PGY589874 PQU589870:PQU589874 QAQ589870:QAQ589874 QKM589870:QKM589874 QUI589870:QUI589874 REE589870:REE589874 ROA589870:ROA589874 RXW589870:RXW589874 SHS589870:SHS589874 SRO589870:SRO589874 TBK589870:TBK589874 TLG589870:TLG589874 TVC589870:TVC589874 UEY589870:UEY589874 UOU589870:UOU589874 UYQ589870:UYQ589874 VIM589870:VIM589874 VSI589870:VSI589874 WCE589870:WCE589874 WMA589870:WMA589874 WVW589870:WVW589874 JK655406:JK655410 TG655406:TG655410 ADC655406:ADC655410 AMY655406:AMY655410 AWU655406:AWU655410 BGQ655406:BGQ655410 BQM655406:BQM655410 CAI655406:CAI655410 CKE655406:CKE655410 CUA655406:CUA655410 DDW655406:DDW655410 DNS655406:DNS655410 DXO655406:DXO655410 EHK655406:EHK655410 ERG655406:ERG655410 FBC655406:FBC655410 FKY655406:FKY655410 FUU655406:FUU655410 GEQ655406:GEQ655410 GOM655406:GOM655410 GYI655406:GYI655410 HIE655406:HIE655410 HSA655406:HSA655410 IBW655406:IBW655410 ILS655406:ILS655410 IVO655406:IVO655410 JFK655406:JFK655410 JPG655406:JPG655410 JZC655406:JZC655410 KIY655406:KIY655410 KSU655406:KSU655410 LCQ655406:LCQ655410 LMM655406:LMM655410 LWI655406:LWI655410 MGE655406:MGE655410 MQA655406:MQA655410 MZW655406:MZW655410 NJS655406:NJS655410 NTO655406:NTO655410 ODK655406:ODK655410 ONG655406:ONG655410 OXC655406:OXC655410 PGY655406:PGY655410 PQU655406:PQU655410 QAQ655406:QAQ655410 QKM655406:QKM655410 QUI655406:QUI655410 REE655406:REE655410 ROA655406:ROA655410 RXW655406:RXW655410 SHS655406:SHS655410 SRO655406:SRO655410 TBK655406:TBK655410 TLG655406:TLG655410 TVC655406:TVC655410 UEY655406:UEY655410 UOU655406:UOU655410 UYQ655406:UYQ655410 VIM655406:VIM655410 VSI655406:VSI655410 WCE655406:WCE655410 WMA655406:WMA655410 WVW655406:WVW655410 JK720942:JK720946 TG720942:TG720946 ADC720942:ADC720946 AMY720942:AMY720946 AWU720942:AWU720946 BGQ720942:BGQ720946 BQM720942:BQM720946 CAI720942:CAI720946 CKE720942:CKE720946 CUA720942:CUA720946 DDW720942:DDW720946 DNS720942:DNS720946 DXO720942:DXO720946 EHK720942:EHK720946 ERG720942:ERG720946 FBC720942:FBC720946 FKY720942:FKY720946 FUU720942:FUU720946 GEQ720942:GEQ720946 GOM720942:GOM720946 GYI720942:GYI720946 HIE720942:HIE720946 HSA720942:HSA720946 IBW720942:IBW720946 ILS720942:ILS720946 IVO720942:IVO720946 JFK720942:JFK720946 JPG720942:JPG720946 JZC720942:JZC720946 KIY720942:KIY720946 KSU720942:KSU720946 LCQ720942:LCQ720946 LMM720942:LMM720946 LWI720942:LWI720946 MGE720942:MGE720946 MQA720942:MQA720946 MZW720942:MZW720946 NJS720942:NJS720946 NTO720942:NTO720946 ODK720942:ODK720946 ONG720942:ONG720946 OXC720942:OXC720946 PGY720942:PGY720946 PQU720942:PQU720946 QAQ720942:QAQ720946 QKM720942:QKM720946 QUI720942:QUI720946 REE720942:REE720946 ROA720942:ROA720946 RXW720942:RXW720946 SHS720942:SHS720946 SRO720942:SRO720946 TBK720942:TBK720946 TLG720942:TLG720946 TVC720942:TVC720946 UEY720942:UEY720946 UOU720942:UOU720946 UYQ720942:UYQ720946 VIM720942:VIM720946 VSI720942:VSI720946 WCE720942:WCE720946 WMA720942:WMA720946 WVW720942:WVW720946 JK786478:JK786482 TG786478:TG786482 ADC786478:ADC786482 AMY786478:AMY786482 AWU786478:AWU786482 BGQ786478:BGQ786482 BQM786478:BQM786482 CAI786478:CAI786482 CKE786478:CKE786482 CUA786478:CUA786482 DDW786478:DDW786482 DNS786478:DNS786482 DXO786478:DXO786482 EHK786478:EHK786482 ERG786478:ERG786482 FBC786478:FBC786482 FKY786478:FKY786482 FUU786478:FUU786482 GEQ786478:GEQ786482 GOM786478:GOM786482 GYI786478:GYI786482 HIE786478:HIE786482 HSA786478:HSA786482 IBW786478:IBW786482 ILS786478:ILS786482 IVO786478:IVO786482 JFK786478:JFK786482 JPG786478:JPG786482 JZC786478:JZC786482 KIY786478:KIY786482 KSU786478:KSU786482 LCQ786478:LCQ786482 LMM786478:LMM786482 LWI786478:LWI786482 MGE786478:MGE786482 MQA786478:MQA786482 MZW786478:MZW786482 NJS786478:NJS786482 NTO786478:NTO786482 ODK786478:ODK786482 ONG786478:ONG786482 OXC786478:OXC786482 PGY786478:PGY786482 PQU786478:PQU786482 QAQ786478:QAQ786482 QKM786478:QKM786482 QUI786478:QUI786482 REE786478:REE786482 ROA786478:ROA786482 RXW786478:RXW786482 SHS786478:SHS786482 SRO786478:SRO786482 TBK786478:TBK786482 TLG786478:TLG786482 TVC786478:TVC786482 UEY786478:UEY786482 UOU786478:UOU786482 UYQ786478:UYQ786482 VIM786478:VIM786482 VSI786478:VSI786482 WCE786478:WCE786482 WMA786478:WMA786482 WVW786478:WVW786482 JK852014:JK852018 TG852014:TG852018 ADC852014:ADC852018 AMY852014:AMY852018 AWU852014:AWU852018 BGQ852014:BGQ852018 BQM852014:BQM852018 CAI852014:CAI852018 CKE852014:CKE852018 CUA852014:CUA852018 DDW852014:DDW852018 DNS852014:DNS852018 DXO852014:DXO852018 EHK852014:EHK852018 ERG852014:ERG852018 FBC852014:FBC852018 FKY852014:FKY852018 FUU852014:FUU852018 GEQ852014:GEQ852018 GOM852014:GOM852018 GYI852014:GYI852018 HIE852014:HIE852018 HSA852014:HSA852018 IBW852014:IBW852018 ILS852014:ILS852018 IVO852014:IVO852018 JFK852014:JFK852018 JPG852014:JPG852018 JZC852014:JZC852018 KIY852014:KIY852018 KSU852014:KSU852018 LCQ852014:LCQ852018 LMM852014:LMM852018 LWI852014:LWI852018 MGE852014:MGE852018 MQA852014:MQA852018 MZW852014:MZW852018 NJS852014:NJS852018 NTO852014:NTO852018 ODK852014:ODK852018 ONG852014:ONG852018 OXC852014:OXC852018 PGY852014:PGY852018 PQU852014:PQU852018 QAQ852014:QAQ852018 QKM852014:QKM852018 QUI852014:QUI852018 REE852014:REE852018 ROA852014:ROA852018 RXW852014:RXW852018 SHS852014:SHS852018 SRO852014:SRO852018 TBK852014:TBK852018 TLG852014:TLG852018 TVC852014:TVC852018 UEY852014:UEY852018 UOU852014:UOU852018 UYQ852014:UYQ852018 VIM852014:VIM852018 VSI852014:VSI852018 WCE852014:WCE852018 WMA852014:WMA852018 WVW852014:WVW852018 JK917550:JK917554 TG917550:TG917554 ADC917550:ADC917554 AMY917550:AMY917554 AWU917550:AWU917554 BGQ917550:BGQ917554 BQM917550:BQM917554 CAI917550:CAI917554 CKE917550:CKE917554 CUA917550:CUA917554 DDW917550:DDW917554 DNS917550:DNS917554 DXO917550:DXO917554 EHK917550:EHK917554 ERG917550:ERG917554 FBC917550:FBC917554 FKY917550:FKY917554 FUU917550:FUU917554 GEQ917550:GEQ917554 GOM917550:GOM917554 GYI917550:GYI917554 HIE917550:HIE917554 HSA917550:HSA917554 IBW917550:IBW917554 ILS917550:ILS917554 IVO917550:IVO917554 JFK917550:JFK917554 JPG917550:JPG917554 JZC917550:JZC917554 KIY917550:KIY917554 KSU917550:KSU917554 LCQ917550:LCQ917554 LMM917550:LMM917554 LWI917550:LWI917554 MGE917550:MGE917554 MQA917550:MQA917554 MZW917550:MZW917554 NJS917550:NJS917554 NTO917550:NTO917554 ODK917550:ODK917554 ONG917550:ONG917554 OXC917550:OXC917554 PGY917550:PGY917554 PQU917550:PQU917554 QAQ917550:QAQ917554 QKM917550:QKM917554 QUI917550:QUI917554 REE917550:REE917554 ROA917550:ROA917554 RXW917550:RXW917554 SHS917550:SHS917554 SRO917550:SRO917554 TBK917550:TBK917554 TLG917550:TLG917554 TVC917550:TVC917554 UEY917550:UEY917554 UOU917550:UOU917554 UYQ917550:UYQ917554 VIM917550:VIM917554 VSI917550:VSI917554 WCE917550:WCE917554 WMA917550:WMA917554 WVW917550:WVW917554 JK983086:JK983090 TG983086:TG983090 ADC983086:ADC983090 AMY983086:AMY983090 AWU983086:AWU983090 BGQ983086:BGQ983090 BQM983086:BQM983090 CAI983086:CAI983090 CKE983086:CKE983090 CUA983086:CUA983090 DDW983086:DDW983090 DNS983086:DNS983090 DXO983086:DXO983090 EHK983086:EHK983090 ERG983086:ERG983090 FBC983086:FBC983090 FKY983086:FKY983090 FUU983086:FUU983090 GEQ983086:GEQ983090 GOM983086:GOM983090 GYI983086:GYI983090 HIE983086:HIE983090 HSA983086:HSA983090 IBW983086:IBW983090 ILS983086:ILS983090 IVO983086:IVO983090 JFK983086:JFK983090 JPG983086:JPG983090 JZC983086:JZC983090 KIY983086:KIY983090 KSU983086:KSU983090 LCQ983086:LCQ983090 LMM983086:LMM983090 LWI983086:LWI983090 MGE983086:MGE983090 MQA983086:MQA983090 MZW983086:MZW983090 NJS983086:NJS983090 NTO983086:NTO983090 ODK983086:ODK983090 ONG983086:ONG983090 OXC983086:OXC983090 PGY983086:PGY983090 PQU983086:PQU983090 QAQ983086:QAQ983090 QKM983086:QKM983090 QUI983086:QUI983090 REE983086:REE983090 ROA983086:ROA983090 RXW983086:RXW983090 SHS983086:SHS983090 SRO983086:SRO983090 TBK983086:TBK983090 TLG983086:TLG983090 TVC983086:TVC983090 UEY983086:UEY983090 UOU983086:UOU983090 UYQ983086:UYQ983090 VIM983086:VIM983090 VSI983086:VSI983090 WCE983086:WCE983090 WMA983086:WMA983090 AMY6 AWU6 BGQ6 BQM6 CAI6 CKE6 CUA6 DDW6 DNS6 DXO6 EHK6 ERG6 FBC6 FKY6 FUU6 GEQ6 GOM6 GYI6 HIE6 HSA6 IBW6 ILS6 IVO6 JFK6 JPG6 JZC6 KIY6 KSU6 LCQ6 LMM6 LWI6 MGE6 MQA6 MZW6 NJS6 NTO6 ODK6 ONG6 OXC6 PGY6 PQU6 QAQ6 QKM6 QUI6 REE6 ROA6 RXW6 SHS6 SRO6 TBK6 TLG6 TVC6 UEY6 UOU6 UYQ6 VIM6 VSI6 WCE6 WMA6 WVW6 TG6 JK6 ADC6" xr:uid="{00000000-0002-0000-1100-000004000000}"/>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E1:E25"/>
  <sheetViews>
    <sheetView workbookViewId="0">
      <selection activeCell="C19" sqref="C19"/>
    </sheetView>
  </sheetViews>
  <sheetFormatPr baseColWidth="10" defaultRowHeight="15"/>
  <cols>
    <col min="5" max="5" width="50.85546875" bestFit="1" customWidth="1"/>
  </cols>
  <sheetData>
    <row r="1" spans="5:5">
      <c r="E1" t="s">
        <v>161</v>
      </c>
    </row>
    <row r="2" spans="5:5">
      <c r="E2" t="s">
        <v>162</v>
      </c>
    </row>
    <row r="3" spans="5:5">
      <c r="E3" t="s">
        <v>163</v>
      </c>
    </row>
    <row r="4" spans="5:5">
      <c r="E4" t="s">
        <v>477</v>
      </c>
    </row>
    <row r="5" spans="5:5">
      <c r="E5" t="s">
        <v>478</v>
      </c>
    </row>
    <row r="6" spans="5:5">
      <c r="E6" t="s">
        <v>479</v>
      </c>
    </row>
    <row r="7" spans="5:5">
      <c r="E7" t="s">
        <v>480</v>
      </c>
    </row>
    <row r="8" spans="5:5">
      <c r="E8" t="s">
        <v>481</v>
      </c>
    </row>
    <row r="9" spans="5:5">
      <c r="E9" t="s">
        <v>482</v>
      </c>
    </row>
    <row r="10" spans="5:5">
      <c r="E10" t="s">
        <v>483</v>
      </c>
    </row>
    <row r="11" spans="5:5">
      <c r="E11" t="s">
        <v>484</v>
      </c>
    </row>
    <row r="12" spans="5:5">
      <c r="E12" t="s">
        <v>172</v>
      </c>
    </row>
    <row r="13" spans="5:5">
      <c r="E13" t="s">
        <v>485</v>
      </c>
    </row>
    <row r="14" spans="5:5">
      <c r="E14" t="s">
        <v>486</v>
      </c>
    </row>
    <row r="15" spans="5:5">
      <c r="E15" t="s">
        <v>487</v>
      </c>
    </row>
    <row r="16" spans="5:5">
      <c r="E16" t="s">
        <v>488</v>
      </c>
    </row>
    <row r="17" spans="5:5">
      <c r="E17" t="s">
        <v>489</v>
      </c>
    </row>
    <row r="18" spans="5:5">
      <c r="E18" t="s">
        <v>490</v>
      </c>
    </row>
    <row r="19" spans="5:5">
      <c r="E19" t="s">
        <v>491</v>
      </c>
    </row>
    <row r="20" spans="5:5">
      <c r="E20" t="s">
        <v>492</v>
      </c>
    </row>
    <row r="21" spans="5:5">
      <c r="E21" t="s">
        <v>493</v>
      </c>
    </row>
    <row r="22" spans="5:5">
      <c r="E22" t="s">
        <v>182</v>
      </c>
    </row>
    <row r="23" spans="5:5">
      <c r="E23" t="s">
        <v>495</v>
      </c>
    </row>
    <row r="24" spans="5:5">
      <c r="E24" t="s">
        <v>496</v>
      </c>
    </row>
    <row r="25" spans="5:5">
      <c r="E25" t="s">
        <v>709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V37"/>
  <sheetViews>
    <sheetView topLeftCell="A4" workbookViewId="0">
      <selection activeCell="C6" sqref="C6"/>
    </sheetView>
  </sheetViews>
  <sheetFormatPr baseColWidth="10" defaultColWidth="12.42578125" defaultRowHeight="15"/>
  <cols>
    <col min="1" max="1" width="48.140625" customWidth="1"/>
    <col min="2" max="2" width="9.5703125" bestFit="1" customWidth="1"/>
    <col min="3" max="3" width="18.42578125" customWidth="1"/>
    <col min="4" max="4" width="18.28515625" customWidth="1"/>
    <col min="5" max="5" width="13.7109375" customWidth="1"/>
    <col min="6" max="6" width="17" customWidth="1"/>
    <col min="7" max="9" width="15.85546875" customWidth="1"/>
    <col min="10" max="10" width="17" customWidth="1"/>
    <col min="11" max="11" width="14.85546875" customWidth="1"/>
    <col min="12" max="12" width="15.85546875" customWidth="1"/>
    <col min="13" max="13" width="20.7109375" customWidth="1"/>
    <col min="14" max="14" width="14.140625" customWidth="1"/>
    <col min="15" max="15" width="13.7109375" customWidth="1"/>
    <col min="16" max="16" width="15.7109375" customWidth="1"/>
    <col min="17" max="17" width="17" customWidth="1"/>
    <col min="18" max="18" width="15.85546875" customWidth="1"/>
    <col min="19" max="19" width="16.85546875" customWidth="1"/>
    <col min="20" max="20" width="13.7109375" customWidth="1"/>
    <col min="21" max="21" width="14.140625" customWidth="1"/>
    <col min="22" max="22" width="15.85546875" customWidth="1"/>
    <col min="23" max="23" width="13.7109375" customWidth="1"/>
    <col min="24" max="24" width="15.85546875" customWidth="1"/>
    <col min="25" max="25" width="14" customWidth="1"/>
    <col min="26" max="27" width="13.7109375" customWidth="1"/>
    <col min="28" max="28" width="14.85546875" customWidth="1"/>
    <col min="29" max="29" width="14.140625" customWidth="1"/>
    <col min="30" max="30" width="15.85546875" customWidth="1"/>
    <col min="31" max="31" width="17" customWidth="1"/>
    <col min="32" max="32" width="15.7109375" customWidth="1"/>
    <col min="33" max="33" width="17" customWidth="1"/>
    <col min="34" max="35" width="14.140625" customWidth="1"/>
    <col min="36" max="36" width="17" customWidth="1"/>
    <col min="37" max="38" width="13.7109375" customWidth="1"/>
    <col min="39" max="39" width="14.140625" customWidth="1"/>
    <col min="40" max="40" width="15.85546875" customWidth="1"/>
    <col min="41" max="41" width="14.140625" customWidth="1"/>
    <col min="42" max="42" width="15.85546875" customWidth="1"/>
    <col min="43" max="43" width="17.140625" bestFit="1" customWidth="1"/>
    <col min="44" max="45" width="18.42578125" bestFit="1" customWidth="1"/>
    <col min="46" max="46" width="18.28515625" bestFit="1" customWidth="1"/>
    <col min="47" max="48" width="15.28515625" bestFit="1" customWidth="1"/>
  </cols>
  <sheetData>
    <row r="1" spans="1:48" ht="30">
      <c r="A1" s="276" t="s">
        <v>358</v>
      </c>
      <c r="B1" s="277"/>
      <c r="C1" s="40" t="s">
        <v>359</v>
      </c>
      <c r="D1" s="40" t="s">
        <v>360</v>
      </c>
      <c r="E1" s="40" t="s">
        <v>361</v>
      </c>
      <c r="F1" s="40" t="s">
        <v>362</v>
      </c>
      <c r="G1" s="40" t="s">
        <v>363</v>
      </c>
      <c r="H1" s="40" t="s">
        <v>364</v>
      </c>
      <c r="I1" s="40" t="s">
        <v>365</v>
      </c>
      <c r="J1" s="40" t="s">
        <v>366</v>
      </c>
      <c r="K1" s="40" t="s">
        <v>367</v>
      </c>
      <c r="L1" s="40" t="s">
        <v>368</v>
      </c>
      <c r="M1" s="40" t="s">
        <v>369</v>
      </c>
      <c r="N1" s="40" t="s">
        <v>370</v>
      </c>
      <c r="O1" s="40" t="s">
        <v>371</v>
      </c>
      <c r="P1" s="40" t="s">
        <v>372</v>
      </c>
      <c r="Q1" s="40" t="s">
        <v>373</v>
      </c>
      <c r="R1" s="40" t="s">
        <v>374</v>
      </c>
      <c r="S1" s="40" t="s">
        <v>375</v>
      </c>
      <c r="T1" s="40" t="s">
        <v>376</v>
      </c>
      <c r="U1" s="40" t="s">
        <v>377</v>
      </c>
      <c r="V1" s="40" t="s">
        <v>378</v>
      </c>
      <c r="W1" s="40" t="s">
        <v>379</v>
      </c>
      <c r="X1" s="40" t="s">
        <v>380</v>
      </c>
      <c r="Y1" s="40" t="s">
        <v>381</v>
      </c>
      <c r="Z1" s="40" t="s">
        <v>382</v>
      </c>
      <c r="AA1" s="40" t="s">
        <v>383</v>
      </c>
      <c r="AB1" s="40" t="s">
        <v>384</v>
      </c>
      <c r="AC1" s="40" t="s">
        <v>385</v>
      </c>
      <c r="AD1" s="40" t="s">
        <v>386</v>
      </c>
      <c r="AE1" s="40" t="s">
        <v>387</v>
      </c>
      <c r="AF1" s="40" t="s">
        <v>388</v>
      </c>
      <c r="AG1" s="40" t="s">
        <v>389</v>
      </c>
      <c r="AH1" s="40" t="s">
        <v>390</v>
      </c>
      <c r="AI1" s="40" t="s">
        <v>391</v>
      </c>
      <c r="AJ1" s="40" t="s">
        <v>392</v>
      </c>
      <c r="AK1" s="40" t="s">
        <v>393</v>
      </c>
      <c r="AL1" s="40" t="s">
        <v>394</v>
      </c>
      <c r="AM1" s="40" t="s">
        <v>395</v>
      </c>
      <c r="AN1" s="40" t="s">
        <v>396</v>
      </c>
      <c r="AO1" s="40" t="s">
        <v>397</v>
      </c>
      <c r="AP1" s="40" t="s">
        <v>398</v>
      </c>
      <c r="AQ1" s="40" t="s">
        <v>399</v>
      </c>
      <c r="AR1" s="40" t="s">
        <v>400</v>
      </c>
      <c r="AS1" s="40" t="s">
        <v>401</v>
      </c>
    </row>
    <row r="2" spans="1:48">
      <c r="A2" s="276" t="s">
        <v>402</v>
      </c>
      <c r="B2" s="277"/>
      <c r="C2" s="41">
        <v>42058721.035904005</v>
      </c>
      <c r="D2" s="41">
        <v>36675033.098262385</v>
      </c>
      <c r="E2" s="41">
        <v>5916000</v>
      </c>
      <c r="F2" s="41">
        <v>0.89380449242889881</v>
      </c>
      <c r="G2" s="41">
        <v>17297779.239196401</v>
      </c>
      <c r="H2" s="41">
        <v>0</v>
      </c>
      <c r="I2" s="41">
        <v>1307664.0026123002</v>
      </c>
      <c r="J2" s="41">
        <v>49507714.866453402</v>
      </c>
      <c r="K2" s="41">
        <v>4376000</v>
      </c>
      <c r="L2" s="41">
        <v>992971.48632629996</v>
      </c>
      <c r="M2" s="41">
        <v>17331591.368903987</v>
      </c>
      <c r="N2" s="41">
        <v>739150.49576399999</v>
      </c>
      <c r="O2" s="41">
        <v>1256000.185668</v>
      </c>
      <c r="P2" s="41">
        <v>84914991.497676805</v>
      </c>
      <c r="Q2" s="41">
        <v>46159181.889066301</v>
      </c>
      <c r="R2" s="41">
        <v>4690924.2705477998</v>
      </c>
      <c r="S2" s="41">
        <v>8187585.3045910001</v>
      </c>
      <c r="T2" s="41">
        <v>1856000</v>
      </c>
      <c r="U2" s="41">
        <v>12893488</v>
      </c>
      <c r="V2" s="41">
        <v>9852496</v>
      </c>
      <c r="W2" s="41">
        <v>3810172</v>
      </c>
      <c r="X2" s="41">
        <v>5903420.7437180001</v>
      </c>
      <c r="Y2" s="41">
        <v>6804436</v>
      </c>
      <c r="Z2" s="41">
        <v>5797597</v>
      </c>
      <c r="AA2" s="41">
        <v>3834146</v>
      </c>
      <c r="AB2" s="41">
        <v>5725353</v>
      </c>
      <c r="AC2" s="41">
        <v>4001321</v>
      </c>
      <c r="AD2" s="41">
        <v>38313065.113921404</v>
      </c>
      <c r="AE2" s="41">
        <v>21859699.000000004</v>
      </c>
      <c r="AF2" s="41">
        <v>83910556</v>
      </c>
      <c r="AG2" s="41">
        <v>18678994.2501917</v>
      </c>
      <c r="AH2" s="41">
        <v>672355.37446790002</v>
      </c>
      <c r="AI2" s="41">
        <v>0.39781369996489957</v>
      </c>
      <c r="AJ2" s="41">
        <v>85470</v>
      </c>
      <c r="AK2" s="41">
        <v>378000</v>
      </c>
      <c r="AL2" s="41">
        <v>5240000</v>
      </c>
      <c r="AM2" s="41">
        <v>7427652.36314</v>
      </c>
      <c r="AN2" s="41">
        <v>5346672.0789193995</v>
      </c>
      <c r="AO2" s="41">
        <v>1168018.6806284999</v>
      </c>
      <c r="AP2" s="41">
        <v>11099290.426684801</v>
      </c>
      <c r="AQ2" s="41">
        <v>192763000</v>
      </c>
      <c r="AR2" s="41">
        <v>213820333.70188901</v>
      </c>
      <c r="AS2" s="41">
        <v>5597952750.4953279</v>
      </c>
      <c r="AT2" s="42">
        <f>SUM(C2:AS2)</f>
        <v>6580605597.2614794</v>
      </c>
    </row>
    <row r="3" spans="1:48">
      <c r="A3" s="276" t="s">
        <v>403</v>
      </c>
      <c r="B3" s="277"/>
      <c r="C3" s="41">
        <f>C2-C31</f>
        <v>42058721.035904005</v>
      </c>
      <c r="D3" s="41">
        <f t="shared" ref="D3:AS3" si="0">D2-D31</f>
        <v>36675033.098262385</v>
      </c>
      <c r="E3" s="41">
        <f t="shared" si="0"/>
        <v>5916000</v>
      </c>
      <c r="F3" s="41">
        <f t="shared" si="0"/>
        <v>0.89380449242889881</v>
      </c>
      <c r="G3" s="41">
        <f t="shared" si="0"/>
        <v>17297779.239196401</v>
      </c>
      <c r="H3" s="41">
        <f t="shared" si="0"/>
        <v>-1250811.1251224999</v>
      </c>
      <c r="I3" s="41">
        <f t="shared" si="0"/>
        <v>841716.04943330027</v>
      </c>
      <c r="J3" s="41">
        <f t="shared" si="0"/>
        <v>48237790.738370501</v>
      </c>
      <c r="K3" s="41">
        <f t="shared" si="0"/>
        <v>4376000</v>
      </c>
      <c r="L3" s="41">
        <f t="shared" si="0"/>
        <v>984927.17436629999</v>
      </c>
      <c r="M3" s="41">
        <f t="shared" si="0"/>
        <v>17331591.368903987</v>
      </c>
      <c r="N3" s="41">
        <f t="shared" si="0"/>
        <v>739150.49576399999</v>
      </c>
      <c r="O3" s="41">
        <f t="shared" si="0"/>
        <v>1256000.185668</v>
      </c>
      <c r="P3" s="41">
        <f t="shared" si="0"/>
        <v>84914991.497676805</v>
      </c>
      <c r="Q3" s="41">
        <f t="shared" si="0"/>
        <v>46159181.889066301</v>
      </c>
      <c r="R3" s="41">
        <f t="shared" si="0"/>
        <v>3854736.5065890998</v>
      </c>
      <c r="S3" s="41">
        <f t="shared" si="0"/>
        <v>8187585.3045910001</v>
      </c>
      <c r="T3" s="41">
        <f t="shared" si="0"/>
        <v>1856000</v>
      </c>
      <c r="U3" s="41">
        <f t="shared" si="0"/>
        <v>12450092.581178799</v>
      </c>
      <c r="V3" s="41">
        <f t="shared" si="0"/>
        <v>9419299.216333</v>
      </c>
      <c r="W3" s="41">
        <f t="shared" si="0"/>
        <v>3810172</v>
      </c>
      <c r="X3" s="41">
        <f t="shared" si="0"/>
        <v>5849380.373168</v>
      </c>
      <c r="Y3" s="41">
        <f t="shared" si="0"/>
        <v>6804436</v>
      </c>
      <c r="Z3" s="41">
        <f t="shared" si="0"/>
        <v>5692849.238446</v>
      </c>
      <c r="AA3" s="41">
        <f t="shared" si="0"/>
        <v>3834146</v>
      </c>
      <c r="AB3" s="41">
        <f t="shared" si="0"/>
        <v>5718891.676914</v>
      </c>
      <c r="AC3" s="41">
        <f t="shared" si="0"/>
        <v>3979474.3422559998</v>
      </c>
      <c r="AD3" s="41">
        <f t="shared" si="0"/>
        <v>37744048.708113506</v>
      </c>
      <c r="AE3" s="41">
        <f t="shared" si="0"/>
        <v>21859699.000000004</v>
      </c>
      <c r="AF3" s="41">
        <f t="shared" si="0"/>
        <v>82934872.4574202</v>
      </c>
      <c r="AG3" s="41">
        <f t="shared" si="0"/>
        <v>14253658.883646201</v>
      </c>
      <c r="AH3" s="41">
        <f t="shared" si="0"/>
        <v>672355.37446790002</v>
      </c>
      <c r="AI3" s="41">
        <f t="shared" si="0"/>
        <v>0.39781369996489957</v>
      </c>
      <c r="AJ3" s="41">
        <f t="shared" si="0"/>
        <v>85470</v>
      </c>
      <c r="AK3" s="41">
        <f t="shared" si="0"/>
        <v>378000</v>
      </c>
      <c r="AL3" s="41">
        <f t="shared" si="0"/>
        <v>5240000</v>
      </c>
      <c r="AM3" s="41">
        <f t="shared" si="0"/>
        <v>6369898.3742848998</v>
      </c>
      <c r="AN3" s="41">
        <f t="shared" si="0"/>
        <v>4836186.3927103998</v>
      </c>
      <c r="AO3" s="41">
        <f t="shared" si="0"/>
        <v>858774.39485789998</v>
      </c>
      <c r="AP3" s="41">
        <f t="shared" si="0"/>
        <v>9249744.3377657998</v>
      </c>
      <c r="AQ3" s="41">
        <f t="shared" si="0"/>
        <v>192763000</v>
      </c>
      <c r="AR3" s="41">
        <f t="shared" si="0"/>
        <v>198928690.46477801</v>
      </c>
      <c r="AS3" s="41">
        <f t="shared" si="0"/>
        <v>5597952750.4953279</v>
      </c>
    </row>
    <row r="4" spans="1:48" ht="111.6" customHeight="1">
      <c r="A4" s="43" t="s">
        <v>404</v>
      </c>
      <c r="B4" s="40"/>
      <c r="C4" s="40" t="s">
        <v>405</v>
      </c>
      <c r="D4" s="40" t="s">
        <v>406</v>
      </c>
      <c r="E4" s="44" t="s">
        <v>407</v>
      </c>
      <c r="F4" s="40" t="s">
        <v>408</v>
      </c>
      <c r="G4" s="40" t="s">
        <v>409</v>
      </c>
      <c r="H4" s="40" t="s">
        <v>410</v>
      </c>
      <c r="I4" s="40" t="s">
        <v>411</v>
      </c>
      <c r="J4" s="40" t="s">
        <v>412</v>
      </c>
      <c r="K4" s="44" t="s">
        <v>413</v>
      </c>
      <c r="L4" s="40" t="s">
        <v>414</v>
      </c>
      <c r="M4" s="40" t="s">
        <v>415</v>
      </c>
      <c r="N4" s="40" t="s">
        <v>416</v>
      </c>
      <c r="O4" s="40" t="s">
        <v>417</v>
      </c>
      <c r="P4" s="40" t="s">
        <v>418</v>
      </c>
      <c r="Q4" s="40" t="s">
        <v>419</v>
      </c>
      <c r="R4" s="40" t="s">
        <v>420</v>
      </c>
      <c r="S4" s="40" t="s">
        <v>421</v>
      </c>
      <c r="T4" s="44" t="s">
        <v>422</v>
      </c>
      <c r="U4" s="40" t="s">
        <v>423</v>
      </c>
      <c r="V4" s="40" t="s">
        <v>424</v>
      </c>
      <c r="W4" s="40" t="s">
        <v>425</v>
      </c>
      <c r="X4" s="40" t="s">
        <v>426</v>
      </c>
      <c r="Y4" s="40" t="s">
        <v>427</v>
      </c>
      <c r="Z4" s="40" t="s">
        <v>428</v>
      </c>
      <c r="AA4" s="40" t="s">
        <v>429</v>
      </c>
      <c r="AB4" s="40" t="s">
        <v>430</v>
      </c>
      <c r="AC4" s="40" t="s">
        <v>431</v>
      </c>
      <c r="AD4" s="40" t="s">
        <v>432</v>
      </c>
      <c r="AE4" s="40" t="s">
        <v>433</v>
      </c>
      <c r="AF4" s="40" t="s">
        <v>434</v>
      </c>
      <c r="AG4" s="40" t="s">
        <v>435</v>
      </c>
      <c r="AH4" s="40" t="s">
        <v>436</v>
      </c>
      <c r="AI4" s="40" t="s">
        <v>437</v>
      </c>
      <c r="AJ4" s="40" t="s">
        <v>438</v>
      </c>
      <c r="AK4" s="44" t="s">
        <v>439</v>
      </c>
      <c r="AL4" s="44" t="s">
        <v>440</v>
      </c>
      <c r="AM4" s="40" t="s">
        <v>441</v>
      </c>
      <c r="AN4" s="40" t="s">
        <v>442</v>
      </c>
      <c r="AO4" s="40" t="s">
        <v>443</v>
      </c>
      <c r="AP4" s="40" t="s">
        <v>444</v>
      </c>
      <c r="AQ4" s="40" t="s">
        <v>445</v>
      </c>
      <c r="AR4" s="40" t="s">
        <v>446</v>
      </c>
      <c r="AS4" s="40" t="s">
        <v>447</v>
      </c>
      <c r="AT4" s="45" t="s">
        <v>448</v>
      </c>
      <c r="AU4" s="45"/>
    </row>
    <row r="5" spans="1:48" ht="107.1" customHeight="1">
      <c r="A5" s="43"/>
      <c r="B5" s="40"/>
      <c r="C5" s="40" t="s">
        <v>108</v>
      </c>
      <c r="D5" s="40" t="s">
        <v>105</v>
      </c>
      <c r="E5" s="44"/>
      <c r="F5" s="40" t="s">
        <v>149</v>
      </c>
      <c r="G5" s="40" t="s">
        <v>150</v>
      </c>
      <c r="H5" s="40" t="s">
        <v>66</v>
      </c>
      <c r="I5" s="40" t="s">
        <v>46</v>
      </c>
      <c r="J5" s="40" t="s">
        <v>151</v>
      </c>
      <c r="K5" s="44"/>
      <c r="L5" s="40" t="s">
        <v>152</v>
      </c>
      <c r="M5" s="40" t="s">
        <v>87</v>
      </c>
      <c r="N5" s="40" t="s">
        <v>153</v>
      </c>
      <c r="O5" s="40" t="s">
        <v>93</v>
      </c>
      <c r="P5" s="40" t="s">
        <v>90</v>
      </c>
      <c r="Q5" s="40" t="s">
        <v>154</v>
      </c>
      <c r="R5" s="40" t="s">
        <v>39</v>
      </c>
      <c r="S5" s="40" t="s">
        <v>33</v>
      </c>
      <c r="T5" s="44"/>
      <c r="U5" s="40" t="s">
        <v>22</v>
      </c>
      <c r="V5" s="40" t="s">
        <v>18</v>
      </c>
      <c r="W5" s="40" t="s">
        <v>6</v>
      </c>
      <c r="X5" s="40" t="s">
        <v>155</v>
      </c>
      <c r="Y5" s="40" t="s">
        <v>156</v>
      </c>
      <c r="Z5" s="40" t="s">
        <v>157</v>
      </c>
      <c r="AA5" s="40" t="s">
        <v>9</v>
      </c>
      <c r="AB5" s="40" t="s">
        <v>16</v>
      </c>
      <c r="AC5" s="40" t="s">
        <v>20</v>
      </c>
      <c r="AD5" s="40" t="s">
        <v>36</v>
      </c>
      <c r="AE5" s="40" t="s">
        <v>27</v>
      </c>
      <c r="AF5" s="40" t="s">
        <v>13</v>
      </c>
      <c r="AG5" s="40" t="s">
        <v>158</v>
      </c>
      <c r="AH5" s="40" t="s">
        <v>449</v>
      </c>
      <c r="AI5" s="40" t="s">
        <v>450</v>
      </c>
      <c r="AJ5" s="40" t="s">
        <v>103</v>
      </c>
      <c r="AK5" s="44"/>
      <c r="AL5" s="44"/>
      <c r="AM5" s="40" t="s">
        <v>53</v>
      </c>
      <c r="AN5" s="40" t="s">
        <v>60</v>
      </c>
      <c r="AO5" s="40" t="s">
        <v>159</v>
      </c>
      <c r="AP5" s="40" t="s">
        <v>160</v>
      </c>
      <c r="AQ5" s="40"/>
      <c r="AR5" s="40"/>
      <c r="AS5" s="40"/>
      <c r="AT5" s="46"/>
      <c r="AU5" s="46"/>
    </row>
    <row r="6" spans="1:48">
      <c r="A6" s="6" t="s">
        <v>120</v>
      </c>
      <c r="B6" s="6">
        <v>4233100</v>
      </c>
      <c r="C6" s="47">
        <f>SUMIFS('CONSOLIDADO POR SEDE'!$L$6:$L$1630,'CONSOLIDADO POR SEDE'!$E$6:$E$1630,RUBROS!$A6,'CONSOLIDADO POR SEDE'!$C$6:$C$1630,RUBROS!C$5)</f>
        <v>0</v>
      </c>
      <c r="D6" s="47">
        <f>SUMIFS('CONSOLIDADO POR SEDE'!$L$6:$L$1630,'CONSOLIDADO POR SEDE'!$E$6:$E$1630,RUBROS!$A6,'CONSOLIDADO POR SEDE'!$C$6:$C$1630,RUBROS!D$5)</f>
        <v>0</v>
      </c>
      <c r="E6" s="47">
        <f>SUMIFS('CONSOLIDADO POR SEDE'!$L$6:$L$1630,'CONSOLIDADO POR SEDE'!$E$6:$E$1630,RUBROS!$A6,'CONSOLIDADO POR SEDE'!$C$6:$C$1630,RUBROS!E$5)</f>
        <v>0</v>
      </c>
      <c r="F6" s="47">
        <f>SUMIFS('CONSOLIDADO POR SEDE'!$L$6:$L$1630,'CONSOLIDADO POR SEDE'!$E$6:$E$1630,RUBROS!$A6,'CONSOLIDADO POR SEDE'!$C$6:$C$1630,RUBROS!F$5)</f>
        <v>0</v>
      </c>
      <c r="G6" s="47">
        <f>SUMIFS('CONSOLIDADO POR SEDE'!$L$6:$L$1630,'CONSOLIDADO POR SEDE'!$E$6:$E$1630,RUBROS!$A6,'CONSOLIDADO POR SEDE'!$C$6:$C$1630,RUBROS!G$5)</f>
        <v>0</v>
      </c>
      <c r="H6" s="47">
        <f>SUMIFS('CONSOLIDADO POR SEDE'!$L$6:$L$1630,'CONSOLIDADO POR SEDE'!$E$6:$E$1630,RUBROS!$A6,'CONSOLIDADO POR SEDE'!$C$6:$C$1630,RUBROS!H$5)</f>
        <v>615938.50112849998</v>
      </c>
      <c r="I6" s="47">
        <f>SUMIFS('CONSOLIDADO POR SEDE'!$L$6:$L$1630,'CONSOLIDADO POR SEDE'!$E$6:$E$1630,RUBROS!$A6,'CONSOLIDADO POR SEDE'!$C$6:$C$1630,RUBROS!I$5)</f>
        <v>97684.291140000001</v>
      </c>
      <c r="J6" s="47">
        <f>SUMIFS('CONSOLIDADO POR SEDE'!$L$6:$L$1630,'CONSOLIDADO POR SEDE'!$E$6:$E$1630,RUBROS!$A6,'CONSOLIDADO POR SEDE'!$C$6:$C$1630,RUBROS!J$5)</f>
        <v>514183.24714500003</v>
      </c>
      <c r="K6" s="47">
        <f>SUMIFS('CONSOLIDADO POR SEDE'!$L$6:$L$1630,'CONSOLIDADO POR SEDE'!$E$6:$E$1630,RUBROS!$A6,'CONSOLIDADO POR SEDE'!$C$6:$C$1630,RUBROS!K$5)</f>
        <v>0</v>
      </c>
      <c r="L6" s="47">
        <f>SUMIFS('CONSOLIDADO POR SEDE'!$L$6:$L$1630,'CONSOLIDADO POR SEDE'!$E$6:$E$1630,RUBROS!$A6,'CONSOLIDADO POR SEDE'!$C$6:$C$1630,RUBROS!L$5)</f>
        <v>0</v>
      </c>
      <c r="M6" s="47">
        <f>SUMIFS('CONSOLIDADO POR SEDE'!$L$6:$L$1630,'CONSOLIDADO POR SEDE'!$E$6:$E$1630,RUBROS!$A6,'CONSOLIDADO POR SEDE'!$C$6:$C$1630,RUBROS!M$5)</f>
        <v>0</v>
      </c>
      <c r="N6" s="47">
        <f>SUMIFS('CONSOLIDADO POR SEDE'!$L$6:$L$1630,'CONSOLIDADO POR SEDE'!$E$6:$E$1630,RUBROS!$A6,'CONSOLIDADO POR SEDE'!$C$6:$C$1630,RUBROS!N$5)</f>
        <v>0</v>
      </c>
      <c r="O6" s="47">
        <f>SUMIFS('CONSOLIDADO POR SEDE'!$L$6:$L$1630,'CONSOLIDADO POR SEDE'!$E$6:$E$1630,RUBROS!$A6,'CONSOLIDADO POR SEDE'!$C$6:$C$1630,RUBROS!O$5)</f>
        <v>0</v>
      </c>
      <c r="P6" s="47">
        <f>SUMIFS('CONSOLIDADO POR SEDE'!$L$6:$L$1630,'CONSOLIDADO POR SEDE'!$E$6:$E$1630,RUBROS!$A6,'CONSOLIDADO POR SEDE'!$C$6:$C$1630,RUBROS!P$5)</f>
        <v>0</v>
      </c>
      <c r="Q6" s="47">
        <f>SUMIFS('CONSOLIDADO POR SEDE'!$L$6:$L$1630,'CONSOLIDADO POR SEDE'!$E$6:$E$1630,RUBROS!$A6,'CONSOLIDADO POR SEDE'!$C$6:$C$1630,RUBROS!Q$5)</f>
        <v>0</v>
      </c>
      <c r="R6" s="47">
        <f>SUMIFS('CONSOLIDADO POR SEDE'!$L$6:$L$1630,'CONSOLIDADO POR SEDE'!$E$6:$E$1630,RUBROS!$A6,'CONSOLIDADO POR SEDE'!$C$6:$C$1630,RUBROS!R$5)</f>
        <v>44925.835799999993</v>
      </c>
      <c r="S6" s="47">
        <f>SUMIFS('CONSOLIDADO POR SEDE'!$L$6:$L$1630,'CONSOLIDADO POR SEDE'!$E$6:$E$1630,RUBROS!$A6,'CONSOLIDADO POR SEDE'!$C$6:$C$1630,RUBROS!S$5)</f>
        <v>0</v>
      </c>
      <c r="T6" s="47">
        <f>SUMIFS('CONSOLIDADO POR SEDE'!$L$6:$L$1630,'CONSOLIDADO POR SEDE'!$E$6:$E$1630,RUBROS!$A6,'CONSOLIDADO POR SEDE'!$C$6:$C$1630,RUBROS!T$5)</f>
        <v>0</v>
      </c>
      <c r="U6" s="47">
        <f>SUMIFS('CONSOLIDADO POR SEDE'!$L$6:$L$1630,'CONSOLIDADO POR SEDE'!$E$6:$E$1630,RUBROS!$A6,'CONSOLIDADO POR SEDE'!$C$6:$C$1630,RUBROS!U$5)</f>
        <v>371167.37640000007</v>
      </c>
      <c r="V6" s="47">
        <f>SUMIFS('CONSOLIDADO POR SEDE'!$L$6:$L$1630,'CONSOLIDADO POR SEDE'!$E$6:$E$1630,RUBROS!$A6,'CONSOLIDADO POR SEDE'!$C$6:$C$1630,RUBROS!V$5)</f>
        <v>346963.87638000003</v>
      </c>
      <c r="W6" s="47">
        <f>SUMIFS('CONSOLIDADO POR SEDE'!$L$6:$L$1630,'CONSOLIDADO POR SEDE'!$E$6:$E$1630,RUBROS!$A6,'CONSOLIDADO POR SEDE'!$C$6:$C$1630,RUBROS!W$5)</f>
        <v>0</v>
      </c>
      <c r="X6" s="47">
        <f>SUMIFS('CONSOLIDADO POR SEDE'!$L$6:$L$1630,'CONSOLIDADO POR SEDE'!$E$6:$E$1630,RUBROS!$A6,'CONSOLIDADO POR SEDE'!$C$6:$C$1630,RUBROS!X$5)</f>
        <v>0</v>
      </c>
      <c r="Y6" s="47">
        <f>SUMIFS('CONSOLIDADO POR SEDE'!$L$6:$L$1630,'CONSOLIDADO POR SEDE'!$E$6:$E$1630,RUBROS!$A6,'CONSOLIDADO POR SEDE'!$C$6:$C$1630,RUBROS!Y$5)</f>
        <v>0</v>
      </c>
      <c r="Z6" s="47">
        <f>SUMIFS('CONSOLIDADO POR SEDE'!$L$6:$L$1630,'CONSOLIDADO POR SEDE'!$E$6:$E$1630,RUBROS!$A6,'CONSOLIDADO POR SEDE'!$C$6:$C$1630,RUBROS!Z$5)</f>
        <v>92109.724080000015</v>
      </c>
      <c r="AA6" s="47">
        <f>SUMIFS('CONSOLIDADO POR SEDE'!$L$6:$L$1630,'CONSOLIDADO POR SEDE'!$E$6:$E$1630,RUBROS!$A6,'CONSOLIDADO POR SEDE'!$C$6:$C$1630,RUBROS!AA$5)</f>
        <v>0</v>
      </c>
      <c r="AB6" s="47">
        <f>SUMIFS('CONSOLIDADO POR SEDE'!$L$6:$L$1630,'CONSOLIDADO POR SEDE'!$E$6:$E$1630,RUBROS!$A6,'CONSOLIDADO POR SEDE'!$C$6:$C$1630,RUBROS!AB$5)</f>
        <v>0</v>
      </c>
      <c r="AC6" s="47">
        <f>SUMIFS('CONSOLIDADO POR SEDE'!$L$6:$L$1630,'CONSOLIDADO POR SEDE'!$E$6:$E$1630,RUBROS!$A6,'CONSOLIDADO POR SEDE'!$C$6:$C$1630,RUBROS!AC$5)</f>
        <v>0</v>
      </c>
      <c r="AD6" s="47">
        <f>SUMIFS('CONSOLIDADO POR SEDE'!$L$6:$L$1630,'CONSOLIDADO POR SEDE'!$E$6:$E$1630,RUBROS!$A6,'CONSOLIDADO POR SEDE'!$C$6:$C$1630,RUBROS!AD$5)</f>
        <v>14418.605939999998</v>
      </c>
      <c r="AE6" s="47">
        <f>SUMIFS('CONSOLIDADO POR SEDE'!$L$6:$L$1630,'CONSOLIDADO POR SEDE'!$E$6:$E$1630,RUBROS!$A6,'CONSOLIDADO POR SEDE'!$C$6:$C$1630,RUBROS!AE$5)</f>
        <v>0</v>
      </c>
      <c r="AF6" s="47">
        <f>SUMIFS('CONSOLIDADO POR SEDE'!$L$6:$L$1630,'CONSOLIDADO POR SEDE'!$E$6:$E$1630,RUBROS!$A6,'CONSOLIDADO POR SEDE'!$C$6:$C$1630,RUBROS!AF$5)</f>
        <v>507262.08108000003</v>
      </c>
      <c r="AG6" s="47">
        <f>SUMIFS('CONSOLIDADO POR SEDE'!$L$6:$L$1630,'CONSOLIDADO POR SEDE'!$E$6:$E$1630,RUBROS!$A6,'CONSOLIDADO POR SEDE'!$C$6:$C$1630,RUBROS!AG$5)</f>
        <v>2656593.4504094999</v>
      </c>
      <c r="AH6" s="47">
        <f>SUMIFS('CONSOLIDADO POR SEDE'!$L$6:$L$1630,'CONSOLIDADO POR SEDE'!$E$6:$E$1630,RUBROS!$A6,'CONSOLIDADO POR SEDE'!$C$6:$C$1630,RUBROS!AH$5)</f>
        <v>0</v>
      </c>
      <c r="AI6" s="47">
        <f>SUMIFS('CONSOLIDADO POR SEDE'!$L$6:$L$1630,'CONSOLIDADO POR SEDE'!$E$6:$E$1630,RUBROS!$A6,'CONSOLIDADO POR SEDE'!$C$6:$C$1630,RUBROS!AI$5)</f>
        <v>0</v>
      </c>
      <c r="AJ6" s="47">
        <f>SUMIFS('CONSOLIDADO POR SEDE'!$L$6:$L$1630,'CONSOLIDADO POR SEDE'!$E$6:$E$1630,RUBROS!$A6,'CONSOLIDADO POR SEDE'!$C$6:$C$1630,RUBROS!AJ$5)</f>
        <v>0</v>
      </c>
      <c r="AK6" s="47">
        <f>SUMIFS('CONSOLIDADO POR SEDE'!$L$6:$L$1630,'CONSOLIDADO POR SEDE'!$E$6:$E$1630,RUBROS!$A6,'CONSOLIDADO POR SEDE'!$C$6:$C$1630,RUBROS!AK$5)</f>
        <v>0</v>
      </c>
      <c r="AL6" s="47">
        <f>SUMIFS('CONSOLIDADO POR SEDE'!$L$6:$L$1630,'CONSOLIDADO POR SEDE'!$E$6:$E$1630,RUBROS!$A6,'CONSOLIDADO POR SEDE'!$C$6:$C$1630,RUBROS!AL$5)</f>
        <v>0</v>
      </c>
      <c r="AM6" s="47">
        <f>SUMIFS('CONSOLIDADO POR SEDE'!$L$6:$L$1630,'CONSOLIDADO POR SEDE'!$E$6:$E$1630,RUBROS!$A6,'CONSOLIDADO POR SEDE'!$C$6:$C$1630,RUBROS!AM$5)</f>
        <v>302138.00644500001</v>
      </c>
      <c r="AN6" s="47">
        <f>SUMIFS('CONSOLIDADO POR SEDE'!$L$6:$L$1630,'CONSOLIDADO POR SEDE'!$E$6:$E$1630,RUBROS!$A6,'CONSOLIDADO POR SEDE'!$C$6:$C$1630,RUBROS!AN$5)</f>
        <v>209203.26996149999</v>
      </c>
      <c r="AO6" s="47">
        <f>SUMIFS('CONSOLIDADO POR SEDE'!$L$6:$L$1630,'CONSOLIDADO POR SEDE'!$E$6:$E$1630,RUBROS!$A6,'CONSOLIDADO POR SEDE'!$C$6:$C$1630,RUBROS!AO$5)</f>
        <v>94732.35795000002</v>
      </c>
      <c r="AP6" s="47">
        <f>SUMIFS('CONSOLIDADO POR SEDE'!$L$6:$L$1630,'CONSOLIDADO POR SEDE'!$E$6:$E$1630,RUBROS!$A6,'CONSOLIDADO POR SEDE'!$C$6:$C$1630,RUBROS!AP$5)</f>
        <v>1106542.7408925002</v>
      </c>
      <c r="AQ6" s="47"/>
      <c r="AR6" s="48">
        <v>3829908.6848460003</v>
      </c>
      <c r="AS6" s="48"/>
      <c r="AT6" s="49">
        <f>SUM(C6:AR6)</f>
        <v>10803772.049598001</v>
      </c>
      <c r="AU6" s="42"/>
      <c r="AV6" s="42">
        <f>SUM(C6:AP6)</f>
        <v>6973863.3647520002</v>
      </c>
    </row>
    <row r="7" spans="1:48">
      <c r="A7" s="6" t="s">
        <v>122</v>
      </c>
      <c r="B7" s="6">
        <v>4213000</v>
      </c>
      <c r="C7" s="47">
        <f>SUMIFS('CONSOLIDADO POR SEDE'!$L$6:$L$1630,'CONSOLIDADO POR SEDE'!$E$6:$E$1630,RUBROS!$A7,'CONSOLIDADO POR SEDE'!$C$6:$C$1630,RUBROS!C$5)</f>
        <v>0</v>
      </c>
      <c r="D7" s="47">
        <f>SUMIFS('CONSOLIDADO POR SEDE'!$L$6:$L$1630,'CONSOLIDADO POR SEDE'!$E$6:$E$1630,RUBROS!$A7,'CONSOLIDADO POR SEDE'!$C$6:$C$1630,RUBROS!D$5)</f>
        <v>0</v>
      </c>
      <c r="E7" s="47">
        <f>SUMIFS('CONSOLIDADO POR SEDE'!$L$6:$L$1630,'CONSOLIDADO POR SEDE'!$E$6:$E$1630,RUBROS!$A7,'CONSOLIDADO POR SEDE'!$C$6:$C$1630,RUBROS!E$5)</f>
        <v>0</v>
      </c>
      <c r="F7" s="47">
        <f>SUMIFS('CONSOLIDADO POR SEDE'!$L$6:$L$1630,'CONSOLIDADO POR SEDE'!$E$6:$E$1630,RUBROS!$A7,'CONSOLIDADO POR SEDE'!$C$6:$C$1630,RUBROS!F$5)</f>
        <v>0</v>
      </c>
      <c r="G7" s="47">
        <f>SUMIFS('CONSOLIDADO POR SEDE'!$L$6:$L$1630,'CONSOLIDADO POR SEDE'!$E$6:$E$1630,RUBROS!$A7,'CONSOLIDADO POR SEDE'!$C$6:$C$1630,RUBROS!G$5)</f>
        <v>0</v>
      </c>
      <c r="H7" s="47">
        <f>SUMIFS('CONSOLIDADO POR SEDE'!$L$6:$L$1630,'CONSOLIDADO POR SEDE'!$E$6:$E$1630,RUBROS!$A7,'CONSOLIDADO POR SEDE'!$C$6:$C$1630,RUBROS!H$5)</f>
        <v>0</v>
      </c>
      <c r="I7" s="47">
        <f>SUMIFS('CONSOLIDADO POR SEDE'!$L$6:$L$1630,'CONSOLIDADO POR SEDE'!$E$6:$E$1630,RUBROS!$A7,'CONSOLIDADO POR SEDE'!$C$6:$C$1630,RUBROS!I$5)</f>
        <v>0</v>
      </c>
      <c r="J7" s="47">
        <f>SUMIFS('CONSOLIDADO POR SEDE'!$L$6:$L$1630,'CONSOLIDADO POR SEDE'!$E$6:$E$1630,RUBROS!$A7,'CONSOLIDADO POR SEDE'!$C$6:$C$1630,RUBROS!J$5)</f>
        <v>0</v>
      </c>
      <c r="K7" s="47">
        <f>SUMIFS('CONSOLIDADO POR SEDE'!$L$6:$L$1630,'CONSOLIDADO POR SEDE'!$E$6:$E$1630,RUBROS!$A7,'CONSOLIDADO POR SEDE'!$C$6:$C$1630,RUBROS!K$5)</f>
        <v>0</v>
      </c>
      <c r="L7" s="47">
        <f>SUMIFS('CONSOLIDADO POR SEDE'!$L$6:$L$1630,'CONSOLIDADO POR SEDE'!$E$6:$E$1630,RUBROS!$A7,'CONSOLIDADO POR SEDE'!$C$6:$C$1630,RUBROS!L$5)</f>
        <v>0</v>
      </c>
      <c r="M7" s="47">
        <f>SUMIFS('CONSOLIDADO POR SEDE'!$L$6:$L$1630,'CONSOLIDADO POR SEDE'!$E$6:$E$1630,RUBROS!$A7,'CONSOLIDADO POR SEDE'!$C$6:$C$1630,RUBROS!M$5)</f>
        <v>0</v>
      </c>
      <c r="N7" s="47">
        <f>SUMIFS('CONSOLIDADO POR SEDE'!$L$6:$L$1630,'CONSOLIDADO POR SEDE'!$E$6:$E$1630,RUBROS!$A7,'CONSOLIDADO POR SEDE'!$C$6:$C$1630,RUBROS!N$5)</f>
        <v>0</v>
      </c>
      <c r="O7" s="47">
        <f>SUMIFS('CONSOLIDADO POR SEDE'!$L$6:$L$1630,'CONSOLIDADO POR SEDE'!$E$6:$E$1630,RUBROS!$A7,'CONSOLIDADO POR SEDE'!$C$6:$C$1630,RUBROS!O$5)</f>
        <v>0</v>
      </c>
      <c r="P7" s="47">
        <f>SUMIFS('CONSOLIDADO POR SEDE'!$L$6:$L$1630,'CONSOLIDADO POR SEDE'!$E$6:$E$1630,RUBROS!$A7,'CONSOLIDADO POR SEDE'!$C$6:$C$1630,RUBROS!P$5)</f>
        <v>0</v>
      </c>
      <c r="Q7" s="47">
        <f>SUMIFS('CONSOLIDADO POR SEDE'!$L$6:$L$1630,'CONSOLIDADO POR SEDE'!$E$6:$E$1630,RUBROS!$A7,'CONSOLIDADO POR SEDE'!$C$6:$C$1630,RUBROS!Q$5)</f>
        <v>0</v>
      </c>
      <c r="R7" s="47">
        <f>SUMIFS('CONSOLIDADO POR SEDE'!$L$6:$L$1630,'CONSOLIDADO POR SEDE'!$E$6:$E$1630,RUBROS!$A7,'CONSOLIDADO POR SEDE'!$C$6:$C$1630,RUBROS!R$5)</f>
        <v>0</v>
      </c>
      <c r="S7" s="47">
        <f>SUMIFS('CONSOLIDADO POR SEDE'!$L$6:$L$1630,'CONSOLIDADO POR SEDE'!$E$6:$E$1630,RUBROS!$A7,'CONSOLIDADO POR SEDE'!$C$6:$C$1630,RUBROS!S$5)</f>
        <v>0</v>
      </c>
      <c r="T7" s="47">
        <f>SUMIFS('CONSOLIDADO POR SEDE'!$L$6:$L$1630,'CONSOLIDADO POR SEDE'!$E$6:$E$1630,RUBROS!$A7,'CONSOLIDADO POR SEDE'!$C$6:$C$1630,RUBROS!T$5)</f>
        <v>0</v>
      </c>
      <c r="U7" s="47">
        <f>SUMIFS('CONSOLIDADO POR SEDE'!$L$6:$L$1630,'CONSOLIDADO POR SEDE'!$E$6:$E$1630,RUBROS!$A7,'CONSOLIDADO POR SEDE'!$C$6:$C$1630,RUBROS!U$5)</f>
        <v>0</v>
      </c>
      <c r="V7" s="47">
        <f>SUMIFS('CONSOLIDADO POR SEDE'!$L$6:$L$1630,'CONSOLIDADO POR SEDE'!$E$6:$E$1630,RUBROS!$A7,'CONSOLIDADO POR SEDE'!$C$6:$C$1630,RUBROS!V$5)</f>
        <v>0</v>
      </c>
      <c r="W7" s="47">
        <f>SUMIFS('CONSOLIDADO POR SEDE'!$L$6:$L$1630,'CONSOLIDADO POR SEDE'!$E$6:$E$1630,RUBROS!$A7,'CONSOLIDADO POR SEDE'!$C$6:$C$1630,RUBROS!W$5)</f>
        <v>0</v>
      </c>
      <c r="X7" s="47">
        <f>SUMIFS('CONSOLIDADO POR SEDE'!$L$6:$L$1630,'CONSOLIDADO POR SEDE'!$E$6:$E$1630,RUBROS!$A7,'CONSOLIDADO POR SEDE'!$C$6:$C$1630,RUBROS!X$5)</f>
        <v>0</v>
      </c>
      <c r="Y7" s="47">
        <f>SUMIFS('CONSOLIDADO POR SEDE'!$L$6:$L$1630,'CONSOLIDADO POR SEDE'!$E$6:$E$1630,RUBROS!$A7,'CONSOLIDADO POR SEDE'!$C$6:$C$1630,RUBROS!Y$5)</f>
        <v>0</v>
      </c>
      <c r="Z7" s="47">
        <f>SUMIFS('CONSOLIDADO POR SEDE'!$L$6:$L$1630,'CONSOLIDADO POR SEDE'!$E$6:$E$1630,RUBROS!$A7,'CONSOLIDADO POR SEDE'!$C$6:$C$1630,RUBROS!Z$5)</f>
        <v>0</v>
      </c>
      <c r="AA7" s="47">
        <f>SUMIFS('CONSOLIDADO POR SEDE'!$L$6:$L$1630,'CONSOLIDADO POR SEDE'!$E$6:$E$1630,RUBROS!$A7,'CONSOLIDADO POR SEDE'!$C$6:$C$1630,RUBROS!AA$5)</f>
        <v>0</v>
      </c>
      <c r="AB7" s="47">
        <f>SUMIFS('CONSOLIDADO POR SEDE'!$L$6:$L$1630,'CONSOLIDADO POR SEDE'!$E$6:$E$1630,RUBROS!$A7,'CONSOLIDADO POR SEDE'!$C$6:$C$1630,RUBROS!AB$5)</f>
        <v>0</v>
      </c>
      <c r="AC7" s="47">
        <f>SUMIFS('CONSOLIDADO POR SEDE'!$L$6:$L$1630,'CONSOLIDADO POR SEDE'!$E$6:$E$1630,RUBROS!$A7,'CONSOLIDADO POR SEDE'!$C$6:$C$1630,RUBROS!AC$5)</f>
        <v>0</v>
      </c>
      <c r="AD7" s="47">
        <f>SUMIFS('CONSOLIDADO POR SEDE'!$L$6:$L$1630,'CONSOLIDADO POR SEDE'!$E$6:$E$1630,RUBROS!$A7,'CONSOLIDADO POR SEDE'!$C$6:$C$1630,RUBROS!AD$5)</f>
        <v>0</v>
      </c>
      <c r="AE7" s="47">
        <f>SUMIFS('CONSOLIDADO POR SEDE'!$L$6:$L$1630,'CONSOLIDADO POR SEDE'!$E$6:$E$1630,RUBROS!$A7,'CONSOLIDADO POR SEDE'!$C$6:$C$1630,RUBROS!AE$5)</f>
        <v>0</v>
      </c>
      <c r="AF7" s="47">
        <f>SUMIFS('CONSOLIDADO POR SEDE'!$L$6:$L$1630,'CONSOLIDADO POR SEDE'!$E$6:$E$1630,RUBROS!$A7,'CONSOLIDADO POR SEDE'!$C$6:$C$1630,RUBROS!AF$5)</f>
        <v>0</v>
      </c>
      <c r="AG7" s="47">
        <f>SUMIFS('CONSOLIDADO POR SEDE'!$L$6:$L$1630,'CONSOLIDADO POR SEDE'!$E$6:$E$1630,RUBROS!$A7,'CONSOLIDADO POR SEDE'!$C$6:$C$1630,RUBROS!AG$5)</f>
        <v>0</v>
      </c>
      <c r="AH7" s="47">
        <f>SUMIFS('CONSOLIDADO POR SEDE'!$L$6:$L$1630,'CONSOLIDADO POR SEDE'!$E$6:$E$1630,RUBROS!$A7,'CONSOLIDADO POR SEDE'!$C$6:$C$1630,RUBROS!AH$5)</f>
        <v>0</v>
      </c>
      <c r="AI7" s="47">
        <f>SUMIFS('CONSOLIDADO POR SEDE'!$L$6:$L$1630,'CONSOLIDADO POR SEDE'!$E$6:$E$1630,RUBROS!$A7,'CONSOLIDADO POR SEDE'!$C$6:$C$1630,RUBROS!AI$5)</f>
        <v>0</v>
      </c>
      <c r="AJ7" s="47">
        <f>SUMIFS('CONSOLIDADO POR SEDE'!$L$6:$L$1630,'CONSOLIDADO POR SEDE'!$E$6:$E$1630,RUBROS!$A7,'CONSOLIDADO POR SEDE'!$C$6:$C$1630,RUBROS!AJ$5)</f>
        <v>0</v>
      </c>
      <c r="AK7" s="47">
        <f>SUMIFS('CONSOLIDADO POR SEDE'!$L$6:$L$1630,'CONSOLIDADO POR SEDE'!$E$6:$E$1630,RUBROS!$A7,'CONSOLIDADO POR SEDE'!$C$6:$C$1630,RUBROS!AK$5)</f>
        <v>0</v>
      </c>
      <c r="AL7" s="47">
        <f>SUMIFS('CONSOLIDADO POR SEDE'!$L$6:$L$1630,'CONSOLIDADO POR SEDE'!$E$6:$E$1630,RUBROS!$A7,'CONSOLIDADO POR SEDE'!$C$6:$C$1630,RUBROS!AL$5)</f>
        <v>0</v>
      </c>
      <c r="AM7" s="47">
        <f>SUMIFS('CONSOLIDADO POR SEDE'!$L$6:$L$1630,'CONSOLIDADO POR SEDE'!$E$6:$E$1630,RUBROS!$A7,'CONSOLIDADO POR SEDE'!$C$6:$C$1630,RUBROS!AM$5)</f>
        <v>0</v>
      </c>
      <c r="AN7" s="47">
        <f>SUMIFS('CONSOLIDADO POR SEDE'!$L$6:$L$1630,'CONSOLIDADO POR SEDE'!$E$6:$E$1630,RUBROS!$A7,'CONSOLIDADO POR SEDE'!$C$6:$C$1630,RUBROS!AN$5)</f>
        <v>0</v>
      </c>
      <c r="AO7" s="47">
        <f>SUMIFS('CONSOLIDADO POR SEDE'!$L$6:$L$1630,'CONSOLIDADO POR SEDE'!$E$6:$E$1630,RUBROS!$A7,'CONSOLIDADO POR SEDE'!$C$6:$C$1630,RUBROS!AO$5)</f>
        <v>20807.012747999997</v>
      </c>
      <c r="AP7" s="47">
        <f>SUMIFS('CONSOLIDADO POR SEDE'!$L$6:$L$1630,'CONSOLIDADO POR SEDE'!$E$6:$E$1630,RUBROS!$A7,'CONSOLIDADO POR SEDE'!$C$6:$C$1630,RUBROS!AP$5)</f>
        <v>0</v>
      </c>
      <c r="AQ7" s="47"/>
      <c r="AR7" s="48">
        <v>1108789.620717</v>
      </c>
      <c r="AS7" s="48"/>
      <c r="AT7" s="49">
        <f t="shared" ref="AT7:AT30" si="1">SUM(C7:AR7)</f>
        <v>1129596.633465</v>
      </c>
      <c r="AU7" s="42"/>
      <c r="AV7" s="42">
        <f t="shared" ref="AV7:AV30" si="2">SUM(C7:AP7)</f>
        <v>20807.012747999997</v>
      </c>
    </row>
    <row r="8" spans="1:48">
      <c r="A8" s="6" t="s">
        <v>123</v>
      </c>
      <c r="B8" s="6">
        <v>4211200</v>
      </c>
      <c r="C8" s="47">
        <f>SUMIFS('CONSOLIDADO POR SEDE'!$L$6:$L$1630,'CONSOLIDADO POR SEDE'!$E$6:$E$1630,RUBROS!$A8,'CONSOLIDADO POR SEDE'!$C$6:$C$1630,RUBROS!C$5)</f>
        <v>0</v>
      </c>
      <c r="D8" s="47">
        <f>SUMIFS('CONSOLIDADO POR SEDE'!$L$6:$L$1630,'CONSOLIDADO POR SEDE'!$E$6:$E$1630,RUBROS!$A8,'CONSOLIDADO POR SEDE'!$C$6:$C$1630,RUBROS!D$5)</f>
        <v>0</v>
      </c>
      <c r="E8" s="47">
        <f>SUMIFS('CONSOLIDADO POR SEDE'!$L$6:$L$1630,'CONSOLIDADO POR SEDE'!$E$6:$E$1630,RUBROS!$A8,'CONSOLIDADO POR SEDE'!$C$6:$C$1630,RUBROS!E$5)</f>
        <v>0</v>
      </c>
      <c r="F8" s="47">
        <f>SUMIFS('CONSOLIDADO POR SEDE'!$L$6:$L$1630,'CONSOLIDADO POR SEDE'!$E$6:$E$1630,RUBROS!$A8,'CONSOLIDADO POR SEDE'!$C$6:$C$1630,RUBROS!F$5)</f>
        <v>0</v>
      </c>
      <c r="G8" s="47">
        <f>SUMIFS('CONSOLIDADO POR SEDE'!$L$6:$L$1630,'CONSOLIDADO POR SEDE'!$E$6:$E$1630,RUBROS!$A8,'CONSOLIDADO POR SEDE'!$C$6:$C$1630,RUBROS!G$5)</f>
        <v>0</v>
      </c>
      <c r="H8" s="47">
        <f>SUMIFS('CONSOLIDADO POR SEDE'!$L$6:$L$1630,'CONSOLIDADO POR SEDE'!$E$6:$E$1630,RUBROS!$A8,'CONSOLIDADO POR SEDE'!$C$6:$C$1630,RUBROS!H$5)</f>
        <v>0</v>
      </c>
      <c r="I8" s="47">
        <f>SUMIFS('CONSOLIDADO POR SEDE'!$L$6:$L$1630,'CONSOLIDADO POR SEDE'!$E$6:$E$1630,RUBROS!$A8,'CONSOLIDADO POR SEDE'!$C$6:$C$1630,RUBROS!I$5)</f>
        <v>752.68416000000002</v>
      </c>
      <c r="J8" s="47">
        <f>SUMIFS('CONSOLIDADO POR SEDE'!$L$6:$L$1630,'CONSOLIDADO POR SEDE'!$E$6:$E$1630,RUBROS!$A8,'CONSOLIDADO POR SEDE'!$C$6:$C$1630,RUBROS!J$5)</f>
        <v>5438.1430559999999</v>
      </c>
      <c r="K8" s="47">
        <f>SUMIFS('CONSOLIDADO POR SEDE'!$L$6:$L$1630,'CONSOLIDADO POR SEDE'!$E$6:$E$1630,RUBROS!$A8,'CONSOLIDADO POR SEDE'!$C$6:$C$1630,RUBROS!K$5)</f>
        <v>0</v>
      </c>
      <c r="L8" s="47">
        <f>SUMIFS('CONSOLIDADO POR SEDE'!$L$6:$L$1630,'CONSOLIDADO POR SEDE'!$E$6:$E$1630,RUBROS!$A8,'CONSOLIDADO POR SEDE'!$C$6:$C$1630,RUBROS!L$5)</f>
        <v>0</v>
      </c>
      <c r="M8" s="47">
        <f>SUMIFS('CONSOLIDADO POR SEDE'!$L$6:$L$1630,'CONSOLIDADO POR SEDE'!$E$6:$E$1630,RUBROS!$A8,'CONSOLIDADO POR SEDE'!$C$6:$C$1630,RUBROS!M$5)</f>
        <v>0</v>
      </c>
      <c r="N8" s="47">
        <f>SUMIFS('CONSOLIDADO POR SEDE'!$L$6:$L$1630,'CONSOLIDADO POR SEDE'!$E$6:$E$1630,RUBROS!$A8,'CONSOLIDADO POR SEDE'!$C$6:$C$1630,RUBROS!N$5)</f>
        <v>0</v>
      </c>
      <c r="O8" s="47">
        <f>SUMIFS('CONSOLIDADO POR SEDE'!$L$6:$L$1630,'CONSOLIDADO POR SEDE'!$E$6:$E$1630,RUBROS!$A8,'CONSOLIDADO POR SEDE'!$C$6:$C$1630,RUBROS!O$5)</f>
        <v>0</v>
      </c>
      <c r="P8" s="47">
        <f>SUMIFS('CONSOLIDADO POR SEDE'!$L$6:$L$1630,'CONSOLIDADO POR SEDE'!$E$6:$E$1630,RUBROS!$A8,'CONSOLIDADO POR SEDE'!$C$6:$C$1630,RUBROS!P$5)</f>
        <v>0</v>
      </c>
      <c r="Q8" s="47">
        <f>SUMIFS('CONSOLIDADO POR SEDE'!$L$6:$L$1630,'CONSOLIDADO POR SEDE'!$E$6:$E$1630,RUBROS!$A8,'CONSOLIDADO POR SEDE'!$C$6:$C$1630,RUBROS!Q$5)</f>
        <v>0</v>
      </c>
      <c r="R8" s="47">
        <f>SUMIFS('CONSOLIDADO POR SEDE'!$L$6:$L$1630,'CONSOLIDADO POR SEDE'!$E$6:$E$1630,RUBROS!$A8,'CONSOLIDADO POR SEDE'!$C$6:$C$1630,RUBROS!R$5)</f>
        <v>0</v>
      </c>
      <c r="S8" s="47">
        <f>SUMIFS('CONSOLIDADO POR SEDE'!$L$6:$L$1630,'CONSOLIDADO POR SEDE'!$E$6:$E$1630,RUBROS!$A8,'CONSOLIDADO POR SEDE'!$C$6:$C$1630,RUBROS!S$5)</f>
        <v>0</v>
      </c>
      <c r="T8" s="47">
        <f>SUMIFS('CONSOLIDADO POR SEDE'!$L$6:$L$1630,'CONSOLIDADO POR SEDE'!$E$6:$E$1630,RUBROS!$A8,'CONSOLIDADO POR SEDE'!$C$6:$C$1630,RUBROS!T$5)</f>
        <v>0</v>
      </c>
      <c r="U8" s="47">
        <f>SUMIFS('CONSOLIDADO POR SEDE'!$L$6:$L$1630,'CONSOLIDADO POR SEDE'!$E$6:$E$1630,RUBROS!$A8,'CONSOLIDADO POR SEDE'!$C$6:$C$1630,RUBROS!U$5)</f>
        <v>0</v>
      </c>
      <c r="V8" s="47">
        <f>SUMIFS('CONSOLIDADO POR SEDE'!$L$6:$L$1630,'CONSOLIDADO POR SEDE'!$E$6:$E$1630,RUBROS!$A8,'CONSOLIDADO POR SEDE'!$C$6:$C$1630,RUBROS!V$5)</f>
        <v>0</v>
      </c>
      <c r="W8" s="47">
        <f>SUMIFS('CONSOLIDADO POR SEDE'!$L$6:$L$1630,'CONSOLIDADO POR SEDE'!$E$6:$E$1630,RUBROS!$A8,'CONSOLIDADO POR SEDE'!$C$6:$C$1630,RUBROS!W$5)</f>
        <v>0</v>
      </c>
      <c r="X8" s="47">
        <f>SUMIFS('CONSOLIDADO POR SEDE'!$L$6:$L$1630,'CONSOLIDADO POR SEDE'!$E$6:$E$1630,RUBROS!$A8,'CONSOLIDADO POR SEDE'!$C$6:$C$1630,RUBROS!X$5)</f>
        <v>0</v>
      </c>
      <c r="Y8" s="47">
        <f>SUMIFS('CONSOLIDADO POR SEDE'!$L$6:$L$1630,'CONSOLIDADO POR SEDE'!$E$6:$E$1630,RUBROS!$A8,'CONSOLIDADO POR SEDE'!$C$6:$C$1630,RUBROS!Y$5)</f>
        <v>0</v>
      </c>
      <c r="Z8" s="47">
        <f>SUMIFS('CONSOLIDADO POR SEDE'!$L$6:$L$1630,'CONSOLIDADO POR SEDE'!$E$6:$E$1630,RUBROS!$A8,'CONSOLIDADO POR SEDE'!$C$6:$C$1630,RUBROS!Z$5)</f>
        <v>0</v>
      </c>
      <c r="AA8" s="47">
        <f>SUMIFS('CONSOLIDADO POR SEDE'!$L$6:$L$1630,'CONSOLIDADO POR SEDE'!$E$6:$E$1630,RUBROS!$A8,'CONSOLIDADO POR SEDE'!$C$6:$C$1630,RUBROS!AA$5)</f>
        <v>0</v>
      </c>
      <c r="AB8" s="47">
        <f>SUMIFS('CONSOLIDADO POR SEDE'!$L$6:$L$1630,'CONSOLIDADO POR SEDE'!$E$6:$E$1630,RUBROS!$A8,'CONSOLIDADO POR SEDE'!$C$6:$C$1630,RUBROS!AB$5)</f>
        <v>0</v>
      </c>
      <c r="AC8" s="47">
        <f>SUMIFS('CONSOLIDADO POR SEDE'!$L$6:$L$1630,'CONSOLIDADO POR SEDE'!$E$6:$E$1630,RUBROS!$A8,'CONSOLIDADO POR SEDE'!$C$6:$C$1630,RUBROS!AC$5)</f>
        <v>0</v>
      </c>
      <c r="AD8" s="47">
        <f>SUMIFS('CONSOLIDADO POR SEDE'!$L$6:$L$1630,'CONSOLIDADO POR SEDE'!$E$6:$E$1630,RUBROS!$A8,'CONSOLIDADO POR SEDE'!$C$6:$C$1630,RUBROS!AD$5)</f>
        <v>0</v>
      </c>
      <c r="AE8" s="47">
        <f>SUMIFS('CONSOLIDADO POR SEDE'!$L$6:$L$1630,'CONSOLIDADO POR SEDE'!$E$6:$E$1630,RUBROS!$A8,'CONSOLIDADO POR SEDE'!$C$6:$C$1630,RUBROS!AE$5)</f>
        <v>0</v>
      </c>
      <c r="AF8" s="47">
        <f>SUMIFS('CONSOLIDADO POR SEDE'!$L$6:$L$1630,'CONSOLIDADO POR SEDE'!$E$6:$E$1630,RUBROS!$A8,'CONSOLIDADO POR SEDE'!$C$6:$C$1630,RUBROS!AF$5)</f>
        <v>0</v>
      </c>
      <c r="AG8" s="47">
        <f>SUMIFS('CONSOLIDADO POR SEDE'!$L$6:$L$1630,'CONSOLIDADO POR SEDE'!$E$6:$E$1630,RUBROS!$A8,'CONSOLIDADO POR SEDE'!$C$6:$C$1630,RUBROS!AG$5)</f>
        <v>0</v>
      </c>
      <c r="AH8" s="47">
        <f>SUMIFS('CONSOLIDADO POR SEDE'!$L$6:$L$1630,'CONSOLIDADO POR SEDE'!$E$6:$E$1630,RUBROS!$A8,'CONSOLIDADO POR SEDE'!$C$6:$C$1630,RUBROS!AH$5)</f>
        <v>0</v>
      </c>
      <c r="AI8" s="47">
        <f>SUMIFS('CONSOLIDADO POR SEDE'!$L$6:$L$1630,'CONSOLIDADO POR SEDE'!$E$6:$E$1630,RUBROS!$A8,'CONSOLIDADO POR SEDE'!$C$6:$C$1630,RUBROS!AI$5)</f>
        <v>0</v>
      </c>
      <c r="AJ8" s="47">
        <f>SUMIFS('CONSOLIDADO POR SEDE'!$L$6:$L$1630,'CONSOLIDADO POR SEDE'!$E$6:$E$1630,RUBROS!$A8,'CONSOLIDADO POR SEDE'!$C$6:$C$1630,RUBROS!AJ$5)</f>
        <v>0</v>
      </c>
      <c r="AK8" s="47">
        <f>SUMIFS('CONSOLIDADO POR SEDE'!$L$6:$L$1630,'CONSOLIDADO POR SEDE'!$E$6:$E$1630,RUBROS!$A8,'CONSOLIDADO POR SEDE'!$C$6:$C$1630,RUBROS!AK$5)</f>
        <v>0</v>
      </c>
      <c r="AL8" s="47">
        <f>SUMIFS('CONSOLIDADO POR SEDE'!$L$6:$L$1630,'CONSOLIDADO POR SEDE'!$E$6:$E$1630,RUBROS!$A8,'CONSOLIDADO POR SEDE'!$C$6:$C$1630,RUBROS!AL$5)</f>
        <v>0</v>
      </c>
      <c r="AM8" s="47">
        <f>SUMIFS('CONSOLIDADO POR SEDE'!$L$6:$L$1630,'CONSOLIDADO POR SEDE'!$E$6:$E$1630,RUBROS!$A8,'CONSOLIDADO POR SEDE'!$C$6:$C$1630,RUBROS!AM$5)</f>
        <v>0</v>
      </c>
      <c r="AN8" s="47">
        <f>SUMIFS('CONSOLIDADO POR SEDE'!$L$6:$L$1630,'CONSOLIDADO POR SEDE'!$E$6:$E$1630,RUBROS!$A8,'CONSOLIDADO POR SEDE'!$C$6:$C$1630,RUBROS!AN$5)</f>
        <v>0</v>
      </c>
      <c r="AO8" s="47">
        <f>SUMIFS('CONSOLIDADO POR SEDE'!$L$6:$L$1630,'CONSOLIDADO POR SEDE'!$E$6:$E$1630,RUBROS!$A8,'CONSOLIDADO POR SEDE'!$C$6:$C$1630,RUBROS!AO$5)</f>
        <v>0</v>
      </c>
      <c r="AP8" s="47">
        <f>SUMIFS('CONSOLIDADO POR SEDE'!$L$6:$L$1630,'CONSOLIDADO POR SEDE'!$E$6:$E$1630,RUBROS!$A8,'CONSOLIDADO POR SEDE'!$C$6:$C$1630,RUBROS!AP$5)</f>
        <v>0</v>
      </c>
      <c r="AQ8" s="47"/>
      <c r="AR8" s="48">
        <v>672616.20641099999</v>
      </c>
      <c r="AS8" s="48"/>
      <c r="AT8" s="49">
        <f t="shared" si="1"/>
        <v>678807.03362699994</v>
      </c>
      <c r="AU8" s="42"/>
      <c r="AV8" s="42">
        <f t="shared" si="2"/>
        <v>6190.8272159999997</v>
      </c>
    </row>
    <row r="9" spans="1:48">
      <c r="A9" s="6" t="s">
        <v>124</v>
      </c>
      <c r="B9" s="6"/>
      <c r="C9" s="47">
        <f>SUMIFS('CONSOLIDADO POR SEDE'!$L$6:$L$1630,'CONSOLIDADO POR SEDE'!$E$6:$E$1630,RUBROS!$A9,'CONSOLIDADO POR SEDE'!$C$6:$C$1630,RUBROS!C$5)</f>
        <v>0</v>
      </c>
      <c r="D9" s="47">
        <f>SUMIFS('CONSOLIDADO POR SEDE'!$L$6:$L$1630,'CONSOLIDADO POR SEDE'!$E$6:$E$1630,RUBROS!$A9,'CONSOLIDADO POR SEDE'!$C$6:$C$1630,RUBROS!D$5)</f>
        <v>0</v>
      </c>
      <c r="E9" s="47">
        <f>SUMIFS('CONSOLIDADO POR SEDE'!$L$6:$L$1630,'CONSOLIDADO POR SEDE'!$E$6:$E$1630,RUBROS!$A9,'CONSOLIDADO POR SEDE'!$C$6:$C$1630,RUBROS!E$5)</f>
        <v>0</v>
      </c>
      <c r="F9" s="47">
        <f>SUMIFS('CONSOLIDADO POR SEDE'!$L$6:$L$1630,'CONSOLIDADO POR SEDE'!$E$6:$E$1630,RUBROS!$A9,'CONSOLIDADO POR SEDE'!$C$6:$C$1630,RUBROS!F$5)</f>
        <v>0</v>
      </c>
      <c r="G9" s="47">
        <f>SUMIFS('CONSOLIDADO POR SEDE'!$L$6:$L$1630,'CONSOLIDADO POR SEDE'!$E$6:$E$1630,RUBROS!$A9,'CONSOLIDADO POR SEDE'!$C$6:$C$1630,RUBROS!G$5)</f>
        <v>0</v>
      </c>
      <c r="H9" s="47">
        <f>SUMIFS('CONSOLIDADO POR SEDE'!$L$6:$L$1630,'CONSOLIDADO POR SEDE'!$E$6:$E$1630,RUBROS!$A9,'CONSOLIDADO POR SEDE'!$C$6:$C$1630,RUBROS!H$5)</f>
        <v>0</v>
      </c>
      <c r="I9" s="47">
        <f>SUMIFS('CONSOLIDADO POR SEDE'!$L$6:$L$1630,'CONSOLIDADO POR SEDE'!$E$6:$E$1630,RUBROS!$A9,'CONSOLIDADO POR SEDE'!$C$6:$C$1630,RUBROS!I$5)</f>
        <v>0</v>
      </c>
      <c r="J9" s="47">
        <f>SUMIFS('CONSOLIDADO POR SEDE'!$L$6:$L$1630,'CONSOLIDADO POR SEDE'!$E$6:$E$1630,RUBROS!$A9,'CONSOLIDADO POR SEDE'!$C$6:$C$1630,RUBROS!J$5)</f>
        <v>0</v>
      </c>
      <c r="K9" s="47">
        <f>SUMIFS('CONSOLIDADO POR SEDE'!$L$6:$L$1630,'CONSOLIDADO POR SEDE'!$E$6:$E$1630,RUBROS!$A9,'CONSOLIDADO POR SEDE'!$C$6:$C$1630,RUBROS!K$5)</f>
        <v>0</v>
      </c>
      <c r="L9" s="47">
        <f>SUMIFS('CONSOLIDADO POR SEDE'!$L$6:$L$1630,'CONSOLIDADO POR SEDE'!$E$6:$E$1630,RUBROS!$A9,'CONSOLIDADO POR SEDE'!$C$6:$C$1630,RUBROS!L$5)</f>
        <v>0</v>
      </c>
      <c r="M9" s="47">
        <f>SUMIFS('CONSOLIDADO POR SEDE'!$L$6:$L$1630,'CONSOLIDADO POR SEDE'!$E$6:$E$1630,RUBROS!$A9,'CONSOLIDADO POR SEDE'!$C$6:$C$1630,RUBROS!M$5)</f>
        <v>0</v>
      </c>
      <c r="N9" s="47">
        <f>SUMIFS('CONSOLIDADO POR SEDE'!$L$6:$L$1630,'CONSOLIDADO POR SEDE'!$E$6:$E$1630,RUBROS!$A9,'CONSOLIDADO POR SEDE'!$C$6:$C$1630,RUBROS!N$5)</f>
        <v>0</v>
      </c>
      <c r="O9" s="47">
        <f>SUMIFS('CONSOLIDADO POR SEDE'!$L$6:$L$1630,'CONSOLIDADO POR SEDE'!$E$6:$E$1630,RUBROS!$A9,'CONSOLIDADO POR SEDE'!$C$6:$C$1630,RUBROS!O$5)</f>
        <v>0</v>
      </c>
      <c r="P9" s="47">
        <f>SUMIFS('CONSOLIDADO POR SEDE'!$L$6:$L$1630,'CONSOLIDADO POR SEDE'!$E$6:$E$1630,RUBROS!$A9,'CONSOLIDADO POR SEDE'!$C$6:$C$1630,RUBROS!P$5)</f>
        <v>0</v>
      </c>
      <c r="Q9" s="47">
        <f>SUMIFS('CONSOLIDADO POR SEDE'!$L$6:$L$1630,'CONSOLIDADO POR SEDE'!$E$6:$E$1630,RUBROS!$A9,'CONSOLIDADO POR SEDE'!$C$6:$C$1630,RUBROS!Q$5)</f>
        <v>0</v>
      </c>
      <c r="R9" s="47">
        <f>SUMIFS('CONSOLIDADO POR SEDE'!$L$6:$L$1630,'CONSOLIDADO POR SEDE'!$E$6:$E$1630,RUBROS!$A9,'CONSOLIDADO POR SEDE'!$C$6:$C$1630,RUBROS!R$5)</f>
        <v>0</v>
      </c>
      <c r="S9" s="47">
        <f>SUMIFS('CONSOLIDADO POR SEDE'!$L$6:$L$1630,'CONSOLIDADO POR SEDE'!$E$6:$E$1630,RUBROS!$A9,'CONSOLIDADO POR SEDE'!$C$6:$C$1630,RUBROS!S$5)</f>
        <v>0</v>
      </c>
      <c r="T9" s="47">
        <f>SUMIFS('CONSOLIDADO POR SEDE'!$L$6:$L$1630,'CONSOLIDADO POR SEDE'!$E$6:$E$1630,RUBROS!$A9,'CONSOLIDADO POR SEDE'!$C$6:$C$1630,RUBROS!T$5)</f>
        <v>0</v>
      </c>
      <c r="U9" s="47">
        <f>SUMIFS('CONSOLIDADO POR SEDE'!$L$6:$L$1630,'CONSOLIDADO POR SEDE'!$E$6:$E$1630,RUBROS!$A9,'CONSOLIDADO POR SEDE'!$C$6:$C$1630,RUBROS!U$5)</f>
        <v>0</v>
      </c>
      <c r="V9" s="47">
        <f>SUMIFS('CONSOLIDADO POR SEDE'!$L$6:$L$1630,'CONSOLIDADO POR SEDE'!$E$6:$E$1630,RUBROS!$A9,'CONSOLIDADO POR SEDE'!$C$6:$C$1630,RUBROS!V$5)</f>
        <v>0</v>
      </c>
      <c r="W9" s="47">
        <f>SUMIFS('CONSOLIDADO POR SEDE'!$L$6:$L$1630,'CONSOLIDADO POR SEDE'!$E$6:$E$1630,RUBROS!$A9,'CONSOLIDADO POR SEDE'!$C$6:$C$1630,RUBROS!W$5)</f>
        <v>0</v>
      </c>
      <c r="X9" s="47">
        <f>SUMIFS('CONSOLIDADO POR SEDE'!$L$6:$L$1630,'CONSOLIDADO POR SEDE'!$E$6:$E$1630,RUBROS!$A9,'CONSOLIDADO POR SEDE'!$C$6:$C$1630,RUBROS!X$5)</f>
        <v>0</v>
      </c>
      <c r="Y9" s="47">
        <f>SUMIFS('CONSOLIDADO POR SEDE'!$L$6:$L$1630,'CONSOLIDADO POR SEDE'!$E$6:$E$1630,RUBROS!$A9,'CONSOLIDADO POR SEDE'!$C$6:$C$1630,RUBROS!Y$5)</f>
        <v>0</v>
      </c>
      <c r="Z9" s="47">
        <f>SUMIFS('CONSOLIDADO POR SEDE'!$L$6:$L$1630,'CONSOLIDADO POR SEDE'!$E$6:$E$1630,RUBROS!$A9,'CONSOLIDADO POR SEDE'!$C$6:$C$1630,RUBROS!Z$5)</f>
        <v>0</v>
      </c>
      <c r="AA9" s="47">
        <f>SUMIFS('CONSOLIDADO POR SEDE'!$L$6:$L$1630,'CONSOLIDADO POR SEDE'!$E$6:$E$1630,RUBROS!$A9,'CONSOLIDADO POR SEDE'!$C$6:$C$1630,RUBROS!AA$5)</f>
        <v>0</v>
      </c>
      <c r="AB9" s="47">
        <f>SUMIFS('CONSOLIDADO POR SEDE'!$L$6:$L$1630,'CONSOLIDADO POR SEDE'!$E$6:$E$1630,RUBROS!$A9,'CONSOLIDADO POR SEDE'!$C$6:$C$1630,RUBROS!AB$5)</f>
        <v>0</v>
      </c>
      <c r="AC9" s="47">
        <f>SUMIFS('CONSOLIDADO POR SEDE'!$L$6:$L$1630,'CONSOLIDADO POR SEDE'!$E$6:$E$1630,RUBROS!$A9,'CONSOLIDADO POR SEDE'!$C$6:$C$1630,RUBROS!AC$5)</f>
        <v>0</v>
      </c>
      <c r="AD9" s="47">
        <f>SUMIFS('CONSOLIDADO POR SEDE'!$L$6:$L$1630,'CONSOLIDADO POR SEDE'!$E$6:$E$1630,RUBROS!$A9,'CONSOLIDADO POR SEDE'!$C$6:$C$1630,RUBROS!AD$5)</f>
        <v>0</v>
      </c>
      <c r="AE9" s="47">
        <f>SUMIFS('CONSOLIDADO POR SEDE'!$L$6:$L$1630,'CONSOLIDADO POR SEDE'!$E$6:$E$1630,RUBROS!$A9,'CONSOLIDADO POR SEDE'!$C$6:$C$1630,RUBROS!AE$5)</f>
        <v>0</v>
      </c>
      <c r="AF9" s="47">
        <f>SUMIFS('CONSOLIDADO POR SEDE'!$L$6:$L$1630,'CONSOLIDADO POR SEDE'!$E$6:$E$1630,RUBROS!$A9,'CONSOLIDADO POR SEDE'!$C$6:$C$1630,RUBROS!AF$5)</f>
        <v>0</v>
      </c>
      <c r="AG9" s="47">
        <f>SUMIFS('CONSOLIDADO POR SEDE'!$L$6:$L$1630,'CONSOLIDADO POR SEDE'!$E$6:$E$1630,RUBROS!$A9,'CONSOLIDADO POR SEDE'!$C$6:$C$1630,RUBROS!AG$5)</f>
        <v>0</v>
      </c>
      <c r="AH9" s="47">
        <f>SUMIFS('CONSOLIDADO POR SEDE'!$L$6:$L$1630,'CONSOLIDADO POR SEDE'!$E$6:$E$1630,RUBROS!$A9,'CONSOLIDADO POR SEDE'!$C$6:$C$1630,RUBROS!AH$5)</f>
        <v>0</v>
      </c>
      <c r="AI9" s="47">
        <f>SUMIFS('CONSOLIDADO POR SEDE'!$L$6:$L$1630,'CONSOLIDADO POR SEDE'!$E$6:$E$1630,RUBROS!$A9,'CONSOLIDADO POR SEDE'!$C$6:$C$1630,RUBROS!AI$5)</f>
        <v>0</v>
      </c>
      <c r="AJ9" s="47">
        <f>SUMIFS('CONSOLIDADO POR SEDE'!$L$6:$L$1630,'CONSOLIDADO POR SEDE'!$E$6:$E$1630,RUBROS!$A9,'CONSOLIDADO POR SEDE'!$C$6:$C$1630,RUBROS!AJ$5)</f>
        <v>0</v>
      </c>
      <c r="AK9" s="47">
        <f>SUMIFS('CONSOLIDADO POR SEDE'!$L$6:$L$1630,'CONSOLIDADO POR SEDE'!$E$6:$E$1630,RUBROS!$A9,'CONSOLIDADO POR SEDE'!$C$6:$C$1630,RUBROS!AK$5)</f>
        <v>0</v>
      </c>
      <c r="AL9" s="47">
        <f>SUMIFS('CONSOLIDADO POR SEDE'!$L$6:$L$1630,'CONSOLIDADO POR SEDE'!$E$6:$E$1630,RUBROS!$A9,'CONSOLIDADO POR SEDE'!$C$6:$C$1630,RUBROS!AL$5)</f>
        <v>0</v>
      </c>
      <c r="AM9" s="47">
        <f>SUMIFS('CONSOLIDADO POR SEDE'!$L$6:$L$1630,'CONSOLIDADO POR SEDE'!$E$6:$E$1630,RUBROS!$A9,'CONSOLIDADO POR SEDE'!$C$6:$C$1630,RUBROS!AM$5)</f>
        <v>0</v>
      </c>
      <c r="AN9" s="47">
        <f>SUMIFS('CONSOLIDADO POR SEDE'!$L$6:$L$1630,'CONSOLIDADO POR SEDE'!$E$6:$E$1630,RUBROS!$A9,'CONSOLIDADO POR SEDE'!$C$6:$C$1630,RUBROS!AN$5)</f>
        <v>0</v>
      </c>
      <c r="AO9" s="47">
        <f>SUMIFS('CONSOLIDADO POR SEDE'!$L$6:$L$1630,'CONSOLIDADO POR SEDE'!$E$6:$E$1630,RUBROS!$A9,'CONSOLIDADO POR SEDE'!$C$6:$C$1630,RUBROS!AO$5)</f>
        <v>0</v>
      </c>
      <c r="AP9" s="47">
        <f>SUMIFS('CONSOLIDADO POR SEDE'!$L$6:$L$1630,'CONSOLIDADO POR SEDE'!$E$6:$E$1630,RUBROS!$A9,'CONSOLIDADO POR SEDE'!$C$6:$C$1630,RUBROS!AP$5)</f>
        <v>0</v>
      </c>
      <c r="AQ9" s="47"/>
      <c r="AR9" s="48">
        <v>0</v>
      </c>
      <c r="AS9" s="48"/>
      <c r="AT9" s="49">
        <f t="shared" si="1"/>
        <v>0</v>
      </c>
      <c r="AU9" s="42"/>
      <c r="AV9" s="42">
        <f t="shared" si="2"/>
        <v>0</v>
      </c>
    </row>
    <row r="10" spans="1:48">
      <c r="A10" s="6" t="s">
        <v>125</v>
      </c>
      <c r="B10" s="6">
        <v>4222119</v>
      </c>
      <c r="C10" s="47">
        <f>SUMIFS('CONSOLIDADO POR SEDE'!$L$6:$L$1630,'CONSOLIDADO POR SEDE'!$E$6:$E$1630,RUBROS!$A10,'CONSOLIDADO POR SEDE'!$C$6:$C$1630,RUBROS!C$5)</f>
        <v>0</v>
      </c>
      <c r="D10" s="47">
        <f>SUMIFS('CONSOLIDADO POR SEDE'!$L$6:$L$1630,'CONSOLIDADO POR SEDE'!$E$6:$E$1630,RUBROS!$A10,'CONSOLIDADO POR SEDE'!$C$6:$C$1630,RUBROS!D$5)</f>
        <v>0</v>
      </c>
      <c r="E10" s="47">
        <f>SUMIFS('CONSOLIDADO POR SEDE'!$L$6:$L$1630,'CONSOLIDADO POR SEDE'!$E$6:$E$1630,RUBROS!$A10,'CONSOLIDADO POR SEDE'!$C$6:$C$1630,RUBROS!E$5)</f>
        <v>0</v>
      </c>
      <c r="F10" s="47">
        <f>SUMIFS('CONSOLIDADO POR SEDE'!$L$6:$L$1630,'CONSOLIDADO POR SEDE'!$E$6:$E$1630,RUBROS!$A10,'CONSOLIDADO POR SEDE'!$C$6:$C$1630,RUBROS!F$5)</f>
        <v>0</v>
      </c>
      <c r="G10" s="47">
        <f>SUMIFS('CONSOLIDADO POR SEDE'!$L$6:$L$1630,'CONSOLIDADO POR SEDE'!$E$6:$E$1630,RUBROS!$A10,'CONSOLIDADO POR SEDE'!$C$6:$C$1630,RUBROS!G$5)</f>
        <v>0</v>
      </c>
      <c r="H10" s="47">
        <f>SUMIFS('CONSOLIDADO POR SEDE'!$L$6:$L$1630,'CONSOLIDADO POR SEDE'!$E$6:$E$1630,RUBROS!$A10,'CONSOLIDADO POR SEDE'!$C$6:$C$1630,RUBROS!H$5)</f>
        <v>0</v>
      </c>
      <c r="I10" s="47">
        <f>SUMIFS('CONSOLIDADO POR SEDE'!$L$6:$L$1630,'CONSOLIDADO POR SEDE'!$E$6:$E$1630,RUBROS!$A10,'CONSOLIDADO POR SEDE'!$C$6:$C$1630,RUBROS!I$5)</f>
        <v>0</v>
      </c>
      <c r="J10" s="47">
        <f>SUMIFS('CONSOLIDADO POR SEDE'!$L$6:$L$1630,'CONSOLIDADO POR SEDE'!$E$6:$E$1630,RUBROS!$A10,'CONSOLIDADO POR SEDE'!$C$6:$C$1630,RUBROS!J$5)</f>
        <v>2718.1306727999995</v>
      </c>
      <c r="K10" s="47">
        <f>SUMIFS('CONSOLIDADO POR SEDE'!$L$6:$L$1630,'CONSOLIDADO POR SEDE'!$E$6:$E$1630,RUBROS!$A10,'CONSOLIDADO POR SEDE'!$C$6:$C$1630,RUBROS!K$5)</f>
        <v>0</v>
      </c>
      <c r="L10" s="47">
        <f>SUMIFS('CONSOLIDADO POR SEDE'!$L$6:$L$1630,'CONSOLIDADO POR SEDE'!$E$6:$E$1630,RUBROS!$A10,'CONSOLIDADO POR SEDE'!$C$6:$C$1630,RUBROS!L$5)</f>
        <v>0</v>
      </c>
      <c r="M10" s="47">
        <f>SUMIFS('CONSOLIDADO POR SEDE'!$L$6:$L$1630,'CONSOLIDADO POR SEDE'!$E$6:$E$1630,RUBROS!$A10,'CONSOLIDADO POR SEDE'!$C$6:$C$1630,RUBROS!M$5)</f>
        <v>0</v>
      </c>
      <c r="N10" s="47">
        <f>SUMIFS('CONSOLIDADO POR SEDE'!$L$6:$L$1630,'CONSOLIDADO POR SEDE'!$E$6:$E$1630,RUBROS!$A10,'CONSOLIDADO POR SEDE'!$C$6:$C$1630,RUBROS!N$5)</f>
        <v>0</v>
      </c>
      <c r="O10" s="47">
        <f>SUMIFS('CONSOLIDADO POR SEDE'!$L$6:$L$1630,'CONSOLIDADO POR SEDE'!$E$6:$E$1630,RUBROS!$A10,'CONSOLIDADO POR SEDE'!$C$6:$C$1630,RUBROS!O$5)</f>
        <v>0</v>
      </c>
      <c r="P10" s="47">
        <f>SUMIFS('CONSOLIDADO POR SEDE'!$L$6:$L$1630,'CONSOLIDADO POR SEDE'!$E$6:$E$1630,RUBROS!$A10,'CONSOLIDADO POR SEDE'!$C$6:$C$1630,RUBROS!P$5)</f>
        <v>0</v>
      </c>
      <c r="Q10" s="47">
        <f>SUMIFS('CONSOLIDADO POR SEDE'!$L$6:$L$1630,'CONSOLIDADO POR SEDE'!$E$6:$E$1630,RUBROS!$A10,'CONSOLIDADO POR SEDE'!$C$6:$C$1630,RUBROS!Q$5)</f>
        <v>0</v>
      </c>
      <c r="R10" s="47">
        <f>SUMIFS('CONSOLIDADO POR SEDE'!$L$6:$L$1630,'CONSOLIDADO POR SEDE'!$E$6:$E$1630,RUBROS!$A10,'CONSOLIDADO POR SEDE'!$C$6:$C$1630,RUBROS!R$5)</f>
        <v>134854.53991949998</v>
      </c>
      <c r="S10" s="47">
        <f>SUMIFS('CONSOLIDADO POR SEDE'!$L$6:$L$1630,'CONSOLIDADO POR SEDE'!$E$6:$E$1630,RUBROS!$A10,'CONSOLIDADO POR SEDE'!$C$6:$C$1630,RUBROS!S$5)</f>
        <v>0</v>
      </c>
      <c r="T10" s="47">
        <f>SUMIFS('CONSOLIDADO POR SEDE'!$L$6:$L$1630,'CONSOLIDADO POR SEDE'!$E$6:$E$1630,RUBROS!$A10,'CONSOLIDADO POR SEDE'!$C$6:$C$1630,RUBROS!T$5)</f>
        <v>0</v>
      </c>
      <c r="U10" s="47">
        <f>SUMIFS('CONSOLIDADO POR SEDE'!$L$6:$L$1630,'CONSOLIDADO POR SEDE'!$E$6:$E$1630,RUBROS!$A10,'CONSOLIDADO POR SEDE'!$C$6:$C$1630,RUBROS!U$5)</f>
        <v>0</v>
      </c>
      <c r="V10" s="47">
        <f>SUMIFS('CONSOLIDADO POR SEDE'!$L$6:$L$1630,'CONSOLIDADO POR SEDE'!$E$6:$E$1630,RUBROS!$A10,'CONSOLIDADO POR SEDE'!$C$6:$C$1630,RUBROS!V$5)</f>
        <v>0</v>
      </c>
      <c r="W10" s="47">
        <f>SUMIFS('CONSOLIDADO POR SEDE'!$L$6:$L$1630,'CONSOLIDADO POR SEDE'!$E$6:$E$1630,RUBROS!$A10,'CONSOLIDADO POR SEDE'!$C$6:$C$1630,RUBROS!W$5)</f>
        <v>0</v>
      </c>
      <c r="X10" s="47">
        <f>SUMIFS('CONSOLIDADO POR SEDE'!$L$6:$L$1630,'CONSOLIDADO POR SEDE'!$E$6:$E$1630,RUBROS!$A10,'CONSOLIDADO POR SEDE'!$C$6:$C$1630,RUBROS!X$5)</f>
        <v>0</v>
      </c>
      <c r="Y10" s="47">
        <f>SUMIFS('CONSOLIDADO POR SEDE'!$L$6:$L$1630,'CONSOLIDADO POR SEDE'!$E$6:$E$1630,RUBROS!$A10,'CONSOLIDADO POR SEDE'!$C$6:$C$1630,RUBROS!Y$5)</f>
        <v>0</v>
      </c>
      <c r="Z10" s="47">
        <f>SUMIFS('CONSOLIDADO POR SEDE'!$L$6:$L$1630,'CONSOLIDADO POR SEDE'!$E$6:$E$1630,RUBROS!$A10,'CONSOLIDADO POR SEDE'!$C$6:$C$1630,RUBROS!Z$5)</f>
        <v>0</v>
      </c>
      <c r="AA10" s="47">
        <f>SUMIFS('CONSOLIDADO POR SEDE'!$L$6:$L$1630,'CONSOLIDADO POR SEDE'!$E$6:$E$1630,RUBROS!$A10,'CONSOLIDADO POR SEDE'!$C$6:$C$1630,RUBROS!AA$5)</f>
        <v>0</v>
      </c>
      <c r="AB10" s="47">
        <f>SUMIFS('CONSOLIDADO POR SEDE'!$L$6:$L$1630,'CONSOLIDADO POR SEDE'!$E$6:$E$1630,RUBROS!$A10,'CONSOLIDADO POR SEDE'!$C$6:$C$1630,RUBROS!AB$5)</f>
        <v>0</v>
      </c>
      <c r="AC10" s="47">
        <f>SUMIFS('CONSOLIDADO POR SEDE'!$L$6:$L$1630,'CONSOLIDADO POR SEDE'!$E$6:$E$1630,RUBROS!$A10,'CONSOLIDADO POR SEDE'!$C$6:$C$1630,RUBROS!AC$5)</f>
        <v>0</v>
      </c>
      <c r="AD10" s="47">
        <f>SUMIFS('CONSOLIDADO POR SEDE'!$L$6:$L$1630,'CONSOLIDADO POR SEDE'!$E$6:$E$1630,RUBROS!$A10,'CONSOLIDADO POR SEDE'!$C$6:$C$1630,RUBROS!AD$5)</f>
        <v>53114.686640100001</v>
      </c>
      <c r="AE10" s="47">
        <f>SUMIFS('CONSOLIDADO POR SEDE'!$L$6:$L$1630,'CONSOLIDADO POR SEDE'!$E$6:$E$1630,RUBROS!$A10,'CONSOLIDADO POR SEDE'!$C$6:$C$1630,RUBROS!AE$5)</f>
        <v>0</v>
      </c>
      <c r="AF10" s="47">
        <f>SUMIFS('CONSOLIDADO POR SEDE'!$L$6:$L$1630,'CONSOLIDADO POR SEDE'!$E$6:$E$1630,RUBROS!$A10,'CONSOLIDADO POR SEDE'!$C$6:$C$1630,RUBROS!AF$5)</f>
        <v>0</v>
      </c>
      <c r="AG10" s="47">
        <f>SUMIFS('CONSOLIDADO POR SEDE'!$L$6:$L$1630,'CONSOLIDADO POR SEDE'!$E$6:$E$1630,RUBROS!$A10,'CONSOLIDADO POR SEDE'!$C$6:$C$1630,RUBROS!AG$5)</f>
        <v>0</v>
      </c>
      <c r="AH10" s="47">
        <f>SUMIFS('CONSOLIDADO POR SEDE'!$L$6:$L$1630,'CONSOLIDADO POR SEDE'!$E$6:$E$1630,RUBROS!$A10,'CONSOLIDADO POR SEDE'!$C$6:$C$1630,RUBROS!AH$5)</f>
        <v>0</v>
      </c>
      <c r="AI10" s="47">
        <f>SUMIFS('CONSOLIDADO POR SEDE'!$L$6:$L$1630,'CONSOLIDADO POR SEDE'!$E$6:$E$1630,RUBROS!$A10,'CONSOLIDADO POR SEDE'!$C$6:$C$1630,RUBROS!AI$5)</f>
        <v>0</v>
      </c>
      <c r="AJ10" s="47">
        <f>SUMIFS('CONSOLIDADO POR SEDE'!$L$6:$L$1630,'CONSOLIDADO POR SEDE'!$E$6:$E$1630,RUBROS!$A10,'CONSOLIDADO POR SEDE'!$C$6:$C$1630,RUBROS!AJ$5)</f>
        <v>0</v>
      </c>
      <c r="AK10" s="47">
        <f>SUMIFS('CONSOLIDADO POR SEDE'!$L$6:$L$1630,'CONSOLIDADO POR SEDE'!$E$6:$E$1630,RUBROS!$A10,'CONSOLIDADO POR SEDE'!$C$6:$C$1630,RUBROS!AK$5)</f>
        <v>0</v>
      </c>
      <c r="AL10" s="47">
        <f>SUMIFS('CONSOLIDADO POR SEDE'!$L$6:$L$1630,'CONSOLIDADO POR SEDE'!$E$6:$E$1630,RUBROS!$A10,'CONSOLIDADO POR SEDE'!$C$6:$C$1630,RUBROS!AL$5)</f>
        <v>0</v>
      </c>
      <c r="AM10" s="47">
        <f>SUMIFS('CONSOLIDADO POR SEDE'!$L$6:$L$1630,'CONSOLIDADO POR SEDE'!$E$6:$E$1630,RUBROS!$A10,'CONSOLIDADO POR SEDE'!$C$6:$C$1630,RUBROS!AM$5)</f>
        <v>0</v>
      </c>
      <c r="AN10" s="47">
        <f>SUMIFS('CONSOLIDADO POR SEDE'!$L$6:$L$1630,'CONSOLIDADO POR SEDE'!$E$6:$E$1630,RUBROS!$A10,'CONSOLIDADO POR SEDE'!$C$6:$C$1630,RUBROS!AN$5)</f>
        <v>0</v>
      </c>
      <c r="AO10" s="47">
        <f>SUMIFS('CONSOLIDADO POR SEDE'!$L$6:$L$1630,'CONSOLIDADO POR SEDE'!$E$6:$E$1630,RUBROS!$A10,'CONSOLIDADO POR SEDE'!$C$6:$C$1630,RUBROS!AO$5)</f>
        <v>0</v>
      </c>
      <c r="AP10" s="47">
        <f>SUMIFS('CONSOLIDADO POR SEDE'!$L$6:$L$1630,'CONSOLIDADO POR SEDE'!$E$6:$E$1630,RUBROS!$A10,'CONSOLIDADO POR SEDE'!$C$6:$C$1630,RUBROS!AP$5)</f>
        <v>0</v>
      </c>
      <c r="AQ10" s="47"/>
      <c r="AR10" s="48">
        <v>914630.03736900003</v>
      </c>
      <c r="AS10" s="48"/>
      <c r="AT10" s="49">
        <f t="shared" si="1"/>
        <v>1105317.3946014</v>
      </c>
      <c r="AU10" s="42"/>
      <c r="AV10" s="42">
        <f t="shared" si="2"/>
        <v>190687.35723239998</v>
      </c>
    </row>
    <row r="11" spans="1:48">
      <c r="A11" s="6" t="s">
        <v>126</v>
      </c>
      <c r="B11" s="6">
        <v>4222120</v>
      </c>
      <c r="C11" s="47">
        <f>SUMIFS('CONSOLIDADO POR SEDE'!$L$6:$L$1630,'CONSOLIDADO POR SEDE'!$E$6:$E$1630,RUBROS!$A11,'CONSOLIDADO POR SEDE'!$C$6:$C$1630,RUBROS!C$5)</f>
        <v>0</v>
      </c>
      <c r="D11" s="47">
        <f>SUMIFS('CONSOLIDADO POR SEDE'!$L$6:$L$1630,'CONSOLIDADO POR SEDE'!$E$6:$E$1630,RUBROS!$A11,'CONSOLIDADO POR SEDE'!$C$6:$C$1630,RUBROS!D$5)</f>
        <v>0</v>
      </c>
      <c r="E11" s="47">
        <f>SUMIFS('CONSOLIDADO POR SEDE'!$L$6:$L$1630,'CONSOLIDADO POR SEDE'!$E$6:$E$1630,RUBROS!$A11,'CONSOLIDADO POR SEDE'!$C$6:$C$1630,RUBROS!E$5)</f>
        <v>0</v>
      </c>
      <c r="F11" s="47">
        <f>SUMIFS('CONSOLIDADO POR SEDE'!$L$6:$L$1630,'CONSOLIDADO POR SEDE'!$E$6:$E$1630,RUBROS!$A11,'CONSOLIDADO POR SEDE'!$C$6:$C$1630,RUBROS!F$5)</f>
        <v>0</v>
      </c>
      <c r="G11" s="47">
        <f>SUMIFS('CONSOLIDADO POR SEDE'!$L$6:$L$1630,'CONSOLIDADO POR SEDE'!$E$6:$E$1630,RUBROS!$A11,'CONSOLIDADO POR SEDE'!$C$6:$C$1630,RUBROS!G$5)</f>
        <v>0</v>
      </c>
      <c r="H11" s="47">
        <f>SUMIFS('CONSOLIDADO POR SEDE'!$L$6:$L$1630,'CONSOLIDADO POR SEDE'!$E$6:$E$1630,RUBROS!$A11,'CONSOLIDADO POR SEDE'!$C$6:$C$1630,RUBROS!H$5)</f>
        <v>0</v>
      </c>
      <c r="I11" s="47">
        <f>SUMIFS('CONSOLIDADO POR SEDE'!$L$6:$L$1630,'CONSOLIDADO POR SEDE'!$E$6:$E$1630,RUBROS!$A11,'CONSOLIDADO POR SEDE'!$C$6:$C$1630,RUBROS!I$5)</f>
        <v>0</v>
      </c>
      <c r="J11" s="47">
        <f>SUMIFS('CONSOLIDADO POR SEDE'!$L$6:$L$1630,'CONSOLIDADO POR SEDE'!$E$6:$E$1630,RUBROS!$A11,'CONSOLIDADO POR SEDE'!$C$6:$C$1630,RUBROS!J$5)</f>
        <v>33549.720363</v>
      </c>
      <c r="K11" s="47">
        <f>SUMIFS('CONSOLIDADO POR SEDE'!$L$6:$L$1630,'CONSOLIDADO POR SEDE'!$E$6:$E$1630,RUBROS!$A11,'CONSOLIDADO POR SEDE'!$C$6:$C$1630,RUBROS!K$5)</f>
        <v>0</v>
      </c>
      <c r="L11" s="47">
        <f>SUMIFS('CONSOLIDADO POR SEDE'!$L$6:$L$1630,'CONSOLIDADO POR SEDE'!$E$6:$E$1630,RUBROS!$A11,'CONSOLIDADO POR SEDE'!$C$6:$C$1630,RUBROS!L$5)</f>
        <v>0</v>
      </c>
      <c r="M11" s="47">
        <f>SUMIFS('CONSOLIDADO POR SEDE'!$L$6:$L$1630,'CONSOLIDADO POR SEDE'!$E$6:$E$1630,RUBROS!$A11,'CONSOLIDADO POR SEDE'!$C$6:$C$1630,RUBROS!M$5)</f>
        <v>0</v>
      </c>
      <c r="N11" s="47">
        <f>SUMIFS('CONSOLIDADO POR SEDE'!$L$6:$L$1630,'CONSOLIDADO POR SEDE'!$E$6:$E$1630,RUBROS!$A11,'CONSOLIDADO POR SEDE'!$C$6:$C$1630,RUBROS!N$5)</f>
        <v>0</v>
      </c>
      <c r="O11" s="47">
        <f>SUMIFS('CONSOLIDADO POR SEDE'!$L$6:$L$1630,'CONSOLIDADO POR SEDE'!$E$6:$E$1630,RUBROS!$A11,'CONSOLIDADO POR SEDE'!$C$6:$C$1630,RUBROS!O$5)</f>
        <v>0</v>
      </c>
      <c r="P11" s="47">
        <f>SUMIFS('CONSOLIDADO POR SEDE'!$L$6:$L$1630,'CONSOLIDADO POR SEDE'!$E$6:$E$1630,RUBROS!$A11,'CONSOLIDADO POR SEDE'!$C$6:$C$1630,RUBROS!P$5)</f>
        <v>0</v>
      </c>
      <c r="Q11" s="47">
        <f>SUMIFS('CONSOLIDADO POR SEDE'!$L$6:$L$1630,'CONSOLIDADO POR SEDE'!$E$6:$E$1630,RUBROS!$A11,'CONSOLIDADO POR SEDE'!$C$6:$C$1630,RUBROS!Q$5)</f>
        <v>0</v>
      </c>
      <c r="R11" s="47">
        <f>SUMIFS('CONSOLIDADO POR SEDE'!$L$6:$L$1630,'CONSOLIDADO POR SEDE'!$E$6:$E$1630,RUBROS!$A11,'CONSOLIDADO POR SEDE'!$C$6:$C$1630,RUBROS!R$5)</f>
        <v>120257.17149149999</v>
      </c>
      <c r="S11" s="47">
        <f>SUMIFS('CONSOLIDADO POR SEDE'!$L$6:$L$1630,'CONSOLIDADO POR SEDE'!$E$6:$E$1630,RUBROS!$A11,'CONSOLIDADO POR SEDE'!$C$6:$C$1630,RUBROS!S$5)</f>
        <v>0</v>
      </c>
      <c r="T11" s="47">
        <f>SUMIFS('CONSOLIDADO POR SEDE'!$L$6:$L$1630,'CONSOLIDADO POR SEDE'!$E$6:$E$1630,RUBROS!$A11,'CONSOLIDADO POR SEDE'!$C$6:$C$1630,RUBROS!T$5)</f>
        <v>0</v>
      </c>
      <c r="U11" s="47">
        <f>SUMIFS('CONSOLIDADO POR SEDE'!$L$6:$L$1630,'CONSOLIDADO POR SEDE'!$E$6:$E$1630,RUBROS!$A11,'CONSOLIDADO POR SEDE'!$C$6:$C$1630,RUBROS!U$5)</f>
        <v>0</v>
      </c>
      <c r="V11" s="47">
        <f>SUMIFS('CONSOLIDADO POR SEDE'!$L$6:$L$1630,'CONSOLIDADO POR SEDE'!$E$6:$E$1630,RUBROS!$A11,'CONSOLIDADO POR SEDE'!$C$6:$C$1630,RUBROS!V$5)</f>
        <v>0</v>
      </c>
      <c r="W11" s="47">
        <f>SUMIFS('CONSOLIDADO POR SEDE'!$L$6:$L$1630,'CONSOLIDADO POR SEDE'!$E$6:$E$1630,RUBROS!$A11,'CONSOLIDADO POR SEDE'!$C$6:$C$1630,RUBROS!W$5)</f>
        <v>0</v>
      </c>
      <c r="X11" s="47">
        <f>SUMIFS('CONSOLIDADO POR SEDE'!$L$6:$L$1630,'CONSOLIDADO POR SEDE'!$E$6:$E$1630,RUBROS!$A11,'CONSOLIDADO POR SEDE'!$C$6:$C$1630,RUBROS!X$5)</f>
        <v>0</v>
      </c>
      <c r="Y11" s="47">
        <f>SUMIFS('CONSOLIDADO POR SEDE'!$L$6:$L$1630,'CONSOLIDADO POR SEDE'!$E$6:$E$1630,RUBROS!$A11,'CONSOLIDADO POR SEDE'!$C$6:$C$1630,RUBROS!Y$5)</f>
        <v>0</v>
      </c>
      <c r="Z11" s="47">
        <f>SUMIFS('CONSOLIDADO POR SEDE'!$L$6:$L$1630,'CONSOLIDADO POR SEDE'!$E$6:$E$1630,RUBROS!$A11,'CONSOLIDADO POR SEDE'!$C$6:$C$1630,RUBROS!Z$5)</f>
        <v>12638.037473999999</v>
      </c>
      <c r="AA11" s="47">
        <f>SUMIFS('CONSOLIDADO POR SEDE'!$L$6:$L$1630,'CONSOLIDADO POR SEDE'!$E$6:$E$1630,RUBROS!$A11,'CONSOLIDADO POR SEDE'!$C$6:$C$1630,RUBROS!AA$5)</f>
        <v>0</v>
      </c>
      <c r="AB11" s="47">
        <f>SUMIFS('CONSOLIDADO POR SEDE'!$L$6:$L$1630,'CONSOLIDADO POR SEDE'!$E$6:$E$1630,RUBROS!$A11,'CONSOLIDADO POR SEDE'!$C$6:$C$1630,RUBROS!AB$5)</f>
        <v>0</v>
      </c>
      <c r="AC11" s="47">
        <f>SUMIFS('CONSOLIDADO POR SEDE'!$L$6:$L$1630,'CONSOLIDADO POR SEDE'!$E$6:$E$1630,RUBROS!$A11,'CONSOLIDADO POR SEDE'!$C$6:$C$1630,RUBROS!AC$5)</f>
        <v>0</v>
      </c>
      <c r="AD11" s="47">
        <f>SUMIFS('CONSOLIDADO POR SEDE'!$L$6:$L$1630,'CONSOLIDADO POR SEDE'!$E$6:$E$1630,RUBROS!$A11,'CONSOLIDADO POR SEDE'!$C$6:$C$1630,RUBROS!AD$5)</f>
        <v>58144.851360000001</v>
      </c>
      <c r="AE11" s="47">
        <f>SUMIFS('CONSOLIDADO POR SEDE'!$L$6:$L$1630,'CONSOLIDADO POR SEDE'!$E$6:$E$1630,RUBROS!$A11,'CONSOLIDADO POR SEDE'!$C$6:$C$1630,RUBROS!AE$5)</f>
        <v>0</v>
      </c>
      <c r="AF11" s="47">
        <f>SUMIFS('CONSOLIDADO POR SEDE'!$L$6:$L$1630,'CONSOLIDADO POR SEDE'!$E$6:$E$1630,RUBROS!$A11,'CONSOLIDADO POR SEDE'!$C$6:$C$1630,RUBROS!AF$5)</f>
        <v>13277.819010000003</v>
      </c>
      <c r="AG11" s="47">
        <f>SUMIFS('CONSOLIDADO POR SEDE'!$L$6:$L$1630,'CONSOLIDADO POR SEDE'!$E$6:$E$1630,RUBROS!$A11,'CONSOLIDADO POR SEDE'!$C$6:$C$1630,RUBROS!AG$5)</f>
        <v>0</v>
      </c>
      <c r="AH11" s="47">
        <f>SUMIFS('CONSOLIDADO POR SEDE'!$L$6:$L$1630,'CONSOLIDADO POR SEDE'!$E$6:$E$1630,RUBROS!$A11,'CONSOLIDADO POR SEDE'!$C$6:$C$1630,RUBROS!AH$5)</f>
        <v>0</v>
      </c>
      <c r="AI11" s="47">
        <f>SUMIFS('CONSOLIDADO POR SEDE'!$L$6:$L$1630,'CONSOLIDADO POR SEDE'!$E$6:$E$1630,RUBROS!$A11,'CONSOLIDADO POR SEDE'!$C$6:$C$1630,RUBROS!AI$5)</f>
        <v>0</v>
      </c>
      <c r="AJ11" s="47">
        <f>SUMIFS('CONSOLIDADO POR SEDE'!$L$6:$L$1630,'CONSOLIDADO POR SEDE'!$E$6:$E$1630,RUBROS!$A11,'CONSOLIDADO POR SEDE'!$C$6:$C$1630,RUBROS!AJ$5)</f>
        <v>0</v>
      </c>
      <c r="AK11" s="47">
        <f>SUMIFS('CONSOLIDADO POR SEDE'!$L$6:$L$1630,'CONSOLIDADO POR SEDE'!$E$6:$E$1630,RUBROS!$A11,'CONSOLIDADO POR SEDE'!$C$6:$C$1630,RUBROS!AK$5)</f>
        <v>0</v>
      </c>
      <c r="AL11" s="47">
        <f>SUMIFS('CONSOLIDADO POR SEDE'!$L$6:$L$1630,'CONSOLIDADO POR SEDE'!$E$6:$E$1630,RUBROS!$A11,'CONSOLIDADO POR SEDE'!$C$6:$C$1630,RUBROS!AL$5)</f>
        <v>0</v>
      </c>
      <c r="AM11" s="47">
        <f>SUMIFS('CONSOLIDADO POR SEDE'!$L$6:$L$1630,'CONSOLIDADO POR SEDE'!$E$6:$E$1630,RUBROS!$A11,'CONSOLIDADO POR SEDE'!$C$6:$C$1630,RUBROS!AM$5)</f>
        <v>0</v>
      </c>
      <c r="AN11" s="47">
        <f>SUMIFS('CONSOLIDADO POR SEDE'!$L$6:$L$1630,'CONSOLIDADO POR SEDE'!$E$6:$E$1630,RUBROS!$A11,'CONSOLIDADO POR SEDE'!$C$6:$C$1630,RUBROS!AN$5)</f>
        <v>0</v>
      </c>
      <c r="AO11" s="47">
        <f>SUMIFS('CONSOLIDADO POR SEDE'!$L$6:$L$1630,'CONSOLIDADO POR SEDE'!$E$6:$E$1630,RUBROS!$A11,'CONSOLIDADO POR SEDE'!$C$6:$C$1630,RUBROS!AO$5)</f>
        <v>0</v>
      </c>
      <c r="AP11" s="47">
        <f>SUMIFS('CONSOLIDADO POR SEDE'!$L$6:$L$1630,'CONSOLIDADO POR SEDE'!$E$6:$E$1630,RUBROS!$A11,'CONSOLIDADO POR SEDE'!$C$6:$C$1630,RUBROS!AP$5)</f>
        <v>0</v>
      </c>
      <c r="AQ11" s="47"/>
      <c r="AR11" s="48">
        <v>569178.585723</v>
      </c>
      <c r="AS11" s="48"/>
      <c r="AT11" s="49">
        <f t="shared" si="1"/>
        <v>807046.18542150001</v>
      </c>
      <c r="AU11" s="42"/>
      <c r="AV11" s="42">
        <f t="shared" si="2"/>
        <v>237867.59969850001</v>
      </c>
    </row>
    <row r="12" spans="1:48">
      <c r="A12" s="6" t="s">
        <v>127</v>
      </c>
      <c r="B12" s="6">
        <v>4222122</v>
      </c>
      <c r="C12" s="47">
        <f>SUMIFS('CONSOLIDADO POR SEDE'!$L$6:$L$1630,'CONSOLIDADO POR SEDE'!$E$6:$E$1630,RUBROS!$A12,'CONSOLIDADO POR SEDE'!$C$6:$C$1630,RUBROS!C$5)</f>
        <v>0</v>
      </c>
      <c r="D12" s="47">
        <f>SUMIFS('CONSOLIDADO POR SEDE'!$L$6:$L$1630,'CONSOLIDADO POR SEDE'!$E$6:$E$1630,RUBROS!$A12,'CONSOLIDADO POR SEDE'!$C$6:$C$1630,RUBROS!D$5)</f>
        <v>0</v>
      </c>
      <c r="E12" s="47">
        <f>SUMIFS('CONSOLIDADO POR SEDE'!$L$6:$L$1630,'CONSOLIDADO POR SEDE'!$E$6:$E$1630,RUBROS!$A12,'CONSOLIDADO POR SEDE'!$C$6:$C$1630,RUBROS!E$5)</f>
        <v>0</v>
      </c>
      <c r="F12" s="47">
        <f>SUMIFS('CONSOLIDADO POR SEDE'!$L$6:$L$1630,'CONSOLIDADO POR SEDE'!$E$6:$E$1630,RUBROS!$A12,'CONSOLIDADO POR SEDE'!$C$6:$C$1630,RUBROS!F$5)</f>
        <v>0</v>
      </c>
      <c r="G12" s="47">
        <f>SUMIFS('CONSOLIDADO POR SEDE'!$L$6:$L$1630,'CONSOLIDADO POR SEDE'!$E$6:$E$1630,RUBROS!$A12,'CONSOLIDADO POR SEDE'!$C$6:$C$1630,RUBROS!G$5)</f>
        <v>0</v>
      </c>
      <c r="H12" s="47">
        <f>SUMIFS('CONSOLIDADO POR SEDE'!$L$6:$L$1630,'CONSOLIDADO POR SEDE'!$E$6:$E$1630,RUBROS!$A12,'CONSOLIDADO POR SEDE'!$C$6:$C$1630,RUBROS!H$5)</f>
        <v>0</v>
      </c>
      <c r="I12" s="47">
        <f>SUMIFS('CONSOLIDADO POR SEDE'!$L$6:$L$1630,'CONSOLIDADO POR SEDE'!$E$6:$E$1630,RUBROS!$A12,'CONSOLIDADO POR SEDE'!$C$6:$C$1630,RUBROS!I$5)</f>
        <v>1505.36832</v>
      </c>
      <c r="J12" s="47">
        <f>SUMIFS('CONSOLIDADO POR SEDE'!$L$6:$L$1630,'CONSOLIDADO POR SEDE'!$E$6:$E$1630,RUBROS!$A12,'CONSOLIDADO POR SEDE'!$C$6:$C$1630,RUBROS!J$5)</f>
        <v>0</v>
      </c>
      <c r="K12" s="47">
        <f>SUMIFS('CONSOLIDADO POR SEDE'!$L$6:$L$1630,'CONSOLIDADO POR SEDE'!$E$6:$E$1630,RUBROS!$A12,'CONSOLIDADO POR SEDE'!$C$6:$C$1630,RUBROS!K$5)</f>
        <v>0</v>
      </c>
      <c r="L12" s="47">
        <f>SUMIFS('CONSOLIDADO POR SEDE'!$L$6:$L$1630,'CONSOLIDADO POR SEDE'!$E$6:$E$1630,RUBROS!$A12,'CONSOLIDADO POR SEDE'!$C$6:$C$1630,RUBROS!L$5)</f>
        <v>0</v>
      </c>
      <c r="M12" s="47">
        <f>SUMIFS('CONSOLIDADO POR SEDE'!$L$6:$L$1630,'CONSOLIDADO POR SEDE'!$E$6:$E$1630,RUBROS!$A12,'CONSOLIDADO POR SEDE'!$C$6:$C$1630,RUBROS!M$5)</f>
        <v>0</v>
      </c>
      <c r="N12" s="47">
        <f>SUMIFS('CONSOLIDADO POR SEDE'!$L$6:$L$1630,'CONSOLIDADO POR SEDE'!$E$6:$E$1630,RUBROS!$A12,'CONSOLIDADO POR SEDE'!$C$6:$C$1630,RUBROS!N$5)</f>
        <v>0</v>
      </c>
      <c r="O12" s="47">
        <f>SUMIFS('CONSOLIDADO POR SEDE'!$L$6:$L$1630,'CONSOLIDADO POR SEDE'!$E$6:$E$1630,RUBROS!$A12,'CONSOLIDADO POR SEDE'!$C$6:$C$1630,RUBROS!O$5)</f>
        <v>0</v>
      </c>
      <c r="P12" s="47">
        <f>SUMIFS('CONSOLIDADO POR SEDE'!$L$6:$L$1630,'CONSOLIDADO POR SEDE'!$E$6:$E$1630,RUBROS!$A12,'CONSOLIDADO POR SEDE'!$C$6:$C$1630,RUBROS!P$5)</f>
        <v>0</v>
      </c>
      <c r="Q12" s="47">
        <f>SUMIFS('CONSOLIDADO POR SEDE'!$L$6:$L$1630,'CONSOLIDADO POR SEDE'!$E$6:$E$1630,RUBROS!$A12,'CONSOLIDADO POR SEDE'!$C$6:$C$1630,RUBROS!Q$5)</f>
        <v>0</v>
      </c>
      <c r="R12" s="47">
        <f>SUMIFS('CONSOLIDADO POR SEDE'!$L$6:$L$1630,'CONSOLIDADO POR SEDE'!$E$6:$E$1630,RUBROS!$A12,'CONSOLIDADO POR SEDE'!$C$6:$C$1630,RUBROS!R$5)</f>
        <v>33405.063876000007</v>
      </c>
      <c r="S12" s="47">
        <f>SUMIFS('CONSOLIDADO POR SEDE'!$L$6:$L$1630,'CONSOLIDADO POR SEDE'!$E$6:$E$1630,RUBROS!$A12,'CONSOLIDADO POR SEDE'!$C$6:$C$1630,RUBROS!S$5)</f>
        <v>0</v>
      </c>
      <c r="T12" s="47">
        <f>SUMIFS('CONSOLIDADO POR SEDE'!$L$6:$L$1630,'CONSOLIDADO POR SEDE'!$E$6:$E$1630,RUBROS!$A12,'CONSOLIDADO POR SEDE'!$C$6:$C$1630,RUBROS!T$5)</f>
        <v>0</v>
      </c>
      <c r="U12" s="47">
        <f>SUMIFS('CONSOLIDADO POR SEDE'!$L$6:$L$1630,'CONSOLIDADO POR SEDE'!$E$6:$E$1630,RUBROS!$A12,'CONSOLIDADO POR SEDE'!$C$6:$C$1630,RUBROS!U$5)</f>
        <v>0</v>
      </c>
      <c r="V12" s="47">
        <f>SUMIFS('CONSOLIDADO POR SEDE'!$L$6:$L$1630,'CONSOLIDADO POR SEDE'!$E$6:$E$1630,RUBROS!$A12,'CONSOLIDADO POR SEDE'!$C$6:$C$1630,RUBROS!V$5)</f>
        <v>0</v>
      </c>
      <c r="W12" s="47">
        <f>SUMIFS('CONSOLIDADO POR SEDE'!$L$6:$L$1630,'CONSOLIDADO POR SEDE'!$E$6:$E$1630,RUBROS!$A12,'CONSOLIDADO POR SEDE'!$C$6:$C$1630,RUBROS!W$5)</f>
        <v>0</v>
      </c>
      <c r="X12" s="47">
        <f>SUMIFS('CONSOLIDADO POR SEDE'!$L$6:$L$1630,'CONSOLIDADO POR SEDE'!$E$6:$E$1630,RUBROS!$A12,'CONSOLIDADO POR SEDE'!$C$6:$C$1630,RUBROS!X$5)</f>
        <v>0</v>
      </c>
      <c r="Y12" s="47">
        <f>SUMIFS('CONSOLIDADO POR SEDE'!$L$6:$L$1630,'CONSOLIDADO POR SEDE'!$E$6:$E$1630,RUBROS!$A12,'CONSOLIDADO POR SEDE'!$C$6:$C$1630,RUBROS!Y$5)</f>
        <v>0</v>
      </c>
      <c r="Z12" s="47">
        <f>SUMIFS('CONSOLIDADO POR SEDE'!$L$6:$L$1630,'CONSOLIDADO POR SEDE'!$E$6:$E$1630,RUBROS!$A12,'CONSOLIDADO POR SEDE'!$C$6:$C$1630,RUBROS!Z$5)</f>
        <v>0</v>
      </c>
      <c r="AA12" s="47">
        <f>SUMIFS('CONSOLIDADO POR SEDE'!$L$6:$L$1630,'CONSOLIDADO POR SEDE'!$E$6:$E$1630,RUBROS!$A12,'CONSOLIDADO POR SEDE'!$C$6:$C$1630,RUBROS!AA$5)</f>
        <v>0</v>
      </c>
      <c r="AB12" s="47">
        <f>SUMIFS('CONSOLIDADO POR SEDE'!$L$6:$L$1630,'CONSOLIDADO POR SEDE'!$E$6:$E$1630,RUBROS!$A12,'CONSOLIDADO POR SEDE'!$C$6:$C$1630,RUBROS!AB$5)</f>
        <v>6461.3230860000003</v>
      </c>
      <c r="AC12" s="47">
        <f>SUMIFS('CONSOLIDADO POR SEDE'!$L$6:$L$1630,'CONSOLIDADO POR SEDE'!$E$6:$E$1630,RUBROS!$A12,'CONSOLIDADO POR SEDE'!$C$6:$C$1630,RUBROS!AC$5)</f>
        <v>0</v>
      </c>
      <c r="AD12" s="47">
        <f>SUMIFS('CONSOLIDADO POR SEDE'!$L$6:$L$1630,'CONSOLIDADO POR SEDE'!$E$6:$E$1630,RUBROS!$A12,'CONSOLIDADO POR SEDE'!$C$6:$C$1630,RUBROS!AD$5)</f>
        <v>35409.791093399996</v>
      </c>
      <c r="AE12" s="47">
        <f>SUMIFS('CONSOLIDADO POR SEDE'!$L$6:$L$1630,'CONSOLIDADO POR SEDE'!$E$6:$E$1630,RUBROS!$A12,'CONSOLIDADO POR SEDE'!$C$6:$C$1630,RUBROS!AE$5)</f>
        <v>0</v>
      </c>
      <c r="AF12" s="47">
        <f>SUMIFS('CONSOLIDADO POR SEDE'!$L$6:$L$1630,'CONSOLIDADO POR SEDE'!$E$6:$E$1630,RUBROS!$A12,'CONSOLIDADO POR SEDE'!$C$6:$C$1630,RUBROS!AF$5)</f>
        <v>72322.598368800012</v>
      </c>
      <c r="AG12" s="47">
        <f>SUMIFS('CONSOLIDADO POR SEDE'!$L$6:$L$1630,'CONSOLIDADO POR SEDE'!$E$6:$E$1630,RUBROS!$A12,'CONSOLIDADO POR SEDE'!$C$6:$C$1630,RUBROS!AG$5)</f>
        <v>0</v>
      </c>
      <c r="AH12" s="47">
        <f>SUMIFS('CONSOLIDADO POR SEDE'!$L$6:$L$1630,'CONSOLIDADO POR SEDE'!$E$6:$E$1630,RUBROS!$A12,'CONSOLIDADO POR SEDE'!$C$6:$C$1630,RUBROS!AH$5)</f>
        <v>0</v>
      </c>
      <c r="AI12" s="47">
        <f>SUMIFS('CONSOLIDADO POR SEDE'!$L$6:$L$1630,'CONSOLIDADO POR SEDE'!$E$6:$E$1630,RUBROS!$A12,'CONSOLIDADO POR SEDE'!$C$6:$C$1630,RUBROS!AI$5)</f>
        <v>0</v>
      </c>
      <c r="AJ12" s="47">
        <f>SUMIFS('CONSOLIDADO POR SEDE'!$L$6:$L$1630,'CONSOLIDADO POR SEDE'!$E$6:$E$1630,RUBROS!$A12,'CONSOLIDADO POR SEDE'!$C$6:$C$1630,RUBROS!AJ$5)</f>
        <v>0</v>
      </c>
      <c r="AK12" s="47">
        <f>SUMIFS('CONSOLIDADO POR SEDE'!$L$6:$L$1630,'CONSOLIDADO POR SEDE'!$E$6:$E$1630,RUBROS!$A12,'CONSOLIDADO POR SEDE'!$C$6:$C$1630,RUBROS!AK$5)</f>
        <v>0</v>
      </c>
      <c r="AL12" s="47">
        <f>SUMIFS('CONSOLIDADO POR SEDE'!$L$6:$L$1630,'CONSOLIDADO POR SEDE'!$E$6:$E$1630,RUBROS!$A12,'CONSOLIDADO POR SEDE'!$C$6:$C$1630,RUBROS!AL$5)</f>
        <v>0</v>
      </c>
      <c r="AM12" s="47">
        <f>SUMIFS('CONSOLIDADO POR SEDE'!$L$6:$L$1630,'CONSOLIDADO POR SEDE'!$E$6:$E$1630,RUBROS!$A12,'CONSOLIDADO POR SEDE'!$C$6:$C$1630,RUBROS!AM$5)</f>
        <v>0</v>
      </c>
      <c r="AN12" s="47">
        <f>SUMIFS('CONSOLIDADO POR SEDE'!$L$6:$L$1630,'CONSOLIDADO POR SEDE'!$E$6:$E$1630,RUBROS!$A12,'CONSOLIDADO POR SEDE'!$C$6:$C$1630,RUBROS!AN$5)</f>
        <v>0</v>
      </c>
      <c r="AO12" s="47">
        <f>SUMIFS('CONSOLIDADO POR SEDE'!$L$6:$L$1630,'CONSOLIDADO POR SEDE'!$E$6:$E$1630,RUBROS!$A12,'CONSOLIDADO POR SEDE'!$C$6:$C$1630,RUBROS!AO$5)</f>
        <v>0</v>
      </c>
      <c r="AP12" s="47">
        <f>SUMIFS('CONSOLIDADO POR SEDE'!$L$6:$L$1630,'CONSOLIDADO POR SEDE'!$E$6:$E$1630,RUBROS!$A12,'CONSOLIDADO POR SEDE'!$C$6:$C$1630,RUBROS!AP$5)</f>
        <v>0</v>
      </c>
      <c r="AQ12" s="47"/>
      <c r="AR12" s="48">
        <v>569178.585723</v>
      </c>
      <c r="AS12" s="48"/>
      <c r="AT12" s="49">
        <f t="shared" si="1"/>
        <v>718282.73046720005</v>
      </c>
      <c r="AU12" s="42"/>
      <c r="AV12" s="42">
        <f t="shared" si="2"/>
        <v>149104.14474420002</v>
      </c>
    </row>
    <row r="13" spans="1:48">
      <c r="A13" s="6" t="s">
        <v>128</v>
      </c>
      <c r="B13" s="6">
        <v>4222125</v>
      </c>
      <c r="C13" s="47">
        <f>SUMIFS('CONSOLIDADO POR SEDE'!$L$6:$L$1630,'CONSOLIDADO POR SEDE'!$E$6:$E$1630,RUBROS!$A13,'CONSOLIDADO POR SEDE'!$C$6:$C$1630,RUBROS!C$5)</f>
        <v>0</v>
      </c>
      <c r="D13" s="47">
        <f>SUMIFS('CONSOLIDADO POR SEDE'!$L$6:$L$1630,'CONSOLIDADO POR SEDE'!$E$6:$E$1630,RUBROS!$A13,'CONSOLIDADO POR SEDE'!$C$6:$C$1630,RUBROS!D$5)</f>
        <v>0</v>
      </c>
      <c r="E13" s="47">
        <f>SUMIFS('CONSOLIDADO POR SEDE'!$L$6:$L$1630,'CONSOLIDADO POR SEDE'!$E$6:$E$1630,RUBROS!$A13,'CONSOLIDADO POR SEDE'!$C$6:$C$1630,RUBROS!E$5)</f>
        <v>0</v>
      </c>
      <c r="F13" s="47">
        <f>SUMIFS('CONSOLIDADO POR SEDE'!$L$6:$L$1630,'CONSOLIDADO POR SEDE'!$E$6:$E$1630,RUBROS!$A13,'CONSOLIDADO POR SEDE'!$C$6:$C$1630,RUBROS!F$5)</f>
        <v>0</v>
      </c>
      <c r="G13" s="47">
        <f>SUMIFS('CONSOLIDADO POR SEDE'!$L$6:$L$1630,'CONSOLIDADO POR SEDE'!$E$6:$E$1630,RUBROS!$A13,'CONSOLIDADO POR SEDE'!$C$6:$C$1630,RUBROS!G$5)</f>
        <v>0</v>
      </c>
      <c r="H13" s="47">
        <f>SUMIFS('CONSOLIDADO POR SEDE'!$L$6:$L$1630,'CONSOLIDADO POR SEDE'!$E$6:$E$1630,RUBROS!$A13,'CONSOLIDADO POR SEDE'!$C$6:$C$1630,RUBROS!H$5)</f>
        <v>0</v>
      </c>
      <c r="I13" s="47">
        <f>SUMIFS('CONSOLIDADO POR SEDE'!$L$6:$L$1630,'CONSOLIDADO POR SEDE'!$E$6:$E$1630,RUBROS!$A13,'CONSOLIDADO POR SEDE'!$C$6:$C$1630,RUBROS!I$5)</f>
        <v>0</v>
      </c>
      <c r="J13" s="47">
        <f>SUMIFS('CONSOLIDADO POR SEDE'!$L$6:$L$1630,'CONSOLIDADO POR SEDE'!$E$6:$E$1630,RUBROS!$A13,'CONSOLIDADO POR SEDE'!$C$6:$C$1630,RUBROS!J$5)</f>
        <v>0</v>
      </c>
      <c r="K13" s="47">
        <f>SUMIFS('CONSOLIDADO POR SEDE'!$L$6:$L$1630,'CONSOLIDADO POR SEDE'!$E$6:$E$1630,RUBROS!$A13,'CONSOLIDADO POR SEDE'!$C$6:$C$1630,RUBROS!K$5)</f>
        <v>0</v>
      </c>
      <c r="L13" s="47">
        <f>SUMIFS('CONSOLIDADO POR SEDE'!$L$6:$L$1630,'CONSOLIDADO POR SEDE'!$E$6:$E$1630,RUBROS!$A13,'CONSOLIDADO POR SEDE'!$C$6:$C$1630,RUBROS!L$5)</f>
        <v>0</v>
      </c>
      <c r="M13" s="47">
        <f>SUMIFS('CONSOLIDADO POR SEDE'!$L$6:$L$1630,'CONSOLIDADO POR SEDE'!$E$6:$E$1630,RUBROS!$A13,'CONSOLIDADO POR SEDE'!$C$6:$C$1630,RUBROS!M$5)</f>
        <v>0</v>
      </c>
      <c r="N13" s="47">
        <f>SUMIFS('CONSOLIDADO POR SEDE'!$L$6:$L$1630,'CONSOLIDADO POR SEDE'!$E$6:$E$1630,RUBROS!$A13,'CONSOLIDADO POR SEDE'!$C$6:$C$1630,RUBROS!N$5)</f>
        <v>0</v>
      </c>
      <c r="O13" s="47">
        <f>SUMIFS('CONSOLIDADO POR SEDE'!$L$6:$L$1630,'CONSOLIDADO POR SEDE'!$E$6:$E$1630,RUBROS!$A13,'CONSOLIDADO POR SEDE'!$C$6:$C$1630,RUBROS!O$5)</f>
        <v>0</v>
      </c>
      <c r="P13" s="47">
        <f>SUMIFS('CONSOLIDADO POR SEDE'!$L$6:$L$1630,'CONSOLIDADO POR SEDE'!$E$6:$E$1630,RUBROS!$A13,'CONSOLIDADO POR SEDE'!$C$6:$C$1630,RUBROS!P$5)</f>
        <v>0</v>
      </c>
      <c r="Q13" s="47">
        <f>SUMIFS('CONSOLIDADO POR SEDE'!$L$6:$L$1630,'CONSOLIDADO POR SEDE'!$E$6:$E$1630,RUBROS!$A13,'CONSOLIDADO POR SEDE'!$C$6:$C$1630,RUBROS!Q$5)</f>
        <v>0</v>
      </c>
      <c r="R13" s="47">
        <f>SUMIFS('CONSOLIDADO POR SEDE'!$L$6:$L$1630,'CONSOLIDADO POR SEDE'!$E$6:$E$1630,RUBROS!$A13,'CONSOLIDADO POR SEDE'!$C$6:$C$1630,RUBROS!R$5)</f>
        <v>0</v>
      </c>
      <c r="S13" s="47">
        <f>SUMIFS('CONSOLIDADO POR SEDE'!$L$6:$L$1630,'CONSOLIDADO POR SEDE'!$E$6:$E$1630,RUBROS!$A13,'CONSOLIDADO POR SEDE'!$C$6:$C$1630,RUBROS!S$5)</f>
        <v>0</v>
      </c>
      <c r="T13" s="47">
        <f>SUMIFS('CONSOLIDADO POR SEDE'!$L$6:$L$1630,'CONSOLIDADO POR SEDE'!$E$6:$E$1630,RUBROS!$A13,'CONSOLIDADO POR SEDE'!$C$6:$C$1630,RUBROS!T$5)</f>
        <v>0</v>
      </c>
      <c r="U13" s="47">
        <f>SUMIFS('CONSOLIDADO POR SEDE'!$L$6:$L$1630,'CONSOLIDADO POR SEDE'!$E$6:$E$1630,RUBROS!$A13,'CONSOLIDADO POR SEDE'!$C$6:$C$1630,RUBROS!U$5)</f>
        <v>34963.120087200004</v>
      </c>
      <c r="V13" s="47">
        <f>SUMIFS('CONSOLIDADO POR SEDE'!$L$6:$L$1630,'CONSOLIDADO POR SEDE'!$E$6:$E$1630,RUBROS!$A13,'CONSOLIDADO POR SEDE'!$C$6:$C$1630,RUBROS!V$5)</f>
        <v>0</v>
      </c>
      <c r="W13" s="47">
        <f>SUMIFS('CONSOLIDADO POR SEDE'!$L$6:$L$1630,'CONSOLIDADO POR SEDE'!$E$6:$E$1630,RUBROS!$A13,'CONSOLIDADO POR SEDE'!$C$6:$C$1630,RUBROS!W$5)</f>
        <v>0</v>
      </c>
      <c r="X13" s="47">
        <f>SUMIFS('CONSOLIDADO POR SEDE'!$L$6:$L$1630,'CONSOLIDADO POR SEDE'!$E$6:$E$1630,RUBROS!$A13,'CONSOLIDADO POR SEDE'!$C$6:$C$1630,RUBROS!X$5)</f>
        <v>0</v>
      </c>
      <c r="Y13" s="47">
        <f>SUMIFS('CONSOLIDADO POR SEDE'!$L$6:$L$1630,'CONSOLIDADO POR SEDE'!$E$6:$E$1630,RUBROS!$A13,'CONSOLIDADO POR SEDE'!$C$6:$C$1630,RUBROS!Y$5)</f>
        <v>0</v>
      </c>
      <c r="Z13" s="47">
        <f>SUMIFS('CONSOLIDADO POR SEDE'!$L$6:$L$1630,'CONSOLIDADO POR SEDE'!$E$6:$E$1630,RUBROS!$A13,'CONSOLIDADO POR SEDE'!$C$6:$C$1630,RUBROS!Z$5)</f>
        <v>0</v>
      </c>
      <c r="AA13" s="47">
        <f>SUMIFS('CONSOLIDADO POR SEDE'!$L$6:$L$1630,'CONSOLIDADO POR SEDE'!$E$6:$E$1630,RUBROS!$A13,'CONSOLIDADO POR SEDE'!$C$6:$C$1630,RUBROS!AA$5)</f>
        <v>0</v>
      </c>
      <c r="AB13" s="47">
        <f>SUMIFS('CONSOLIDADO POR SEDE'!$L$6:$L$1630,'CONSOLIDADO POR SEDE'!$E$6:$E$1630,RUBROS!$A13,'CONSOLIDADO POR SEDE'!$C$6:$C$1630,RUBROS!AB$5)</f>
        <v>0</v>
      </c>
      <c r="AC13" s="47">
        <f>SUMIFS('CONSOLIDADO POR SEDE'!$L$6:$L$1630,'CONSOLIDADO POR SEDE'!$E$6:$E$1630,RUBROS!$A13,'CONSOLIDADO POR SEDE'!$C$6:$C$1630,RUBROS!AC$5)</f>
        <v>0</v>
      </c>
      <c r="AD13" s="47">
        <f>SUMIFS('CONSOLIDADO POR SEDE'!$L$6:$L$1630,'CONSOLIDADO POR SEDE'!$E$6:$E$1630,RUBROS!$A13,'CONSOLIDADO POR SEDE'!$C$6:$C$1630,RUBROS!AD$5)</f>
        <v>106229.3732802</v>
      </c>
      <c r="AE13" s="47">
        <f>SUMIFS('CONSOLIDADO POR SEDE'!$L$6:$L$1630,'CONSOLIDADO POR SEDE'!$E$6:$E$1630,RUBROS!$A13,'CONSOLIDADO POR SEDE'!$C$6:$C$1630,RUBROS!AE$5)</f>
        <v>0</v>
      </c>
      <c r="AF13" s="47">
        <f>SUMIFS('CONSOLIDADO POR SEDE'!$L$6:$L$1630,'CONSOLIDADO POR SEDE'!$E$6:$E$1630,RUBROS!$A13,'CONSOLIDADO POR SEDE'!$C$6:$C$1630,RUBROS!AF$5)</f>
        <v>0</v>
      </c>
      <c r="AG13" s="47">
        <f>SUMIFS('CONSOLIDADO POR SEDE'!$L$6:$L$1630,'CONSOLIDADO POR SEDE'!$E$6:$E$1630,RUBROS!$A13,'CONSOLIDADO POR SEDE'!$C$6:$C$1630,RUBROS!AG$5)</f>
        <v>0</v>
      </c>
      <c r="AH13" s="47">
        <f>SUMIFS('CONSOLIDADO POR SEDE'!$L$6:$L$1630,'CONSOLIDADO POR SEDE'!$E$6:$E$1630,RUBROS!$A13,'CONSOLIDADO POR SEDE'!$C$6:$C$1630,RUBROS!AH$5)</f>
        <v>0</v>
      </c>
      <c r="AI13" s="47">
        <f>SUMIFS('CONSOLIDADO POR SEDE'!$L$6:$L$1630,'CONSOLIDADO POR SEDE'!$E$6:$E$1630,RUBROS!$A13,'CONSOLIDADO POR SEDE'!$C$6:$C$1630,RUBROS!AI$5)</f>
        <v>0</v>
      </c>
      <c r="AJ13" s="47">
        <f>SUMIFS('CONSOLIDADO POR SEDE'!$L$6:$L$1630,'CONSOLIDADO POR SEDE'!$E$6:$E$1630,RUBROS!$A13,'CONSOLIDADO POR SEDE'!$C$6:$C$1630,RUBROS!AJ$5)</f>
        <v>0</v>
      </c>
      <c r="AK13" s="47">
        <f>SUMIFS('CONSOLIDADO POR SEDE'!$L$6:$L$1630,'CONSOLIDADO POR SEDE'!$E$6:$E$1630,RUBROS!$A13,'CONSOLIDADO POR SEDE'!$C$6:$C$1630,RUBROS!AK$5)</f>
        <v>0</v>
      </c>
      <c r="AL13" s="47">
        <f>SUMIFS('CONSOLIDADO POR SEDE'!$L$6:$L$1630,'CONSOLIDADO POR SEDE'!$E$6:$E$1630,RUBROS!$A13,'CONSOLIDADO POR SEDE'!$C$6:$C$1630,RUBROS!AL$5)</f>
        <v>0</v>
      </c>
      <c r="AM13" s="47">
        <f>SUMIFS('CONSOLIDADO POR SEDE'!$L$6:$L$1630,'CONSOLIDADO POR SEDE'!$E$6:$E$1630,RUBROS!$A13,'CONSOLIDADO POR SEDE'!$C$6:$C$1630,RUBROS!AM$5)</f>
        <v>0</v>
      </c>
      <c r="AN13" s="47">
        <f>SUMIFS('CONSOLIDADO POR SEDE'!$L$6:$L$1630,'CONSOLIDADO POR SEDE'!$E$6:$E$1630,RUBROS!$A13,'CONSOLIDADO POR SEDE'!$C$6:$C$1630,RUBROS!AN$5)</f>
        <v>0</v>
      </c>
      <c r="AO13" s="47">
        <f>SUMIFS('CONSOLIDADO POR SEDE'!$L$6:$L$1630,'CONSOLIDADO POR SEDE'!$E$6:$E$1630,RUBROS!$A13,'CONSOLIDADO POR SEDE'!$C$6:$C$1630,RUBROS!AO$5)</f>
        <v>0</v>
      </c>
      <c r="AP13" s="47">
        <f>SUMIFS('CONSOLIDADO POR SEDE'!$L$6:$L$1630,'CONSOLIDADO POR SEDE'!$E$6:$E$1630,RUBROS!$A13,'CONSOLIDADO POR SEDE'!$C$6:$C$1630,RUBROS!AP$5)</f>
        <v>0</v>
      </c>
      <c r="AQ13" s="47"/>
      <c r="AR13" s="48">
        <v>569178.585723</v>
      </c>
      <c r="AS13" s="48"/>
      <c r="AT13" s="49">
        <f t="shared" si="1"/>
        <v>710371.07909040002</v>
      </c>
      <c r="AU13" s="42"/>
      <c r="AV13" s="42">
        <f t="shared" si="2"/>
        <v>141192.49336740002</v>
      </c>
    </row>
    <row r="14" spans="1:48">
      <c r="A14" s="6" t="s">
        <v>129</v>
      </c>
      <c r="B14" s="6">
        <v>4222124</v>
      </c>
      <c r="C14" s="47">
        <f>SUMIFS('CONSOLIDADO POR SEDE'!$L$6:$L$1630,'CONSOLIDADO POR SEDE'!$E$6:$E$1630,RUBROS!$A14,'CONSOLIDADO POR SEDE'!$C$6:$C$1630,RUBROS!C$5)</f>
        <v>0</v>
      </c>
      <c r="D14" s="47">
        <f>SUMIFS('CONSOLIDADO POR SEDE'!$L$6:$L$1630,'CONSOLIDADO POR SEDE'!$E$6:$E$1630,RUBROS!$A14,'CONSOLIDADO POR SEDE'!$C$6:$C$1630,RUBROS!D$5)</f>
        <v>0</v>
      </c>
      <c r="E14" s="47">
        <f>SUMIFS('CONSOLIDADO POR SEDE'!$L$6:$L$1630,'CONSOLIDADO POR SEDE'!$E$6:$E$1630,RUBROS!$A14,'CONSOLIDADO POR SEDE'!$C$6:$C$1630,RUBROS!E$5)</f>
        <v>0</v>
      </c>
      <c r="F14" s="47">
        <f>SUMIFS('CONSOLIDADO POR SEDE'!$L$6:$L$1630,'CONSOLIDADO POR SEDE'!$E$6:$E$1630,RUBROS!$A14,'CONSOLIDADO POR SEDE'!$C$6:$C$1630,RUBROS!F$5)</f>
        <v>0</v>
      </c>
      <c r="G14" s="47">
        <f>SUMIFS('CONSOLIDADO POR SEDE'!$L$6:$L$1630,'CONSOLIDADO POR SEDE'!$E$6:$E$1630,RUBROS!$A14,'CONSOLIDADO POR SEDE'!$C$6:$C$1630,RUBROS!G$5)</f>
        <v>0</v>
      </c>
      <c r="H14" s="47">
        <f>SUMIFS('CONSOLIDADO POR SEDE'!$L$6:$L$1630,'CONSOLIDADO POR SEDE'!$E$6:$E$1630,RUBROS!$A14,'CONSOLIDADO POR SEDE'!$C$6:$C$1630,RUBROS!H$5)</f>
        <v>381689.66574300005</v>
      </c>
      <c r="I14" s="47">
        <f>SUMIFS('CONSOLIDADO POR SEDE'!$L$6:$L$1630,'CONSOLIDADO POR SEDE'!$E$6:$E$1630,RUBROS!$A14,'CONSOLIDADO POR SEDE'!$C$6:$C$1630,RUBROS!I$5)</f>
        <v>0</v>
      </c>
      <c r="J14" s="47">
        <f>SUMIFS('CONSOLIDADO POR SEDE'!$L$6:$L$1630,'CONSOLIDADO POR SEDE'!$E$6:$E$1630,RUBROS!$A14,'CONSOLIDADO POR SEDE'!$C$6:$C$1630,RUBROS!J$5)</f>
        <v>2038.5980045999997</v>
      </c>
      <c r="K14" s="47">
        <f>SUMIFS('CONSOLIDADO POR SEDE'!$L$6:$L$1630,'CONSOLIDADO POR SEDE'!$E$6:$E$1630,RUBROS!$A14,'CONSOLIDADO POR SEDE'!$C$6:$C$1630,RUBROS!K$5)</f>
        <v>0</v>
      </c>
      <c r="L14" s="47">
        <f>SUMIFS('CONSOLIDADO POR SEDE'!$L$6:$L$1630,'CONSOLIDADO POR SEDE'!$E$6:$E$1630,RUBROS!$A14,'CONSOLIDADO POR SEDE'!$C$6:$C$1630,RUBROS!L$5)</f>
        <v>0</v>
      </c>
      <c r="M14" s="47">
        <f>SUMIFS('CONSOLIDADO POR SEDE'!$L$6:$L$1630,'CONSOLIDADO POR SEDE'!$E$6:$E$1630,RUBROS!$A14,'CONSOLIDADO POR SEDE'!$C$6:$C$1630,RUBROS!M$5)</f>
        <v>0</v>
      </c>
      <c r="N14" s="47">
        <f>SUMIFS('CONSOLIDADO POR SEDE'!$L$6:$L$1630,'CONSOLIDADO POR SEDE'!$E$6:$E$1630,RUBROS!$A14,'CONSOLIDADO POR SEDE'!$C$6:$C$1630,RUBROS!N$5)</f>
        <v>0</v>
      </c>
      <c r="O14" s="47">
        <f>SUMIFS('CONSOLIDADO POR SEDE'!$L$6:$L$1630,'CONSOLIDADO POR SEDE'!$E$6:$E$1630,RUBROS!$A14,'CONSOLIDADO POR SEDE'!$C$6:$C$1630,RUBROS!O$5)</f>
        <v>0</v>
      </c>
      <c r="P14" s="47">
        <f>SUMIFS('CONSOLIDADO POR SEDE'!$L$6:$L$1630,'CONSOLIDADO POR SEDE'!$E$6:$E$1630,RUBROS!$A14,'CONSOLIDADO POR SEDE'!$C$6:$C$1630,RUBROS!P$5)</f>
        <v>0</v>
      </c>
      <c r="Q14" s="47">
        <f>SUMIFS('CONSOLIDADO POR SEDE'!$L$6:$L$1630,'CONSOLIDADO POR SEDE'!$E$6:$E$1630,RUBROS!$A14,'CONSOLIDADO POR SEDE'!$C$6:$C$1630,RUBROS!Q$5)</f>
        <v>0</v>
      </c>
      <c r="R14" s="47">
        <f>SUMIFS('CONSOLIDADO POR SEDE'!$L$6:$L$1630,'CONSOLIDADO POR SEDE'!$E$6:$E$1630,RUBROS!$A14,'CONSOLIDADO POR SEDE'!$C$6:$C$1630,RUBROS!R$5)</f>
        <v>72154.3028949</v>
      </c>
      <c r="S14" s="47">
        <f>SUMIFS('CONSOLIDADO POR SEDE'!$L$6:$L$1630,'CONSOLIDADO POR SEDE'!$E$6:$E$1630,RUBROS!$A14,'CONSOLIDADO POR SEDE'!$C$6:$C$1630,RUBROS!S$5)</f>
        <v>0</v>
      </c>
      <c r="T14" s="47">
        <f>SUMIFS('CONSOLIDADO POR SEDE'!$L$6:$L$1630,'CONSOLIDADO POR SEDE'!$E$6:$E$1630,RUBROS!$A14,'CONSOLIDADO POR SEDE'!$C$6:$C$1630,RUBROS!T$5)</f>
        <v>0</v>
      </c>
      <c r="U14" s="47">
        <f>SUMIFS('CONSOLIDADO POR SEDE'!$L$6:$L$1630,'CONSOLIDADO POR SEDE'!$E$6:$E$1630,RUBROS!$A14,'CONSOLIDADO POR SEDE'!$C$6:$C$1630,RUBROS!U$5)</f>
        <v>37264.92233400001</v>
      </c>
      <c r="V14" s="47">
        <f>SUMIFS('CONSOLIDADO POR SEDE'!$L$6:$L$1630,'CONSOLIDADO POR SEDE'!$E$6:$E$1630,RUBROS!$A14,'CONSOLIDADO POR SEDE'!$C$6:$C$1630,RUBROS!V$5)</f>
        <v>0</v>
      </c>
      <c r="W14" s="47">
        <f>SUMIFS('CONSOLIDADO POR SEDE'!$L$6:$L$1630,'CONSOLIDADO POR SEDE'!$E$6:$E$1630,RUBROS!$A14,'CONSOLIDADO POR SEDE'!$C$6:$C$1630,RUBROS!W$5)</f>
        <v>0</v>
      </c>
      <c r="X14" s="47">
        <f>SUMIFS('CONSOLIDADO POR SEDE'!$L$6:$L$1630,'CONSOLIDADO POR SEDE'!$E$6:$E$1630,RUBROS!$A14,'CONSOLIDADO POR SEDE'!$C$6:$C$1630,RUBROS!X$5)</f>
        <v>0</v>
      </c>
      <c r="Y14" s="47">
        <f>SUMIFS('CONSOLIDADO POR SEDE'!$L$6:$L$1630,'CONSOLIDADO POR SEDE'!$E$6:$E$1630,RUBROS!$A14,'CONSOLIDADO POR SEDE'!$C$6:$C$1630,RUBROS!Y$5)</f>
        <v>0</v>
      </c>
      <c r="Z14" s="47">
        <f>SUMIFS('CONSOLIDADO POR SEDE'!$L$6:$L$1630,'CONSOLIDADO POR SEDE'!$E$6:$E$1630,RUBROS!$A14,'CONSOLIDADO POR SEDE'!$C$6:$C$1630,RUBROS!Z$5)</f>
        <v>0</v>
      </c>
      <c r="AA14" s="47">
        <f>SUMIFS('CONSOLIDADO POR SEDE'!$L$6:$L$1630,'CONSOLIDADO POR SEDE'!$E$6:$E$1630,RUBROS!$A14,'CONSOLIDADO POR SEDE'!$C$6:$C$1630,RUBROS!AA$5)</f>
        <v>0</v>
      </c>
      <c r="AB14" s="47">
        <f>SUMIFS('CONSOLIDADO POR SEDE'!$L$6:$L$1630,'CONSOLIDADO POR SEDE'!$E$6:$E$1630,RUBROS!$A14,'CONSOLIDADO POR SEDE'!$C$6:$C$1630,RUBROS!AB$5)</f>
        <v>0</v>
      </c>
      <c r="AC14" s="47">
        <f>SUMIFS('CONSOLIDADO POR SEDE'!$L$6:$L$1630,'CONSOLIDADO POR SEDE'!$E$6:$E$1630,RUBROS!$A14,'CONSOLIDADO POR SEDE'!$C$6:$C$1630,RUBROS!AC$5)</f>
        <v>0</v>
      </c>
      <c r="AD14" s="47">
        <f>SUMIFS('CONSOLIDADO POR SEDE'!$L$6:$L$1630,'CONSOLIDADO POR SEDE'!$E$6:$E$1630,RUBROS!$A14,'CONSOLIDADO POR SEDE'!$C$6:$C$1630,RUBROS!AD$5)</f>
        <v>70819.582186799991</v>
      </c>
      <c r="AE14" s="47">
        <f>SUMIFS('CONSOLIDADO POR SEDE'!$L$6:$L$1630,'CONSOLIDADO POR SEDE'!$E$6:$E$1630,RUBROS!$A14,'CONSOLIDADO POR SEDE'!$C$6:$C$1630,RUBROS!AE$5)</f>
        <v>0</v>
      </c>
      <c r="AF14" s="47">
        <f>SUMIFS('CONSOLIDADO POR SEDE'!$L$6:$L$1630,'CONSOLIDADO POR SEDE'!$E$6:$E$1630,RUBROS!$A14,'CONSOLIDADO POR SEDE'!$C$6:$C$1630,RUBROS!AF$5)</f>
        <v>28913.656364999999</v>
      </c>
      <c r="AG14" s="47">
        <f>SUMIFS('CONSOLIDADO POR SEDE'!$L$6:$L$1630,'CONSOLIDADO POR SEDE'!$E$6:$E$1630,RUBROS!$A14,'CONSOLIDADO POR SEDE'!$C$6:$C$1630,RUBROS!AG$5)</f>
        <v>1194755.5603409999</v>
      </c>
      <c r="AH14" s="47">
        <f>SUMIFS('CONSOLIDADO POR SEDE'!$L$6:$L$1630,'CONSOLIDADO POR SEDE'!$E$6:$E$1630,RUBROS!$A14,'CONSOLIDADO POR SEDE'!$C$6:$C$1630,RUBROS!AH$5)</f>
        <v>0</v>
      </c>
      <c r="AI14" s="47">
        <f>SUMIFS('CONSOLIDADO POR SEDE'!$L$6:$L$1630,'CONSOLIDADO POR SEDE'!$E$6:$E$1630,RUBROS!$A14,'CONSOLIDADO POR SEDE'!$C$6:$C$1630,RUBROS!AI$5)</f>
        <v>0</v>
      </c>
      <c r="AJ14" s="47">
        <f>SUMIFS('CONSOLIDADO POR SEDE'!$L$6:$L$1630,'CONSOLIDADO POR SEDE'!$E$6:$E$1630,RUBROS!$A14,'CONSOLIDADO POR SEDE'!$C$6:$C$1630,RUBROS!AJ$5)</f>
        <v>0</v>
      </c>
      <c r="AK14" s="47">
        <f>SUMIFS('CONSOLIDADO POR SEDE'!$L$6:$L$1630,'CONSOLIDADO POR SEDE'!$E$6:$E$1630,RUBROS!$A14,'CONSOLIDADO POR SEDE'!$C$6:$C$1630,RUBROS!AK$5)</f>
        <v>0</v>
      </c>
      <c r="AL14" s="47">
        <f>SUMIFS('CONSOLIDADO POR SEDE'!$L$6:$L$1630,'CONSOLIDADO POR SEDE'!$E$6:$E$1630,RUBROS!$A14,'CONSOLIDADO POR SEDE'!$C$6:$C$1630,RUBROS!AL$5)</f>
        <v>0</v>
      </c>
      <c r="AM14" s="47">
        <f>SUMIFS('CONSOLIDADO POR SEDE'!$L$6:$L$1630,'CONSOLIDADO POR SEDE'!$E$6:$E$1630,RUBROS!$A14,'CONSOLIDADO POR SEDE'!$C$6:$C$1630,RUBROS!AM$5)</f>
        <v>170698.182867</v>
      </c>
      <c r="AN14" s="47">
        <f>SUMIFS('CONSOLIDADO POR SEDE'!$L$6:$L$1630,'CONSOLIDADO POR SEDE'!$E$6:$E$1630,RUBROS!$A14,'CONSOLIDADO POR SEDE'!$C$6:$C$1630,RUBROS!AN$5)</f>
        <v>227145.96666000003</v>
      </c>
      <c r="AO14" s="47">
        <f>SUMIFS('CONSOLIDADO POR SEDE'!$L$6:$L$1630,'CONSOLIDADO POR SEDE'!$E$6:$E$1630,RUBROS!$A14,'CONSOLIDADO POR SEDE'!$C$6:$C$1630,RUBROS!AO$5)</f>
        <v>106343.687187</v>
      </c>
      <c r="AP14" s="47">
        <f>SUMIFS('CONSOLIDADO POR SEDE'!$L$6:$L$1630,'CONSOLIDADO POR SEDE'!$E$6:$E$1630,RUBROS!$A14,'CONSOLIDADO POR SEDE'!$C$6:$C$1630,RUBROS!AP$5)</f>
        <v>679566.77420100011</v>
      </c>
      <c r="AQ14" s="47"/>
      <c r="AR14" s="48">
        <v>569178.585723</v>
      </c>
      <c r="AS14" s="48"/>
      <c r="AT14" s="49">
        <f t="shared" si="1"/>
        <v>3540569.4845073</v>
      </c>
      <c r="AU14" s="42"/>
      <c r="AV14" s="42">
        <f t="shared" si="2"/>
        <v>2971390.8987842998</v>
      </c>
    </row>
    <row r="15" spans="1:48">
      <c r="A15" s="6" t="s">
        <v>130</v>
      </c>
      <c r="B15" s="6">
        <v>4222138</v>
      </c>
      <c r="C15" s="47">
        <f>SUMIFS('CONSOLIDADO POR SEDE'!$L$6:$L$1630,'CONSOLIDADO POR SEDE'!$E$6:$E$1630,RUBROS!$A15,'CONSOLIDADO POR SEDE'!$C$6:$C$1630,RUBROS!C$5)</f>
        <v>0</v>
      </c>
      <c r="D15" s="47">
        <f>SUMIFS('CONSOLIDADO POR SEDE'!$L$6:$L$1630,'CONSOLIDADO POR SEDE'!$E$6:$E$1630,RUBROS!$A15,'CONSOLIDADO POR SEDE'!$C$6:$C$1630,RUBROS!D$5)</f>
        <v>0</v>
      </c>
      <c r="E15" s="47">
        <f>SUMIFS('CONSOLIDADO POR SEDE'!$L$6:$L$1630,'CONSOLIDADO POR SEDE'!$E$6:$E$1630,RUBROS!$A15,'CONSOLIDADO POR SEDE'!$C$6:$C$1630,RUBROS!E$5)</f>
        <v>0</v>
      </c>
      <c r="F15" s="47">
        <f>SUMIFS('CONSOLIDADO POR SEDE'!$L$6:$L$1630,'CONSOLIDADO POR SEDE'!$E$6:$E$1630,RUBROS!$A15,'CONSOLIDADO POR SEDE'!$C$6:$C$1630,RUBROS!F$5)</f>
        <v>0</v>
      </c>
      <c r="G15" s="47">
        <f>SUMIFS('CONSOLIDADO POR SEDE'!$L$6:$L$1630,'CONSOLIDADO POR SEDE'!$E$6:$E$1630,RUBROS!$A15,'CONSOLIDADO POR SEDE'!$C$6:$C$1630,RUBROS!G$5)</f>
        <v>0</v>
      </c>
      <c r="H15" s="47">
        <f>SUMIFS('CONSOLIDADO POR SEDE'!$L$6:$L$1630,'CONSOLIDADO POR SEDE'!$E$6:$E$1630,RUBROS!$A15,'CONSOLIDADO POR SEDE'!$C$6:$C$1630,RUBROS!H$5)</f>
        <v>0</v>
      </c>
      <c r="I15" s="47">
        <f>SUMIFS('CONSOLIDADO POR SEDE'!$L$6:$L$1630,'CONSOLIDADO POR SEDE'!$E$6:$E$1630,RUBROS!$A15,'CONSOLIDADO POR SEDE'!$C$6:$C$1630,RUBROS!I$5)</f>
        <v>5234.0950845000007</v>
      </c>
      <c r="J15" s="47">
        <f>SUMIFS('CONSOLIDADO POR SEDE'!$L$6:$L$1630,'CONSOLIDADO POR SEDE'!$E$6:$E$1630,RUBROS!$A15,'CONSOLIDADO POR SEDE'!$C$6:$C$1630,RUBROS!J$5)</f>
        <v>212116.39287449999</v>
      </c>
      <c r="K15" s="47">
        <f>SUMIFS('CONSOLIDADO POR SEDE'!$L$6:$L$1630,'CONSOLIDADO POR SEDE'!$E$6:$E$1630,RUBROS!$A15,'CONSOLIDADO POR SEDE'!$C$6:$C$1630,RUBROS!K$5)</f>
        <v>0</v>
      </c>
      <c r="L15" s="47">
        <f>SUMIFS('CONSOLIDADO POR SEDE'!$L$6:$L$1630,'CONSOLIDADO POR SEDE'!$E$6:$E$1630,RUBROS!$A15,'CONSOLIDADO POR SEDE'!$C$6:$C$1630,RUBROS!L$5)</f>
        <v>0</v>
      </c>
      <c r="M15" s="47">
        <f>SUMIFS('CONSOLIDADO POR SEDE'!$L$6:$L$1630,'CONSOLIDADO POR SEDE'!$E$6:$E$1630,RUBROS!$A15,'CONSOLIDADO POR SEDE'!$C$6:$C$1630,RUBROS!M$5)</f>
        <v>0</v>
      </c>
      <c r="N15" s="47">
        <f>SUMIFS('CONSOLIDADO POR SEDE'!$L$6:$L$1630,'CONSOLIDADO POR SEDE'!$E$6:$E$1630,RUBROS!$A15,'CONSOLIDADO POR SEDE'!$C$6:$C$1630,RUBROS!N$5)</f>
        <v>0</v>
      </c>
      <c r="O15" s="47">
        <f>SUMIFS('CONSOLIDADO POR SEDE'!$L$6:$L$1630,'CONSOLIDADO POR SEDE'!$E$6:$E$1630,RUBROS!$A15,'CONSOLIDADO POR SEDE'!$C$6:$C$1630,RUBROS!O$5)</f>
        <v>0</v>
      </c>
      <c r="P15" s="47">
        <f>SUMIFS('CONSOLIDADO POR SEDE'!$L$6:$L$1630,'CONSOLIDADO POR SEDE'!$E$6:$E$1630,RUBROS!$A15,'CONSOLIDADO POR SEDE'!$C$6:$C$1630,RUBROS!P$5)</f>
        <v>0</v>
      </c>
      <c r="Q15" s="47">
        <f>SUMIFS('CONSOLIDADO POR SEDE'!$L$6:$L$1630,'CONSOLIDADO POR SEDE'!$E$6:$E$1630,RUBROS!$A15,'CONSOLIDADO POR SEDE'!$C$6:$C$1630,RUBROS!Q$5)</f>
        <v>0</v>
      </c>
      <c r="R15" s="47">
        <f>SUMIFS('CONSOLIDADO POR SEDE'!$L$6:$L$1630,'CONSOLIDADO POR SEDE'!$E$6:$E$1630,RUBROS!$A15,'CONSOLIDADO POR SEDE'!$C$6:$C$1630,RUBROS!R$5)</f>
        <v>119145.78628650001</v>
      </c>
      <c r="S15" s="47">
        <f>SUMIFS('CONSOLIDADO POR SEDE'!$L$6:$L$1630,'CONSOLIDADO POR SEDE'!$E$6:$E$1630,RUBROS!$A15,'CONSOLIDADO POR SEDE'!$C$6:$C$1630,RUBROS!S$5)</f>
        <v>0</v>
      </c>
      <c r="T15" s="47">
        <f>SUMIFS('CONSOLIDADO POR SEDE'!$L$6:$L$1630,'CONSOLIDADO POR SEDE'!$E$6:$E$1630,RUBROS!$A15,'CONSOLIDADO POR SEDE'!$C$6:$C$1630,RUBROS!T$5)</f>
        <v>0</v>
      </c>
      <c r="U15" s="47">
        <f>SUMIFS('CONSOLIDADO POR SEDE'!$L$6:$L$1630,'CONSOLIDADO POR SEDE'!$E$6:$E$1630,RUBROS!$A15,'CONSOLIDADO POR SEDE'!$C$6:$C$1630,RUBROS!U$5)</f>
        <v>0</v>
      </c>
      <c r="V15" s="47">
        <f>SUMIFS('CONSOLIDADO POR SEDE'!$L$6:$L$1630,'CONSOLIDADO POR SEDE'!$E$6:$E$1630,RUBROS!$A15,'CONSOLIDADO POR SEDE'!$C$6:$C$1630,RUBROS!V$5)</f>
        <v>0</v>
      </c>
      <c r="W15" s="47">
        <f>SUMIFS('CONSOLIDADO POR SEDE'!$L$6:$L$1630,'CONSOLIDADO POR SEDE'!$E$6:$E$1630,RUBROS!$A15,'CONSOLIDADO POR SEDE'!$C$6:$C$1630,RUBROS!W$5)</f>
        <v>0</v>
      </c>
      <c r="X15" s="47">
        <f>SUMIFS('CONSOLIDADO POR SEDE'!$L$6:$L$1630,'CONSOLIDADO POR SEDE'!$E$6:$E$1630,RUBROS!$A15,'CONSOLIDADO POR SEDE'!$C$6:$C$1630,RUBROS!X$5)</f>
        <v>54040.370550000014</v>
      </c>
      <c r="Y15" s="47">
        <f>SUMIFS('CONSOLIDADO POR SEDE'!$L$6:$L$1630,'CONSOLIDADO POR SEDE'!$E$6:$E$1630,RUBROS!$A15,'CONSOLIDADO POR SEDE'!$C$6:$C$1630,RUBROS!Y$5)</f>
        <v>0</v>
      </c>
      <c r="Z15" s="47">
        <f>SUMIFS('CONSOLIDADO POR SEDE'!$L$6:$L$1630,'CONSOLIDADO POR SEDE'!$E$6:$E$1630,RUBROS!$A15,'CONSOLIDADO POR SEDE'!$C$6:$C$1630,RUBROS!Z$5)</f>
        <v>0</v>
      </c>
      <c r="AA15" s="47">
        <f>SUMIFS('CONSOLIDADO POR SEDE'!$L$6:$L$1630,'CONSOLIDADO POR SEDE'!$E$6:$E$1630,RUBROS!$A15,'CONSOLIDADO POR SEDE'!$C$6:$C$1630,RUBROS!AA$5)</f>
        <v>0</v>
      </c>
      <c r="AB15" s="47">
        <f>SUMIFS('CONSOLIDADO POR SEDE'!$L$6:$L$1630,'CONSOLIDADO POR SEDE'!$E$6:$E$1630,RUBROS!$A15,'CONSOLIDADO POR SEDE'!$C$6:$C$1630,RUBROS!AB$5)</f>
        <v>0</v>
      </c>
      <c r="AC15" s="47">
        <f>SUMIFS('CONSOLIDADO POR SEDE'!$L$6:$L$1630,'CONSOLIDADO POR SEDE'!$E$6:$E$1630,RUBROS!$A15,'CONSOLIDADO POR SEDE'!$C$6:$C$1630,RUBROS!AC$5)</f>
        <v>0</v>
      </c>
      <c r="AD15" s="47">
        <f>SUMIFS('CONSOLIDADO POR SEDE'!$L$6:$L$1630,'CONSOLIDADO POR SEDE'!$E$6:$E$1630,RUBROS!$A15,'CONSOLIDADO POR SEDE'!$C$6:$C$1630,RUBROS!AD$5)</f>
        <v>38415.823457400002</v>
      </c>
      <c r="AE15" s="47">
        <f>SUMIFS('CONSOLIDADO POR SEDE'!$L$6:$L$1630,'CONSOLIDADO POR SEDE'!$E$6:$E$1630,RUBROS!$A15,'CONSOLIDADO POR SEDE'!$C$6:$C$1630,RUBROS!AE$5)</f>
        <v>0</v>
      </c>
      <c r="AF15" s="47">
        <f>SUMIFS('CONSOLIDADO POR SEDE'!$L$6:$L$1630,'CONSOLIDADO POR SEDE'!$E$6:$E$1630,RUBROS!$A15,'CONSOLIDADO POR SEDE'!$C$6:$C$1630,RUBROS!AF$5)</f>
        <v>245859.576588</v>
      </c>
      <c r="AG15" s="47">
        <f>SUMIFS('CONSOLIDADO POR SEDE'!$L$6:$L$1630,'CONSOLIDADO POR SEDE'!$E$6:$E$1630,RUBROS!$A15,'CONSOLIDADO POR SEDE'!$C$6:$C$1630,RUBROS!AG$5)</f>
        <v>0</v>
      </c>
      <c r="AH15" s="47">
        <f>SUMIFS('CONSOLIDADO POR SEDE'!$L$6:$L$1630,'CONSOLIDADO POR SEDE'!$E$6:$E$1630,RUBROS!$A15,'CONSOLIDADO POR SEDE'!$C$6:$C$1630,RUBROS!AH$5)</f>
        <v>0</v>
      </c>
      <c r="AI15" s="47">
        <f>SUMIFS('CONSOLIDADO POR SEDE'!$L$6:$L$1630,'CONSOLIDADO POR SEDE'!$E$6:$E$1630,RUBROS!$A15,'CONSOLIDADO POR SEDE'!$C$6:$C$1630,RUBROS!AI$5)</f>
        <v>0</v>
      </c>
      <c r="AJ15" s="47">
        <f>SUMIFS('CONSOLIDADO POR SEDE'!$L$6:$L$1630,'CONSOLIDADO POR SEDE'!$E$6:$E$1630,RUBROS!$A15,'CONSOLIDADO POR SEDE'!$C$6:$C$1630,RUBROS!AJ$5)</f>
        <v>0</v>
      </c>
      <c r="AK15" s="47">
        <f>SUMIFS('CONSOLIDADO POR SEDE'!$L$6:$L$1630,'CONSOLIDADO POR SEDE'!$E$6:$E$1630,RUBROS!$A15,'CONSOLIDADO POR SEDE'!$C$6:$C$1630,RUBROS!AK$5)</f>
        <v>0</v>
      </c>
      <c r="AL15" s="47">
        <f>SUMIFS('CONSOLIDADO POR SEDE'!$L$6:$L$1630,'CONSOLIDADO POR SEDE'!$E$6:$E$1630,RUBROS!$A15,'CONSOLIDADO POR SEDE'!$C$6:$C$1630,RUBROS!AL$5)</f>
        <v>0</v>
      </c>
      <c r="AM15" s="47">
        <f>SUMIFS('CONSOLIDADO POR SEDE'!$L$6:$L$1630,'CONSOLIDADO POR SEDE'!$E$6:$E$1630,RUBROS!$A15,'CONSOLIDADO POR SEDE'!$C$6:$C$1630,RUBROS!AM$5)</f>
        <v>0</v>
      </c>
      <c r="AN15" s="47">
        <f>SUMIFS('CONSOLIDADO POR SEDE'!$L$6:$L$1630,'CONSOLIDADO POR SEDE'!$E$6:$E$1630,RUBROS!$A15,'CONSOLIDADO POR SEDE'!$C$6:$C$1630,RUBROS!AN$5)</f>
        <v>0</v>
      </c>
      <c r="AO15" s="47">
        <f>SUMIFS('CONSOLIDADO POR SEDE'!$L$6:$L$1630,'CONSOLIDADO POR SEDE'!$E$6:$E$1630,RUBROS!$A15,'CONSOLIDADO POR SEDE'!$C$6:$C$1630,RUBROS!AO$5)</f>
        <v>0</v>
      </c>
      <c r="AP15" s="47">
        <f>SUMIFS('CONSOLIDADO POR SEDE'!$L$6:$L$1630,'CONSOLIDADO POR SEDE'!$E$6:$E$1630,RUBROS!$A15,'CONSOLIDADO POR SEDE'!$C$6:$C$1630,RUBROS!AP$5)</f>
        <v>0</v>
      </c>
      <c r="AQ15" s="47"/>
      <c r="AR15" s="48">
        <v>702230.79989999998</v>
      </c>
      <c r="AS15" s="48"/>
      <c r="AT15" s="49">
        <f t="shared" si="1"/>
        <v>1377042.8447409</v>
      </c>
      <c r="AU15" s="42"/>
      <c r="AV15" s="42">
        <f t="shared" si="2"/>
        <v>674812.04484089999</v>
      </c>
    </row>
    <row r="16" spans="1:48">
      <c r="A16" s="6" t="s">
        <v>131</v>
      </c>
      <c r="B16" s="6">
        <v>4222121</v>
      </c>
      <c r="C16" s="47">
        <f>SUMIFS('CONSOLIDADO POR SEDE'!$L$6:$L$1630,'CONSOLIDADO POR SEDE'!$E$6:$E$1630,RUBROS!$A16,'CONSOLIDADO POR SEDE'!$C$6:$C$1630,RUBROS!C$5)</f>
        <v>0</v>
      </c>
      <c r="D16" s="47">
        <f>SUMIFS('CONSOLIDADO POR SEDE'!$L$6:$L$1630,'CONSOLIDADO POR SEDE'!$E$6:$E$1630,RUBROS!$A16,'CONSOLIDADO POR SEDE'!$C$6:$C$1630,RUBROS!D$5)</f>
        <v>0</v>
      </c>
      <c r="E16" s="47">
        <f>SUMIFS('CONSOLIDADO POR SEDE'!$L$6:$L$1630,'CONSOLIDADO POR SEDE'!$E$6:$E$1630,RUBROS!$A16,'CONSOLIDADO POR SEDE'!$C$6:$C$1630,RUBROS!E$5)</f>
        <v>0</v>
      </c>
      <c r="F16" s="47">
        <f>SUMIFS('CONSOLIDADO POR SEDE'!$L$6:$L$1630,'CONSOLIDADO POR SEDE'!$E$6:$E$1630,RUBROS!$A16,'CONSOLIDADO POR SEDE'!$C$6:$C$1630,RUBROS!F$5)</f>
        <v>0</v>
      </c>
      <c r="G16" s="47">
        <f>SUMIFS('CONSOLIDADO POR SEDE'!$L$6:$L$1630,'CONSOLIDADO POR SEDE'!$E$6:$E$1630,RUBROS!$A16,'CONSOLIDADO POR SEDE'!$C$6:$C$1630,RUBROS!G$5)</f>
        <v>0</v>
      </c>
      <c r="H16" s="47">
        <f>SUMIFS('CONSOLIDADO POR SEDE'!$L$6:$L$1630,'CONSOLIDADO POR SEDE'!$E$6:$E$1630,RUBROS!$A16,'CONSOLIDADO POR SEDE'!$C$6:$C$1630,RUBROS!H$5)</f>
        <v>0</v>
      </c>
      <c r="I16" s="47">
        <f>SUMIFS('CONSOLIDADO POR SEDE'!$L$6:$L$1630,'CONSOLIDADO POR SEDE'!$E$6:$E$1630,RUBROS!$A16,'CONSOLIDADO POR SEDE'!$C$6:$C$1630,RUBROS!I$5)</f>
        <v>0</v>
      </c>
      <c r="J16" s="47">
        <f>SUMIFS('CONSOLIDADO POR SEDE'!$L$6:$L$1630,'CONSOLIDADO POR SEDE'!$E$6:$E$1630,RUBROS!$A16,'CONSOLIDADO POR SEDE'!$C$6:$C$1630,RUBROS!J$5)</f>
        <v>0</v>
      </c>
      <c r="K16" s="47">
        <f>SUMIFS('CONSOLIDADO POR SEDE'!$L$6:$L$1630,'CONSOLIDADO POR SEDE'!$E$6:$E$1630,RUBROS!$A16,'CONSOLIDADO POR SEDE'!$C$6:$C$1630,RUBROS!K$5)</f>
        <v>0</v>
      </c>
      <c r="L16" s="47">
        <f>SUMIFS('CONSOLIDADO POR SEDE'!$L$6:$L$1630,'CONSOLIDADO POR SEDE'!$E$6:$E$1630,RUBROS!$A16,'CONSOLIDADO POR SEDE'!$C$6:$C$1630,RUBROS!L$5)</f>
        <v>0</v>
      </c>
      <c r="M16" s="47">
        <f>SUMIFS('CONSOLIDADO POR SEDE'!$L$6:$L$1630,'CONSOLIDADO POR SEDE'!$E$6:$E$1630,RUBROS!$A16,'CONSOLIDADO POR SEDE'!$C$6:$C$1630,RUBROS!M$5)</f>
        <v>0</v>
      </c>
      <c r="N16" s="47">
        <f>SUMIFS('CONSOLIDADO POR SEDE'!$L$6:$L$1630,'CONSOLIDADO POR SEDE'!$E$6:$E$1630,RUBROS!$A16,'CONSOLIDADO POR SEDE'!$C$6:$C$1630,RUBROS!N$5)</f>
        <v>0</v>
      </c>
      <c r="O16" s="47">
        <f>SUMIFS('CONSOLIDADO POR SEDE'!$L$6:$L$1630,'CONSOLIDADO POR SEDE'!$E$6:$E$1630,RUBROS!$A16,'CONSOLIDADO POR SEDE'!$C$6:$C$1630,RUBROS!O$5)</f>
        <v>0</v>
      </c>
      <c r="P16" s="47">
        <f>SUMIFS('CONSOLIDADO POR SEDE'!$L$6:$L$1630,'CONSOLIDADO POR SEDE'!$E$6:$E$1630,RUBROS!$A16,'CONSOLIDADO POR SEDE'!$C$6:$C$1630,RUBROS!P$5)</f>
        <v>0</v>
      </c>
      <c r="Q16" s="47">
        <f>SUMIFS('CONSOLIDADO POR SEDE'!$L$6:$L$1630,'CONSOLIDADO POR SEDE'!$E$6:$E$1630,RUBROS!$A16,'CONSOLIDADO POR SEDE'!$C$6:$C$1630,RUBROS!Q$5)</f>
        <v>0</v>
      </c>
      <c r="R16" s="47">
        <f>SUMIFS('CONSOLIDADO POR SEDE'!$L$6:$L$1630,'CONSOLIDADO POR SEDE'!$E$6:$E$1630,RUBROS!$A16,'CONSOLIDADO POR SEDE'!$C$6:$C$1630,RUBROS!R$5)</f>
        <v>0</v>
      </c>
      <c r="S16" s="47">
        <f>SUMIFS('CONSOLIDADO POR SEDE'!$L$6:$L$1630,'CONSOLIDADO POR SEDE'!$E$6:$E$1630,RUBROS!$A16,'CONSOLIDADO POR SEDE'!$C$6:$C$1630,RUBROS!S$5)</f>
        <v>0</v>
      </c>
      <c r="T16" s="47">
        <f>SUMIFS('CONSOLIDADO POR SEDE'!$L$6:$L$1630,'CONSOLIDADO POR SEDE'!$E$6:$E$1630,RUBROS!$A16,'CONSOLIDADO POR SEDE'!$C$6:$C$1630,RUBROS!T$5)</f>
        <v>0</v>
      </c>
      <c r="U16" s="47">
        <f>SUMIFS('CONSOLIDADO POR SEDE'!$L$6:$L$1630,'CONSOLIDADO POR SEDE'!$E$6:$E$1630,RUBROS!$A16,'CONSOLIDADO POR SEDE'!$C$6:$C$1630,RUBROS!U$5)</f>
        <v>0</v>
      </c>
      <c r="V16" s="47">
        <f>SUMIFS('CONSOLIDADO POR SEDE'!$L$6:$L$1630,'CONSOLIDADO POR SEDE'!$E$6:$E$1630,RUBROS!$A16,'CONSOLIDADO POR SEDE'!$C$6:$C$1630,RUBROS!V$5)</f>
        <v>0</v>
      </c>
      <c r="W16" s="47">
        <f>SUMIFS('CONSOLIDADO POR SEDE'!$L$6:$L$1630,'CONSOLIDADO POR SEDE'!$E$6:$E$1630,RUBROS!$A16,'CONSOLIDADO POR SEDE'!$C$6:$C$1630,RUBROS!W$5)</f>
        <v>0</v>
      </c>
      <c r="X16" s="47">
        <f>SUMIFS('CONSOLIDADO POR SEDE'!$L$6:$L$1630,'CONSOLIDADO POR SEDE'!$E$6:$E$1630,RUBROS!$A16,'CONSOLIDADO POR SEDE'!$C$6:$C$1630,RUBROS!X$5)</f>
        <v>0</v>
      </c>
      <c r="Y16" s="47">
        <f>SUMIFS('CONSOLIDADO POR SEDE'!$L$6:$L$1630,'CONSOLIDADO POR SEDE'!$E$6:$E$1630,RUBROS!$A16,'CONSOLIDADO POR SEDE'!$C$6:$C$1630,RUBROS!Y$5)</f>
        <v>0</v>
      </c>
      <c r="Z16" s="47">
        <f>SUMIFS('CONSOLIDADO POR SEDE'!$L$6:$L$1630,'CONSOLIDADO POR SEDE'!$E$6:$E$1630,RUBROS!$A16,'CONSOLIDADO POR SEDE'!$C$6:$C$1630,RUBROS!Z$5)</f>
        <v>0</v>
      </c>
      <c r="AA16" s="47">
        <f>SUMIFS('CONSOLIDADO POR SEDE'!$L$6:$L$1630,'CONSOLIDADO POR SEDE'!$E$6:$E$1630,RUBROS!$A16,'CONSOLIDADO POR SEDE'!$C$6:$C$1630,RUBROS!AA$5)</f>
        <v>0</v>
      </c>
      <c r="AB16" s="47">
        <f>SUMIFS('CONSOLIDADO POR SEDE'!$L$6:$L$1630,'CONSOLIDADO POR SEDE'!$E$6:$E$1630,RUBROS!$A16,'CONSOLIDADO POR SEDE'!$C$6:$C$1630,RUBROS!AB$5)</f>
        <v>0</v>
      </c>
      <c r="AC16" s="47">
        <f>SUMIFS('CONSOLIDADO POR SEDE'!$L$6:$L$1630,'CONSOLIDADO POR SEDE'!$E$6:$E$1630,RUBROS!$A16,'CONSOLIDADO POR SEDE'!$C$6:$C$1630,RUBROS!AC$5)</f>
        <v>0</v>
      </c>
      <c r="AD16" s="47">
        <f>SUMIFS('CONSOLIDADO POR SEDE'!$L$6:$L$1630,'CONSOLIDADO POR SEDE'!$E$6:$E$1630,RUBROS!$A16,'CONSOLIDADO POR SEDE'!$C$6:$C$1630,RUBROS!AD$5)</f>
        <v>0</v>
      </c>
      <c r="AE16" s="47">
        <f>SUMIFS('CONSOLIDADO POR SEDE'!$L$6:$L$1630,'CONSOLIDADO POR SEDE'!$E$6:$E$1630,RUBROS!$A16,'CONSOLIDADO POR SEDE'!$C$6:$C$1630,RUBROS!AE$5)</f>
        <v>0</v>
      </c>
      <c r="AF16" s="47">
        <f>SUMIFS('CONSOLIDADO POR SEDE'!$L$6:$L$1630,'CONSOLIDADO POR SEDE'!$E$6:$E$1630,RUBROS!$A16,'CONSOLIDADO POR SEDE'!$C$6:$C$1630,RUBROS!AF$5)</f>
        <v>0</v>
      </c>
      <c r="AG16" s="47">
        <f>SUMIFS('CONSOLIDADO POR SEDE'!$L$6:$L$1630,'CONSOLIDADO POR SEDE'!$E$6:$E$1630,RUBROS!$A16,'CONSOLIDADO POR SEDE'!$C$6:$C$1630,RUBROS!AG$5)</f>
        <v>0</v>
      </c>
      <c r="AH16" s="47">
        <f>SUMIFS('CONSOLIDADO POR SEDE'!$L$6:$L$1630,'CONSOLIDADO POR SEDE'!$E$6:$E$1630,RUBROS!$A16,'CONSOLIDADO POR SEDE'!$C$6:$C$1630,RUBROS!AH$5)</f>
        <v>0</v>
      </c>
      <c r="AI16" s="47">
        <f>SUMIFS('CONSOLIDADO POR SEDE'!$L$6:$L$1630,'CONSOLIDADO POR SEDE'!$E$6:$E$1630,RUBROS!$A16,'CONSOLIDADO POR SEDE'!$C$6:$C$1630,RUBROS!AI$5)</f>
        <v>0</v>
      </c>
      <c r="AJ16" s="47">
        <f>SUMIFS('CONSOLIDADO POR SEDE'!$L$6:$L$1630,'CONSOLIDADO POR SEDE'!$E$6:$E$1630,RUBROS!$A16,'CONSOLIDADO POR SEDE'!$C$6:$C$1630,RUBROS!AJ$5)</f>
        <v>0</v>
      </c>
      <c r="AK16" s="47">
        <f>SUMIFS('CONSOLIDADO POR SEDE'!$L$6:$L$1630,'CONSOLIDADO POR SEDE'!$E$6:$E$1630,RUBROS!$A16,'CONSOLIDADO POR SEDE'!$C$6:$C$1630,RUBROS!AK$5)</f>
        <v>0</v>
      </c>
      <c r="AL16" s="47">
        <f>SUMIFS('CONSOLIDADO POR SEDE'!$L$6:$L$1630,'CONSOLIDADO POR SEDE'!$E$6:$E$1630,RUBROS!$A16,'CONSOLIDADO POR SEDE'!$C$6:$C$1630,RUBROS!AL$5)</f>
        <v>0</v>
      </c>
      <c r="AM16" s="47">
        <f>SUMIFS('CONSOLIDADO POR SEDE'!$L$6:$L$1630,'CONSOLIDADO POR SEDE'!$E$6:$E$1630,RUBROS!$A16,'CONSOLIDADO POR SEDE'!$C$6:$C$1630,RUBROS!AM$5)</f>
        <v>0</v>
      </c>
      <c r="AN16" s="47">
        <f>SUMIFS('CONSOLIDADO POR SEDE'!$L$6:$L$1630,'CONSOLIDADO POR SEDE'!$E$6:$E$1630,RUBROS!$A16,'CONSOLIDADO POR SEDE'!$C$6:$C$1630,RUBROS!AN$5)</f>
        <v>0</v>
      </c>
      <c r="AO16" s="47">
        <f>SUMIFS('CONSOLIDADO POR SEDE'!$L$6:$L$1630,'CONSOLIDADO POR SEDE'!$E$6:$E$1630,RUBROS!$A16,'CONSOLIDADO POR SEDE'!$C$6:$C$1630,RUBROS!AO$5)</f>
        <v>0</v>
      </c>
      <c r="AP16" s="47">
        <f>SUMIFS('CONSOLIDADO POR SEDE'!$L$6:$L$1630,'CONSOLIDADO POR SEDE'!$E$6:$E$1630,RUBROS!$A16,'CONSOLIDADO POR SEDE'!$C$6:$C$1630,RUBROS!AP$5)</f>
        <v>0</v>
      </c>
      <c r="AQ16" s="47"/>
      <c r="AR16" s="48">
        <v>569178.585723</v>
      </c>
      <c r="AS16" s="48"/>
      <c r="AT16" s="49">
        <f t="shared" si="1"/>
        <v>569178.585723</v>
      </c>
      <c r="AU16" s="42"/>
      <c r="AV16" s="42">
        <f t="shared" si="2"/>
        <v>0</v>
      </c>
    </row>
    <row r="17" spans="1:48">
      <c r="A17" s="6" t="s">
        <v>132</v>
      </c>
      <c r="B17" s="6">
        <v>4222135</v>
      </c>
      <c r="C17" s="47">
        <f>SUMIFS('CONSOLIDADO POR SEDE'!$L$6:$L$1630,'CONSOLIDADO POR SEDE'!$E$6:$E$1630,RUBROS!$A17,'CONSOLIDADO POR SEDE'!$C$6:$C$1630,RUBROS!C$5)</f>
        <v>0</v>
      </c>
      <c r="D17" s="47">
        <f>SUMIFS('CONSOLIDADO POR SEDE'!$L$6:$L$1630,'CONSOLIDADO POR SEDE'!$E$6:$E$1630,RUBROS!$A17,'CONSOLIDADO POR SEDE'!$C$6:$C$1630,RUBROS!D$5)</f>
        <v>0</v>
      </c>
      <c r="E17" s="47">
        <f>SUMIFS('CONSOLIDADO POR SEDE'!$L$6:$L$1630,'CONSOLIDADO POR SEDE'!$E$6:$E$1630,RUBROS!$A17,'CONSOLIDADO POR SEDE'!$C$6:$C$1630,RUBROS!E$5)</f>
        <v>0</v>
      </c>
      <c r="F17" s="47">
        <f>SUMIFS('CONSOLIDADO POR SEDE'!$L$6:$L$1630,'CONSOLIDADO POR SEDE'!$E$6:$E$1630,RUBROS!$A17,'CONSOLIDADO POR SEDE'!$C$6:$C$1630,RUBROS!F$5)</f>
        <v>0</v>
      </c>
      <c r="G17" s="47">
        <f>SUMIFS('CONSOLIDADO POR SEDE'!$L$6:$L$1630,'CONSOLIDADO POR SEDE'!$E$6:$E$1630,RUBROS!$A17,'CONSOLIDADO POR SEDE'!$C$6:$C$1630,RUBROS!G$5)</f>
        <v>0</v>
      </c>
      <c r="H17" s="47">
        <f>SUMIFS('CONSOLIDADO POR SEDE'!$L$6:$L$1630,'CONSOLIDADO POR SEDE'!$E$6:$E$1630,RUBROS!$A17,'CONSOLIDADO POR SEDE'!$C$6:$C$1630,RUBROS!H$5)</f>
        <v>0</v>
      </c>
      <c r="I17" s="47">
        <f>SUMIFS('CONSOLIDADO POR SEDE'!$L$6:$L$1630,'CONSOLIDADO POR SEDE'!$E$6:$E$1630,RUBROS!$A17,'CONSOLIDADO POR SEDE'!$C$6:$C$1630,RUBROS!I$5)</f>
        <v>0</v>
      </c>
      <c r="J17" s="47">
        <f>SUMIFS('CONSOLIDADO POR SEDE'!$L$6:$L$1630,'CONSOLIDADO POR SEDE'!$E$6:$E$1630,RUBROS!$A17,'CONSOLIDADO POR SEDE'!$C$6:$C$1630,RUBROS!J$5)</f>
        <v>0</v>
      </c>
      <c r="K17" s="47">
        <f>SUMIFS('CONSOLIDADO POR SEDE'!$L$6:$L$1630,'CONSOLIDADO POR SEDE'!$E$6:$E$1630,RUBROS!$A17,'CONSOLIDADO POR SEDE'!$C$6:$C$1630,RUBROS!K$5)</f>
        <v>0</v>
      </c>
      <c r="L17" s="47">
        <f>SUMIFS('CONSOLIDADO POR SEDE'!$L$6:$L$1630,'CONSOLIDADO POR SEDE'!$E$6:$E$1630,RUBROS!$A17,'CONSOLIDADO POR SEDE'!$C$6:$C$1630,RUBROS!L$5)</f>
        <v>0</v>
      </c>
      <c r="M17" s="47">
        <f>SUMIFS('CONSOLIDADO POR SEDE'!$L$6:$L$1630,'CONSOLIDADO POR SEDE'!$E$6:$E$1630,RUBROS!$A17,'CONSOLIDADO POR SEDE'!$C$6:$C$1630,RUBROS!M$5)</f>
        <v>0</v>
      </c>
      <c r="N17" s="47">
        <f>SUMIFS('CONSOLIDADO POR SEDE'!$L$6:$L$1630,'CONSOLIDADO POR SEDE'!$E$6:$E$1630,RUBROS!$A17,'CONSOLIDADO POR SEDE'!$C$6:$C$1630,RUBROS!N$5)</f>
        <v>0</v>
      </c>
      <c r="O17" s="47">
        <f>SUMIFS('CONSOLIDADO POR SEDE'!$L$6:$L$1630,'CONSOLIDADO POR SEDE'!$E$6:$E$1630,RUBROS!$A17,'CONSOLIDADO POR SEDE'!$C$6:$C$1630,RUBROS!O$5)</f>
        <v>0</v>
      </c>
      <c r="P17" s="47">
        <f>SUMIFS('CONSOLIDADO POR SEDE'!$L$6:$L$1630,'CONSOLIDADO POR SEDE'!$E$6:$E$1630,RUBROS!$A17,'CONSOLIDADO POR SEDE'!$C$6:$C$1630,RUBROS!P$5)</f>
        <v>0</v>
      </c>
      <c r="Q17" s="47">
        <f>SUMIFS('CONSOLIDADO POR SEDE'!$L$6:$L$1630,'CONSOLIDADO POR SEDE'!$E$6:$E$1630,RUBROS!$A17,'CONSOLIDADO POR SEDE'!$C$6:$C$1630,RUBROS!Q$5)</f>
        <v>0</v>
      </c>
      <c r="R17" s="47">
        <f>SUMIFS('CONSOLIDADO POR SEDE'!$L$6:$L$1630,'CONSOLIDADO POR SEDE'!$E$6:$E$1630,RUBROS!$A17,'CONSOLIDADO POR SEDE'!$C$6:$C$1630,RUBROS!R$5)</f>
        <v>0</v>
      </c>
      <c r="S17" s="47">
        <f>SUMIFS('CONSOLIDADO POR SEDE'!$L$6:$L$1630,'CONSOLIDADO POR SEDE'!$E$6:$E$1630,RUBROS!$A17,'CONSOLIDADO POR SEDE'!$C$6:$C$1630,RUBROS!S$5)</f>
        <v>0</v>
      </c>
      <c r="T17" s="47">
        <f>SUMIFS('CONSOLIDADO POR SEDE'!$L$6:$L$1630,'CONSOLIDADO POR SEDE'!$E$6:$E$1630,RUBROS!$A17,'CONSOLIDADO POR SEDE'!$C$6:$C$1630,RUBROS!T$5)</f>
        <v>0</v>
      </c>
      <c r="U17" s="47">
        <f>SUMIFS('CONSOLIDADO POR SEDE'!$L$6:$L$1630,'CONSOLIDADO POR SEDE'!$E$6:$E$1630,RUBROS!$A17,'CONSOLIDADO POR SEDE'!$C$6:$C$1630,RUBROS!U$5)</f>
        <v>0</v>
      </c>
      <c r="V17" s="47">
        <f>SUMIFS('CONSOLIDADO POR SEDE'!$L$6:$L$1630,'CONSOLIDADO POR SEDE'!$E$6:$E$1630,RUBROS!$A17,'CONSOLIDADO POR SEDE'!$C$6:$C$1630,RUBROS!V$5)</f>
        <v>0</v>
      </c>
      <c r="W17" s="47">
        <f>SUMIFS('CONSOLIDADO POR SEDE'!$L$6:$L$1630,'CONSOLIDADO POR SEDE'!$E$6:$E$1630,RUBROS!$A17,'CONSOLIDADO POR SEDE'!$C$6:$C$1630,RUBROS!W$5)</f>
        <v>0</v>
      </c>
      <c r="X17" s="47">
        <f>SUMIFS('CONSOLIDADO POR SEDE'!$L$6:$L$1630,'CONSOLIDADO POR SEDE'!$E$6:$E$1630,RUBROS!$A17,'CONSOLIDADO POR SEDE'!$C$6:$C$1630,RUBROS!X$5)</f>
        <v>0</v>
      </c>
      <c r="Y17" s="47">
        <f>SUMIFS('CONSOLIDADO POR SEDE'!$L$6:$L$1630,'CONSOLIDADO POR SEDE'!$E$6:$E$1630,RUBROS!$A17,'CONSOLIDADO POR SEDE'!$C$6:$C$1630,RUBROS!Y$5)</f>
        <v>0</v>
      </c>
      <c r="Z17" s="47">
        <f>SUMIFS('CONSOLIDADO POR SEDE'!$L$6:$L$1630,'CONSOLIDADO POR SEDE'!$E$6:$E$1630,RUBROS!$A17,'CONSOLIDADO POR SEDE'!$C$6:$C$1630,RUBROS!Z$5)</f>
        <v>0</v>
      </c>
      <c r="AA17" s="47">
        <f>SUMIFS('CONSOLIDADO POR SEDE'!$L$6:$L$1630,'CONSOLIDADO POR SEDE'!$E$6:$E$1630,RUBROS!$A17,'CONSOLIDADO POR SEDE'!$C$6:$C$1630,RUBROS!AA$5)</f>
        <v>0</v>
      </c>
      <c r="AB17" s="47">
        <f>SUMIFS('CONSOLIDADO POR SEDE'!$L$6:$L$1630,'CONSOLIDADO POR SEDE'!$E$6:$E$1630,RUBROS!$A17,'CONSOLIDADO POR SEDE'!$C$6:$C$1630,RUBROS!AB$5)</f>
        <v>0</v>
      </c>
      <c r="AC17" s="47">
        <f>SUMIFS('CONSOLIDADO POR SEDE'!$L$6:$L$1630,'CONSOLIDADO POR SEDE'!$E$6:$E$1630,RUBROS!$A17,'CONSOLIDADO POR SEDE'!$C$6:$C$1630,RUBROS!AC$5)</f>
        <v>0</v>
      </c>
      <c r="AD17" s="47">
        <f>SUMIFS('CONSOLIDADO POR SEDE'!$L$6:$L$1630,'CONSOLIDADO POR SEDE'!$E$6:$E$1630,RUBROS!$A17,'CONSOLIDADO POR SEDE'!$C$6:$C$1630,RUBROS!AD$5)</f>
        <v>0</v>
      </c>
      <c r="AE17" s="47">
        <f>SUMIFS('CONSOLIDADO POR SEDE'!$L$6:$L$1630,'CONSOLIDADO POR SEDE'!$E$6:$E$1630,RUBROS!$A17,'CONSOLIDADO POR SEDE'!$C$6:$C$1630,RUBROS!AE$5)</f>
        <v>0</v>
      </c>
      <c r="AF17" s="47">
        <f>SUMIFS('CONSOLIDADO POR SEDE'!$L$6:$L$1630,'CONSOLIDADO POR SEDE'!$E$6:$E$1630,RUBROS!$A17,'CONSOLIDADO POR SEDE'!$C$6:$C$1630,RUBROS!AF$5)</f>
        <v>0</v>
      </c>
      <c r="AG17" s="47">
        <f>SUMIFS('CONSOLIDADO POR SEDE'!$L$6:$L$1630,'CONSOLIDADO POR SEDE'!$E$6:$E$1630,RUBROS!$A17,'CONSOLIDADO POR SEDE'!$C$6:$C$1630,RUBROS!AG$5)</f>
        <v>0</v>
      </c>
      <c r="AH17" s="47">
        <f>SUMIFS('CONSOLIDADO POR SEDE'!$L$6:$L$1630,'CONSOLIDADO POR SEDE'!$E$6:$E$1630,RUBROS!$A17,'CONSOLIDADO POR SEDE'!$C$6:$C$1630,RUBROS!AH$5)</f>
        <v>0</v>
      </c>
      <c r="AI17" s="47">
        <f>SUMIFS('CONSOLIDADO POR SEDE'!$L$6:$L$1630,'CONSOLIDADO POR SEDE'!$E$6:$E$1630,RUBROS!$A17,'CONSOLIDADO POR SEDE'!$C$6:$C$1630,RUBROS!AI$5)</f>
        <v>0</v>
      </c>
      <c r="AJ17" s="47">
        <f>SUMIFS('CONSOLIDADO POR SEDE'!$L$6:$L$1630,'CONSOLIDADO POR SEDE'!$E$6:$E$1630,RUBROS!$A17,'CONSOLIDADO POR SEDE'!$C$6:$C$1630,RUBROS!AJ$5)</f>
        <v>0</v>
      </c>
      <c r="AK17" s="47">
        <f>SUMIFS('CONSOLIDADO POR SEDE'!$L$6:$L$1630,'CONSOLIDADO POR SEDE'!$E$6:$E$1630,RUBROS!$A17,'CONSOLIDADO POR SEDE'!$C$6:$C$1630,RUBROS!AK$5)</f>
        <v>0</v>
      </c>
      <c r="AL17" s="47">
        <f>SUMIFS('CONSOLIDADO POR SEDE'!$L$6:$L$1630,'CONSOLIDADO POR SEDE'!$E$6:$E$1630,RUBROS!$A17,'CONSOLIDADO POR SEDE'!$C$6:$C$1630,RUBROS!AL$5)</f>
        <v>0</v>
      </c>
      <c r="AM17" s="47">
        <f>SUMIFS('CONSOLIDADO POR SEDE'!$L$6:$L$1630,'CONSOLIDADO POR SEDE'!$E$6:$E$1630,RUBROS!$A17,'CONSOLIDADO POR SEDE'!$C$6:$C$1630,RUBROS!AM$5)</f>
        <v>0</v>
      </c>
      <c r="AN17" s="47">
        <f>SUMIFS('CONSOLIDADO POR SEDE'!$L$6:$L$1630,'CONSOLIDADO POR SEDE'!$E$6:$E$1630,RUBROS!$A17,'CONSOLIDADO POR SEDE'!$C$6:$C$1630,RUBROS!AN$5)</f>
        <v>0</v>
      </c>
      <c r="AO17" s="47">
        <f>SUMIFS('CONSOLIDADO POR SEDE'!$L$6:$L$1630,'CONSOLIDADO POR SEDE'!$E$6:$E$1630,RUBROS!$A17,'CONSOLIDADO POR SEDE'!$C$6:$C$1630,RUBROS!AO$5)</f>
        <v>0</v>
      </c>
      <c r="AP17" s="47">
        <f>SUMIFS('CONSOLIDADO POR SEDE'!$L$6:$L$1630,'CONSOLIDADO POR SEDE'!$E$6:$E$1630,RUBROS!$A17,'CONSOLIDADO POR SEDE'!$C$6:$C$1630,RUBROS!AP$5)</f>
        <v>0</v>
      </c>
      <c r="AQ17" s="47"/>
      <c r="AR17" s="48">
        <v>387508.855155</v>
      </c>
      <c r="AS17" s="48"/>
      <c r="AT17" s="49">
        <f t="shared" si="1"/>
        <v>387508.855155</v>
      </c>
      <c r="AU17" s="42"/>
      <c r="AV17" s="42">
        <f t="shared" si="2"/>
        <v>0</v>
      </c>
    </row>
    <row r="18" spans="1:48">
      <c r="A18" s="6" t="s">
        <v>133</v>
      </c>
      <c r="B18" s="6">
        <v>4222102</v>
      </c>
      <c r="C18" s="47">
        <f>SUMIFS('CONSOLIDADO POR SEDE'!$L$6:$L$1630,'CONSOLIDADO POR SEDE'!$E$6:$E$1630,RUBROS!$A18,'CONSOLIDADO POR SEDE'!$C$6:$C$1630,RUBROS!C$5)</f>
        <v>0</v>
      </c>
      <c r="D18" s="47">
        <f>SUMIFS('CONSOLIDADO POR SEDE'!$L$6:$L$1630,'CONSOLIDADO POR SEDE'!$E$6:$E$1630,RUBROS!$A18,'CONSOLIDADO POR SEDE'!$C$6:$C$1630,RUBROS!D$5)</f>
        <v>0</v>
      </c>
      <c r="E18" s="47">
        <f>SUMIFS('CONSOLIDADO POR SEDE'!$L$6:$L$1630,'CONSOLIDADO POR SEDE'!$E$6:$E$1630,RUBROS!$A18,'CONSOLIDADO POR SEDE'!$C$6:$C$1630,RUBROS!E$5)</f>
        <v>0</v>
      </c>
      <c r="F18" s="47">
        <f>SUMIFS('CONSOLIDADO POR SEDE'!$L$6:$L$1630,'CONSOLIDADO POR SEDE'!$E$6:$E$1630,RUBROS!$A18,'CONSOLIDADO POR SEDE'!$C$6:$C$1630,RUBROS!F$5)</f>
        <v>0</v>
      </c>
      <c r="G18" s="47">
        <f>SUMIFS('CONSOLIDADO POR SEDE'!$L$6:$L$1630,'CONSOLIDADO POR SEDE'!$E$6:$E$1630,RUBROS!$A18,'CONSOLIDADO POR SEDE'!$C$6:$C$1630,RUBROS!G$5)</f>
        <v>0</v>
      </c>
      <c r="H18" s="47">
        <f>SUMIFS('CONSOLIDADO POR SEDE'!$L$6:$L$1630,'CONSOLIDADO POR SEDE'!$E$6:$E$1630,RUBROS!$A18,'CONSOLIDADO POR SEDE'!$C$6:$C$1630,RUBROS!H$5)</f>
        <v>0</v>
      </c>
      <c r="I18" s="47">
        <f>SUMIFS('CONSOLIDADO POR SEDE'!$L$6:$L$1630,'CONSOLIDADO POR SEDE'!$E$6:$E$1630,RUBROS!$A18,'CONSOLIDADO POR SEDE'!$C$6:$C$1630,RUBROS!I$5)</f>
        <v>240514.34298299998</v>
      </c>
      <c r="J18" s="47">
        <f>SUMIFS('CONSOLIDADO POR SEDE'!$L$6:$L$1630,'CONSOLIDADO POR SEDE'!$E$6:$E$1630,RUBROS!$A18,'CONSOLIDADO POR SEDE'!$C$6:$C$1630,RUBROS!J$5)</f>
        <v>0</v>
      </c>
      <c r="K18" s="47">
        <f>SUMIFS('CONSOLIDADO POR SEDE'!$L$6:$L$1630,'CONSOLIDADO POR SEDE'!$E$6:$E$1630,RUBROS!$A18,'CONSOLIDADO POR SEDE'!$C$6:$C$1630,RUBROS!K$5)</f>
        <v>0</v>
      </c>
      <c r="L18" s="47">
        <f>SUMIFS('CONSOLIDADO POR SEDE'!$L$6:$L$1630,'CONSOLIDADO POR SEDE'!$E$6:$E$1630,RUBROS!$A18,'CONSOLIDADO POR SEDE'!$C$6:$C$1630,RUBROS!L$5)</f>
        <v>0</v>
      </c>
      <c r="M18" s="47">
        <f>SUMIFS('CONSOLIDADO POR SEDE'!$L$6:$L$1630,'CONSOLIDADO POR SEDE'!$E$6:$E$1630,RUBROS!$A18,'CONSOLIDADO POR SEDE'!$C$6:$C$1630,RUBROS!M$5)</f>
        <v>0</v>
      </c>
      <c r="N18" s="47">
        <f>SUMIFS('CONSOLIDADO POR SEDE'!$L$6:$L$1630,'CONSOLIDADO POR SEDE'!$E$6:$E$1630,RUBROS!$A18,'CONSOLIDADO POR SEDE'!$C$6:$C$1630,RUBROS!N$5)</f>
        <v>0</v>
      </c>
      <c r="O18" s="47">
        <f>SUMIFS('CONSOLIDADO POR SEDE'!$L$6:$L$1630,'CONSOLIDADO POR SEDE'!$E$6:$E$1630,RUBROS!$A18,'CONSOLIDADO POR SEDE'!$C$6:$C$1630,RUBROS!O$5)</f>
        <v>0</v>
      </c>
      <c r="P18" s="47">
        <f>SUMIFS('CONSOLIDADO POR SEDE'!$L$6:$L$1630,'CONSOLIDADO POR SEDE'!$E$6:$E$1630,RUBROS!$A18,'CONSOLIDADO POR SEDE'!$C$6:$C$1630,RUBROS!P$5)</f>
        <v>0</v>
      </c>
      <c r="Q18" s="47">
        <f>SUMIFS('CONSOLIDADO POR SEDE'!$L$6:$L$1630,'CONSOLIDADO POR SEDE'!$E$6:$E$1630,RUBROS!$A18,'CONSOLIDADO POR SEDE'!$C$6:$C$1630,RUBROS!Q$5)</f>
        <v>0</v>
      </c>
      <c r="R18" s="47">
        <f>SUMIFS('CONSOLIDADO POR SEDE'!$L$6:$L$1630,'CONSOLIDADO POR SEDE'!$E$6:$E$1630,RUBROS!$A18,'CONSOLIDADO POR SEDE'!$C$6:$C$1630,RUBROS!R$5)</f>
        <v>0</v>
      </c>
      <c r="S18" s="47">
        <f>SUMIFS('CONSOLIDADO POR SEDE'!$L$6:$L$1630,'CONSOLIDADO POR SEDE'!$E$6:$E$1630,RUBROS!$A18,'CONSOLIDADO POR SEDE'!$C$6:$C$1630,RUBROS!S$5)</f>
        <v>0</v>
      </c>
      <c r="T18" s="47">
        <f>SUMIFS('CONSOLIDADO POR SEDE'!$L$6:$L$1630,'CONSOLIDADO POR SEDE'!$E$6:$E$1630,RUBROS!$A18,'CONSOLIDADO POR SEDE'!$C$6:$C$1630,RUBROS!T$5)</f>
        <v>0</v>
      </c>
      <c r="U18" s="47">
        <f>SUMIFS('CONSOLIDADO POR SEDE'!$L$6:$L$1630,'CONSOLIDADO POR SEDE'!$E$6:$E$1630,RUBROS!$A18,'CONSOLIDADO POR SEDE'!$C$6:$C$1630,RUBROS!U$5)</f>
        <v>0</v>
      </c>
      <c r="V18" s="47">
        <f>SUMIFS('CONSOLIDADO POR SEDE'!$L$6:$L$1630,'CONSOLIDADO POR SEDE'!$E$6:$E$1630,RUBROS!$A18,'CONSOLIDADO POR SEDE'!$C$6:$C$1630,RUBROS!V$5)</f>
        <v>11071.513565999996</v>
      </c>
      <c r="W18" s="47">
        <f>SUMIFS('CONSOLIDADO POR SEDE'!$L$6:$L$1630,'CONSOLIDADO POR SEDE'!$E$6:$E$1630,RUBROS!$A18,'CONSOLIDADO POR SEDE'!$C$6:$C$1630,RUBROS!W$5)</f>
        <v>0</v>
      </c>
      <c r="X18" s="47">
        <f>SUMIFS('CONSOLIDADO POR SEDE'!$L$6:$L$1630,'CONSOLIDADO POR SEDE'!$E$6:$E$1630,RUBROS!$A18,'CONSOLIDADO POR SEDE'!$C$6:$C$1630,RUBROS!X$5)</f>
        <v>0</v>
      </c>
      <c r="Y18" s="47">
        <f>SUMIFS('CONSOLIDADO POR SEDE'!$L$6:$L$1630,'CONSOLIDADO POR SEDE'!$E$6:$E$1630,RUBROS!$A18,'CONSOLIDADO POR SEDE'!$C$6:$C$1630,RUBROS!Y$5)</f>
        <v>0</v>
      </c>
      <c r="Z18" s="47">
        <f>SUMIFS('CONSOLIDADO POR SEDE'!$L$6:$L$1630,'CONSOLIDADO POR SEDE'!$E$6:$E$1630,RUBROS!$A18,'CONSOLIDADO POR SEDE'!$C$6:$C$1630,RUBROS!Z$5)</f>
        <v>0</v>
      </c>
      <c r="AA18" s="47">
        <f>SUMIFS('CONSOLIDADO POR SEDE'!$L$6:$L$1630,'CONSOLIDADO POR SEDE'!$E$6:$E$1630,RUBROS!$A18,'CONSOLIDADO POR SEDE'!$C$6:$C$1630,RUBROS!AA$5)</f>
        <v>0</v>
      </c>
      <c r="AB18" s="47">
        <f>SUMIFS('CONSOLIDADO POR SEDE'!$L$6:$L$1630,'CONSOLIDADO POR SEDE'!$E$6:$E$1630,RUBROS!$A18,'CONSOLIDADO POR SEDE'!$C$6:$C$1630,RUBROS!AB$5)</f>
        <v>0</v>
      </c>
      <c r="AC18" s="47">
        <f>SUMIFS('CONSOLIDADO POR SEDE'!$L$6:$L$1630,'CONSOLIDADO POR SEDE'!$E$6:$E$1630,RUBROS!$A18,'CONSOLIDADO POR SEDE'!$C$6:$C$1630,RUBROS!AC$5)</f>
        <v>21846.657743999996</v>
      </c>
      <c r="AD18" s="47">
        <f>SUMIFS('CONSOLIDADO POR SEDE'!$L$6:$L$1630,'CONSOLIDADO POR SEDE'!$E$6:$E$1630,RUBROS!$A18,'CONSOLIDADO POR SEDE'!$C$6:$C$1630,RUBROS!AD$5)</f>
        <v>0</v>
      </c>
      <c r="AE18" s="47">
        <f>SUMIFS('CONSOLIDADO POR SEDE'!$L$6:$L$1630,'CONSOLIDADO POR SEDE'!$E$6:$E$1630,RUBROS!$A18,'CONSOLIDADO POR SEDE'!$C$6:$C$1630,RUBROS!AE$5)</f>
        <v>0</v>
      </c>
      <c r="AF18" s="47">
        <f>SUMIFS('CONSOLIDADO POR SEDE'!$L$6:$L$1630,'CONSOLIDADO POR SEDE'!$E$6:$E$1630,RUBROS!$A18,'CONSOLIDADO POR SEDE'!$C$6:$C$1630,RUBROS!AF$5)</f>
        <v>93483.372672000012</v>
      </c>
      <c r="AG18" s="47">
        <f>SUMIFS('CONSOLIDADO POR SEDE'!$L$6:$L$1630,'CONSOLIDADO POR SEDE'!$E$6:$E$1630,RUBROS!$A18,'CONSOLIDADO POR SEDE'!$C$6:$C$1630,RUBROS!AG$5)</f>
        <v>0</v>
      </c>
      <c r="AH18" s="47">
        <f>SUMIFS('CONSOLIDADO POR SEDE'!$L$6:$L$1630,'CONSOLIDADO POR SEDE'!$E$6:$E$1630,RUBROS!$A18,'CONSOLIDADO POR SEDE'!$C$6:$C$1630,RUBROS!AH$5)</f>
        <v>0</v>
      </c>
      <c r="AI18" s="47">
        <f>SUMIFS('CONSOLIDADO POR SEDE'!$L$6:$L$1630,'CONSOLIDADO POR SEDE'!$E$6:$E$1630,RUBROS!$A18,'CONSOLIDADO POR SEDE'!$C$6:$C$1630,RUBROS!AI$5)</f>
        <v>0</v>
      </c>
      <c r="AJ18" s="47">
        <f>SUMIFS('CONSOLIDADO POR SEDE'!$L$6:$L$1630,'CONSOLIDADO POR SEDE'!$E$6:$E$1630,RUBROS!$A18,'CONSOLIDADO POR SEDE'!$C$6:$C$1630,RUBROS!AJ$5)</f>
        <v>0</v>
      </c>
      <c r="AK18" s="47">
        <f>SUMIFS('CONSOLIDADO POR SEDE'!$L$6:$L$1630,'CONSOLIDADO POR SEDE'!$E$6:$E$1630,RUBROS!$A18,'CONSOLIDADO POR SEDE'!$C$6:$C$1630,RUBROS!AK$5)</f>
        <v>0</v>
      </c>
      <c r="AL18" s="47">
        <f>SUMIFS('CONSOLIDADO POR SEDE'!$L$6:$L$1630,'CONSOLIDADO POR SEDE'!$E$6:$E$1630,RUBROS!$A18,'CONSOLIDADO POR SEDE'!$C$6:$C$1630,RUBROS!AL$5)</f>
        <v>0</v>
      </c>
      <c r="AM18" s="47">
        <f>SUMIFS('CONSOLIDADO POR SEDE'!$L$6:$L$1630,'CONSOLIDADO POR SEDE'!$E$6:$E$1630,RUBROS!$A18,'CONSOLIDADO POR SEDE'!$C$6:$C$1630,RUBROS!AM$5)</f>
        <v>0</v>
      </c>
      <c r="AN18" s="47">
        <f>SUMIFS('CONSOLIDADO POR SEDE'!$L$6:$L$1630,'CONSOLIDADO POR SEDE'!$E$6:$E$1630,RUBROS!$A18,'CONSOLIDADO POR SEDE'!$C$6:$C$1630,RUBROS!AN$5)</f>
        <v>0</v>
      </c>
      <c r="AO18" s="47">
        <f>SUMIFS('CONSOLIDADO POR SEDE'!$L$6:$L$1630,'CONSOLIDADO POR SEDE'!$E$6:$E$1630,RUBROS!$A18,'CONSOLIDADO POR SEDE'!$C$6:$C$1630,RUBROS!AO$5)</f>
        <v>0</v>
      </c>
      <c r="AP18" s="47">
        <f>SUMIFS('CONSOLIDADO POR SEDE'!$L$6:$L$1630,'CONSOLIDADO POR SEDE'!$E$6:$E$1630,RUBROS!$A18,'CONSOLIDADO POR SEDE'!$C$6:$C$1630,RUBROS!AP$5)</f>
        <v>0</v>
      </c>
      <c r="AQ18" s="47"/>
      <c r="AR18" s="48">
        <v>267518.06329199998</v>
      </c>
      <c r="AS18" s="48"/>
      <c r="AT18" s="49">
        <f t="shared" si="1"/>
        <v>634433.95025700005</v>
      </c>
      <c r="AU18" s="42"/>
      <c r="AV18" s="42">
        <f t="shared" si="2"/>
        <v>366915.88696500001</v>
      </c>
    </row>
    <row r="19" spans="1:48">
      <c r="A19" s="6" t="s">
        <v>134</v>
      </c>
      <c r="B19" s="6">
        <v>4222104</v>
      </c>
      <c r="C19" s="47">
        <f>SUMIFS('CONSOLIDADO POR SEDE'!$L$6:$L$1630,'CONSOLIDADO POR SEDE'!$E$6:$E$1630,RUBROS!$A19,'CONSOLIDADO POR SEDE'!$C$6:$C$1630,RUBROS!C$5)</f>
        <v>0</v>
      </c>
      <c r="D19" s="47">
        <f>SUMIFS('CONSOLIDADO POR SEDE'!$L$6:$L$1630,'CONSOLIDADO POR SEDE'!$E$6:$E$1630,RUBROS!$A19,'CONSOLIDADO POR SEDE'!$C$6:$C$1630,RUBROS!D$5)</f>
        <v>0</v>
      </c>
      <c r="E19" s="47">
        <f>SUMIFS('CONSOLIDADO POR SEDE'!$L$6:$L$1630,'CONSOLIDADO POR SEDE'!$E$6:$E$1630,RUBROS!$A19,'CONSOLIDADO POR SEDE'!$C$6:$C$1630,RUBROS!E$5)</f>
        <v>0</v>
      </c>
      <c r="F19" s="47">
        <f>SUMIFS('CONSOLIDADO POR SEDE'!$L$6:$L$1630,'CONSOLIDADO POR SEDE'!$E$6:$E$1630,RUBROS!$A19,'CONSOLIDADO POR SEDE'!$C$6:$C$1630,RUBROS!F$5)</f>
        <v>0</v>
      </c>
      <c r="G19" s="47">
        <f>SUMIFS('CONSOLIDADO POR SEDE'!$L$6:$L$1630,'CONSOLIDADO POR SEDE'!$E$6:$E$1630,RUBROS!$A19,'CONSOLIDADO POR SEDE'!$C$6:$C$1630,RUBROS!G$5)</f>
        <v>0</v>
      </c>
      <c r="H19" s="47">
        <f>SUMIFS('CONSOLIDADO POR SEDE'!$L$6:$L$1630,'CONSOLIDADO POR SEDE'!$E$6:$E$1630,RUBROS!$A19,'CONSOLIDADO POR SEDE'!$C$6:$C$1630,RUBROS!H$5)</f>
        <v>253182.958251</v>
      </c>
      <c r="I19" s="47">
        <f>SUMIFS('CONSOLIDADO POR SEDE'!$L$6:$L$1630,'CONSOLIDADO POR SEDE'!$E$6:$E$1630,RUBROS!$A19,'CONSOLIDADO POR SEDE'!$C$6:$C$1630,RUBROS!I$5)</f>
        <v>0</v>
      </c>
      <c r="J19" s="47">
        <f>SUMIFS('CONSOLIDADO POR SEDE'!$L$6:$L$1630,'CONSOLIDADO POR SEDE'!$E$6:$E$1630,RUBROS!$A19,'CONSOLIDADO POR SEDE'!$C$6:$C$1630,RUBROS!J$5)</f>
        <v>140443.10220060003</v>
      </c>
      <c r="K19" s="47">
        <f>SUMIFS('CONSOLIDADO POR SEDE'!$L$6:$L$1630,'CONSOLIDADO POR SEDE'!$E$6:$E$1630,RUBROS!$A19,'CONSOLIDADO POR SEDE'!$C$6:$C$1630,RUBROS!K$5)</f>
        <v>0</v>
      </c>
      <c r="L19" s="47">
        <f>SUMIFS('CONSOLIDADO POR SEDE'!$L$6:$L$1630,'CONSOLIDADO POR SEDE'!$E$6:$E$1630,RUBROS!$A19,'CONSOLIDADO POR SEDE'!$C$6:$C$1630,RUBROS!L$5)</f>
        <v>8044.31196</v>
      </c>
      <c r="M19" s="47">
        <f>SUMIFS('CONSOLIDADO POR SEDE'!$L$6:$L$1630,'CONSOLIDADO POR SEDE'!$E$6:$E$1630,RUBROS!$A19,'CONSOLIDADO POR SEDE'!$C$6:$C$1630,RUBROS!M$5)</f>
        <v>0</v>
      </c>
      <c r="N19" s="47">
        <f>SUMIFS('CONSOLIDADO POR SEDE'!$L$6:$L$1630,'CONSOLIDADO POR SEDE'!$E$6:$E$1630,RUBROS!$A19,'CONSOLIDADO POR SEDE'!$C$6:$C$1630,RUBROS!N$5)</f>
        <v>0</v>
      </c>
      <c r="O19" s="47">
        <f>SUMIFS('CONSOLIDADO POR SEDE'!$L$6:$L$1630,'CONSOLIDADO POR SEDE'!$E$6:$E$1630,RUBROS!$A19,'CONSOLIDADO POR SEDE'!$C$6:$C$1630,RUBROS!O$5)</f>
        <v>0</v>
      </c>
      <c r="P19" s="47">
        <f>SUMIFS('CONSOLIDADO POR SEDE'!$L$6:$L$1630,'CONSOLIDADO POR SEDE'!$E$6:$E$1630,RUBROS!$A19,'CONSOLIDADO POR SEDE'!$C$6:$C$1630,RUBROS!P$5)</f>
        <v>0</v>
      </c>
      <c r="Q19" s="47">
        <f>SUMIFS('CONSOLIDADO POR SEDE'!$L$6:$L$1630,'CONSOLIDADO POR SEDE'!$E$6:$E$1630,RUBROS!$A19,'CONSOLIDADO POR SEDE'!$C$6:$C$1630,RUBROS!Q$5)</f>
        <v>0</v>
      </c>
      <c r="R19" s="47">
        <f>SUMIFS('CONSOLIDADO POR SEDE'!$L$6:$L$1630,'CONSOLIDADO POR SEDE'!$E$6:$E$1630,RUBROS!$A19,'CONSOLIDADO POR SEDE'!$C$6:$C$1630,RUBROS!R$5)</f>
        <v>17816.034067199998</v>
      </c>
      <c r="S19" s="47">
        <f>SUMIFS('CONSOLIDADO POR SEDE'!$L$6:$L$1630,'CONSOLIDADO POR SEDE'!$E$6:$E$1630,RUBROS!$A19,'CONSOLIDADO POR SEDE'!$C$6:$C$1630,RUBROS!S$5)</f>
        <v>0</v>
      </c>
      <c r="T19" s="47">
        <f>SUMIFS('CONSOLIDADO POR SEDE'!$L$6:$L$1630,'CONSOLIDADO POR SEDE'!$E$6:$E$1630,RUBROS!$A19,'CONSOLIDADO POR SEDE'!$C$6:$C$1630,RUBROS!T$5)</f>
        <v>0</v>
      </c>
      <c r="U19" s="47">
        <f>SUMIFS('CONSOLIDADO POR SEDE'!$L$6:$L$1630,'CONSOLIDADO POR SEDE'!$E$6:$E$1630,RUBROS!$A19,'CONSOLIDADO POR SEDE'!$C$6:$C$1630,RUBROS!U$5)</f>
        <v>0</v>
      </c>
      <c r="V19" s="47">
        <f>SUMIFS('CONSOLIDADO POR SEDE'!$L$6:$L$1630,'CONSOLIDADO POR SEDE'!$E$6:$E$1630,RUBROS!$A19,'CONSOLIDADO POR SEDE'!$C$6:$C$1630,RUBROS!V$5)</f>
        <v>0</v>
      </c>
      <c r="W19" s="47">
        <f>SUMIFS('CONSOLIDADO POR SEDE'!$L$6:$L$1630,'CONSOLIDADO POR SEDE'!$E$6:$E$1630,RUBROS!$A19,'CONSOLIDADO POR SEDE'!$C$6:$C$1630,RUBROS!W$5)</f>
        <v>0</v>
      </c>
      <c r="X19" s="47">
        <f>SUMIFS('CONSOLIDADO POR SEDE'!$L$6:$L$1630,'CONSOLIDADO POR SEDE'!$E$6:$E$1630,RUBROS!$A19,'CONSOLIDADO POR SEDE'!$C$6:$C$1630,RUBROS!X$5)</f>
        <v>0</v>
      </c>
      <c r="Y19" s="47">
        <f>SUMIFS('CONSOLIDADO POR SEDE'!$L$6:$L$1630,'CONSOLIDADO POR SEDE'!$E$6:$E$1630,RUBROS!$A19,'CONSOLIDADO POR SEDE'!$C$6:$C$1630,RUBROS!Y$5)</f>
        <v>0</v>
      </c>
      <c r="Z19" s="47">
        <f>SUMIFS('CONSOLIDADO POR SEDE'!$L$6:$L$1630,'CONSOLIDADO POR SEDE'!$E$6:$E$1630,RUBROS!$A19,'CONSOLIDADO POR SEDE'!$C$6:$C$1630,RUBROS!Z$5)</f>
        <v>0</v>
      </c>
      <c r="AA19" s="47">
        <f>SUMIFS('CONSOLIDADO POR SEDE'!$L$6:$L$1630,'CONSOLIDADO POR SEDE'!$E$6:$E$1630,RUBROS!$A19,'CONSOLIDADO POR SEDE'!$C$6:$C$1630,RUBROS!AA$5)</f>
        <v>0</v>
      </c>
      <c r="AB19" s="47">
        <f>SUMIFS('CONSOLIDADO POR SEDE'!$L$6:$L$1630,'CONSOLIDADO POR SEDE'!$E$6:$E$1630,RUBROS!$A19,'CONSOLIDADO POR SEDE'!$C$6:$C$1630,RUBROS!AB$5)</f>
        <v>0</v>
      </c>
      <c r="AC19" s="47">
        <f>SUMIFS('CONSOLIDADO POR SEDE'!$L$6:$L$1630,'CONSOLIDADO POR SEDE'!$E$6:$E$1630,RUBROS!$A19,'CONSOLIDADO POR SEDE'!$C$6:$C$1630,RUBROS!AC$5)</f>
        <v>0</v>
      </c>
      <c r="AD19" s="47">
        <f>SUMIFS('CONSOLIDADO POR SEDE'!$L$6:$L$1630,'CONSOLIDADO POR SEDE'!$E$6:$E$1630,RUBROS!$A19,'CONSOLIDADO POR SEDE'!$C$6:$C$1630,RUBROS!AD$5)</f>
        <v>0</v>
      </c>
      <c r="AE19" s="47">
        <f>SUMIFS('CONSOLIDADO POR SEDE'!$L$6:$L$1630,'CONSOLIDADO POR SEDE'!$E$6:$E$1630,RUBROS!$A19,'CONSOLIDADO POR SEDE'!$C$6:$C$1630,RUBROS!AE$5)</f>
        <v>0</v>
      </c>
      <c r="AF19" s="47">
        <f>SUMIFS('CONSOLIDADO POR SEDE'!$L$6:$L$1630,'CONSOLIDADO POR SEDE'!$E$6:$E$1630,RUBROS!$A19,'CONSOLIDADO POR SEDE'!$C$6:$C$1630,RUBROS!AF$5)</f>
        <v>14564.438495999999</v>
      </c>
      <c r="AG19" s="47">
        <f>SUMIFS('CONSOLIDADO POR SEDE'!$L$6:$L$1630,'CONSOLIDADO POR SEDE'!$E$6:$E$1630,RUBROS!$A19,'CONSOLIDADO POR SEDE'!$C$6:$C$1630,RUBROS!AG$5)</f>
        <v>573986.35579499998</v>
      </c>
      <c r="AH19" s="47">
        <f>SUMIFS('CONSOLIDADO POR SEDE'!$L$6:$L$1630,'CONSOLIDADO POR SEDE'!$E$6:$E$1630,RUBROS!$A19,'CONSOLIDADO POR SEDE'!$C$6:$C$1630,RUBROS!AH$5)</f>
        <v>0</v>
      </c>
      <c r="AI19" s="47">
        <f>SUMIFS('CONSOLIDADO POR SEDE'!$L$6:$L$1630,'CONSOLIDADO POR SEDE'!$E$6:$E$1630,RUBROS!$A19,'CONSOLIDADO POR SEDE'!$C$6:$C$1630,RUBROS!AI$5)</f>
        <v>0</v>
      </c>
      <c r="AJ19" s="47">
        <f>SUMIFS('CONSOLIDADO POR SEDE'!$L$6:$L$1630,'CONSOLIDADO POR SEDE'!$E$6:$E$1630,RUBROS!$A19,'CONSOLIDADO POR SEDE'!$C$6:$C$1630,RUBROS!AJ$5)</f>
        <v>0</v>
      </c>
      <c r="AK19" s="47">
        <f>SUMIFS('CONSOLIDADO POR SEDE'!$L$6:$L$1630,'CONSOLIDADO POR SEDE'!$E$6:$E$1630,RUBROS!$A19,'CONSOLIDADO POR SEDE'!$C$6:$C$1630,RUBROS!AK$5)</f>
        <v>0</v>
      </c>
      <c r="AL19" s="47">
        <f>SUMIFS('CONSOLIDADO POR SEDE'!$L$6:$L$1630,'CONSOLIDADO POR SEDE'!$E$6:$E$1630,RUBROS!$A19,'CONSOLIDADO POR SEDE'!$C$6:$C$1630,RUBROS!AL$5)</f>
        <v>0</v>
      </c>
      <c r="AM19" s="47">
        <f>SUMIFS('CONSOLIDADO POR SEDE'!$L$6:$L$1630,'CONSOLIDADO POR SEDE'!$E$6:$E$1630,RUBROS!$A19,'CONSOLIDADO POR SEDE'!$C$6:$C$1630,RUBROS!AM$5)</f>
        <v>83512.65969</v>
      </c>
      <c r="AN19" s="47">
        <f>SUMIFS('CONSOLIDADO POR SEDE'!$L$6:$L$1630,'CONSOLIDADO POR SEDE'!$E$6:$E$1630,RUBROS!$A19,'CONSOLIDADO POR SEDE'!$C$6:$C$1630,RUBROS!AN$5)</f>
        <v>74136.449587500014</v>
      </c>
      <c r="AO19" s="47">
        <f>SUMIFS('CONSOLIDADO POR SEDE'!$L$6:$L$1630,'CONSOLIDADO POR SEDE'!$E$6:$E$1630,RUBROS!$A19,'CONSOLIDADO POR SEDE'!$C$6:$C$1630,RUBROS!AO$5)</f>
        <v>10655.18514</v>
      </c>
      <c r="AP19" s="47">
        <f>SUMIFS('CONSOLIDADO POR SEDE'!$L$6:$L$1630,'CONSOLIDADO POR SEDE'!$E$6:$E$1630,RUBROS!$A19,'CONSOLIDADO POR SEDE'!$C$6:$C$1630,RUBROS!AP$5)</f>
        <v>63436.573825500003</v>
      </c>
      <c r="AQ19" s="47"/>
      <c r="AR19" s="48">
        <v>255282.241416</v>
      </c>
      <c r="AS19" s="48"/>
      <c r="AT19" s="49">
        <f t="shared" si="1"/>
        <v>1495060.3104287998</v>
      </c>
      <c r="AU19" s="42"/>
      <c r="AV19" s="42">
        <f t="shared" si="2"/>
        <v>1239778.0690127998</v>
      </c>
    </row>
    <row r="20" spans="1:48">
      <c r="A20" s="6" t="s">
        <v>135</v>
      </c>
      <c r="B20" s="6">
        <v>4222113</v>
      </c>
      <c r="C20" s="47">
        <f>SUMIFS('CONSOLIDADO POR SEDE'!$L$6:$L$1630,'CONSOLIDADO POR SEDE'!$E$6:$E$1630,RUBROS!$A20,'CONSOLIDADO POR SEDE'!$C$6:$C$1630,RUBROS!C$5)</f>
        <v>0</v>
      </c>
      <c r="D20" s="47">
        <f>SUMIFS('CONSOLIDADO POR SEDE'!$L$6:$L$1630,'CONSOLIDADO POR SEDE'!$E$6:$E$1630,RUBROS!$A20,'CONSOLIDADO POR SEDE'!$C$6:$C$1630,RUBROS!D$5)</f>
        <v>0</v>
      </c>
      <c r="E20" s="47">
        <f>SUMIFS('CONSOLIDADO POR SEDE'!$L$6:$L$1630,'CONSOLIDADO POR SEDE'!$E$6:$E$1630,RUBROS!$A20,'CONSOLIDADO POR SEDE'!$C$6:$C$1630,RUBROS!E$5)</f>
        <v>0</v>
      </c>
      <c r="F20" s="47">
        <f>SUMIFS('CONSOLIDADO POR SEDE'!$L$6:$L$1630,'CONSOLIDADO POR SEDE'!$E$6:$E$1630,RUBROS!$A20,'CONSOLIDADO POR SEDE'!$C$6:$C$1630,RUBROS!F$5)</f>
        <v>0</v>
      </c>
      <c r="G20" s="47">
        <f>SUMIFS('CONSOLIDADO POR SEDE'!$L$6:$L$1630,'CONSOLIDADO POR SEDE'!$E$6:$E$1630,RUBROS!$A20,'CONSOLIDADO POR SEDE'!$C$6:$C$1630,RUBROS!G$5)</f>
        <v>0</v>
      </c>
      <c r="H20" s="47">
        <f>SUMIFS('CONSOLIDADO POR SEDE'!$L$6:$L$1630,'CONSOLIDADO POR SEDE'!$E$6:$E$1630,RUBROS!$A20,'CONSOLIDADO POR SEDE'!$C$6:$C$1630,RUBROS!H$5)</f>
        <v>0</v>
      </c>
      <c r="I20" s="47">
        <f>SUMIFS('CONSOLIDADO POR SEDE'!$L$6:$L$1630,'CONSOLIDADO POR SEDE'!$E$6:$E$1630,RUBROS!$A20,'CONSOLIDADO POR SEDE'!$C$6:$C$1630,RUBROS!I$5)</f>
        <v>0</v>
      </c>
      <c r="J20" s="47">
        <f>SUMIFS('CONSOLIDADO POR SEDE'!$L$6:$L$1630,'CONSOLIDADO POR SEDE'!$E$6:$E$1630,RUBROS!$A20,'CONSOLIDADO POR SEDE'!$C$6:$C$1630,RUBROS!J$5)</f>
        <v>0</v>
      </c>
      <c r="K20" s="47">
        <f>SUMIFS('CONSOLIDADO POR SEDE'!$L$6:$L$1630,'CONSOLIDADO POR SEDE'!$E$6:$E$1630,RUBROS!$A20,'CONSOLIDADO POR SEDE'!$C$6:$C$1630,RUBROS!K$5)</f>
        <v>0</v>
      </c>
      <c r="L20" s="47">
        <f>SUMIFS('CONSOLIDADO POR SEDE'!$L$6:$L$1630,'CONSOLIDADO POR SEDE'!$E$6:$E$1630,RUBROS!$A20,'CONSOLIDADO POR SEDE'!$C$6:$C$1630,RUBROS!L$5)</f>
        <v>0</v>
      </c>
      <c r="M20" s="47">
        <f>SUMIFS('CONSOLIDADO POR SEDE'!$L$6:$L$1630,'CONSOLIDADO POR SEDE'!$E$6:$E$1630,RUBROS!$A20,'CONSOLIDADO POR SEDE'!$C$6:$C$1630,RUBROS!M$5)</f>
        <v>0</v>
      </c>
      <c r="N20" s="47">
        <f>SUMIFS('CONSOLIDADO POR SEDE'!$L$6:$L$1630,'CONSOLIDADO POR SEDE'!$E$6:$E$1630,RUBROS!$A20,'CONSOLIDADO POR SEDE'!$C$6:$C$1630,RUBROS!N$5)</f>
        <v>0</v>
      </c>
      <c r="O20" s="47">
        <f>SUMIFS('CONSOLIDADO POR SEDE'!$L$6:$L$1630,'CONSOLIDADO POR SEDE'!$E$6:$E$1630,RUBROS!$A20,'CONSOLIDADO POR SEDE'!$C$6:$C$1630,RUBROS!O$5)</f>
        <v>0</v>
      </c>
      <c r="P20" s="47">
        <f>SUMIFS('CONSOLIDADO POR SEDE'!$L$6:$L$1630,'CONSOLIDADO POR SEDE'!$E$6:$E$1630,RUBROS!$A20,'CONSOLIDADO POR SEDE'!$C$6:$C$1630,RUBROS!P$5)</f>
        <v>0</v>
      </c>
      <c r="Q20" s="47">
        <f>SUMIFS('CONSOLIDADO POR SEDE'!$L$6:$L$1630,'CONSOLIDADO POR SEDE'!$E$6:$E$1630,RUBROS!$A20,'CONSOLIDADO POR SEDE'!$C$6:$C$1630,RUBROS!Q$5)</f>
        <v>0</v>
      </c>
      <c r="R20" s="47">
        <f>SUMIFS('CONSOLIDADO POR SEDE'!$L$6:$L$1630,'CONSOLIDADO POR SEDE'!$E$6:$E$1630,RUBROS!$A20,'CONSOLIDADO POR SEDE'!$C$6:$C$1630,RUBROS!R$5)</f>
        <v>0</v>
      </c>
      <c r="S20" s="47">
        <f>SUMIFS('CONSOLIDADO POR SEDE'!$L$6:$L$1630,'CONSOLIDADO POR SEDE'!$E$6:$E$1630,RUBROS!$A20,'CONSOLIDADO POR SEDE'!$C$6:$C$1630,RUBROS!S$5)</f>
        <v>0</v>
      </c>
      <c r="T20" s="47">
        <f>SUMIFS('CONSOLIDADO POR SEDE'!$L$6:$L$1630,'CONSOLIDADO POR SEDE'!$E$6:$E$1630,RUBROS!$A20,'CONSOLIDADO POR SEDE'!$C$6:$C$1630,RUBROS!T$5)</f>
        <v>0</v>
      </c>
      <c r="U20" s="47">
        <f>SUMIFS('CONSOLIDADO POR SEDE'!$L$6:$L$1630,'CONSOLIDADO POR SEDE'!$E$6:$E$1630,RUBROS!$A20,'CONSOLIDADO POR SEDE'!$C$6:$C$1630,RUBROS!U$5)</f>
        <v>0</v>
      </c>
      <c r="V20" s="47">
        <f>SUMIFS('CONSOLIDADO POR SEDE'!$L$6:$L$1630,'CONSOLIDADO POR SEDE'!$E$6:$E$1630,RUBROS!$A20,'CONSOLIDADO POR SEDE'!$C$6:$C$1630,RUBROS!V$5)</f>
        <v>0</v>
      </c>
      <c r="W20" s="47">
        <f>SUMIFS('CONSOLIDADO POR SEDE'!$L$6:$L$1630,'CONSOLIDADO POR SEDE'!$E$6:$E$1630,RUBROS!$A20,'CONSOLIDADO POR SEDE'!$C$6:$C$1630,RUBROS!W$5)</f>
        <v>0</v>
      </c>
      <c r="X20" s="47">
        <f>SUMIFS('CONSOLIDADO POR SEDE'!$L$6:$L$1630,'CONSOLIDADO POR SEDE'!$E$6:$E$1630,RUBROS!$A20,'CONSOLIDADO POR SEDE'!$C$6:$C$1630,RUBROS!X$5)</f>
        <v>0</v>
      </c>
      <c r="Y20" s="47">
        <f>SUMIFS('CONSOLIDADO POR SEDE'!$L$6:$L$1630,'CONSOLIDADO POR SEDE'!$E$6:$E$1630,RUBROS!$A20,'CONSOLIDADO POR SEDE'!$C$6:$C$1630,RUBROS!Y$5)</f>
        <v>0</v>
      </c>
      <c r="Z20" s="47">
        <f>SUMIFS('CONSOLIDADO POR SEDE'!$L$6:$L$1630,'CONSOLIDADO POR SEDE'!$E$6:$E$1630,RUBROS!$A20,'CONSOLIDADO POR SEDE'!$C$6:$C$1630,RUBROS!Z$5)</f>
        <v>0</v>
      </c>
      <c r="AA20" s="47">
        <f>SUMIFS('CONSOLIDADO POR SEDE'!$L$6:$L$1630,'CONSOLIDADO POR SEDE'!$E$6:$E$1630,RUBROS!$A20,'CONSOLIDADO POR SEDE'!$C$6:$C$1630,RUBROS!AA$5)</f>
        <v>0</v>
      </c>
      <c r="AB20" s="47">
        <f>SUMIFS('CONSOLIDADO POR SEDE'!$L$6:$L$1630,'CONSOLIDADO POR SEDE'!$E$6:$E$1630,RUBROS!$A20,'CONSOLIDADO POR SEDE'!$C$6:$C$1630,RUBROS!AB$5)</f>
        <v>0</v>
      </c>
      <c r="AC20" s="47">
        <f>SUMIFS('CONSOLIDADO POR SEDE'!$L$6:$L$1630,'CONSOLIDADO POR SEDE'!$E$6:$E$1630,RUBROS!$A20,'CONSOLIDADO POR SEDE'!$C$6:$C$1630,RUBROS!AC$5)</f>
        <v>0</v>
      </c>
      <c r="AD20" s="47">
        <f>SUMIFS('CONSOLIDADO POR SEDE'!$L$6:$L$1630,'CONSOLIDADO POR SEDE'!$E$6:$E$1630,RUBROS!$A20,'CONSOLIDADO POR SEDE'!$C$6:$C$1630,RUBROS!AD$5)</f>
        <v>0</v>
      </c>
      <c r="AE20" s="47">
        <f>SUMIFS('CONSOLIDADO POR SEDE'!$L$6:$L$1630,'CONSOLIDADO POR SEDE'!$E$6:$E$1630,RUBROS!$A20,'CONSOLIDADO POR SEDE'!$C$6:$C$1630,RUBROS!AE$5)</f>
        <v>0</v>
      </c>
      <c r="AF20" s="47">
        <f>SUMIFS('CONSOLIDADO POR SEDE'!$L$6:$L$1630,'CONSOLIDADO POR SEDE'!$E$6:$E$1630,RUBROS!$A20,'CONSOLIDADO POR SEDE'!$C$6:$C$1630,RUBROS!AF$5)</f>
        <v>0</v>
      </c>
      <c r="AG20" s="47">
        <f>SUMIFS('CONSOLIDADO POR SEDE'!$L$6:$L$1630,'CONSOLIDADO POR SEDE'!$E$6:$E$1630,RUBROS!$A20,'CONSOLIDADO POR SEDE'!$C$6:$C$1630,RUBROS!AG$5)</f>
        <v>0</v>
      </c>
      <c r="AH20" s="47">
        <f>SUMIFS('CONSOLIDADO POR SEDE'!$L$6:$L$1630,'CONSOLIDADO POR SEDE'!$E$6:$E$1630,RUBROS!$A20,'CONSOLIDADO POR SEDE'!$C$6:$C$1630,RUBROS!AH$5)</f>
        <v>0</v>
      </c>
      <c r="AI20" s="47">
        <f>SUMIFS('CONSOLIDADO POR SEDE'!$L$6:$L$1630,'CONSOLIDADO POR SEDE'!$E$6:$E$1630,RUBROS!$A20,'CONSOLIDADO POR SEDE'!$C$6:$C$1630,RUBROS!AI$5)</f>
        <v>0</v>
      </c>
      <c r="AJ20" s="47">
        <f>SUMIFS('CONSOLIDADO POR SEDE'!$L$6:$L$1630,'CONSOLIDADO POR SEDE'!$E$6:$E$1630,RUBROS!$A20,'CONSOLIDADO POR SEDE'!$C$6:$C$1630,RUBROS!AJ$5)</f>
        <v>0</v>
      </c>
      <c r="AK20" s="47">
        <f>SUMIFS('CONSOLIDADO POR SEDE'!$L$6:$L$1630,'CONSOLIDADO POR SEDE'!$E$6:$E$1630,RUBROS!$A20,'CONSOLIDADO POR SEDE'!$C$6:$C$1630,RUBROS!AK$5)</f>
        <v>0</v>
      </c>
      <c r="AL20" s="47">
        <f>SUMIFS('CONSOLIDADO POR SEDE'!$L$6:$L$1630,'CONSOLIDADO POR SEDE'!$E$6:$E$1630,RUBROS!$A20,'CONSOLIDADO POR SEDE'!$C$6:$C$1630,RUBROS!AL$5)</f>
        <v>0</v>
      </c>
      <c r="AM20" s="47">
        <f>SUMIFS('CONSOLIDADO POR SEDE'!$L$6:$L$1630,'CONSOLIDADO POR SEDE'!$E$6:$E$1630,RUBROS!$A20,'CONSOLIDADO POR SEDE'!$C$6:$C$1630,RUBROS!AM$5)</f>
        <v>0</v>
      </c>
      <c r="AN20" s="47">
        <f>SUMIFS('CONSOLIDADO POR SEDE'!$L$6:$L$1630,'CONSOLIDADO POR SEDE'!$E$6:$E$1630,RUBROS!$A20,'CONSOLIDADO POR SEDE'!$C$6:$C$1630,RUBROS!AN$5)</f>
        <v>0</v>
      </c>
      <c r="AO20" s="47">
        <f>SUMIFS('CONSOLIDADO POR SEDE'!$L$6:$L$1630,'CONSOLIDADO POR SEDE'!$E$6:$E$1630,RUBROS!$A20,'CONSOLIDADO POR SEDE'!$C$6:$C$1630,RUBROS!AO$5)</f>
        <v>0</v>
      </c>
      <c r="AP20" s="47">
        <f>SUMIFS('CONSOLIDADO POR SEDE'!$L$6:$L$1630,'CONSOLIDADO POR SEDE'!$E$6:$E$1630,RUBROS!$A20,'CONSOLIDADO POR SEDE'!$C$6:$C$1630,RUBROS!AP$5)</f>
        <v>0</v>
      </c>
      <c r="AQ20" s="47"/>
      <c r="AR20" s="48">
        <v>205656.83389200002</v>
      </c>
      <c r="AS20" s="48"/>
      <c r="AT20" s="49">
        <f t="shared" si="1"/>
        <v>205656.83389200002</v>
      </c>
      <c r="AU20" s="42"/>
      <c r="AV20" s="42">
        <f t="shared" si="2"/>
        <v>0</v>
      </c>
    </row>
    <row r="21" spans="1:48">
      <c r="A21" s="6" t="s">
        <v>136</v>
      </c>
      <c r="B21" s="6">
        <v>4222126</v>
      </c>
      <c r="C21" s="47">
        <f>SUMIFS('CONSOLIDADO POR SEDE'!$L$6:$L$1630,'CONSOLIDADO POR SEDE'!$E$6:$E$1630,RUBROS!$A21,'CONSOLIDADO POR SEDE'!$C$6:$C$1630,RUBROS!C$5)</f>
        <v>0</v>
      </c>
      <c r="D21" s="47">
        <f>SUMIFS('CONSOLIDADO POR SEDE'!$L$6:$L$1630,'CONSOLIDADO POR SEDE'!$E$6:$E$1630,RUBROS!$A21,'CONSOLIDADO POR SEDE'!$C$6:$C$1630,RUBROS!D$5)</f>
        <v>0</v>
      </c>
      <c r="E21" s="47">
        <f>SUMIFS('CONSOLIDADO POR SEDE'!$L$6:$L$1630,'CONSOLIDADO POR SEDE'!$E$6:$E$1630,RUBROS!$A21,'CONSOLIDADO POR SEDE'!$C$6:$C$1630,RUBROS!E$5)</f>
        <v>0</v>
      </c>
      <c r="F21" s="47">
        <f>SUMIFS('CONSOLIDADO POR SEDE'!$L$6:$L$1630,'CONSOLIDADO POR SEDE'!$E$6:$E$1630,RUBROS!$A21,'CONSOLIDADO POR SEDE'!$C$6:$C$1630,RUBROS!F$5)</f>
        <v>0</v>
      </c>
      <c r="G21" s="47">
        <f>SUMIFS('CONSOLIDADO POR SEDE'!$L$6:$L$1630,'CONSOLIDADO POR SEDE'!$E$6:$E$1630,RUBROS!$A21,'CONSOLIDADO POR SEDE'!$C$6:$C$1630,RUBROS!G$5)</f>
        <v>0</v>
      </c>
      <c r="H21" s="47">
        <f>SUMIFS('CONSOLIDADO POR SEDE'!$L$6:$L$1630,'CONSOLIDADO POR SEDE'!$E$6:$E$1630,RUBROS!$A21,'CONSOLIDADO POR SEDE'!$C$6:$C$1630,RUBROS!H$5)</f>
        <v>0</v>
      </c>
      <c r="I21" s="47">
        <f>SUMIFS('CONSOLIDADO POR SEDE'!$L$6:$L$1630,'CONSOLIDADO POR SEDE'!$E$6:$E$1630,RUBROS!$A21,'CONSOLIDADO POR SEDE'!$C$6:$C$1630,RUBROS!I$5)</f>
        <v>0</v>
      </c>
      <c r="J21" s="47">
        <f>SUMIFS('CONSOLIDADO POR SEDE'!$L$6:$L$1630,'CONSOLIDADO POR SEDE'!$E$6:$E$1630,RUBROS!$A21,'CONSOLIDADO POR SEDE'!$C$6:$C$1630,RUBROS!J$5)</f>
        <v>0</v>
      </c>
      <c r="K21" s="47">
        <f>SUMIFS('CONSOLIDADO POR SEDE'!$L$6:$L$1630,'CONSOLIDADO POR SEDE'!$E$6:$E$1630,RUBROS!$A21,'CONSOLIDADO POR SEDE'!$C$6:$C$1630,RUBROS!K$5)</f>
        <v>0</v>
      </c>
      <c r="L21" s="47">
        <f>SUMIFS('CONSOLIDADO POR SEDE'!$L$6:$L$1630,'CONSOLIDADO POR SEDE'!$E$6:$E$1630,RUBROS!$A21,'CONSOLIDADO POR SEDE'!$C$6:$C$1630,RUBROS!L$5)</f>
        <v>0</v>
      </c>
      <c r="M21" s="47">
        <f>SUMIFS('CONSOLIDADO POR SEDE'!$L$6:$L$1630,'CONSOLIDADO POR SEDE'!$E$6:$E$1630,RUBROS!$A21,'CONSOLIDADO POR SEDE'!$C$6:$C$1630,RUBROS!M$5)</f>
        <v>0</v>
      </c>
      <c r="N21" s="47">
        <f>SUMIFS('CONSOLIDADO POR SEDE'!$L$6:$L$1630,'CONSOLIDADO POR SEDE'!$E$6:$E$1630,RUBROS!$A21,'CONSOLIDADO POR SEDE'!$C$6:$C$1630,RUBROS!N$5)</f>
        <v>0</v>
      </c>
      <c r="O21" s="47">
        <f>SUMIFS('CONSOLIDADO POR SEDE'!$L$6:$L$1630,'CONSOLIDADO POR SEDE'!$E$6:$E$1630,RUBROS!$A21,'CONSOLIDADO POR SEDE'!$C$6:$C$1630,RUBROS!O$5)</f>
        <v>0</v>
      </c>
      <c r="P21" s="47">
        <f>SUMIFS('CONSOLIDADO POR SEDE'!$L$6:$L$1630,'CONSOLIDADO POR SEDE'!$E$6:$E$1630,RUBROS!$A21,'CONSOLIDADO POR SEDE'!$C$6:$C$1630,RUBROS!P$5)</f>
        <v>0</v>
      </c>
      <c r="Q21" s="47">
        <f>SUMIFS('CONSOLIDADO POR SEDE'!$L$6:$L$1630,'CONSOLIDADO POR SEDE'!$E$6:$E$1630,RUBROS!$A21,'CONSOLIDADO POR SEDE'!$C$6:$C$1630,RUBROS!Q$5)</f>
        <v>0</v>
      </c>
      <c r="R21" s="47">
        <f>SUMIFS('CONSOLIDADO POR SEDE'!$L$6:$L$1630,'CONSOLIDADO POR SEDE'!$E$6:$E$1630,RUBROS!$A21,'CONSOLIDADO POR SEDE'!$C$6:$C$1630,RUBROS!R$5)</f>
        <v>0</v>
      </c>
      <c r="S21" s="47">
        <f>SUMIFS('CONSOLIDADO POR SEDE'!$L$6:$L$1630,'CONSOLIDADO POR SEDE'!$E$6:$E$1630,RUBROS!$A21,'CONSOLIDADO POR SEDE'!$C$6:$C$1630,RUBROS!S$5)</f>
        <v>0</v>
      </c>
      <c r="T21" s="47">
        <f>SUMIFS('CONSOLIDADO POR SEDE'!$L$6:$L$1630,'CONSOLIDADO POR SEDE'!$E$6:$E$1630,RUBROS!$A21,'CONSOLIDADO POR SEDE'!$C$6:$C$1630,RUBROS!T$5)</f>
        <v>0</v>
      </c>
      <c r="U21" s="47">
        <f>SUMIFS('CONSOLIDADO POR SEDE'!$L$6:$L$1630,'CONSOLIDADO POR SEDE'!$E$6:$E$1630,RUBROS!$A21,'CONSOLIDADO POR SEDE'!$C$6:$C$1630,RUBROS!U$5)</f>
        <v>0</v>
      </c>
      <c r="V21" s="47">
        <f>SUMIFS('CONSOLIDADO POR SEDE'!$L$6:$L$1630,'CONSOLIDADO POR SEDE'!$E$6:$E$1630,RUBROS!$A21,'CONSOLIDADO POR SEDE'!$C$6:$C$1630,RUBROS!V$5)</f>
        <v>0</v>
      </c>
      <c r="W21" s="47">
        <f>SUMIFS('CONSOLIDADO POR SEDE'!$L$6:$L$1630,'CONSOLIDADO POR SEDE'!$E$6:$E$1630,RUBROS!$A21,'CONSOLIDADO POR SEDE'!$C$6:$C$1630,RUBROS!W$5)</f>
        <v>0</v>
      </c>
      <c r="X21" s="47">
        <f>SUMIFS('CONSOLIDADO POR SEDE'!$L$6:$L$1630,'CONSOLIDADO POR SEDE'!$E$6:$E$1630,RUBROS!$A21,'CONSOLIDADO POR SEDE'!$C$6:$C$1630,RUBROS!X$5)</f>
        <v>0</v>
      </c>
      <c r="Y21" s="47">
        <f>SUMIFS('CONSOLIDADO POR SEDE'!$L$6:$L$1630,'CONSOLIDADO POR SEDE'!$E$6:$E$1630,RUBROS!$A21,'CONSOLIDADO POR SEDE'!$C$6:$C$1630,RUBROS!Y$5)</f>
        <v>0</v>
      </c>
      <c r="Z21" s="47">
        <f>SUMIFS('CONSOLIDADO POR SEDE'!$L$6:$L$1630,'CONSOLIDADO POR SEDE'!$E$6:$E$1630,RUBROS!$A21,'CONSOLIDADO POR SEDE'!$C$6:$C$1630,RUBROS!Z$5)</f>
        <v>0</v>
      </c>
      <c r="AA21" s="47">
        <f>SUMIFS('CONSOLIDADO POR SEDE'!$L$6:$L$1630,'CONSOLIDADO POR SEDE'!$E$6:$E$1630,RUBROS!$A21,'CONSOLIDADO POR SEDE'!$C$6:$C$1630,RUBROS!AA$5)</f>
        <v>0</v>
      </c>
      <c r="AB21" s="47">
        <f>SUMIFS('CONSOLIDADO POR SEDE'!$L$6:$L$1630,'CONSOLIDADO POR SEDE'!$E$6:$E$1630,RUBROS!$A21,'CONSOLIDADO POR SEDE'!$C$6:$C$1630,RUBROS!AB$5)</f>
        <v>0</v>
      </c>
      <c r="AC21" s="47">
        <f>SUMIFS('CONSOLIDADO POR SEDE'!$L$6:$L$1630,'CONSOLIDADO POR SEDE'!$E$6:$E$1630,RUBROS!$A21,'CONSOLIDADO POR SEDE'!$C$6:$C$1630,RUBROS!AC$5)</f>
        <v>0</v>
      </c>
      <c r="AD21" s="47">
        <f>SUMIFS('CONSOLIDADO POR SEDE'!$L$6:$L$1630,'CONSOLIDADO POR SEDE'!$E$6:$E$1630,RUBROS!$A21,'CONSOLIDADO POR SEDE'!$C$6:$C$1630,RUBROS!AD$5)</f>
        <v>0</v>
      </c>
      <c r="AE21" s="47">
        <f>SUMIFS('CONSOLIDADO POR SEDE'!$L$6:$L$1630,'CONSOLIDADO POR SEDE'!$E$6:$E$1630,RUBROS!$A21,'CONSOLIDADO POR SEDE'!$C$6:$C$1630,RUBROS!AE$5)</f>
        <v>0</v>
      </c>
      <c r="AF21" s="47">
        <f>SUMIFS('CONSOLIDADO POR SEDE'!$L$6:$L$1630,'CONSOLIDADO POR SEDE'!$E$6:$E$1630,RUBROS!$A21,'CONSOLIDADO POR SEDE'!$C$6:$C$1630,RUBROS!AF$5)</f>
        <v>0</v>
      </c>
      <c r="AG21" s="47">
        <f>SUMIFS('CONSOLIDADO POR SEDE'!$L$6:$L$1630,'CONSOLIDADO POR SEDE'!$E$6:$E$1630,RUBROS!$A21,'CONSOLIDADO POR SEDE'!$C$6:$C$1630,RUBROS!AG$5)</f>
        <v>0</v>
      </c>
      <c r="AH21" s="47">
        <f>SUMIFS('CONSOLIDADO POR SEDE'!$L$6:$L$1630,'CONSOLIDADO POR SEDE'!$E$6:$E$1630,RUBROS!$A21,'CONSOLIDADO POR SEDE'!$C$6:$C$1630,RUBROS!AH$5)</f>
        <v>0</v>
      </c>
      <c r="AI21" s="47">
        <f>SUMIFS('CONSOLIDADO POR SEDE'!$L$6:$L$1630,'CONSOLIDADO POR SEDE'!$E$6:$E$1630,RUBROS!$A21,'CONSOLIDADO POR SEDE'!$C$6:$C$1630,RUBROS!AI$5)</f>
        <v>0</v>
      </c>
      <c r="AJ21" s="47">
        <f>SUMIFS('CONSOLIDADO POR SEDE'!$L$6:$L$1630,'CONSOLIDADO POR SEDE'!$E$6:$E$1630,RUBROS!$A21,'CONSOLIDADO POR SEDE'!$C$6:$C$1630,RUBROS!AJ$5)</f>
        <v>0</v>
      </c>
      <c r="AK21" s="47">
        <f>SUMIFS('CONSOLIDADO POR SEDE'!$L$6:$L$1630,'CONSOLIDADO POR SEDE'!$E$6:$E$1630,RUBROS!$A21,'CONSOLIDADO POR SEDE'!$C$6:$C$1630,RUBROS!AK$5)</f>
        <v>0</v>
      </c>
      <c r="AL21" s="47">
        <f>SUMIFS('CONSOLIDADO POR SEDE'!$L$6:$L$1630,'CONSOLIDADO POR SEDE'!$E$6:$E$1630,RUBROS!$A21,'CONSOLIDADO POR SEDE'!$C$6:$C$1630,RUBROS!AL$5)</f>
        <v>0</v>
      </c>
      <c r="AM21" s="47">
        <f>SUMIFS('CONSOLIDADO POR SEDE'!$L$6:$L$1630,'CONSOLIDADO POR SEDE'!$E$6:$E$1630,RUBROS!$A21,'CONSOLIDADO POR SEDE'!$C$6:$C$1630,RUBROS!AM$5)</f>
        <v>0</v>
      </c>
      <c r="AN21" s="47">
        <f>SUMIFS('CONSOLIDADO POR SEDE'!$L$6:$L$1630,'CONSOLIDADO POR SEDE'!$E$6:$E$1630,RUBROS!$A21,'CONSOLIDADO POR SEDE'!$C$6:$C$1630,RUBROS!AN$5)</f>
        <v>0</v>
      </c>
      <c r="AO21" s="47">
        <f>SUMIFS('CONSOLIDADO POR SEDE'!$L$6:$L$1630,'CONSOLIDADO POR SEDE'!$E$6:$E$1630,RUBROS!$A21,'CONSOLIDADO POR SEDE'!$C$6:$C$1630,RUBROS!AO$5)</f>
        <v>0</v>
      </c>
      <c r="AP21" s="47">
        <f>SUMIFS('CONSOLIDADO POR SEDE'!$L$6:$L$1630,'CONSOLIDADO POR SEDE'!$E$6:$E$1630,RUBROS!$A21,'CONSOLIDADO POR SEDE'!$C$6:$C$1630,RUBROS!AP$5)</f>
        <v>0</v>
      </c>
      <c r="AQ21" s="47"/>
      <c r="AR21" s="48">
        <v>552309.05198700004</v>
      </c>
      <c r="AS21" s="48"/>
      <c r="AT21" s="49">
        <f t="shared" si="1"/>
        <v>552309.05198700004</v>
      </c>
      <c r="AU21" s="42"/>
      <c r="AV21" s="42">
        <f t="shared" si="2"/>
        <v>0</v>
      </c>
    </row>
    <row r="22" spans="1:48">
      <c r="A22" s="6" t="s">
        <v>137</v>
      </c>
      <c r="B22" s="6">
        <v>4222127</v>
      </c>
      <c r="C22" s="47">
        <f>SUMIFS('CONSOLIDADO POR SEDE'!$L$6:$L$1630,'CONSOLIDADO POR SEDE'!$E$6:$E$1630,RUBROS!$A22,'CONSOLIDADO POR SEDE'!$C$6:$C$1630,RUBROS!C$5)</f>
        <v>0</v>
      </c>
      <c r="D22" s="47">
        <f>SUMIFS('CONSOLIDADO POR SEDE'!$L$6:$L$1630,'CONSOLIDADO POR SEDE'!$E$6:$E$1630,RUBROS!$A22,'CONSOLIDADO POR SEDE'!$C$6:$C$1630,RUBROS!D$5)</f>
        <v>0</v>
      </c>
      <c r="E22" s="47">
        <f>SUMIFS('CONSOLIDADO POR SEDE'!$L$6:$L$1630,'CONSOLIDADO POR SEDE'!$E$6:$E$1630,RUBROS!$A22,'CONSOLIDADO POR SEDE'!$C$6:$C$1630,RUBROS!E$5)</f>
        <v>0</v>
      </c>
      <c r="F22" s="47">
        <f>SUMIFS('CONSOLIDADO POR SEDE'!$L$6:$L$1630,'CONSOLIDADO POR SEDE'!$E$6:$E$1630,RUBROS!$A22,'CONSOLIDADO POR SEDE'!$C$6:$C$1630,RUBROS!F$5)</f>
        <v>0</v>
      </c>
      <c r="G22" s="47">
        <f>SUMIFS('CONSOLIDADO POR SEDE'!$L$6:$L$1630,'CONSOLIDADO POR SEDE'!$E$6:$E$1630,RUBROS!$A22,'CONSOLIDADO POR SEDE'!$C$6:$C$1630,RUBROS!G$5)</f>
        <v>0</v>
      </c>
      <c r="H22" s="47">
        <f>SUMIFS('CONSOLIDADO POR SEDE'!$L$6:$L$1630,'CONSOLIDADO POR SEDE'!$E$6:$E$1630,RUBROS!$A22,'CONSOLIDADO POR SEDE'!$C$6:$C$1630,RUBROS!H$5)</f>
        <v>0</v>
      </c>
      <c r="I22" s="47">
        <f>SUMIFS('CONSOLIDADO POR SEDE'!$L$6:$L$1630,'CONSOLIDADO POR SEDE'!$E$6:$E$1630,RUBROS!$A22,'CONSOLIDADO POR SEDE'!$C$6:$C$1630,RUBROS!I$5)</f>
        <v>0</v>
      </c>
      <c r="J22" s="47">
        <f>SUMIFS('CONSOLIDADO POR SEDE'!$L$6:$L$1630,'CONSOLIDADO POR SEDE'!$E$6:$E$1630,RUBROS!$A22,'CONSOLIDADO POR SEDE'!$C$6:$C$1630,RUBROS!J$5)</f>
        <v>0</v>
      </c>
      <c r="K22" s="47">
        <f>SUMIFS('CONSOLIDADO POR SEDE'!$L$6:$L$1630,'CONSOLIDADO POR SEDE'!$E$6:$E$1630,RUBROS!$A22,'CONSOLIDADO POR SEDE'!$C$6:$C$1630,RUBROS!K$5)</f>
        <v>0</v>
      </c>
      <c r="L22" s="47">
        <f>SUMIFS('CONSOLIDADO POR SEDE'!$L$6:$L$1630,'CONSOLIDADO POR SEDE'!$E$6:$E$1630,RUBROS!$A22,'CONSOLIDADO POR SEDE'!$C$6:$C$1630,RUBROS!L$5)</f>
        <v>0</v>
      </c>
      <c r="M22" s="47">
        <f>SUMIFS('CONSOLIDADO POR SEDE'!$L$6:$L$1630,'CONSOLIDADO POR SEDE'!$E$6:$E$1630,RUBROS!$A22,'CONSOLIDADO POR SEDE'!$C$6:$C$1630,RUBROS!M$5)</f>
        <v>0</v>
      </c>
      <c r="N22" s="47">
        <f>SUMIFS('CONSOLIDADO POR SEDE'!$L$6:$L$1630,'CONSOLIDADO POR SEDE'!$E$6:$E$1630,RUBROS!$A22,'CONSOLIDADO POR SEDE'!$C$6:$C$1630,RUBROS!N$5)</f>
        <v>0</v>
      </c>
      <c r="O22" s="47">
        <f>SUMIFS('CONSOLIDADO POR SEDE'!$L$6:$L$1630,'CONSOLIDADO POR SEDE'!$E$6:$E$1630,RUBROS!$A22,'CONSOLIDADO POR SEDE'!$C$6:$C$1630,RUBROS!O$5)</f>
        <v>0</v>
      </c>
      <c r="P22" s="47">
        <f>SUMIFS('CONSOLIDADO POR SEDE'!$L$6:$L$1630,'CONSOLIDADO POR SEDE'!$E$6:$E$1630,RUBROS!$A22,'CONSOLIDADO POR SEDE'!$C$6:$C$1630,RUBROS!P$5)</f>
        <v>0</v>
      </c>
      <c r="Q22" s="47">
        <f>SUMIFS('CONSOLIDADO POR SEDE'!$L$6:$L$1630,'CONSOLIDADO POR SEDE'!$E$6:$E$1630,RUBROS!$A22,'CONSOLIDADO POR SEDE'!$C$6:$C$1630,RUBROS!Q$5)</f>
        <v>0</v>
      </c>
      <c r="R22" s="47">
        <f>SUMIFS('CONSOLIDADO POR SEDE'!$L$6:$L$1630,'CONSOLIDADO POR SEDE'!$E$6:$E$1630,RUBROS!$A22,'CONSOLIDADO POR SEDE'!$C$6:$C$1630,RUBROS!R$5)</f>
        <v>0</v>
      </c>
      <c r="S22" s="47">
        <f>SUMIFS('CONSOLIDADO POR SEDE'!$L$6:$L$1630,'CONSOLIDADO POR SEDE'!$E$6:$E$1630,RUBROS!$A22,'CONSOLIDADO POR SEDE'!$C$6:$C$1630,RUBROS!S$5)</f>
        <v>0</v>
      </c>
      <c r="T22" s="47">
        <f>SUMIFS('CONSOLIDADO POR SEDE'!$L$6:$L$1630,'CONSOLIDADO POR SEDE'!$E$6:$E$1630,RUBROS!$A22,'CONSOLIDADO POR SEDE'!$C$6:$C$1630,RUBROS!T$5)</f>
        <v>0</v>
      </c>
      <c r="U22" s="47">
        <f>SUMIFS('CONSOLIDADO POR SEDE'!$L$6:$L$1630,'CONSOLIDADO POR SEDE'!$E$6:$E$1630,RUBROS!$A22,'CONSOLIDADO POR SEDE'!$C$6:$C$1630,RUBROS!U$5)</f>
        <v>0</v>
      </c>
      <c r="V22" s="47">
        <f>SUMIFS('CONSOLIDADO POR SEDE'!$L$6:$L$1630,'CONSOLIDADO POR SEDE'!$E$6:$E$1630,RUBROS!$A22,'CONSOLIDADO POR SEDE'!$C$6:$C$1630,RUBROS!V$5)</f>
        <v>0</v>
      </c>
      <c r="W22" s="47">
        <f>SUMIFS('CONSOLIDADO POR SEDE'!$L$6:$L$1630,'CONSOLIDADO POR SEDE'!$E$6:$E$1630,RUBROS!$A22,'CONSOLIDADO POR SEDE'!$C$6:$C$1630,RUBROS!W$5)</f>
        <v>0</v>
      </c>
      <c r="X22" s="47">
        <f>SUMIFS('CONSOLIDADO POR SEDE'!$L$6:$L$1630,'CONSOLIDADO POR SEDE'!$E$6:$E$1630,RUBROS!$A22,'CONSOLIDADO POR SEDE'!$C$6:$C$1630,RUBROS!X$5)</f>
        <v>0</v>
      </c>
      <c r="Y22" s="47">
        <f>SUMIFS('CONSOLIDADO POR SEDE'!$L$6:$L$1630,'CONSOLIDADO POR SEDE'!$E$6:$E$1630,RUBROS!$A22,'CONSOLIDADO POR SEDE'!$C$6:$C$1630,RUBROS!Y$5)</f>
        <v>0</v>
      </c>
      <c r="Z22" s="47">
        <f>SUMIFS('CONSOLIDADO POR SEDE'!$L$6:$L$1630,'CONSOLIDADO POR SEDE'!$E$6:$E$1630,RUBROS!$A22,'CONSOLIDADO POR SEDE'!$C$6:$C$1630,RUBROS!Z$5)</f>
        <v>0</v>
      </c>
      <c r="AA22" s="47">
        <f>SUMIFS('CONSOLIDADO POR SEDE'!$L$6:$L$1630,'CONSOLIDADO POR SEDE'!$E$6:$E$1630,RUBROS!$A22,'CONSOLIDADO POR SEDE'!$C$6:$C$1630,RUBROS!AA$5)</f>
        <v>0</v>
      </c>
      <c r="AB22" s="47">
        <f>SUMIFS('CONSOLIDADO POR SEDE'!$L$6:$L$1630,'CONSOLIDADO POR SEDE'!$E$6:$E$1630,RUBROS!$A22,'CONSOLIDADO POR SEDE'!$C$6:$C$1630,RUBROS!AB$5)</f>
        <v>0</v>
      </c>
      <c r="AC22" s="47">
        <f>SUMIFS('CONSOLIDADO POR SEDE'!$L$6:$L$1630,'CONSOLIDADO POR SEDE'!$E$6:$E$1630,RUBROS!$A22,'CONSOLIDADO POR SEDE'!$C$6:$C$1630,RUBROS!AC$5)</f>
        <v>0</v>
      </c>
      <c r="AD22" s="47">
        <f>SUMIFS('CONSOLIDADO POR SEDE'!$L$6:$L$1630,'CONSOLIDADO POR SEDE'!$E$6:$E$1630,RUBROS!$A22,'CONSOLIDADO POR SEDE'!$C$6:$C$1630,RUBROS!AD$5)</f>
        <v>0</v>
      </c>
      <c r="AE22" s="47">
        <f>SUMIFS('CONSOLIDADO POR SEDE'!$L$6:$L$1630,'CONSOLIDADO POR SEDE'!$E$6:$E$1630,RUBROS!$A22,'CONSOLIDADO POR SEDE'!$C$6:$C$1630,RUBROS!AE$5)</f>
        <v>0</v>
      </c>
      <c r="AF22" s="47">
        <f>SUMIFS('CONSOLIDADO POR SEDE'!$L$6:$L$1630,'CONSOLIDADO POR SEDE'!$E$6:$E$1630,RUBROS!$A22,'CONSOLIDADO POR SEDE'!$C$6:$C$1630,RUBROS!AF$5)</f>
        <v>0</v>
      </c>
      <c r="AG22" s="47">
        <f>SUMIFS('CONSOLIDADO POR SEDE'!$L$6:$L$1630,'CONSOLIDADO POR SEDE'!$E$6:$E$1630,RUBROS!$A22,'CONSOLIDADO POR SEDE'!$C$6:$C$1630,RUBROS!AG$5)</f>
        <v>0</v>
      </c>
      <c r="AH22" s="47">
        <f>SUMIFS('CONSOLIDADO POR SEDE'!$L$6:$L$1630,'CONSOLIDADO POR SEDE'!$E$6:$E$1630,RUBROS!$A22,'CONSOLIDADO POR SEDE'!$C$6:$C$1630,RUBROS!AH$5)</f>
        <v>0</v>
      </c>
      <c r="AI22" s="47">
        <f>SUMIFS('CONSOLIDADO POR SEDE'!$L$6:$L$1630,'CONSOLIDADO POR SEDE'!$E$6:$E$1630,RUBROS!$A22,'CONSOLIDADO POR SEDE'!$C$6:$C$1630,RUBROS!AI$5)</f>
        <v>0</v>
      </c>
      <c r="AJ22" s="47">
        <f>SUMIFS('CONSOLIDADO POR SEDE'!$L$6:$L$1630,'CONSOLIDADO POR SEDE'!$E$6:$E$1630,RUBROS!$A22,'CONSOLIDADO POR SEDE'!$C$6:$C$1630,RUBROS!AJ$5)</f>
        <v>0</v>
      </c>
      <c r="AK22" s="47">
        <f>SUMIFS('CONSOLIDADO POR SEDE'!$L$6:$L$1630,'CONSOLIDADO POR SEDE'!$E$6:$E$1630,RUBROS!$A22,'CONSOLIDADO POR SEDE'!$C$6:$C$1630,RUBROS!AK$5)</f>
        <v>0</v>
      </c>
      <c r="AL22" s="47">
        <f>SUMIFS('CONSOLIDADO POR SEDE'!$L$6:$L$1630,'CONSOLIDADO POR SEDE'!$E$6:$E$1630,RUBROS!$A22,'CONSOLIDADO POR SEDE'!$C$6:$C$1630,RUBROS!AL$5)</f>
        <v>0</v>
      </c>
      <c r="AM22" s="47">
        <f>SUMIFS('CONSOLIDADO POR SEDE'!$L$6:$L$1630,'CONSOLIDADO POR SEDE'!$E$6:$E$1630,RUBROS!$A22,'CONSOLIDADO POR SEDE'!$C$6:$C$1630,RUBROS!AM$5)</f>
        <v>0</v>
      </c>
      <c r="AN22" s="47">
        <f>SUMIFS('CONSOLIDADO POR SEDE'!$L$6:$L$1630,'CONSOLIDADO POR SEDE'!$E$6:$E$1630,RUBROS!$A22,'CONSOLIDADO POR SEDE'!$C$6:$C$1630,RUBROS!AN$5)</f>
        <v>0</v>
      </c>
      <c r="AO22" s="47">
        <f>SUMIFS('CONSOLIDADO POR SEDE'!$L$6:$L$1630,'CONSOLIDADO POR SEDE'!$E$6:$E$1630,RUBROS!$A22,'CONSOLIDADO POR SEDE'!$C$6:$C$1630,RUBROS!AO$5)</f>
        <v>23257.940544000001</v>
      </c>
      <c r="AP22" s="47">
        <f>SUMIFS('CONSOLIDADO POR SEDE'!$L$6:$L$1630,'CONSOLIDADO POR SEDE'!$E$6:$E$1630,RUBROS!$A22,'CONSOLIDADO POR SEDE'!$C$6:$C$1630,RUBROS!AP$5)</f>
        <v>0</v>
      </c>
      <c r="AQ22" s="47"/>
      <c r="AR22" s="48">
        <v>289826.91615300003</v>
      </c>
      <c r="AS22" s="48"/>
      <c r="AT22" s="49">
        <f t="shared" si="1"/>
        <v>313084.85669700004</v>
      </c>
      <c r="AU22" s="42"/>
      <c r="AV22" s="42">
        <f t="shared" si="2"/>
        <v>23257.940544000001</v>
      </c>
    </row>
    <row r="23" spans="1:48">
      <c r="A23" s="6" t="s">
        <v>138</v>
      </c>
      <c r="B23" s="6">
        <v>4121000</v>
      </c>
      <c r="C23" s="47">
        <f>SUMIFS('CONSOLIDADO POR SEDE'!$L$6:$L$1630,'CONSOLIDADO POR SEDE'!$E$6:$E$1630,RUBROS!$A23,'CONSOLIDADO POR SEDE'!$C$6:$C$1630,RUBROS!C$5)</f>
        <v>0</v>
      </c>
      <c r="D23" s="47">
        <f>SUMIFS('CONSOLIDADO POR SEDE'!$L$6:$L$1630,'CONSOLIDADO POR SEDE'!$E$6:$E$1630,RUBROS!$A23,'CONSOLIDADO POR SEDE'!$C$6:$C$1630,RUBROS!D$5)</f>
        <v>0</v>
      </c>
      <c r="E23" s="47">
        <f>SUMIFS('CONSOLIDADO POR SEDE'!$L$6:$L$1630,'CONSOLIDADO POR SEDE'!$E$6:$E$1630,RUBROS!$A23,'CONSOLIDADO POR SEDE'!$C$6:$C$1630,RUBROS!E$5)</f>
        <v>0</v>
      </c>
      <c r="F23" s="47">
        <f>SUMIFS('CONSOLIDADO POR SEDE'!$L$6:$L$1630,'CONSOLIDADO POR SEDE'!$E$6:$E$1630,RUBROS!$A23,'CONSOLIDADO POR SEDE'!$C$6:$C$1630,RUBROS!F$5)</f>
        <v>0</v>
      </c>
      <c r="G23" s="47">
        <f>SUMIFS('CONSOLIDADO POR SEDE'!$L$6:$L$1630,'CONSOLIDADO POR SEDE'!$E$6:$E$1630,RUBROS!$A23,'CONSOLIDADO POR SEDE'!$C$6:$C$1630,RUBROS!G$5)</f>
        <v>0</v>
      </c>
      <c r="H23" s="47">
        <f>SUMIFS('CONSOLIDADO POR SEDE'!$L$6:$L$1630,'CONSOLIDADO POR SEDE'!$E$6:$E$1630,RUBROS!$A23,'CONSOLIDADO POR SEDE'!$C$6:$C$1630,RUBROS!H$5)</f>
        <v>0</v>
      </c>
      <c r="I23" s="47">
        <f>SUMIFS('CONSOLIDADO POR SEDE'!$L$6:$L$1630,'CONSOLIDADO POR SEDE'!$E$6:$E$1630,RUBROS!$A23,'CONSOLIDADO POR SEDE'!$C$6:$C$1630,RUBROS!I$5)</f>
        <v>0</v>
      </c>
      <c r="J23" s="47">
        <f>SUMIFS('CONSOLIDADO POR SEDE'!$L$6:$L$1630,'CONSOLIDADO POR SEDE'!$E$6:$E$1630,RUBROS!$A23,'CONSOLIDADO POR SEDE'!$C$6:$C$1630,RUBROS!J$5)</f>
        <v>48102.86859659999</v>
      </c>
      <c r="K23" s="47">
        <f>SUMIFS('CONSOLIDADO POR SEDE'!$L$6:$L$1630,'CONSOLIDADO POR SEDE'!$E$6:$E$1630,RUBROS!$A23,'CONSOLIDADO POR SEDE'!$C$6:$C$1630,RUBROS!K$5)</f>
        <v>0</v>
      </c>
      <c r="L23" s="47">
        <f>SUMIFS('CONSOLIDADO POR SEDE'!$L$6:$L$1630,'CONSOLIDADO POR SEDE'!$E$6:$E$1630,RUBROS!$A23,'CONSOLIDADO POR SEDE'!$C$6:$C$1630,RUBROS!L$5)</f>
        <v>0</v>
      </c>
      <c r="M23" s="47">
        <f>SUMIFS('CONSOLIDADO POR SEDE'!$L$6:$L$1630,'CONSOLIDADO POR SEDE'!$E$6:$E$1630,RUBROS!$A23,'CONSOLIDADO POR SEDE'!$C$6:$C$1630,RUBROS!M$5)</f>
        <v>0</v>
      </c>
      <c r="N23" s="47">
        <f>SUMIFS('CONSOLIDADO POR SEDE'!$L$6:$L$1630,'CONSOLIDADO POR SEDE'!$E$6:$E$1630,RUBROS!$A23,'CONSOLIDADO POR SEDE'!$C$6:$C$1630,RUBROS!N$5)</f>
        <v>0</v>
      </c>
      <c r="O23" s="47">
        <f>SUMIFS('CONSOLIDADO POR SEDE'!$L$6:$L$1630,'CONSOLIDADO POR SEDE'!$E$6:$E$1630,RUBROS!$A23,'CONSOLIDADO POR SEDE'!$C$6:$C$1630,RUBROS!O$5)</f>
        <v>0</v>
      </c>
      <c r="P23" s="47">
        <f>SUMIFS('CONSOLIDADO POR SEDE'!$L$6:$L$1630,'CONSOLIDADO POR SEDE'!$E$6:$E$1630,RUBROS!$A23,'CONSOLIDADO POR SEDE'!$C$6:$C$1630,RUBROS!P$5)</f>
        <v>0</v>
      </c>
      <c r="Q23" s="47">
        <f>SUMIFS('CONSOLIDADO POR SEDE'!$L$6:$L$1630,'CONSOLIDADO POR SEDE'!$E$6:$E$1630,RUBROS!$A23,'CONSOLIDADO POR SEDE'!$C$6:$C$1630,RUBROS!Q$5)</f>
        <v>0</v>
      </c>
      <c r="R23" s="47">
        <f>SUMIFS('CONSOLIDADO POR SEDE'!$L$6:$L$1630,'CONSOLIDADO POR SEDE'!$E$6:$E$1630,RUBROS!$A23,'CONSOLIDADO POR SEDE'!$C$6:$C$1630,RUBROS!R$5)</f>
        <v>53114.686640100001</v>
      </c>
      <c r="S23" s="47">
        <f>SUMIFS('CONSOLIDADO POR SEDE'!$L$6:$L$1630,'CONSOLIDADO POR SEDE'!$E$6:$E$1630,RUBROS!$A23,'CONSOLIDADO POR SEDE'!$C$6:$C$1630,RUBROS!S$5)</f>
        <v>0</v>
      </c>
      <c r="T23" s="47">
        <f>SUMIFS('CONSOLIDADO POR SEDE'!$L$6:$L$1630,'CONSOLIDADO POR SEDE'!$E$6:$E$1630,RUBROS!$A23,'CONSOLIDADO POR SEDE'!$C$6:$C$1630,RUBROS!T$5)</f>
        <v>0</v>
      </c>
      <c r="U23" s="47">
        <f>SUMIFS('CONSOLIDADO POR SEDE'!$L$6:$L$1630,'CONSOLIDADO POR SEDE'!$E$6:$E$1630,RUBROS!$A23,'CONSOLIDADO POR SEDE'!$C$6:$C$1630,RUBROS!U$5)</f>
        <v>0</v>
      </c>
      <c r="V23" s="47">
        <f>SUMIFS('CONSOLIDADO POR SEDE'!$L$6:$L$1630,'CONSOLIDADO POR SEDE'!$E$6:$E$1630,RUBROS!$A23,'CONSOLIDADO POR SEDE'!$C$6:$C$1630,RUBROS!V$5)</f>
        <v>0</v>
      </c>
      <c r="W23" s="47">
        <f>SUMIFS('CONSOLIDADO POR SEDE'!$L$6:$L$1630,'CONSOLIDADO POR SEDE'!$E$6:$E$1630,RUBROS!$A23,'CONSOLIDADO POR SEDE'!$C$6:$C$1630,RUBROS!W$5)</f>
        <v>0</v>
      </c>
      <c r="X23" s="47">
        <f>SUMIFS('CONSOLIDADO POR SEDE'!$L$6:$L$1630,'CONSOLIDADO POR SEDE'!$E$6:$E$1630,RUBROS!$A23,'CONSOLIDADO POR SEDE'!$C$6:$C$1630,RUBROS!X$5)</f>
        <v>0</v>
      </c>
      <c r="Y23" s="47">
        <f>SUMIFS('CONSOLIDADO POR SEDE'!$L$6:$L$1630,'CONSOLIDADO POR SEDE'!$E$6:$E$1630,RUBROS!$A23,'CONSOLIDADO POR SEDE'!$C$6:$C$1630,RUBROS!Y$5)</f>
        <v>0</v>
      </c>
      <c r="Z23" s="47">
        <f>SUMIFS('CONSOLIDADO POR SEDE'!$L$6:$L$1630,'CONSOLIDADO POR SEDE'!$E$6:$E$1630,RUBROS!$A23,'CONSOLIDADO POR SEDE'!$C$6:$C$1630,RUBROS!Z$5)</f>
        <v>0</v>
      </c>
      <c r="AA23" s="47">
        <f>SUMIFS('CONSOLIDADO POR SEDE'!$L$6:$L$1630,'CONSOLIDADO POR SEDE'!$E$6:$E$1630,RUBROS!$A23,'CONSOLIDADO POR SEDE'!$C$6:$C$1630,RUBROS!AA$5)</f>
        <v>0</v>
      </c>
      <c r="AB23" s="47">
        <f>SUMIFS('CONSOLIDADO POR SEDE'!$L$6:$L$1630,'CONSOLIDADO POR SEDE'!$E$6:$E$1630,RUBROS!$A23,'CONSOLIDADO POR SEDE'!$C$6:$C$1630,RUBROS!AB$5)</f>
        <v>0</v>
      </c>
      <c r="AC23" s="47">
        <f>SUMIFS('CONSOLIDADO POR SEDE'!$L$6:$L$1630,'CONSOLIDADO POR SEDE'!$E$6:$E$1630,RUBROS!$A23,'CONSOLIDADO POR SEDE'!$C$6:$C$1630,RUBROS!AC$5)</f>
        <v>0</v>
      </c>
      <c r="AD23" s="47">
        <f>SUMIFS('CONSOLIDADO POR SEDE'!$L$6:$L$1630,'CONSOLIDADO POR SEDE'!$E$6:$E$1630,RUBROS!$A23,'CONSOLIDADO POR SEDE'!$C$6:$C$1630,RUBROS!AD$5)</f>
        <v>0</v>
      </c>
      <c r="AE23" s="47">
        <f>SUMIFS('CONSOLIDADO POR SEDE'!$L$6:$L$1630,'CONSOLIDADO POR SEDE'!$E$6:$E$1630,RUBROS!$A23,'CONSOLIDADO POR SEDE'!$C$6:$C$1630,RUBROS!AE$5)</f>
        <v>0</v>
      </c>
      <c r="AF23" s="47">
        <f>SUMIFS('CONSOLIDADO POR SEDE'!$L$6:$L$1630,'CONSOLIDADO POR SEDE'!$E$6:$E$1630,RUBROS!$A23,'CONSOLIDADO POR SEDE'!$C$6:$C$1630,RUBROS!AF$5)</f>
        <v>0</v>
      </c>
      <c r="AG23" s="47">
        <f>SUMIFS('CONSOLIDADO POR SEDE'!$L$6:$L$1630,'CONSOLIDADO POR SEDE'!$E$6:$E$1630,RUBROS!$A23,'CONSOLIDADO POR SEDE'!$C$6:$C$1630,RUBROS!AG$5)</f>
        <v>0</v>
      </c>
      <c r="AH23" s="47">
        <f>SUMIFS('CONSOLIDADO POR SEDE'!$L$6:$L$1630,'CONSOLIDADO POR SEDE'!$E$6:$E$1630,RUBROS!$A23,'CONSOLIDADO POR SEDE'!$C$6:$C$1630,RUBROS!AH$5)</f>
        <v>0</v>
      </c>
      <c r="AI23" s="47">
        <f>SUMIFS('CONSOLIDADO POR SEDE'!$L$6:$L$1630,'CONSOLIDADO POR SEDE'!$E$6:$E$1630,RUBROS!$A23,'CONSOLIDADO POR SEDE'!$C$6:$C$1630,RUBROS!AI$5)</f>
        <v>0</v>
      </c>
      <c r="AJ23" s="47">
        <f>SUMIFS('CONSOLIDADO POR SEDE'!$L$6:$L$1630,'CONSOLIDADO POR SEDE'!$E$6:$E$1630,RUBROS!$A23,'CONSOLIDADO POR SEDE'!$C$6:$C$1630,RUBROS!AJ$5)</f>
        <v>0</v>
      </c>
      <c r="AK23" s="47">
        <f>SUMIFS('CONSOLIDADO POR SEDE'!$L$6:$L$1630,'CONSOLIDADO POR SEDE'!$E$6:$E$1630,RUBROS!$A23,'CONSOLIDADO POR SEDE'!$C$6:$C$1630,RUBROS!AK$5)</f>
        <v>0</v>
      </c>
      <c r="AL23" s="47">
        <f>SUMIFS('CONSOLIDADO POR SEDE'!$L$6:$L$1630,'CONSOLIDADO POR SEDE'!$E$6:$E$1630,RUBROS!$A23,'CONSOLIDADO POR SEDE'!$C$6:$C$1630,RUBROS!AL$5)</f>
        <v>0</v>
      </c>
      <c r="AM23" s="47">
        <f>SUMIFS('CONSOLIDADO POR SEDE'!$L$6:$L$1630,'CONSOLIDADO POR SEDE'!$E$6:$E$1630,RUBROS!$A23,'CONSOLIDADO POR SEDE'!$C$6:$C$1630,RUBROS!AM$5)</f>
        <v>0</v>
      </c>
      <c r="AN23" s="47">
        <f>SUMIFS('CONSOLIDADO POR SEDE'!$L$6:$L$1630,'CONSOLIDADO POR SEDE'!$E$6:$E$1630,RUBROS!$A23,'CONSOLIDADO POR SEDE'!$C$6:$C$1630,RUBROS!AN$5)</f>
        <v>0</v>
      </c>
      <c r="AO23" s="47">
        <f>SUMIFS('CONSOLIDADO POR SEDE'!$L$6:$L$1630,'CONSOLIDADO POR SEDE'!$E$6:$E$1630,RUBROS!$A23,'CONSOLIDADO POR SEDE'!$C$6:$C$1630,RUBROS!AO$5)</f>
        <v>0</v>
      </c>
      <c r="AP23" s="47">
        <f>SUMIFS('CONSOLIDADO POR SEDE'!$L$6:$L$1630,'CONSOLIDADO POR SEDE'!$E$6:$E$1630,RUBROS!$A23,'CONSOLIDADO POR SEDE'!$C$6:$C$1630,RUBROS!AP$5)</f>
        <v>0</v>
      </c>
      <c r="AQ23" s="47"/>
      <c r="AR23" s="48">
        <v>552309.05198700004</v>
      </c>
      <c r="AS23" s="48"/>
      <c r="AT23" s="49">
        <f t="shared" si="1"/>
        <v>653526.60722370003</v>
      </c>
      <c r="AU23" s="42"/>
      <c r="AV23" s="42">
        <f t="shared" si="2"/>
        <v>101217.55523669999</v>
      </c>
    </row>
    <row r="24" spans="1:48">
      <c r="A24" s="6" t="s">
        <v>139</v>
      </c>
      <c r="B24" s="6">
        <v>4123002</v>
      </c>
      <c r="C24" s="47">
        <f>SUMIFS('CONSOLIDADO POR SEDE'!$L$6:$L$1630,'CONSOLIDADO POR SEDE'!$E$6:$E$1630,RUBROS!$A24,'CONSOLIDADO POR SEDE'!$C$6:$C$1630,RUBROS!C$5)</f>
        <v>0</v>
      </c>
      <c r="D24" s="47">
        <f>SUMIFS('CONSOLIDADO POR SEDE'!$L$6:$L$1630,'CONSOLIDADO POR SEDE'!$E$6:$E$1630,RUBROS!$A24,'CONSOLIDADO POR SEDE'!$C$6:$C$1630,RUBROS!D$5)</f>
        <v>0</v>
      </c>
      <c r="E24" s="47">
        <f>SUMIFS('CONSOLIDADO POR SEDE'!$L$6:$L$1630,'CONSOLIDADO POR SEDE'!$E$6:$E$1630,RUBROS!$A24,'CONSOLIDADO POR SEDE'!$C$6:$C$1630,RUBROS!E$5)</f>
        <v>0</v>
      </c>
      <c r="F24" s="47">
        <f>SUMIFS('CONSOLIDADO POR SEDE'!$L$6:$L$1630,'CONSOLIDADO POR SEDE'!$E$6:$E$1630,RUBROS!$A24,'CONSOLIDADO POR SEDE'!$C$6:$C$1630,RUBROS!F$5)</f>
        <v>0</v>
      </c>
      <c r="G24" s="47">
        <f>SUMIFS('CONSOLIDADO POR SEDE'!$L$6:$L$1630,'CONSOLIDADO POR SEDE'!$E$6:$E$1630,RUBROS!$A24,'CONSOLIDADO POR SEDE'!$C$6:$C$1630,RUBROS!G$5)</f>
        <v>0</v>
      </c>
      <c r="H24" s="47">
        <f>SUMIFS('CONSOLIDADO POR SEDE'!$L$6:$L$1630,'CONSOLIDADO POR SEDE'!$E$6:$E$1630,RUBROS!$A24,'CONSOLIDADO POR SEDE'!$C$6:$C$1630,RUBROS!H$5)</f>
        <v>0</v>
      </c>
      <c r="I24" s="47">
        <f>SUMIFS('CONSOLIDADO POR SEDE'!$L$6:$L$1630,'CONSOLIDADO POR SEDE'!$E$6:$E$1630,RUBROS!$A24,'CONSOLIDADO POR SEDE'!$C$6:$C$1630,RUBROS!I$5)</f>
        <v>0</v>
      </c>
      <c r="J24" s="47">
        <f>SUMIFS('CONSOLIDADO POR SEDE'!$L$6:$L$1630,'CONSOLIDADO POR SEDE'!$E$6:$E$1630,RUBROS!$A24,'CONSOLIDADO POR SEDE'!$C$6:$C$1630,RUBROS!J$5)</f>
        <v>240514.34298299998</v>
      </c>
      <c r="K24" s="47">
        <f>SUMIFS('CONSOLIDADO POR SEDE'!$L$6:$L$1630,'CONSOLIDADO POR SEDE'!$E$6:$E$1630,RUBROS!$A24,'CONSOLIDADO POR SEDE'!$C$6:$C$1630,RUBROS!K$5)</f>
        <v>0</v>
      </c>
      <c r="L24" s="47">
        <f>SUMIFS('CONSOLIDADO POR SEDE'!$L$6:$L$1630,'CONSOLIDADO POR SEDE'!$E$6:$E$1630,RUBROS!$A24,'CONSOLIDADO POR SEDE'!$C$6:$C$1630,RUBROS!L$5)</f>
        <v>0</v>
      </c>
      <c r="M24" s="47">
        <f>SUMIFS('CONSOLIDADO POR SEDE'!$L$6:$L$1630,'CONSOLIDADO POR SEDE'!$E$6:$E$1630,RUBROS!$A24,'CONSOLIDADO POR SEDE'!$C$6:$C$1630,RUBROS!M$5)</f>
        <v>0</v>
      </c>
      <c r="N24" s="47">
        <f>SUMIFS('CONSOLIDADO POR SEDE'!$L$6:$L$1630,'CONSOLIDADO POR SEDE'!$E$6:$E$1630,RUBROS!$A24,'CONSOLIDADO POR SEDE'!$C$6:$C$1630,RUBROS!N$5)</f>
        <v>0</v>
      </c>
      <c r="O24" s="47">
        <f>SUMIFS('CONSOLIDADO POR SEDE'!$L$6:$L$1630,'CONSOLIDADO POR SEDE'!$E$6:$E$1630,RUBROS!$A24,'CONSOLIDADO POR SEDE'!$C$6:$C$1630,RUBROS!O$5)</f>
        <v>0</v>
      </c>
      <c r="P24" s="47">
        <f>SUMIFS('CONSOLIDADO POR SEDE'!$L$6:$L$1630,'CONSOLIDADO POR SEDE'!$E$6:$E$1630,RUBROS!$A24,'CONSOLIDADO POR SEDE'!$C$6:$C$1630,RUBROS!P$5)</f>
        <v>0</v>
      </c>
      <c r="Q24" s="47">
        <f>SUMIFS('CONSOLIDADO POR SEDE'!$L$6:$L$1630,'CONSOLIDADO POR SEDE'!$E$6:$E$1630,RUBROS!$A24,'CONSOLIDADO POR SEDE'!$C$6:$C$1630,RUBROS!Q$5)</f>
        <v>0</v>
      </c>
      <c r="R24" s="47">
        <f>SUMIFS('CONSOLIDADO POR SEDE'!$L$6:$L$1630,'CONSOLIDADO POR SEDE'!$E$6:$E$1630,RUBROS!$A24,'CONSOLIDADO POR SEDE'!$C$6:$C$1630,RUBROS!R$5)</f>
        <v>0</v>
      </c>
      <c r="S24" s="47">
        <f>SUMIFS('CONSOLIDADO POR SEDE'!$L$6:$L$1630,'CONSOLIDADO POR SEDE'!$E$6:$E$1630,RUBROS!$A24,'CONSOLIDADO POR SEDE'!$C$6:$C$1630,RUBROS!S$5)</f>
        <v>0</v>
      </c>
      <c r="T24" s="47">
        <f>SUMIFS('CONSOLIDADO POR SEDE'!$L$6:$L$1630,'CONSOLIDADO POR SEDE'!$E$6:$E$1630,RUBROS!$A24,'CONSOLIDADO POR SEDE'!$C$6:$C$1630,RUBROS!T$5)</f>
        <v>0</v>
      </c>
      <c r="U24" s="47">
        <f>SUMIFS('CONSOLIDADO POR SEDE'!$L$6:$L$1630,'CONSOLIDADO POR SEDE'!$E$6:$E$1630,RUBROS!$A24,'CONSOLIDADO POR SEDE'!$C$6:$C$1630,RUBROS!U$5)</f>
        <v>0</v>
      </c>
      <c r="V24" s="47">
        <f>SUMIFS('CONSOLIDADO POR SEDE'!$L$6:$L$1630,'CONSOLIDADO POR SEDE'!$E$6:$E$1630,RUBROS!$A24,'CONSOLIDADO POR SEDE'!$C$6:$C$1630,RUBROS!V$5)</f>
        <v>75161.393721</v>
      </c>
      <c r="W24" s="47">
        <f>SUMIFS('CONSOLIDADO POR SEDE'!$L$6:$L$1630,'CONSOLIDADO POR SEDE'!$E$6:$E$1630,RUBROS!$A24,'CONSOLIDADO POR SEDE'!$C$6:$C$1630,RUBROS!W$5)</f>
        <v>0</v>
      </c>
      <c r="X24" s="47">
        <f>SUMIFS('CONSOLIDADO POR SEDE'!$L$6:$L$1630,'CONSOLIDADO POR SEDE'!$E$6:$E$1630,RUBROS!$A24,'CONSOLIDADO POR SEDE'!$C$6:$C$1630,RUBROS!X$5)</f>
        <v>0</v>
      </c>
      <c r="Y24" s="47">
        <f>SUMIFS('CONSOLIDADO POR SEDE'!$L$6:$L$1630,'CONSOLIDADO POR SEDE'!$E$6:$E$1630,RUBROS!$A24,'CONSOLIDADO POR SEDE'!$C$6:$C$1630,RUBROS!Y$5)</f>
        <v>0</v>
      </c>
      <c r="Z24" s="47">
        <f>SUMIFS('CONSOLIDADO POR SEDE'!$L$6:$L$1630,'CONSOLIDADO POR SEDE'!$E$6:$E$1630,RUBROS!$A24,'CONSOLIDADO POR SEDE'!$C$6:$C$1630,RUBROS!Z$5)</f>
        <v>0</v>
      </c>
      <c r="AA24" s="47">
        <f>SUMIFS('CONSOLIDADO POR SEDE'!$L$6:$L$1630,'CONSOLIDADO POR SEDE'!$E$6:$E$1630,RUBROS!$A24,'CONSOLIDADO POR SEDE'!$C$6:$C$1630,RUBROS!AA$5)</f>
        <v>0</v>
      </c>
      <c r="AB24" s="47">
        <f>SUMIFS('CONSOLIDADO POR SEDE'!$L$6:$L$1630,'CONSOLIDADO POR SEDE'!$E$6:$E$1630,RUBROS!$A24,'CONSOLIDADO POR SEDE'!$C$6:$C$1630,RUBROS!AB$5)</f>
        <v>0</v>
      </c>
      <c r="AC24" s="47">
        <f>SUMIFS('CONSOLIDADO POR SEDE'!$L$6:$L$1630,'CONSOLIDADO POR SEDE'!$E$6:$E$1630,RUBROS!$A24,'CONSOLIDADO POR SEDE'!$C$6:$C$1630,RUBROS!AC$5)</f>
        <v>0</v>
      </c>
      <c r="AD24" s="47">
        <f>SUMIFS('CONSOLIDADO POR SEDE'!$L$6:$L$1630,'CONSOLIDADO POR SEDE'!$E$6:$E$1630,RUBROS!$A24,'CONSOLIDADO POR SEDE'!$C$6:$C$1630,RUBROS!AD$5)</f>
        <v>77326.536749999999</v>
      </c>
      <c r="AE24" s="47">
        <f>SUMIFS('CONSOLIDADO POR SEDE'!$L$6:$L$1630,'CONSOLIDADO POR SEDE'!$E$6:$E$1630,RUBROS!$A24,'CONSOLIDADO POR SEDE'!$C$6:$C$1630,RUBROS!AE$5)</f>
        <v>0</v>
      </c>
      <c r="AF24" s="47">
        <f>SUMIFS('CONSOLIDADO POR SEDE'!$L$6:$L$1630,'CONSOLIDADO POR SEDE'!$E$6:$E$1630,RUBROS!$A24,'CONSOLIDADO POR SEDE'!$C$6:$C$1630,RUBROS!AF$5)</f>
        <v>0</v>
      </c>
      <c r="AG24" s="47">
        <f>SUMIFS('CONSOLIDADO POR SEDE'!$L$6:$L$1630,'CONSOLIDADO POR SEDE'!$E$6:$E$1630,RUBROS!$A24,'CONSOLIDADO POR SEDE'!$C$6:$C$1630,RUBROS!AG$5)</f>
        <v>0</v>
      </c>
      <c r="AH24" s="47">
        <f>SUMIFS('CONSOLIDADO POR SEDE'!$L$6:$L$1630,'CONSOLIDADO POR SEDE'!$E$6:$E$1630,RUBROS!$A24,'CONSOLIDADO POR SEDE'!$C$6:$C$1630,RUBROS!AH$5)</f>
        <v>0</v>
      </c>
      <c r="AI24" s="47">
        <f>SUMIFS('CONSOLIDADO POR SEDE'!$L$6:$L$1630,'CONSOLIDADO POR SEDE'!$E$6:$E$1630,RUBROS!$A24,'CONSOLIDADO POR SEDE'!$C$6:$C$1630,RUBROS!AI$5)</f>
        <v>0</v>
      </c>
      <c r="AJ24" s="47">
        <f>SUMIFS('CONSOLIDADO POR SEDE'!$L$6:$L$1630,'CONSOLIDADO POR SEDE'!$E$6:$E$1630,RUBROS!$A24,'CONSOLIDADO POR SEDE'!$C$6:$C$1630,RUBROS!AJ$5)</f>
        <v>0</v>
      </c>
      <c r="AK24" s="47">
        <f>SUMIFS('CONSOLIDADO POR SEDE'!$L$6:$L$1630,'CONSOLIDADO POR SEDE'!$E$6:$E$1630,RUBROS!$A24,'CONSOLIDADO POR SEDE'!$C$6:$C$1630,RUBROS!AK$5)</f>
        <v>0</v>
      </c>
      <c r="AL24" s="47">
        <f>SUMIFS('CONSOLIDADO POR SEDE'!$L$6:$L$1630,'CONSOLIDADO POR SEDE'!$E$6:$E$1630,RUBROS!$A24,'CONSOLIDADO POR SEDE'!$C$6:$C$1630,RUBROS!AL$5)</f>
        <v>0</v>
      </c>
      <c r="AM24" s="47">
        <f>SUMIFS('CONSOLIDADO POR SEDE'!$L$6:$L$1630,'CONSOLIDADO POR SEDE'!$E$6:$E$1630,RUBROS!$A24,'CONSOLIDADO POR SEDE'!$C$6:$C$1630,RUBROS!AM$5)</f>
        <v>0</v>
      </c>
      <c r="AN24" s="47">
        <f>SUMIFS('CONSOLIDADO POR SEDE'!$L$6:$L$1630,'CONSOLIDADO POR SEDE'!$E$6:$E$1630,RUBROS!$A24,'CONSOLIDADO POR SEDE'!$C$6:$C$1630,RUBROS!AN$5)</f>
        <v>0</v>
      </c>
      <c r="AO24" s="47">
        <f>SUMIFS('CONSOLIDADO POR SEDE'!$L$6:$L$1630,'CONSOLIDADO POR SEDE'!$E$6:$E$1630,RUBROS!$A24,'CONSOLIDADO POR SEDE'!$C$6:$C$1630,RUBROS!AO$5)</f>
        <v>0</v>
      </c>
      <c r="AP24" s="47">
        <f>SUMIFS('CONSOLIDADO POR SEDE'!$L$6:$L$1630,'CONSOLIDADO POR SEDE'!$E$6:$E$1630,RUBROS!$A24,'CONSOLIDADO POR SEDE'!$C$6:$C$1630,RUBROS!AP$5)</f>
        <v>0</v>
      </c>
      <c r="AQ24" s="47"/>
      <c r="AR24" s="48">
        <v>320757.530853</v>
      </c>
      <c r="AS24" s="48"/>
      <c r="AT24" s="49">
        <f t="shared" si="1"/>
        <v>713759.80430700001</v>
      </c>
      <c r="AU24" s="42"/>
      <c r="AV24" s="42">
        <f t="shared" si="2"/>
        <v>393002.27345400001</v>
      </c>
    </row>
    <row r="25" spans="1:48">
      <c r="A25" s="6" t="s">
        <v>140</v>
      </c>
      <c r="B25" s="6">
        <v>4123005</v>
      </c>
      <c r="C25" s="47">
        <f>SUMIFS('CONSOLIDADO POR SEDE'!$L$6:$L$1630,'CONSOLIDADO POR SEDE'!$E$6:$E$1630,RUBROS!$A25,'CONSOLIDADO POR SEDE'!$C$6:$C$1630,RUBROS!C$5)</f>
        <v>0</v>
      </c>
      <c r="D25" s="47">
        <f>SUMIFS('CONSOLIDADO POR SEDE'!$L$6:$L$1630,'CONSOLIDADO POR SEDE'!$E$6:$E$1630,RUBROS!$A25,'CONSOLIDADO POR SEDE'!$C$6:$C$1630,RUBROS!D$5)</f>
        <v>0</v>
      </c>
      <c r="E25" s="47">
        <f>SUMIFS('CONSOLIDADO POR SEDE'!$L$6:$L$1630,'CONSOLIDADO POR SEDE'!$E$6:$E$1630,RUBROS!$A25,'CONSOLIDADO POR SEDE'!$C$6:$C$1630,RUBROS!E$5)</f>
        <v>0</v>
      </c>
      <c r="F25" s="47">
        <f>SUMIFS('CONSOLIDADO POR SEDE'!$L$6:$L$1630,'CONSOLIDADO POR SEDE'!$E$6:$E$1630,RUBROS!$A25,'CONSOLIDADO POR SEDE'!$C$6:$C$1630,RUBROS!F$5)</f>
        <v>0</v>
      </c>
      <c r="G25" s="47">
        <f>SUMIFS('CONSOLIDADO POR SEDE'!$L$6:$L$1630,'CONSOLIDADO POR SEDE'!$E$6:$E$1630,RUBROS!$A25,'CONSOLIDADO POR SEDE'!$C$6:$C$1630,RUBROS!G$5)</f>
        <v>0</v>
      </c>
      <c r="H25" s="47">
        <f>SUMIFS('CONSOLIDADO POR SEDE'!$L$6:$L$1630,'CONSOLIDADO POR SEDE'!$E$6:$E$1630,RUBROS!$A25,'CONSOLIDADO POR SEDE'!$C$6:$C$1630,RUBROS!H$5)</f>
        <v>0</v>
      </c>
      <c r="I25" s="47">
        <f>SUMIFS('CONSOLIDADO POR SEDE'!$L$6:$L$1630,'CONSOLIDADO POR SEDE'!$E$6:$E$1630,RUBROS!$A25,'CONSOLIDADO POR SEDE'!$C$6:$C$1630,RUBROS!I$5)</f>
        <v>0</v>
      </c>
      <c r="J25" s="47">
        <f>SUMIFS('CONSOLIDADO POR SEDE'!$L$6:$L$1630,'CONSOLIDADO POR SEDE'!$E$6:$E$1630,RUBROS!$A25,'CONSOLIDADO POR SEDE'!$C$6:$C$1630,RUBROS!J$5)</f>
        <v>0</v>
      </c>
      <c r="K25" s="47">
        <f>SUMIFS('CONSOLIDADO POR SEDE'!$L$6:$L$1630,'CONSOLIDADO POR SEDE'!$E$6:$E$1630,RUBROS!$A25,'CONSOLIDADO POR SEDE'!$C$6:$C$1630,RUBROS!K$5)</f>
        <v>0</v>
      </c>
      <c r="L25" s="47">
        <f>SUMIFS('CONSOLIDADO POR SEDE'!$L$6:$L$1630,'CONSOLIDADO POR SEDE'!$E$6:$E$1630,RUBROS!$A25,'CONSOLIDADO POR SEDE'!$C$6:$C$1630,RUBROS!L$5)</f>
        <v>0</v>
      </c>
      <c r="M25" s="47">
        <f>SUMIFS('CONSOLIDADO POR SEDE'!$L$6:$L$1630,'CONSOLIDADO POR SEDE'!$E$6:$E$1630,RUBROS!$A25,'CONSOLIDADO POR SEDE'!$C$6:$C$1630,RUBROS!M$5)</f>
        <v>0</v>
      </c>
      <c r="N25" s="47">
        <f>SUMIFS('CONSOLIDADO POR SEDE'!$L$6:$L$1630,'CONSOLIDADO POR SEDE'!$E$6:$E$1630,RUBROS!$A25,'CONSOLIDADO POR SEDE'!$C$6:$C$1630,RUBROS!N$5)</f>
        <v>0</v>
      </c>
      <c r="O25" s="47">
        <f>SUMIFS('CONSOLIDADO POR SEDE'!$L$6:$L$1630,'CONSOLIDADO POR SEDE'!$E$6:$E$1630,RUBROS!$A25,'CONSOLIDADO POR SEDE'!$C$6:$C$1630,RUBROS!O$5)</f>
        <v>0</v>
      </c>
      <c r="P25" s="47">
        <f>SUMIFS('CONSOLIDADO POR SEDE'!$L$6:$L$1630,'CONSOLIDADO POR SEDE'!$E$6:$E$1630,RUBROS!$A25,'CONSOLIDADO POR SEDE'!$C$6:$C$1630,RUBROS!P$5)</f>
        <v>0</v>
      </c>
      <c r="Q25" s="47">
        <f>SUMIFS('CONSOLIDADO POR SEDE'!$L$6:$L$1630,'CONSOLIDADO POR SEDE'!$E$6:$E$1630,RUBROS!$A25,'CONSOLIDADO POR SEDE'!$C$6:$C$1630,RUBROS!Q$5)</f>
        <v>0</v>
      </c>
      <c r="R25" s="47">
        <f>SUMIFS('CONSOLIDADO POR SEDE'!$L$6:$L$1630,'CONSOLIDADO POR SEDE'!$E$6:$E$1630,RUBROS!$A25,'CONSOLIDADO POR SEDE'!$C$6:$C$1630,RUBROS!R$5)</f>
        <v>0</v>
      </c>
      <c r="S25" s="47">
        <f>SUMIFS('CONSOLIDADO POR SEDE'!$L$6:$L$1630,'CONSOLIDADO POR SEDE'!$E$6:$E$1630,RUBROS!$A25,'CONSOLIDADO POR SEDE'!$C$6:$C$1630,RUBROS!S$5)</f>
        <v>0</v>
      </c>
      <c r="T25" s="47">
        <f>SUMIFS('CONSOLIDADO POR SEDE'!$L$6:$L$1630,'CONSOLIDADO POR SEDE'!$E$6:$E$1630,RUBROS!$A25,'CONSOLIDADO POR SEDE'!$C$6:$C$1630,RUBROS!T$5)</f>
        <v>0</v>
      </c>
      <c r="U25" s="47">
        <f>SUMIFS('CONSOLIDADO POR SEDE'!$L$6:$L$1630,'CONSOLIDADO POR SEDE'!$E$6:$E$1630,RUBROS!$A25,'CONSOLIDADO POR SEDE'!$C$6:$C$1630,RUBROS!U$5)</f>
        <v>0</v>
      </c>
      <c r="V25" s="47">
        <f>SUMIFS('CONSOLIDADO POR SEDE'!$L$6:$L$1630,'CONSOLIDADO POR SEDE'!$E$6:$E$1630,RUBROS!$A25,'CONSOLIDADO POR SEDE'!$C$6:$C$1630,RUBROS!V$5)</f>
        <v>0</v>
      </c>
      <c r="W25" s="47">
        <f>SUMIFS('CONSOLIDADO POR SEDE'!$L$6:$L$1630,'CONSOLIDADO POR SEDE'!$E$6:$E$1630,RUBROS!$A25,'CONSOLIDADO POR SEDE'!$C$6:$C$1630,RUBROS!W$5)</f>
        <v>0</v>
      </c>
      <c r="X25" s="47">
        <f>SUMIFS('CONSOLIDADO POR SEDE'!$L$6:$L$1630,'CONSOLIDADO POR SEDE'!$E$6:$E$1630,RUBROS!$A25,'CONSOLIDADO POR SEDE'!$C$6:$C$1630,RUBROS!X$5)</f>
        <v>0</v>
      </c>
      <c r="Y25" s="47">
        <f>SUMIFS('CONSOLIDADO POR SEDE'!$L$6:$L$1630,'CONSOLIDADO POR SEDE'!$E$6:$E$1630,RUBROS!$A25,'CONSOLIDADO POR SEDE'!$C$6:$C$1630,RUBROS!Y$5)</f>
        <v>0</v>
      </c>
      <c r="Z25" s="47">
        <f>SUMIFS('CONSOLIDADO POR SEDE'!$L$6:$L$1630,'CONSOLIDADO POR SEDE'!$E$6:$E$1630,RUBROS!$A25,'CONSOLIDADO POR SEDE'!$C$6:$C$1630,RUBROS!Z$5)</f>
        <v>0</v>
      </c>
      <c r="AA25" s="47">
        <f>SUMIFS('CONSOLIDADO POR SEDE'!$L$6:$L$1630,'CONSOLIDADO POR SEDE'!$E$6:$E$1630,RUBROS!$A25,'CONSOLIDADO POR SEDE'!$C$6:$C$1630,RUBROS!AA$5)</f>
        <v>0</v>
      </c>
      <c r="AB25" s="47">
        <f>SUMIFS('CONSOLIDADO POR SEDE'!$L$6:$L$1630,'CONSOLIDADO POR SEDE'!$E$6:$E$1630,RUBROS!$A25,'CONSOLIDADO POR SEDE'!$C$6:$C$1630,RUBROS!AB$5)</f>
        <v>0</v>
      </c>
      <c r="AC25" s="47">
        <f>SUMIFS('CONSOLIDADO POR SEDE'!$L$6:$L$1630,'CONSOLIDADO POR SEDE'!$E$6:$E$1630,RUBROS!$A25,'CONSOLIDADO POR SEDE'!$C$6:$C$1630,RUBROS!AC$5)</f>
        <v>0</v>
      </c>
      <c r="AD25" s="47">
        <f>SUMIFS('CONSOLIDADO POR SEDE'!$L$6:$L$1630,'CONSOLIDADO POR SEDE'!$E$6:$E$1630,RUBROS!$A25,'CONSOLIDADO POR SEDE'!$C$6:$C$1630,RUBROS!AD$5)</f>
        <v>0</v>
      </c>
      <c r="AE25" s="47">
        <f>SUMIFS('CONSOLIDADO POR SEDE'!$L$6:$L$1630,'CONSOLIDADO POR SEDE'!$E$6:$E$1630,RUBROS!$A25,'CONSOLIDADO POR SEDE'!$C$6:$C$1630,RUBROS!AE$5)</f>
        <v>0</v>
      </c>
      <c r="AF25" s="47">
        <f>SUMIFS('CONSOLIDADO POR SEDE'!$L$6:$L$1630,'CONSOLIDADO POR SEDE'!$E$6:$E$1630,RUBROS!$A25,'CONSOLIDADO POR SEDE'!$C$6:$C$1630,RUBROS!AF$5)</f>
        <v>0</v>
      </c>
      <c r="AG25" s="47">
        <f>SUMIFS('CONSOLIDADO POR SEDE'!$L$6:$L$1630,'CONSOLIDADO POR SEDE'!$E$6:$E$1630,RUBROS!$A25,'CONSOLIDADO POR SEDE'!$C$6:$C$1630,RUBROS!AG$5)</f>
        <v>0</v>
      </c>
      <c r="AH25" s="47">
        <f>SUMIFS('CONSOLIDADO POR SEDE'!$L$6:$L$1630,'CONSOLIDADO POR SEDE'!$E$6:$E$1630,RUBROS!$A25,'CONSOLIDADO POR SEDE'!$C$6:$C$1630,RUBROS!AH$5)</f>
        <v>0</v>
      </c>
      <c r="AI25" s="47">
        <f>SUMIFS('CONSOLIDADO POR SEDE'!$L$6:$L$1630,'CONSOLIDADO POR SEDE'!$E$6:$E$1630,RUBROS!$A25,'CONSOLIDADO POR SEDE'!$C$6:$C$1630,RUBROS!AI$5)</f>
        <v>0</v>
      </c>
      <c r="AJ25" s="47">
        <f>SUMIFS('CONSOLIDADO POR SEDE'!$L$6:$L$1630,'CONSOLIDADO POR SEDE'!$E$6:$E$1630,RUBROS!$A25,'CONSOLIDADO POR SEDE'!$C$6:$C$1630,RUBROS!AJ$5)</f>
        <v>0</v>
      </c>
      <c r="AK25" s="47">
        <f>SUMIFS('CONSOLIDADO POR SEDE'!$L$6:$L$1630,'CONSOLIDADO POR SEDE'!$E$6:$E$1630,RUBROS!$A25,'CONSOLIDADO POR SEDE'!$C$6:$C$1630,RUBROS!AK$5)</f>
        <v>0</v>
      </c>
      <c r="AL25" s="47">
        <f>SUMIFS('CONSOLIDADO POR SEDE'!$L$6:$L$1630,'CONSOLIDADO POR SEDE'!$E$6:$E$1630,RUBROS!$A25,'CONSOLIDADO POR SEDE'!$C$6:$C$1630,RUBROS!AL$5)</f>
        <v>0</v>
      </c>
      <c r="AM25" s="47">
        <f>SUMIFS('CONSOLIDADO POR SEDE'!$L$6:$L$1630,'CONSOLIDADO POR SEDE'!$E$6:$E$1630,RUBROS!$A25,'CONSOLIDADO POR SEDE'!$C$6:$C$1630,RUBROS!AM$5)</f>
        <v>0</v>
      </c>
      <c r="AN25" s="47">
        <f>SUMIFS('CONSOLIDADO POR SEDE'!$L$6:$L$1630,'CONSOLIDADO POR SEDE'!$E$6:$E$1630,RUBROS!$A25,'CONSOLIDADO POR SEDE'!$C$6:$C$1630,RUBROS!AN$5)</f>
        <v>0</v>
      </c>
      <c r="AO25" s="47">
        <f>SUMIFS('CONSOLIDADO POR SEDE'!$L$6:$L$1630,'CONSOLIDADO POR SEDE'!$E$6:$E$1630,RUBROS!$A25,'CONSOLIDADO POR SEDE'!$C$6:$C$1630,RUBROS!AO$5)</f>
        <v>0</v>
      </c>
      <c r="AP25" s="47">
        <f>SUMIFS('CONSOLIDADO POR SEDE'!$L$6:$L$1630,'CONSOLIDADO POR SEDE'!$E$6:$E$1630,RUBROS!$A25,'CONSOLIDADO POR SEDE'!$C$6:$C$1630,RUBROS!AP$5)</f>
        <v>0</v>
      </c>
      <c r="AQ25" s="47"/>
      <c r="AR25" s="48">
        <v>320757.530853</v>
      </c>
      <c r="AS25" s="48"/>
      <c r="AT25" s="49">
        <f t="shared" si="1"/>
        <v>320757.530853</v>
      </c>
      <c r="AU25" s="42"/>
      <c r="AV25" s="42">
        <f t="shared" si="2"/>
        <v>0</v>
      </c>
    </row>
    <row r="26" spans="1:48">
      <c r="A26" s="6" t="s">
        <v>141</v>
      </c>
      <c r="B26" s="6">
        <v>4123001</v>
      </c>
      <c r="C26" s="47">
        <f>SUMIFS('CONSOLIDADO POR SEDE'!$L$6:$L$1630,'CONSOLIDADO POR SEDE'!$E$6:$E$1630,RUBROS!$A26,'CONSOLIDADO POR SEDE'!$C$6:$C$1630,RUBROS!C$5)</f>
        <v>0</v>
      </c>
      <c r="D26" s="47">
        <f>SUMIFS('CONSOLIDADO POR SEDE'!$L$6:$L$1630,'CONSOLIDADO POR SEDE'!$E$6:$E$1630,RUBROS!$A26,'CONSOLIDADO POR SEDE'!$C$6:$C$1630,RUBROS!D$5)</f>
        <v>0</v>
      </c>
      <c r="E26" s="47">
        <f>SUMIFS('CONSOLIDADO POR SEDE'!$L$6:$L$1630,'CONSOLIDADO POR SEDE'!$E$6:$E$1630,RUBROS!$A26,'CONSOLIDADO POR SEDE'!$C$6:$C$1630,RUBROS!E$5)</f>
        <v>0</v>
      </c>
      <c r="F26" s="47">
        <f>SUMIFS('CONSOLIDADO POR SEDE'!$L$6:$L$1630,'CONSOLIDADO POR SEDE'!$E$6:$E$1630,RUBROS!$A26,'CONSOLIDADO POR SEDE'!$C$6:$C$1630,RUBROS!F$5)</f>
        <v>0</v>
      </c>
      <c r="G26" s="47">
        <f>SUMIFS('CONSOLIDADO POR SEDE'!$L$6:$L$1630,'CONSOLIDADO POR SEDE'!$E$6:$E$1630,RUBROS!$A26,'CONSOLIDADO POR SEDE'!$C$6:$C$1630,RUBROS!G$5)</f>
        <v>0</v>
      </c>
      <c r="H26" s="47">
        <f>SUMIFS('CONSOLIDADO POR SEDE'!$L$6:$L$1630,'CONSOLIDADO POR SEDE'!$E$6:$E$1630,RUBROS!$A26,'CONSOLIDADO POR SEDE'!$C$6:$C$1630,RUBROS!H$5)</f>
        <v>0</v>
      </c>
      <c r="I26" s="47">
        <f>SUMIFS('CONSOLIDADO POR SEDE'!$L$6:$L$1630,'CONSOLIDADO POR SEDE'!$E$6:$E$1630,RUBROS!$A26,'CONSOLIDADO POR SEDE'!$C$6:$C$1630,RUBROS!I$5)</f>
        <v>0</v>
      </c>
      <c r="J26" s="47">
        <f>SUMIFS('CONSOLIDADO POR SEDE'!$L$6:$L$1630,'CONSOLIDADO POR SEDE'!$E$6:$E$1630,RUBROS!$A26,'CONSOLIDADO POR SEDE'!$C$6:$C$1630,RUBROS!J$5)</f>
        <v>0</v>
      </c>
      <c r="K26" s="47">
        <f>SUMIFS('CONSOLIDADO POR SEDE'!$L$6:$L$1630,'CONSOLIDADO POR SEDE'!$E$6:$E$1630,RUBROS!$A26,'CONSOLIDADO POR SEDE'!$C$6:$C$1630,RUBROS!K$5)</f>
        <v>0</v>
      </c>
      <c r="L26" s="47">
        <f>SUMIFS('CONSOLIDADO POR SEDE'!$L$6:$L$1630,'CONSOLIDADO POR SEDE'!$E$6:$E$1630,RUBROS!$A26,'CONSOLIDADO POR SEDE'!$C$6:$C$1630,RUBROS!L$5)</f>
        <v>0</v>
      </c>
      <c r="M26" s="47">
        <f>SUMIFS('CONSOLIDADO POR SEDE'!$L$6:$L$1630,'CONSOLIDADO POR SEDE'!$E$6:$E$1630,RUBROS!$A26,'CONSOLIDADO POR SEDE'!$C$6:$C$1630,RUBROS!M$5)</f>
        <v>0</v>
      </c>
      <c r="N26" s="47">
        <f>SUMIFS('CONSOLIDADO POR SEDE'!$L$6:$L$1630,'CONSOLIDADO POR SEDE'!$E$6:$E$1630,RUBROS!$A26,'CONSOLIDADO POR SEDE'!$C$6:$C$1630,RUBROS!N$5)</f>
        <v>0</v>
      </c>
      <c r="O26" s="47">
        <f>SUMIFS('CONSOLIDADO POR SEDE'!$L$6:$L$1630,'CONSOLIDADO POR SEDE'!$E$6:$E$1630,RUBROS!$A26,'CONSOLIDADO POR SEDE'!$C$6:$C$1630,RUBROS!O$5)</f>
        <v>0</v>
      </c>
      <c r="P26" s="47">
        <f>SUMIFS('CONSOLIDADO POR SEDE'!$L$6:$L$1630,'CONSOLIDADO POR SEDE'!$E$6:$E$1630,RUBROS!$A26,'CONSOLIDADO POR SEDE'!$C$6:$C$1630,RUBROS!P$5)</f>
        <v>0</v>
      </c>
      <c r="Q26" s="47">
        <f>SUMIFS('CONSOLIDADO POR SEDE'!$L$6:$L$1630,'CONSOLIDADO POR SEDE'!$E$6:$E$1630,RUBROS!$A26,'CONSOLIDADO POR SEDE'!$C$6:$C$1630,RUBROS!Q$5)</f>
        <v>0</v>
      </c>
      <c r="R26" s="47">
        <f>SUMIFS('CONSOLIDADO POR SEDE'!$L$6:$L$1630,'CONSOLIDADO POR SEDE'!$E$6:$E$1630,RUBROS!$A26,'CONSOLIDADO POR SEDE'!$C$6:$C$1630,RUBROS!R$5)</f>
        <v>240514.34298299998</v>
      </c>
      <c r="S26" s="47">
        <f>SUMIFS('CONSOLIDADO POR SEDE'!$L$6:$L$1630,'CONSOLIDADO POR SEDE'!$E$6:$E$1630,RUBROS!$A26,'CONSOLIDADO POR SEDE'!$C$6:$C$1630,RUBROS!S$5)</f>
        <v>0</v>
      </c>
      <c r="T26" s="47">
        <f>SUMIFS('CONSOLIDADO POR SEDE'!$L$6:$L$1630,'CONSOLIDADO POR SEDE'!$E$6:$E$1630,RUBROS!$A26,'CONSOLIDADO POR SEDE'!$C$6:$C$1630,RUBROS!T$5)</f>
        <v>0</v>
      </c>
      <c r="U26" s="47">
        <f>SUMIFS('CONSOLIDADO POR SEDE'!$L$6:$L$1630,'CONSOLIDADO POR SEDE'!$E$6:$E$1630,RUBROS!$A26,'CONSOLIDADO POR SEDE'!$C$6:$C$1630,RUBROS!U$5)</f>
        <v>0</v>
      </c>
      <c r="V26" s="47">
        <f>SUMIFS('CONSOLIDADO POR SEDE'!$L$6:$L$1630,'CONSOLIDADO POR SEDE'!$E$6:$E$1630,RUBROS!$A26,'CONSOLIDADO POR SEDE'!$C$6:$C$1630,RUBROS!V$5)</f>
        <v>0</v>
      </c>
      <c r="W26" s="47">
        <f>SUMIFS('CONSOLIDADO POR SEDE'!$L$6:$L$1630,'CONSOLIDADO POR SEDE'!$E$6:$E$1630,RUBROS!$A26,'CONSOLIDADO POR SEDE'!$C$6:$C$1630,RUBROS!W$5)</f>
        <v>0</v>
      </c>
      <c r="X26" s="47">
        <f>SUMIFS('CONSOLIDADO POR SEDE'!$L$6:$L$1630,'CONSOLIDADO POR SEDE'!$E$6:$E$1630,RUBROS!$A26,'CONSOLIDADO POR SEDE'!$C$6:$C$1630,RUBROS!X$5)</f>
        <v>0</v>
      </c>
      <c r="Y26" s="47">
        <f>SUMIFS('CONSOLIDADO POR SEDE'!$L$6:$L$1630,'CONSOLIDADO POR SEDE'!$E$6:$E$1630,RUBROS!$A26,'CONSOLIDADO POR SEDE'!$C$6:$C$1630,RUBROS!Y$5)</f>
        <v>0</v>
      </c>
      <c r="Z26" s="47">
        <f>SUMIFS('CONSOLIDADO POR SEDE'!$L$6:$L$1630,'CONSOLIDADO POR SEDE'!$E$6:$E$1630,RUBROS!$A26,'CONSOLIDADO POR SEDE'!$C$6:$C$1630,RUBROS!Z$5)</f>
        <v>0</v>
      </c>
      <c r="AA26" s="47">
        <f>SUMIFS('CONSOLIDADO POR SEDE'!$L$6:$L$1630,'CONSOLIDADO POR SEDE'!$E$6:$E$1630,RUBROS!$A26,'CONSOLIDADO POR SEDE'!$C$6:$C$1630,RUBROS!AA$5)</f>
        <v>0</v>
      </c>
      <c r="AB26" s="47">
        <f>SUMIFS('CONSOLIDADO POR SEDE'!$L$6:$L$1630,'CONSOLIDADO POR SEDE'!$E$6:$E$1630,RUBROS!$A26,'CONSOLIDADO POR SEDE'!$C$6:$C$1630,RUBROS!AB$5)</f>
        <v>0</v>
      </c>
      <c r="AC26" s="47">
        <f>SUMIFS('CONSOLIDADO POR SEDE'!$L$6:$L$1630,'CONSOLIDADO POR SEDE'!$E$6:$E$1630,RUBROS!$A26,'CONSOLIDADO POR SEDE'!$C$6:$C$1630,RUBROS!AC$5)</f>
        <v>0</v>
      </c>
      <c r="AD26" s="47">
        <f>SUMIFS('CONSOLIDADO POR SEDE'!$L$6:$L$1630,'CONSOLIDADO POR SEDE'!$E$6:$E$1630,RUBROS!$A26,'CONSOLIDADO POR SEDE'!$C$6:$C$1630,RUBROS!AD$5)</f>
        <v>0</v>
      </c>
      <c r="AE26" s="47">
        <f>SUMIFS('CONSOLIDADO POR SEDE'!$L$6:$L$1630,'CONSOLIDADO POR SEDE'!$E$6:$E$1630,RUBROS!$A26,'CONSOLIDADO POR SEDE'!$C$6:$C$1630,RUBROS!AE$5)</f>
        <v>0</v>
      </c>
      <c r="AF26" s="47">
        <f>SUMIFS('CONSOLIDADO POR SEDE'!$L$6:$L$1630,'CONSOLIDADO POR SEDE'!$E$6:$E$1630,RUBROS!$A26,'CONSOLIDADO POR SEDE'!$C$6:$C$1630,RUBROS!AF$5)</f>
        <v>0</v>
      </c>
      <c r="AG26" s="47">
        <f>SUMIFS('CONSOLIDADO POR SEDE'!$L$6:$L$1630,'CONSOLIDADO POR SEDE'!$E$6:$E$1630,RUBROS!$A26,'CONSOLIDADO POR SEDE'!$C$6:$C$1630,RUBROS!AG$5)</f>
        <v>0</v>
      </c>
      <c r="AH26" s="47">
        <f>SUMIFS('CONSOLIDADO POR SEDE'!$L$6:$L$1630,'CONSOLIDADO POR SEDE'!$E$6:$E$1630,RUBROS!$A26,'CONSOLIDADO POR SEDE'!$C$6:$C$1630,RUBROS!AH$5)</f>
        <v>0</v>
      </c>
      <c r="AI26" s="47">
        <f>SUMIFS('CONSOLIDADO POR SEDE'!$L$6:$L$1630,'CONSOLIDADO POR SEDE'!$E$6:$E$1630,RUBROS!$A26,'CONSOLIDADO POR SEDE'!$C$6:$C$1630,RUBROS!AI$5)</f>
        <v>0</v>
      </c>
      <c r="AJ26" s="47">
        <f>SUMIFS('CONSOLIDADO POR SEDE'!$L$6:$L$1630,'CONSOLIDADO POR SEDE'!$E$6:$E$1630,RUBROS!$A26,'CONSOLIDADO POR SEDE'!$C$6:$C$1630,RUBROS!AJ$5)</f>
        <v>0</v>
      </c>
      <c r="AK26" s="47">
        <f>SUMIFS('CONSOLIDADO POR SEDE'!$L$6:$L$1630,'CONSOLIDADO POR SEDE'!$E$6:$E$1630,RUBROS!$A26,'CONSOLIDADO POR SEDE'!$C$6:$C$1630,RUBROS!AK$5)</f>
        <v>0</v>
      </c>
      <c r="AL26" s="47">
        <f>SUMIFS('CONSOLIDADO POR SEDE'!$L$6:$L$1630,'CONSOLIDADO POR SEDE'!$E$6:$E$1630,RUBROS!$A26,'CONSOLIDADO POR SEDE'!$C$6:$C$1630,RUBROS!AL$5)</f>
        <v>0</v>
      </c>
      <c r="AM26" s="47">
        <f>SUMIFS('CONSOLIDADO POR SEDE'!$L$6:$L$1630,'CONSOLIDADO POR SEDE'!$E$6:$E$1630,RUBROS!$A26,'CONSOLIDADO POR SEDE'!$C$6:$C$1630,RUBROS!AM$5)</f>
        <v>0</v>
      </c>
      <c r="AN26" s="47">
        <f>SUMIFS('CONSOLIDADO POR SEDE'!$L$6:$L$1630,'CONSOLIDADO POR SEDE'!$E$6:$E$1630,RUBROS!$A26,'CONSOLIDADO POR SEDE'!$C$6:$C$1630,RUBROS!AN$5)</f>
        <v>0</v>
      </c>
      <c r="AO26" s="47">
        <f>SUMIFS('CONSOLIDADO POR SEDE'!$L$6:$L$1630,'CONSOLIDADO POR SEDE'!$E$6:$E$1630,RUBROS!$A26,'CONSOLIDADO POR SEDE'!$C$6:$C$1630,RUBROS!AO$5)</f>
        <v>0</v>
      </c>
      <c r="AP26" s="47">
        <f>SUMIFS('CONSOLIDADO POR SEDE'!$L$6:$L$1630,'CONSOLIDADO POR SEDE'!$E$6:$E$1630,RUBROS!$A26,'CONSOLIDADO POR SEDE'!$C$6:$C$1630,RUBROS!AP$5)</f>
        <v>0</v>
      </c>
      <c r="AQ26" s="47"/>
      <c r="AR26" s="48">
        <v>320757.530853</v>
      </c>
      <c r="AS26" s="48"/>
      <c r="AT26" s="49">
        <f t="shared" si="1"/>
        <v>561271.87383599998</v>
      </c>
      <c r="AU26" s="42"/>
      <c r="AV26" s="42">
        <f t="shared" si="2"/>
        <v>240514.34298299998</v>
      </c>
    </row>
    <row r="27" spans="1:48">
      <c r="A27" s="6" t="s">
        <v>142</v>
      </c>
      <c r="B27" s="6">
        <v>4123004</v>
      </c>
      <c r="C27" s="47">
        <f>SUMIFS('CONSOLIDADO POR SEDE'!$L$6:$L$1630,'CONSOLIDADO POR SEDE'!$E$6:$E$1630,RUBROS!$A27,'CONSOLIDADO POR SEDE'!$C$6:$C$1630,RUBROS!C$5)</f>
        <v>0</v>
      </c>
      <c r="D27" s="47">
        <f>SUMIFS('CONSOLIDADO POR SEDE'!$L$6:$L$1630,'CONSOLIDADO POR SEDE'!$E$6:$E$1630,RUBROS!$A27,'CONSOLIDADO POR SEDE'!$C$6:$C$1630,RUBROS!D$5)</f>
        <v>0</v>
      </c>
      <c r="E27" s="47">
        <f>SUMIFS('CONSOLIDADO POR SEDE'!$L$6:$L$1630,'CONSOLIDADO POR SEDE'!$E$6:$E$1630,RUBROS!$A27,'CONSOLIDADO POR SEDE'!$C$6:$C$1630,RUBROS!E$5)</f>
        <v>0</v>
      </c>
      <c r="F27" s="47">
        <f>SUMIFS('CONSOLIDADO POR SEDE'!$L$6:$L$1630,'CONSOLIDADO POR SEDE'!$E$6:$E$1630,RUBROS!$A27,'CONSOLIDADO POR SEDE'!$C$6:$C$1630,RUBROS!F$5)</f>
        <v>0</v>
      </c>
      <c r="G27" s="47">
        <f>SUMIFS('CONSOLIDADO POR SEDE'!$L$6:$L$1630,'CONSOLIDADO POR SEDE'!$E$6:$E$1630,RUBROS!$A27,'CONSOLIDADO POR SEDE'!$C$6:$C$1630,RUBROS!G$5)</f>
        <v>0</v>
      </c>
      <c r="H27" s="47">
        <f>SUMIFS('CONSOLIDADO POR SEDE'!$L$6:$L$1630,'CONSOLIDADO POR SEDE'!$E$6:$E$1630,RUBROS!$A27,'CONSOLIDADO POR SEDE'!$C$6:$C$1630,RUBROS!H$5)</f>
        <v>0</v>
      </c>
      <c r="I27" s="47">
        <f>SUMIFS('CONSOLIDADO POR SEDE'!$L$6:$L$1630,'CONSOLIDADO POR SEDE'!$E$6:$E$1630,RUBROS!$A27,'CONSOLIDADO POR SEDE'!$C$6:$C$1630,RUBROS!I$5)</f>
        <v>0</v>
      </c>
      <c r="J27" s="47">
        <f>SUMIFS('CONSOLIDADO POR SEDE'!$L$6:$L$1630,'CONSOLIDADO POR SEDE'!$E$6:$E$1630,RUBROS!$A27,'CONSOLIDADO POR SEDE'!$C$6:$C$1630,RUBROS!J$5)</f>
        <v>0</v>
      </c>
      <c r="K27" s="47">
        <f>SUMIFS('CONSOLIDADO POR SEDE'!$L$6:$L$1630,'CONSOLIDADO POR SEDE'!$E$6:$E$1630,RUBROS!$A27,'CONSOLIDADO POR SEDE'!$C$6:$C$1630,RUBROS!K$5)</f>
        <v>0</v>
      </c>
      <c r="L27" s="47">
        <f>SUMIFS('CONSOLIDADO POR SEDE'!$L$6:$L$1630,'CONSOLIDADO POR SEDE'!$E$6:$E$1630,RUBROS!$A27,'CONSOLIDADO POR SEDE'!$C$6:$C$1630,RUBROS!L$5)</f>
        <v>0</v>
      </c>
      <c r="M27" s="47">
        <f>SUMIFS('CONSOLIDADO POR SEDE'!$L$6:$L$1630,'CONSOLIDADO POR SEDE'!$E$6:$E$1630,RUBROS!$A27,'CONSOLIDADO POR SEDE'!$C$6:$C$1630,RUBROS!M$5)</f>
        <v>0</v>
      </c>
      <c r="N27" s="47">
        <f>SUMIFS('CONSOLIDADO POR SEDE'!$L$6:$L$1630,'CONSOLIDADO POR SEDE'!$E$6:$E$1630,RUBROS!$A27,'CONSOLIDADO POR SEDE'!$C$6:$C$1630,RUBROS!N$5)</f>
        <v>0</v>
      </c>
      <c r="O27" s="47">
        <f>SUMIFS('CONSOLIDADO POR SEDE'!$L$6:$L$1630,'CONSOLIDADO POR SEDE'!$E$6:$E$1630,RUBROS!$A27,'CONSOLIDADO POR SEDE'!$C$6:$C$1630,RUBROS!O$5)</f>
        <v>0</v>
      </c>
      <c r="P27" s="47">
        <f>SUMIFS('CONSOLIDADO POR SEDE'!$L$6:$L$1630,'CONSOLIDADO POR SEDE'!$E$6:$E$1630,RUBROS!$A27,'CONSOLIDADO POR SEDE'!$C$6:$C$1630,RUBROS!P$5)</f>
        <v>0</v>
      </c>
      <c r="Q27" s="47">
        <f>SUMIFS('CONSOLIDADO POR SEDE'!$L$6:$L$1630,'CONSOLIDADO POR SEDE'!$E$6:$E$1630,RUBROS!$A27,'CONSOLIDADO POR SEDE'!$C$6:$C$1630,RUBROS!Q$5)</f>
        <v>0</v>
      </c>
      <c r="R27" s="47">
        <f>SUMIFS('CONSOLIDADO POR SEDE'!$L$6:$L$1630,'CONSOLIDADO POR SEDE'!$E$6:$E$1630,RUBROS!$A27,'CONSOLIDADO POR SEDE'!$C$6:$C$1630,RUBROS!R$5)</f>
        <v>0</v>
      </c>
      <c r="S27" s="47">
        <f>SUMIFS('CONSOLIDADO POR SEDE'!$L$6:$L$1630,'CONSOLIDADO POR SEDE'!$E$6:$E$1630,RUBROS!$A27,'CONSOLIDADO POR SEDE'!$C$6:$C$1630,RUBROS!S$5)</f>
        <v>0</v>
      </c>
      <c r="T27" s="47">
        <f>SUMIFS('CONSOLIDADO POR SEDE'!$L$6:$L$1630,'CONSOLIDADO POR SEDE'!$E$6:$E$1630,RUBROS!$A27,'CONSOLIDADO POR SEDE'!$C$6:$C$1630,RUBROS!T$5)</f>
        <v>0</v>
      </c>
      <c r="U27" s="47">
        <f>SUMIFS('CONSOLIDADO POR SEDE'!$L$6:$L$1630,'CONSOLIDADO POR SEDE'!$E$6:$E$1630,RUBROS!$A27,'CONSOLIDADO POR SEDE'!$C$6:$C$1630,RUBROS!U$5)</f>
        <v>0</v>
      </c>
      <c r="V27" s="47">
        <f>SUMIFS('CONSOLIDADO POR SEDE'!$L$6:$L$1630,'CONSOLIDADO POR SEDE'!$E$6:$E$1630,RUBROS!$A27,'CONSOLIDADO POR SEDE'!$C$6:$C$1630,RUBROS!V$5)</f>
        <v>0</v>
      </c>
      <c r="W27" s="47">
        <f>SUMIFS('CONSOLIDADO POR SEDE'!$L$6:$L$1630,'CONSOLIDADO POR SEDE'!$E$6:$E$1630,RUBROS!$A27,'CONSOLIDADO POR SEDE'!$C$6:$C$1630,RUBROS!W$5)</f>
        <v>0</v>
      </c>
      <c r="X27" s="47">
        <f>SUMIFS('CONSOLIDADO POR SEDE'!$L$6:$L$1630,'CONSOLIDADO POR SEDE'!$E$6:$E$1630,RUBROS!$A27,'CONSOLIDADO POR SEDE'!$C$6:$C$1630,RUBROS!X$5)</f>
        <v>0</v>
      </c>
      <c r="Y27" s="47">
        <f>SUMIFS('CONSOLIDADO POR SEDE'!$L$6:$L$1630,'CONSOLIDADO POR SEDE'!$E$6:$E$1630,RUBROS!$A27,'CONSOLIDADO POR SEDE'!$C$6:$C$1630,RUBROS!Y$5)</f>
        <v>0</v>
      </c>
      <c r="Z27" s="47">
        <f>SUMIFS('CONSOLIDADO POR SEDE'!$L$6:$L$1630,'CONSOLIDADO POR SEDE'!$E$6:$E$1630,RUBROS!$A27,'CONSOLIDADO POR SEDE'!$C$6:$C$1630,RUBROS!Z$5)</f>
        <v>0</v>
      </c>
      <c r="AA27" s="47">
        <f>SUMIFS('CONSOLIDADO POR SEDE'!$L$6:$L$1630,'CONSOLIDADO POR SEDE'!$E$6:$E$1630,RUBROS!$A27,'CONSOLIDADO POR SEDE'!$C$6:$C$1630,RUBROS!AA$5)</f>
        <v>0</v>
      </c>
      <c r="AB27" s="47">
        <f>SUMIFS('CONSOLIDADO POR SEDE'!$L$6:$L$1630,'CONSOLIDADO POR SEDE'!$E$6:$E$1630,RUBROS!$A27,'CONSOLIDADO POR SEDE'!$C$6:$C$1630,RUBROS!AB$5)</f>
        <v>0</v>
      </c>
      <c r="AC27" s="47">
        <f>SUMIFS('CONSOLIDADO POR SEDE'!$L$6:$L$1630,'CONSOLIDADO POR SEDE'!$E$6:$E$1630,RUBROS!$A27,'CONSOLIDADO POR SEDE'!$C$6:$C$1630,RUBROS!AC$5)</f>
        <v>0</v>
      </c>
      <c r="AD27" s="47">
        <f>SUMIFS('CONSOLIDADO POR SEDE'!$L$6:$L$1630,'CONSOLIDADO POR SEDE'!$E$6:$E$1630,RUBROS!$A27,'CONSOLIDADO POR SEDE'!$C$6:$C$1630,RUBROS!AD$5)</f>
        <v>115137.1551</v>
      </c>
      <c r="AE27" s="47">
        <f>SUMIFS('CONSOLIDADO POR SEDE'!$L$6:$L$1630,'CONSOLIDADO POR SEDE'!$E$6:$E$1630,RUBROS!$A27,'CONSOLIDADO POR SEDE'!$C$6:$C$1630,RUBROS!AE$5)</f>
        <v>0</v>
      </c>
      <c r="AF27" s="47">
        <f>SUMIFS('CONSOLIDADO POR SEDE'!$L$6:$L$1630,'CONSOLIDADO POR SEDE'!$E$6:$E$1630,RUBROS!$A27,'CONSOLIDADO POR SEDE'!$C$6:$C$1630,RUBROS!AF$5)</f>
        <v>0</v>
      </c>
      <c r="AG27" s="47">
        <f>SUMIFS('CONSOLIDADO POR SEDE'!$L$6:$L$1630,'CONSOLIDADO POR SEDE'!$E$6:$E$1630,RUBROS!$A27,'CONSOLIDADO POR SEDE'!$C$6:$C$1630,RUBROS!AG$5)</f>
        <v>0</v>
      </c>
      <c r="AH27" s="47">
        <f>SUMIFS('CONSOLIDADO POR SEDE'!$L$6:$L$1630,'CONSOLIDADO POR SEDE'!$E$6:$E$1630,RUBROS!$A27,'CONSOLIDADO POR SEDE'!$C$6:$C$1630,RUBROS!AH$5)</f>
        <v>0</v>
      </c>
      <c r="AI27" s="47">
        <f>SUMIFS('CONSOLIDADO POR SEDE'!$L$6:$L$1630,'CONSOLIDADO POR SEDE'!$E$6:$E$1630,RUBROS!$A27,'CONSOLIDADO POR SEDE'!$C$6:$C$1630,RUBROS!AI$5)</f>
        <v>0</v>
      </c>
      <c r="AJ27" s="47">
        <f>SUMIFS('CONSOLIDADO POR SEDE'!$L$6:$L$1630,'CONSOLIDADO POR SEDE'!$E$6:$E$1630,RUBROS!$A27,'CONSOLIDADO POR SEDE'!$C$6:$C$1630,RUBROS!AJ$5)</f>
        <v>0</v>
      </c>
      <c r="AK27" s="47">
        <f>SUMIFS('CONSOLIDADO POR SEDE'!$L$6:$L$1630,'CONSOLIDADO POR SEDE'!$E$6:$E$1630,RUBROS!$A27,'CONSOLIDADO POR SEDE'!$C$6:$C$1630,RUBROS!AK$5)</f>
        <v>0</v>
      </c>
      <c r="AL27" s="47">
        <f>SUMIFS('CONSOLIDADO POR SEDE'!$L$6:$L$1630,'CONSOLIDADO POR SEDE'!$E$6:$E$1630,RUBROS!$A27,'CONSOLIDADO POR SEDE'!$C$6:$C$1630,RUBROS!AL$5)</f>
        <v>0</v>
      </c>
      <c r="AM27" s="47">
        <f>SUMIFS('CONSOLIDADO POR SEDE'!$L$6:$L$1630,'CONSOLIDADO POR SEDE'!$E$6:$E$1630,RUBROS!$A27,'CONSOLIDADO POR SEDE'!$C$6:$C$1630,RUBROS!AM$5)</f>
        <v>363554.2113354</v>
      </c>
      <c r="AN27" s="47">
        <f>SUMIFS('CONSOLIDADO POR SEDE'!$L$6:$L$1630,'CONSOLIDADO POR SEDE'!$E$6:$E$1630,RUBROS!$A27,'CONSOLIDADO POR SEDE'!$C$6:$C$1630,RUBROS!AN$5)</f>
        <v>0</v>
      </c>
      <c r="AO27" s="47">
        <f>SUMIFS('CONSOLIDADO POR SEDE'!$L$6:$L$1630,'CONSOLIDADO POR SEDE'!$E$6:$E$1630,RUBROS!$A27,'CONSOLIDADO POR SEDE'!$C$6:$C$1630,RUBROS!AO$5)</f>
        <v>35632.068134399997</v>
      </c>
      <c r="AP27" s="47">
        <f>SUMIFS('CONSOLIDADO POR SEDE'!$L$6:$L$1630,'CONSOLIDADO POR SEDE'!$E$6:$E$1630,RUBROS!$A27,'CONSOLIDADO POR SEDE'!$C$6:$C$1630,RUBROS!AP$5)</f>
        <v>0</v>
      </c>
      <c r="AQ27" s="47"/>
      <c r="AR27" s="48">
        <v>320757.530853</v>
      </c>
      <c r="AS27" s="48"/>
      <c r="AT27" s="49">
        <f t="shared" si="1"/>
        <v>835080.96542280004</v>
      </c>
      <c r="AU27" s="42"/>
      <c r="AV27" s="42">
        <f t="shared" si="2"/>
        <v>514323.43456979998</v>
      </c>
    </row>
    <row r="28" spans="1:48">
      <c r="A28" s="6" t="s">
        <v>143</v>
      </c>
      <c r="B28" s="6">
        <v>4123010</v>
      </c>
      <c r="C28" s="47">
        <f>SUMIFS('CONSOLIDADO POR SEDE'!$L$6:$L$1630,'CONSOLIDADO POR SEDE'!$E$6:$E$1630,RUBROS!$A28,'CONSOLIDADO POR SEDE'!$C$6:$C$1630,RUBROS!C$5)</f>
        <v>0</v>
      </c>
      <c r="D28" s="47">
        <f>SUMIFS('CONSOLIDADO POR SEDE'!$L$6:$L$1630,'CONSOLIDADO POR SEDE'!$E$6:$E$1630,RUBROS!$A28,'CONSOLIDADO POR SEDE'!$C$6:$C$1630,RUBROS!D$5)</f>
        <v>0</v>
      </c>
      <c r="E28" s="47">
        <f>SUMIFS('CONSOLIDADO POR SEDE'!$L$6:$L$1630,'CONSOLIDADO POR SEDE'!$E$6:$E$1630,RUBROS!$A28,'CONSOLIDADO POR SEDE'!$C$6:$C$1630,RUBROS!E$5)</f>
        <v>0</v>
      </c>
      <c r="F28" s="47">
        <f>SUMIFS('CONSOLIDADO POR SEDE'!$L$6:$L$1630,'CONSOLIDADO POR SEDE'!$E$6:$E$1630,RUBROS!$A28,'CONSOLIDADO POR SEDE'!$C$6:$C$1630,RUBROS!F$5)</f>
        <v>0</v>
      </c>
      <c r="G28" s="47">
        <f>SUMIFS('CONSOLIDADO POR SEDE'!$L$6:$L$1630,'CONSOLIDADO POR SEDE'!$E$6:$E$1630,RUBROS!$A28,'CONSOLIDADO POR SEDE'!$C$6:$C$1630,RUBROS!G$5)</f>
        <v>0</v>
      </c>
      <c r="H28" s="47">
        <f>SUMIFS('CONSOLIDADO POR SEDE'!$L$6:$L$1630,'CONSOLIDADO POR SEDE'!$E$6:$E$1630,RUBROS!$A28,'CONSOLIDADO POR SEDE'!$C$6:$C$1630,RUBROS!H$5)</f>
        <v>0</v>
      </c>
      <c r="I28" s="47">
        <f>SUMIFS('CONSOLIDADO POR SEDE'!$L$6:$L$1630,'CONSOLIDADO POR SEDE'!$E$6:$E$1630,RUBROS!$A28,'CONSOLIDADO POR SEDE'!$C$6:$C$1630,RUBROS!I$5)</f>
        <v>120257.17149149999</v>
      </c>
      <c r="J28" s="47">
        <f>SUMIFS('CONSOLIDADO POR SEDE'!$L$6:$L$1630,'CONSOLIDADO POR SEDE'!$E$6:$E$1630,RUBROS!$A28,'CONSOLIDADO POR SEDE'!$C$6:$C$1630,RUBROS!J$5)</f>
        <v>70819.582186799991</v>
      </c>
      <c r="K28" s="47">
        <f>SUMIFS('CONSOLIDADO POR SEDE'!$L$6:$L$1630,'CONSOLIDADO POR SEDE'!$E$6:$E$1630,RUBROS!$A28,'CONSOLIDADO POR SEDE'!$C$6:$C$1630,RUBROS!K$5)</f>
        <v>0</v>
      </c>
      <c r="L28" s="47">
        <f>SUMIFS('CONSOLIDADO POR SEDE'!$L$6:$L$1630,'CONSOLIDADO POR SEDE'!$E$6:$E$1630,RUBROS!$A28,'CONSOLIDADO POR SEDE'!$C$6:$C$1630,RUBROS!L$5)</f>
        <v>0</v>
      </c>
      <c r="M28" s="47">
        <f>SUMIFS('CONSOLIDADO POR SEDE'!$L$6:$L$1630,'CONSOLIDADO POR SEDE'!$E$6:$E$1630,RUBROS!$A28,'CONSOLIDADO POR SEDE'!$C$6:$C$1630,RUBROS!M$5)</f>
        <v>0</v>
      </c>
      <c r="N28" s="47">
        <f>SUMIFS('CONSOLIDADO POR SEDE'!$L$6:$L$1630,'CONSOLIDADO POR SEDE'!$E$6:$E$1630,RUBROS!$A28,'CONSOLIDADO POR SEDE'!$C$6:$C$1630,RUBROS!N$5)</f>
        <v>0</v>
      </c>
      <c r="O28" s="47">
        <f>SUMIFS('CONSOLIDADO POR SEDE'!$L$6:$L$1630,'CONSOLIDADO POR SEDE'!$E$6:$E$1630,RUBROS!$A28,'CONSOLIDADO POR SEDE'!$C$6:$C$1630,RUBROS!O$5)</f>
        <v>0</v>
      </c>
      <c r="P28" s="47">
        <f>SUMIFS('CONSOLIDADO POR SEDE'!$L$6:$L$1630,'CONSOLIDADO POR SEDE'!$E$6:$E$1630,RUBROS!$A28,'CONSOLIDADO POR SEDE'!$C$6:$C$1630,RUBROS!P$5)</f>
        <v>0</v>
      </c>
      <c r="Q28" s="47">
        <f>SUMIFS('CONSOLIDADO POR SEDE'!$L$6:$L$1630,'CONSOLIDADO POR SEDE'!$E$6:$E$1630,RUBROS!$A28,'CONSOLIDADO POR SEDE'!$C$6:$C$1630,RUBROS!Q$5)</f>
        <v>0</v>
      </c>
      <c r="R28" s="47">
        <f>SUMIFS('CONSOLIDADO POR SEDE'!$L$6:$L$1630,'CONSOLIDADO POR SEDE'!$E$6:$E$1630,RUBROS!$A28,'CONSOLIDADO POR SEDE'!$C$6:$C$1630,RUBROS!R$5)</f>
        <v>0</v>
      </c>
      <c r="S28" s="47">
        <f>SUMIFS('CONSOLIDADO POR SEDE'!$L$6:$L$1630,'CONSOLIDADO POR SEDE'!$E$6:$E$1630,RUBROS!$A28,'CONSOLIDADO POR SEDE'!$C$6:$C$1630,RUBROS!S$5)</f>
        <v>0</v>
      </c>
      <c r="T28" s="47">
        <f>SUMIFS('CONSOLIDADO POR SEDE'!$L$6:$L$1630,'CONSOLIDADO POR SEDE'!$E$6:$E$1630,RUBROS!$A28,'CONSOLIDADO POR SEDE'!$C$6:$C$1630,RUBROS!T$5)</f>
        <v>0</v>
      </c>
      <c r="U28" s="47">
        <f>SUMIFS('CONSOLIDADO POR SEDE'!$L$6:$L$1630,'CONSOLIDADO POR SEDE'!$E$6:$E$1630,RUBROS!$A28,'CONSOLIDADO POR SEDE'!$C$6:$C$1630,RUBROS!U$5)</f>
        <v>0</v>
      </c>
      <c r="V28" s="47">
        <f>SUMIFS('CONSOLIDADO POR SEDE'!$L$6:$L$1630,'CONSOLIDADO POR SEDE'!$E$6:$E$1630,RUBROS!$A28,'CONSOLIDADO POR SEDE'!$C$6:$C$1630,RUBROS!V$5)</f>
        <v>0</v>
      </c>
      <c r="W28" s="47">
        <f>SUMIFS('CONSOLIDADO POR SEDE'!$L$6:$L$1630,'CONSOLIDADO POR SEDE'!$E$6:$E$1630,RUBROS!$A28,'CONSOLIDADO POR SEDE'!$C$6:$C$1630,RUBROS!W$5)</f>
        <v>0</v>
      </c>
      <c r="X28" s="47">
        <f>SUMIFS('CONSOLIDADO POR SEDE'!$L$6:$L$1630,'CONSOLIDADO POR SEDE'!$E$6:$E$1630,RUBROS!$A28,'CONSOLIDADO POR SEDE'!$C$6:$C$1630,RUBROS!X$5)</f>
        <v>0</v>
      </c>
      <c r="Y28" s="47">
        <f>SUMIFS('CONSOLIDADO POR SEDE'!$L$6:$L$1630,'CONSOLIDADO POR SEDE'!$E$6:$E$1630,RUBROS!$A28,'CONSOLIDADO POR SEDE'!$C$6:$C$1630,RUBROS!Y$5)</f>
        <v>0</v>
      </c>
      <c r="Z28" s="47">
        <f>SUMIFS('CONSOLIDADO POR SEDE'!$L$6:$L$1630,'CONSOLIDADO POR SEDE'!$E$6:$E$1630,RUBROS!$A28,'CONSOLIDADO POR SEDE'!$C$6:$C$1630,RUBROS!Z$5)</f>
        <v>0</v>
      </c>
      <c r="AA28" s="47">
        <f>SUMIFS('CONSOLIDADO POR SEDE'!$L$6:$L$1630,'CONSOLIDADO POR SEDE'!$E$6:$E$1630,RUBROS!$A28,'CONSOLIDADO POR SEDE'!$C$6:$C$1630,RUBROS!AA$5)</f>
        <v>0</v>
      </c>
      <c r="AB28" s="47">
        <f>SUMIFS('CONSOLIDADO POR SEDE'!$L$6:$L$1630,'CONSOLIDADO POR SEDE'!$E$6:$E$1630,RUBROS!$A28,'CONSOLIDADO POR SEDE'!$C$6:$C$1630,RUBROS!AB$5)</f>
        <v>0</v>
      </c>
      <c r="AC28" s="47">
        <f>SUMIFS('CONSOLIDADO POR SEDE'!$L$6:$L$1630,'CONSOLIDADO POR SEDE'!$E$6:$E$1630,RUBROS!$A28,'CONSOLIDADO POR SEDE'!$C$6:$C$1630,RUBROS!AC$5)</f>
        <v>0</v>
      </c>
      <c r="AD28" s="47">
        <f>SUMIFS('CONSOLIDADO POR SEDE'!$L$6:$L$1630,'CONSOLIDADO POR SEDE'!$E$6:$E$1630,RUBROS!$A28,'CONSOLIDADO POR SEDE'!$C$6:$C$1630,RUBROS!AD$5)</f>
        <v>0</v>
      </c>
      <c r="AE28" s="47">
        <f>SUMIFS('CONSOLIDADO POR SEDE'!$L$6:$L$1630,'CONSOLIDADO POR SEDE'!$E$6:$E$1630,RUBROS!$A28,'CONSOLIDADO POR SEDE'!$C$6:$C$1630,RUBROS!AE$5)</f>
        <v>0</v>
      </c>
      <c r="AF28" s="47">
        <f>SUMIFS('CONSOLIDADO POR SEDE'!$L$6:$L$1630,'CONSOLIDADO POR SEDE'!$E$6:$E$1630,RUBROS!$A28,'CONSOLIDADO POR SEDE'!$C$6:$C$1630,RUBROS!AF$5)</f>
        <v>0</v>
      </c>
      <c r="AG28" s="47">
        <f>SUMIFS('CONSOLIDADO POR SEDE'!$L$6:$L$1630,'CONSOLIDADO POR SEDE'!$E$6:$E$1630,RUBROS!$A28,'CONSOLIDADO POR SEDE'!$C$6:$C$1630,RUBROS!AG$5)</f>
        <v>0</v>
      </c>
      <c r="AH28" s="47">
        <f>SUMIFS('CONSOLIDADO POR SEDE'!$L$6:$L$1630,'CONSOLIDADO POR SEDE'!$E$6:$E$1630,RUBROS!$A28,'CONSOLIDADO POR SEDE'!$C$6:$C$1630,RUBROS!AH$5)</f>
        <v>0</v>
      </c>
      <c r="AI28" s="47">
        <f>SUMIFS('CONSOLIDADO POR SEDE'!$L$6:$L$1630,'CONSOLIDADO POR SEDE'!$E$6:$E$1630,RUBROS!$A28,'CONSOLIDADO POR SEDE'!$C$6:$C$1630,RUBROS!AI$5)</f>
        <v>0</v>
      </c>
      <c r="AJ28" s="47">
        <f>SUMIFS('CONSOLIDADO POR SEDE'!$L$6:$L$1630,'CONSOLIDADO POR SEDE'!$E$6:$E$1630,RUBROS!$A28,'CONSOLIDADO POR SEDE'!$C$6:$C$1630,RUBROS!AJ$5)</f>
        <v>0</v>
      </c>
      <c r="AK28" s="47">
        <f>SUMIFS('CONSOLIDADO POR SEDE'!$L$6:$L$1630,'CONSOLIDADO POR SEDE'!$E$6:$E$1630,RUBROS!$A28,'CONSOLIDADO POR SEDE'!$C$6:$C$1630,RUBROS!AK$5)</f>
        <v>0</v>
      </c>
      <c r="AL28" s="47">
        <f>SUMIFS('CONSOLIDADO POR SEDE'!$L$6:$L$1630,'CONSOLIDADO POR SEDE'!$E$6:$E$1630,RUBROS!$A28,'CONSOLIDADO POR SEDE'!$C$6:$C$1630,RUBROS!AL$5)</f>
        <v>0</v>
      </c>
      <c r="AM28" s="47">
        <f>SUMIFS('CONSOLIDADO POR SEDE'!$L$6:$L$1630,'CONSOLIDADO POR SEDE'!$E$6:$E$1630,RUBROS!$A28,'CONSOLIDADO POR SEDE'!$C$6:$C$1630,RUBROS!AM$5)</f>
        <v>0</v>
      </c>
      <c r="AN28" s="47">
        <f>SUMIFS('CONSOLIDADO POR SEDE'!$L$6:$L$1630,'CONSOLIDADO POR SEDE'!$E$6:$E$1630,RUBROS!$A28,'CONSOLIDADO POR SEDE'!$C$6:$C$1630,RUBROS!AN$5)</f>
        <v>0</v>
      </c>
      <c r="AO28" s="47">
        <f>SUMIFS('CONSOLIDADO POR SEDE'!$L$6:$L$1630,'CONSOLIDADO POR SEDE'!$E$6:$E$1630,RUBROS!$A28,'CONSOLIDADO POR SEDE'!$C$6:$C$1630,RUBROS!AO$5)</f>
        <v>0</v>
      </c>
      <c r="AP28" s="47">
        <f>SUMIFS('CONSOLIDADO POR SEDE'!$L$6:$L$1630,'CONSOLIDADO POR SEDE'!$E$6:$E$1630,RUBROS!$A28,'CONSOLIDADO POR SEDE'!$C$6:$C$1630,RUBROS!AP$5)</f>
        <v>0</v>
      </c>
      <c r="AQ28" s="47"/>
      <c r="AR28" s="48">
        <v>320757.530853</v>
      </c>
      <c r="AS28" s="48"/>
      <c r="AT28" s="49">
        <f t="shared" si="1"/>
        <v>511834.28453129996</v>
      </c>
      <c r="AU28" s="42"/>
      <c r="AV28" s="42">
        <f t="shared" si="2"/>
        <v>191076.75367829998</v>
      </c>
    </row>
    <row r="29" spans="1:48">
      <c r="A29" s="6" t="s">
        <v>144</v>
      </c>
      <c r="B29" s="6">
        <v>4123007</v>
      </c>
      <c r="C29" s="47">
        <f>SUMIFS('CONSOLIDADO POR SEDE'!$L$6:$L$1630,'CONSOLIDADO POR SEDE'!$E$6:$E$1630,RUBROS!$A29,'CONSOLIDADO POR SEDE'!$C$6:$C$1630,RUBROS!C$5)</f>
        <v>0</v>
      </c>
      <c r="D29" s="47">
        <f>SUMIFS('CONSOLIDADO POR SEDE'!$L$6:$L$1630,'CONSOLIDADO POR SEDE'!$E$6:$E$1630,RUBROS!$A29,'CONSOLIDADO POR SEDE'!$C$6:$C$1630,RUBROS!D$5)</f>
        <v>0</v>
      </c>
      <c r="E29" s="47">
        <f>SUMIFS('CONSOLIDADO POR SEDE'!$L$6:$L$1630,'CONSOLIDADO POR SEDE'!$E$6:$E$1630,RUBROS!$A29,'CONSOLIDADO POR SEDE'!$C$6:$C$1630,RUBROS!E$5)</f>
        <v>0</v>
      </c>
      <c r="F29" s="47">
        <f>SUMIFS('CONSOLIDADO POR SEDE'!$L$6:$L$1630,'CONSOLIDADO POR SEDE'!$E$6:$E$1630,RUBROS!$A29,'CONSOLIDADO POR SEDE'!$C$6:$C$1630,RUBROS!F$5)</f>
        <v>0</v>
      </c>
      <c r="G29" s="47">
        <f>SUMIFS('CONSOLIDADO POR SEDE'!$L$6:$L$1630,'CONSOLIDADO POR SEDE'!$E$6:$E$1630,RUBROS!$A29,'CONSOLIDADO POR SEDE'!$C$6:$C$1630,RUBROS!G$5)</f>
        <v>0</v>
      </c>
      <c r="H29" s="47">
        <f>SUMIFS('CONSOLIDADO POR SEDE'!$L$6:$L$1630,'CONSOLIDADO POR SEDE'!$E$6:$E$1630,RUBROS!$A29,'CONSOLIDADO POR SEDE'!$C$6:$C$1630,RUBROS!H$5)</f>
        <v>0</v>
      </c>
      <c r="I29" s="47">
        <f>SUMIFS('CONSOLIDADO POR SEDE'!$L$6:$L$1630,'CONSOLIDADO POR SEDE'!$E$6:$E$1630,RUBROS!$A29,'CONSOLIDADO POR SEDE'!$C$6:$C$1630,RUBROS!I$5)</f>
        <v>0</v>
      </c>
      <c r="J29" s="47">
        <f>SUMIFS('CONSOLIDADO POR SEDE'!$L$6:$L$1630,'CONSOLIDADO POR SEDE'!$E$6:$E$1630,RUBROS!$A29,'CONSOLIDADO POR SEDE'!$C$6:$C$1630,RUBROS!J$5)</f>
        <v>0</v>
      </c>
      <c r="K29" s="47">
        <f>SUMIFS('CONSOLIDADO POR SEDE'!$L$6:$L$1630,'CONSOLIDADO POR SEDE'!$E$6:$E$1630,RUBROS!$A29,'CONSOLIDADO POR SEDE'!$C$6:$C$1630,RUBROS!K$5)</f>
        <v>0</v>
      </c>
      <c r="L29" s="47">
        <f>SUMIFS('CONSOLIDADO POR SEDE'!$L$6:$L$1630,'CONSOLIDADO POR SEDE'!$E$6:$E$1630,RUBROS!$A29,'CONSOLIDADO POR SEDE'!$C$6:$C$1630,RUBROS!L$5)</f>
        <v>0</v>
      </c>
      <c r="M29" s="47">
        <f>SUMIFS('CONSOLIDADO POR SEDE'!$L$6:$L$1630,'CONSOLIDADO POR SEDE'!$E$6:$E$1630,RUBROS!$A29,'CONSOLIDADO POR SEDE'!$C$6:$C$1630,RUBROS!M$5)</f>
        <v>0</v>
      </c>
      <c r="N29" s="47">
        <f>SUMIFS('CONSOLIDADO POR SEDE'!$L$6:$L$1630,'CONSOLIDADO POR SEDE'!$E$6:$E$1630,RUBROS!$A29,'CONSOLIDADO POR SEDE'!$C$6:$C$1630,RUBROS!N$5)</f>
        <v>0</v>
      </c>
      <c r="O29" s="47">
        <f>SUMIFS('CONSOLIDADO POR SEDE'!$L$6:$L$1630,'CONSOLIDADO POR SEDE'!$E$6:$E$1630,RUBROS!$A29,'CONSOLIDADO POR SEDE'!$C$6:$C$1630,RUBROS!O$5)</f>
        <v>0</v>
      </c>
      <c r="P29" s="47">
        <f>SUMIFS('CONSOLIDADO POR SEDE'!$L$6:$L$1630,'CONSOLIDADO POR SEDE'!$E$6:$E$1630,RUBROS!$A29,'CONSOLIDADO POR SEDE'!$C$6:$C$1630,RUBROS!P$5)</f>
        <v>0</v>
      </c>
      <c r="Q29" s="47">
        <f>SUMIFS('CONSOLIDADO POR SEDE'!$L$6:$L$1630,'CONSOLIDADO POR SEDE'!$E$6:$E$1630,RUBROS!$A29,'CONSOLIDADO POR SEDE'!$C$6:$C$1630,RUBROS!Q$5)</f>
        <v>0</v>
      </c>
      <c r="R29" s="47">
        <f>SUMIFS('CONSOLIDADO POR SEDE'!$L$6:$L$1630,'CONSOLIDADO POR SEDE'!$E$6:$E$1630,RUBROS!$A29,'CONSOLIDADO POR SEDE'!$C$6:$C$1630,RUBROS!R$5)</f>
        <v>0</v>
      </c>
      <c r="S29" s="47">
        <f>SUMIFS('CONSOLIDADO POR SEDE'!$L$6:$L$1630,'CONSOLIDADO POR SEDE'!$E$6:$E$1630,RUBROS!$A29,'CONSOLIDADO POR SEDE'!$C$6:$C$1630,RUBROS!S$5)</f>
        <v>0</v>
      </c>
      <c r="T29" s="47">
        <f>SUMIFS('CONSOLIDADO POR SEDE'!$L$6:$L$1630,'CONSOLIDADO POR SEDE'!$E$6:$E$1630,RUBROS!$A29,'CONSOLIDADO POR SEDE'!$C$6:$C$1630,RUBROS!T$5)</f>
        <v>0</v>
      </c>
      <c r="U29" s="47">
        <f>SUMIFS('CONSOLIDADO POR SEDE'!$L$6:$L$1630,'CONSOLIDADO POR SEDE'!$E$6:$E$1630,RUBROS!$A29,'CONSOLIDADO POR SEDE'!$C$6:$C$1630,RUBROS!U$5)</f>
        <v>0</v>
      </c>
      <c r="V29" s="47">
        <f>SUMIFS('CONSOLIDADO POR SEDE'!$L$6:$L$1630,'CONSOLIDADO POR SEDE'!$E$6:$E$1630,RUBROS!$A29,'CONSOLIDADO POR SEDE'!$C$6:$C$1630,RUBROS!V$5)</f>
        <v>0</v>
      </c>
      <c r="W29" s="47">
        <f>SUMIFS('CONSOLIDADO POR SEDE'!$L$6:$L$1630,'CONSOLIDADO POR SEDE'!$E$6:$E$1630,RUBROS!$A29,'CONSOLIDADO POR SEDE'!$C$6:$C$1630,RUBROS!W$5)</f>
        <v>0</v>
      </c>
      <c r="X29" s="47">
        <f>SUMIFS('CONSOLIDADO POR SEDE'!$L$6:$L$1630,'CONSOLIDADO POR SEDE'!$E$6:$E$1630,RUBROS!$A29,'CONSOLIDADO POR SEDE'!$C$6:$C$1630,RUBROS!X$5)</f>
        <v>0</v>
      </c>
      <c r="Y29" s="47">
        <f>SUMIFS('CONSOLIDADO POR SEDE'!$L$6:$L$1630,'CONSOLIDADO POR SEDE'!$E$6:$E$1630,RUBROS!$A29,'CONSOLIDADO POR SEDE'!$C$6:$C$1630,RUBROS!Y$5)</f>
        <v>0</v>
      </c>
      <c r="Z29" s="47">
        <f>SUMIFS('CONSOLIDADO POR SEDE'!$L$6:$L$1630,'CONSOLIDADO POR SEDE'!$E$6:$E$1630,RUBROS!$A29,'CONSOLIDADO POR SEDE'!$C$6:$C$1630,RUBROS!Z$5)</f>
        <v>0</v>
      </c>
      <c r="AA29" s="47">
        <f>SUMIFS('CONSOLIDADO POR SEDE'!$L$6:$L$1630,'CONSOLIDADO POR SEDE'!$E$6:$E$1630,RUBROS!$A29,'CONSOLIDADO POR SEDE'!$C$6:$C$1630,RUBROS!AA$5)</f>
        <v>0</v>
      </c>
      <c r="AB29" s="47">
        <f>SUMIFS('CONSOLIDADO POR SEDE'!$L$6:$L$1630,'CONSOLIDADO POR SEDE'!$E$6:$E$1630,RUBROS!$A29,'CONSOLIDADO POR SEDE'!$C$6:$C$1630,RUBROS!AB$5)</f>
        <v>0</v>
      </c>
      <c r="AC29" s="47">
        <f>SUMIFS('CONSOLIDADO POR SEDE'!$L$6:$L$1630,'CONSOLIDADO POR SEDE'!$E$6:$E$1630,RUBROS!$A29,'CONSOLIDADO POR SEDE'!$C$6:$C$1630,RUBROS!AC$5)</f>
        <v>0</v>
      </c>
      <c r="AD29" s="47">
        <f>SUMIFS('CONSOLIDADO POR SEDE'!$L$6:$L$1630,'CONSOLIDADO POR SEDE'!$E$6:$E$1630,RUBROS!$A29,'CONSOLIDADO POR SEDE'!$C$6:$C$1630,RUBROS!AD$5)</f>
        <v>0</v>
      </c>
      <c r="AE29" s="47">
        <f>SUMIFS('CONSOLIDADO POR SEDE'!$L$6:$L$1630,'CONSOLIDADO POR SEDE'!$E$6:$E$1630,RUBROS!$A29,'CONSOLIDADO POR SEDE'!$C$6:$C$1630,RUBROS!AE$5)</f>
        <v>0</v>
      </c>
      <c r="AF29" s="47">
        <f>SUMIFS('CONSOLIDADO POR SEDE'!$L$6:$L$1630,'CONSOLIDADO POR SEDE'!$E$6:$E$1630,RUBROS!$A29,'CONSOLIDADO POR SEDE'!$C$6:$C$1630,RUBROS!AF$5)</f>
        <v>0</v>
      </c>
      <c r="AG29" s="47">
        <f>SUMIFS('CONSOLIDADO POR SEDE'!$L$6:$L$1630,'CONSOLIDADO POR SEDE'!$E$6:$E$1630,RUBROS!$A29,'CONSOLIDADO POR SEDE'!$C$6:$C$1630,RUBROS!AG$5)</f>
        <v>0</v>
      </c>
      <c r="AH29" s="47">
        <f>SUMIFS('CONSOLIDADO POR SEDE'!$L$6:$L$1630,'CONSOLIDADO POR SEDE'!$E$6:$E$1630,RUBROS!$A29,'CONSOLIDADO POR SEDE'!$C$6:$C$1630,RUBROS!AH$5)</f>
        <v>0</v>
      </c>
      <c r="AI29" s="47">
        <f>SUMIFS('CONSOLIDADO POR SEDE'!$L$6:$L$1630,'CONSOLIDADO POR SEDE'!$E$6:$E$1630,RUBROS!$A29,'CONSOLIDADO POR SEDE'!$C$6:$C$1630,RUBROS!AI$5)</f>
        <v>0</v>
      </c>
      <c r="AJ29" s="47">
        <f>SUMIFS('CONSOLIDADO POR SEDE'!$L$6:$L$1630,'CONSOLIDADO POR SEDE'!$E$6:$E$1630,RUBROS!$A29,'CONSOLIDADO POR SEDE'!$C$6:$C$1630,RUBROS!AJ$5)</f>
        <v>0</v>
      </c>
      <c r="AK29" s="47">
        <f>SUMIFS('CONSOLIDADO POR SEDE'!$L$6:$L$1630,'CONSOLIDADO POR SEDE'!$E$6:$E$1630,RUBROS!$A29,'CONSOLIDADO POR SEDE'!$C$6:$C$1630,RUBROS!AK$5)</f>
        <v>0</v>
      </c>
      <c r="AL29" s="47">
        <f>SUMIFS('CONSOLIDADO POR SEDE'!$L$6:$L$1630,'CONSOLIDADO POR SEDE'!$E$6:$E$1630,RUBROS!$A29,'CONSOLIDADO POR SEDE'!$C$6:$C$1630,RUBROS!AL$5)</f>
        <v>0</v>
      </c>
      <c r="AM29" s="47">
        <f>SUMIFS('CONSOLIDADO POR SEDE'!$L$6:$L$1630,'CONSOLIDADO POR SEDE'!$E$6:$E$1630,RUBROS!$A29,'CONSOLIDADO POR SEDE'!$C$6:$C$1630,RUBROS!AM$5)</f>
        <v>0</v>
      </c>
      <c r="AN29" s="47">
        <f>SUMIFS('CONSOLIDADO POR SEDE'!$L$6:$L$1630,'CONSOLIDADO POR SEDE'!$E$6:$E$1630,RUBROS!$A29,'CONSOLIDADO POR SEDE'!$C$6:$C$1630,RUBROS!AN$5)</f>
        <v>0</v>
      </c>
      <c r="AO29" s="47">
        <f>SUMIFS('CONSOLIDADO POR SEDE'!$L$6:$L$1630,'CONSOLIDADO POR SEDE'!$E$6:$E$1630,RUBROS!$A29,'CONSOLIDADO POR SEDE'!$C$6:$C$1630,RUBROS!AO$5)</f>
        <v>0</v>
      </c>
      <c r="AP29" s="47">
        <f>SUMIFS('CONSOLIDADO POR SEDE'!$L$6:$L$1630,'CONSOLIDADO POR SEDE'!$E$6:$E$1630,RUBROS!$A29,'CONSOLIDADO POR SEDE'!$C$6:$C$1630,RUBROS!AP$5)</f>
        <v>0</v>
      </c>
      <c r="AQ29" s="47"/>
      <c r="AR29" s="48">
        <v>320757.530853</v>
      </c>
      <c r="AS29" s="48"/>
      <c r="AT29" s="49">
        <f t="shared" si="1"/>
        <v>320757.530853</v>
      </c>
      <c r="AU29" s="42"/>
      <c r="AV29" s="42">
        <f t="shared" si="2"/>
        <v>0</v>
      </c>
    </row>
    <row r="30" spans="1:48">
      <c r="A30" s="6" t="s">
        <v>145</v>
      </c>
      <c r="B30" s="6">
        <v>4222118</v>
      </c>
      <c r="C30" s="47">
        <f>SUMIFS('CONSOLIDADO POR SEDE'!$L$6:$L$1630,'CONSOLIDADO POR SEDE'!$E$6:$E$1630,RUBROS!$A30,'CONSOLIDADO POR SEDE'!$C$6:$C$1630,RUBROS!C$5)</f>
        <v>0</v>
      </c>
      <c r="D30" s="47">
        <f>SUMIFS('CONSOLIDADO POR SEDE'!$L$6:$L$1630,'CONSOLIDADO POR SEDE'!$E$6:$E$1630,RUBROS!$A30,'CONSOLIDADO POR SEDE'!$C$6:$C$1630,RUBROS!D$5)</f>
        <v>0</v>
      </c>
      <c r="E30" s="47">
        <f>SUMIFS('CONSOLIDADO POR SEDE'!$L$6:$L$1630,'CONSOLIDADO POR SEDE'!$E$6:$E$1630,RUBROS!$A30,'CONSOLIDADO POR SEDE'!$C$6:$C$1630,RUBROS!E$5)</f>
        <v>0</v>
      </c>
      <c r="F30" s="47">
        <f>SUMIFS('CONSOLIDADO POR SEDE'!$L$6:$L$1630,'CONSOLIDADO POR SEDE'!$E$6:$E$1630,RUBROS!$A30,'CONSOLIDADO POR SEDE'!$C$6:$C$1630,RUBROS!F$5)</f>
        <v>0</v>
      </c>
      <c r="G30" s="47">
        <f>SUMIFS('CONSOLIDADO POR SEDE'!$L$6:$L$1630,'CONSOLIDADO POR SEDE'!$E$6:$E$1630,RUBROS!$A30,'CONSOLIDADO POR SEDE'!$C$6:$C$1630,RUBROS!G$5)</f>
        <v>0</v>
      </c>
      <c r="H30" s="47">
        <f>SUMIFS('CONSOLIDADO POR SEDE'!$L$6:$L$1630,'CONSOLIDADO POR SEDE'!$E$6:$E$1630,RUBROS!$A30,'CONSOLIDADO POR SEDE'!$C$6:$C$1630,RUBROS!H$5)</f>
        <v>0</v>
      </c>
      <c r="I30" s="47">
        <f>SUMIFS('CONSOLIDADO POR SEDE'!$L$6:$L$1630,'CONSOLIDADO POR SEDE'!$E$6:$E$1630,RUBROS!$A30,'CONSOLIDADO POR SEDE'!$C$6:$C$1630,RUBROS!I$5)</f>
        <v>0</v>
      </c>
      <c r="J30" s="47">
        <f>SUMIFS('CONSOLIDADO POR SEDE'!$L$6:$L$1630,'CONSOLIDADO POR SEDE'!$E$6:$E$1630,RUBROS!$A30,'CONSOLIDADO POR SEDE'!$C$6:$C$1630,RUBROS!J$5)</f>
        <v>0</v>
      </c>
      <c r="K30" s="47">
        <f>SUMIFS('CONSOLIDADO POR SEDE'!$L$6:$L$1630,'CONSOLIDADO POR SEDE'!$E$6:$E$1630,RUBROS!$A30,'CONSOLIDADO POR SEDE'!$C$6:$C$1630,RUBROS!K$5)</f>
        <v>0</v>
      </c>
      <c r="L30" s="47">
        <f>SUMIFS('CONSOLIDADO POR SEDE'!$L$6:$L$1630,'CONSOLIDADO POR SEDE'!$E$6:$E$1630,RUBROS!$A30,'CONSOLIDADO POR SEDE'!$C$6:$C$1630,RUBROS!L$5)</f>
        <v>0</v>
      </c>
      <c r="M30" s="47">
        <f>SUMIFS('CONSOLIDADO POR SEDE'!$L$6:$L$1630,'CONSOLIDADO POR SEDE'!$E$6:$E$1630,RUBROS!$A30,'CONSOLIDADO POR SEDE'!$C$6:$C$1630,RUBROS!M$5)</f>
        <v>0</v>
      </c>
      <c r="N30" s="47">
        <f>SUMIFS('CONSOLIDADO POR SEDE'!$L$6:$L$1630,'CONSOLIDADO POR SEDE'!$E$6:$E$1630,RUBROS!$A30,'CONSOLIDADO POR SEDE'!$C$6:$C$1630,RUBROS!N$5)</f>
        <v>0</v>
      </c>
      <c r="O30" s="47">
        <f>SUMIFS('CONSOLIDADO POR SEDE'!$L$6:$L$1630,'CONSOLIDADO POR SEDE'!$E$6:$E$1630,RUBROS!$A30,'CONSOLIDADO POR SEDE'!$C$6:$C$1630,RUBROS!O$5)</f>
        <v>0</v>
      </c>
      <c r="P30" s="47">
        <f>SUMIFS('CONSOLIDADO POR SEDE'!$L$6:$L$1630,'CONSOLIDADO POR SEDE'!$E$6:$E$1630,RUBROS!$A30,'CONSOLIDADO POR SEDE'!$C$6:$C$1630,RUBROS!P$5)</f>
        <v>0</v>
      </c>
      <c r="Q30" s="47">
        <f>SUMIFS('CONSOLIDADO POR SEDE'!$L$6:$L$1630,'CONSOLIDADO POR SEDE'!$E$6:$E$1630,RUBROS!$A30,'CONSOLIDADO POR SEDE'!$C$6:$C$1630,RUBROS!Q$5)</f>
        <v>0</v>
      </c>
      <c r="R30" s="47">
        <f>SUMIFS('CONSOLIDADO POR SEDE'!$L$6:$L$1630,'CONSOLIDADO POR SEDE'!$E$6:$E$1630,RUBROS!$A30,'CONSOLIDADO POR SEDE'!$C$6:$C$1630,RUBROS!R$5)</f>
        <v>0</v>
      </c>
      <c r="S30" s="47">
        <f>SUMIFS('CONSOLIDADO POR SEDE'!$L$6:$L$1630,'CONSOLIDADO POR SEDE'!$E$6:$E$1630,RUBROS!$A30,'CONSOLIDADO POR SEDE'!$C$6:$C$1630,RUBROS!S$5)</f>
        <v>0</v>
      </c>
      <c r="T30" s="47">
        <f>SUMIFS('CONSOLIDADO POR SEDE'!$L$6:$L$1630,'CONSOLIDADO POR SEDE'!$E$6:$E$1630,RUBROS!$A30,'CONSOLIDADO POR SEDE'!$C$6:$C$1630,RUBROS!T$5)</f>
        <v>0</v>
      </c>
      <c r="U30" s="47">
        <f>SUMIFS('CONSOLIDADO POR SEDE'!$L$6:$L$1630,'CONSOLIDADO POR SEDE'!$E$6:$E$1630,RUBROS!$A30,'CONSOLIDADO POR SEDE'!$C$6:$C$1630,RUBROS!U$5)</f>
        <v>0</v>
      </c>
      <c r="V30" s="47">
        <f>SUMIFS('CONSOLIDADO POR SEDE'!$L$6:$L$1630,'CONSOLIDADO POR SEDE'!$E$6:$E$1630,RUBROS!$A30,'CONSOLIDADO POR SEDE'!$C$6:$C$1630,RUBROS!V$5)</f>
        <v>0</v>
      </c>
      <c r="W30" s="47">
        <f>SUMIFS('CONSOLIDADO POR SEDE'!$L$6:$L$1630,'CONSOLIDADO POR SEDE'!$E$6:$E$1630,RUBROS!$A30,'CONSOLIDADO POR SEDE'!$C$6:$C$1630,RUBROS!W$5)</f>
        <v>0</v>
      </c>
      <c r="X30" s="47">
        <f>SUMIFS('CONSOLIDADO POR SEDE'!$L$6:$L$1630,'CONSOLIDADO POR SEDE'!$E$6:$E$1630,RUBROS!$A30,'CONSOLIDADO POR SEDE'!$C$6:$C$1630,RUBROS!X$5)</f>
        <v>0</v>
      </c>
      <c r="Y30" s="47">
        <f>SUMIFS('CONSOLIDADO POR SEDE'!$L$6:$L$1630,'CONSOLIDADO POR SEDE'!$E$6:$E$1630,RUBROS!$A30,'CONSOLIDADO POR SEDE'!$C$6:$C$1630,RUBROS!Y$5)</f>
        <v>0</v>
      </c>
      <c r="Z30" s="47">
        <f>SUMIFS('CONSOLIDADO POR SEDE'!$L$6:$L$1630,'CONSOLIDADO POR SEDE'!$E$6:$E$1630,RUBROS!$A30,'CONSOLIDADO POR SEDE'!$C$6:$C$1630,RUBROS!Z$5)</f>
        <v>0</v>
      </c>
      <c r="AA30" s="47">
        <f>SUMIFS('CONSOLIDADO POR SEDE'!$L$6:$L$1630,'CONSOLIDADO POR SEDE'!$E$6:$E$1630,RUBROS!$A30,'CONSOLIDADO POR SEDE'!$C$6:$C$1630,RUBROS!AA$5)</f>
        <v>0</v>
      </c>
      <c r="AB30" s="47">
        <f>SUMIFS('CONSOLIDADO POR SEDE'!$L$6:$L$1630,'CONSOLIDADO POR SEDE'!$E$6:$E$1630,RUBROS!$A30,'CONSOLIDADO POR SEDE'!$C$6:$C$1630,RUBROS!AB$5)</f>
        <v>0</v>
      </c>
      <c r="AC30" s="47">
        <f>SUMIFS('CONSOLIDADO POR SEDE'!$L$6:$L$1630,'CONSOLIDADO POR SEDE'!$E$6:$E$1630,RUBROS!$A30,'CONSOLIDADO POR SEDE'!$C$6:$C$1630,RUBROS!AC$5)</f>
        <v>0</v>
      </c>
      <c r="AD30" s="47">
        <f>SUMIFS('CONSOLIDADO POR SEDE'!$L$6:$L$1630,'CONSOLIDADO POR SEDE'!$E$6:$E$1630,RUBROS!$A30,'CONSOLIDADO POR SEDE'!$C$6:$C$1630,RUBROS!AD$5)</f>
        <v>0</v>
      </c>
      <c r="AE30" s="47">
        <f>SUMIFS('CONSOLIDADO POR SEDE'!$L$6:$L$1630,'CONSOLIDADO POR SEDE'!$E$6:$E$1630,RUBROS!$A30,'CONSOLIDADO POR SEDE'!$C$6:$C$1630,RUBROS!AE$5)</f>
        <v>0</v>
      </c>
      <c r="AF30" s="47">
        <f>SUMIFS('CONSOLIDADO POR SEDE'!$L$6:$L$1630,'CONSOLIDADO POR SEDE'!$E$6:$E$1630,RUBROS!$A30,'CONSOLIDADO POR SEDE'!$C$6:$C$1630,RUBROS!AF$5)</f>
        <v>0</v>
      </c>
      <c r="AG30" s="47">
        <f>SUMIFS('CONSOLIDADO POR SEDE'!$L$6:$L$1630,'CONSOLIDADO POR SEDE'!$E$6:$E$1630,RUBROS!$A30,'CONSOLIDADO POR SEDE'!$C$6:$C$1630,RUBROS!AG$5)</f>
        <v>0</v>
      </c>
      <c r="AH30" s="47">
        <f>SUMIFS('CONSOLIDADO POR SEDE'!$L$6:$L$1630,'CONSOLIDADO POR SEDE'!$E$6:$E$1630,RUBROS!$A30,'CONSOLIDADO POR SEDE'!$C$6:$C$1630,RUBROS!AH$5)</f>
        <v>0</v>
      </c>
      <c r="AI30" s="47">
        <f>SUMIFS('CONSOLIDADO POR SEDE'!$L$6:$L$1630,'CONSOLIDADO POR SEDE'!$E$6:$E$1630,RUBROS!$A30,'CONSOLIDADO POR SEDE'!$C$6:$C$1630,RUBROS!AI$5)</f>
        <v>0</v>
      </c>
      <c r="AJ30" s="47">
        <f>SUMIFS('CONSOLIDADO POR SEDE'!$L$6:$L$1630,'CONSOLIDADO POR SEDE'!$E$6:$E$1630,RUBROS!$A30,'CONSOLIDADO POR SEDE'!$C$6:$C$1630,RUBROS!AJ$5)</f>
        <v>0</v>
      </c>
      <c r="AK30" s="47">
        <f>SUMIFS('CONSOLIDADO POR SEDE'!$L$6:$L$1630,'CONSOLIDADO POR SEDE'!$E$6:$E$1630,RUBROS!$A30,'CONSOLIDADO POR SEDE'!$C$6:$C$1630,RUBROS!AK$5)</f>
        <v>0</v>
      </c>
      <c r="AL30" s="47">
        <f>SUMIFS('CONSOLIDADO POR SEDE'!$L$6:$L$1630,'CONSOLIDADO POR SEDE'!$E$6:$E$1630,RUBROS!$A30,'CONSOLIDADO POR SEDE'!$C$6:$C$1630,RUBROS!AL$5)</f>
        <v>0</v>
      </c>
      <c r="AM30" s="47">
        <f>SUMIFS('CONSOLIDADO POR SEDE'!$L$6:$L$1630,'CONSOLIDADO POR SEDE'!$E$6:$E$1630,RUBROS!$A30,'CONSOLIDADO POR SEDE'!$C$6:$C$1630,RUBROS!AM$5)</f>
        <v>137850.9285177</v>
      </c>
      <c r="AN30" s="47">
        <f>SUMIFS('CONSOLIDADO POR SEDE'!$L$6:$L$1630,'CONSOLIDADO POR SEDE'!$E$6:$E$1630,RUBROS!$A30,'CONSOLIDADO POR SEDE'!$C$6:$C$1630,RUBROS!AN$5)</f>
        <v>0</v>
      </c>
      <c r="AO30" s="47">
        <f>SUMIFS('CONSOLIDADO POR SEDE'!$L$6:$L$1630,'CONSOLIDADO POR SEDE'!$E$6:$E$1630,RUBROS!$A30,'CONSOLIDADO POR SEDE'!$C$6:$C$1630,RUBROS!AO$5)</f>
        <v>17816.034067199998</v>
      </c>
      <c r="AP30" s="47">
        <f>SUMIFS('CONSOLIDADO POR SEDE'!$L$6:$L$1630,'CONSOLIDADO POR SEDE'!$E$6:$E$1630,RUBROS!$A30,'CONSOLIDADO POR SEDE'!$C$6:$C$1630,RUBROS!AP$5)</f>
        <v>0</v>
      </c>
      <c r="AQ30" s="47"/>
      <c r="AR30" s="48">
        <v>382618.76025299996</v>
      </c>
      <c r="AS30" s="48"/>
      <c r="AT30" s="49">
        <f t="shared" si="1"/>
        <v>538285.72283789993</v>
      </c>
      <c r="AU30" s="42"/>
      <c r="AV30" s="42">
        <f t="shared" si="2"/>
        <v>155666.9625849</v>
      </c>
    </row>
    <row r="31" spans="1:48">
      <c r="B31" s="6"/>
      <c r="C31" s="50">
        <f>SUM(C6:C30)</f>
        <v>0</v>
      </c>
      <c r="D31" s="50">
        <f t="shared" ref="D31:AP31" si="3">SUM(D6:D30)</f>
        <v>0</v>
      </c>
      <c r="E31" s="50">
        <f t="shared" si="3"/>
        <v>0</v>
      </c>
      <c r="F31" s="50">
        <f t="shared" si="3"/>
        <v>0</v>
      </c>
      <c r="G31" s="50">
        <f t="shared" si="3"/>
        <v>0</v>
      </c>
      <c r="H31" s="50">
        <f t="shared" si="3"/>
        <v>1250811.1251224999</v>
      </c>
      <c r="I31" s="50">
        <f t="shared" si="3"/>
        <v>465947.95317899995</v>
      </c>
      <c r="J31" s="50">
        <f t="shared" si="3"/>
        <v>1269924.1280829003</v>
      </c>
      <c r="K31" s="50">
        <f t="shared" si="3"/>
        <v>0</v>
      </c>
      <c r="L31" s="50">
        <f t="shared" si="3"/>
        <v>8044.31196</v>
      </c>
      <c r="M31" s="50">
        <f t="shared" si="3"/>
        <v>0</v>
      </c>
      <c r="N31" s="50">
        <f t="shared" si="3"/>
        <v>0</v>
      </c>
      <c r="O31" s="50">
        <f t="shared" si="3"/>
        <v>0</v>
      </c>
      <c r="P31" s="50">
        <f t="shared" si="3"/>
        <v>0</v>
      </c>
      <c r="Q31" s="50">
        <f t="shared" si="3"/>
        <v>0</v>
      </c>
      <c r="R31" s="50">
        <f t="shared" si="3"/>
        <v>836187.7639587</v>
      </c>
      <c r="S31" s="50">
        <f t="shared" si="3"/>
        <v>0</v>
      </c>
      <c r="T31" s="50">
        <f t="shared" si="3"/>
        <v>0</v>
      </c>
      <c r="U31" s="50">
        <f t="shared" si="3"/>
        <v>443395.41882120009</v>
      </c>
      <c r="V31" s="50">
        <f t="shared" si="3"/>
        <v>433196.78366700001</v>
      </c>
      <c r="W31" s="50">
        <f t="shared" si="3"/>
        <v>0</v>
      </c>
      <c r="X31" s="50">
        <f t="shared" si="3"/>
        <v>54040.370550000014</v>
      </c>
      <c r="Y31" s="50">
        <f t="shared" si="3"/>
        <v>0</v>
      </c>
      <c r="Z31" s="50">
        <f t="shared" si="3"/>
        <v>104747.76155400001</v>
      </c>
      <c r="AA31" s="50">
        <f t="shared" si="3"/>
        <v>0</v>
      </c>
      <c r="AB31" s="50">
        <f t="shared" si="3"/>
        <v>6461.3230860000003</v>
      </c>
      <c r="AC31" s="50">
        <f t="shared" si="3"/>
        <v>21846.657743999996</v>
      </c>
      <c r="AD31" s="50">
        <f t="shared" si="3"/>
        <v>569016.40580790001</v>
      </c>
      <c r="AE31" s="50">
        <f t="shared" si="3"/>
        <v>0</v>
      </c>
      <c r="AF31" s="50">
        <f t="shared" si="3"/>
        <v>975683.54257980001</v>
      </c>
      <c r="AG31" s="50">
        <f t="shared" si="3"/>
        <v>4425335.3665454993</v>
      </c>
      <c r="AH31" s="50">
        <f t="shared" si="3"/>
        <v>0</v>
      </c>
      <c r="AI31" s="50">
        <f t="shared" si="3"/>
        <v>0</v>
      </c>
      <c r="AJ31" s="50">
        <f t="shared" si="3"/>
        <v>0</v>
      </c>
      <c r="AK31" s="50">
        <f t="shared" si="3"/>
        <v>0</v>
      </c>
      <c r="AL31" s="50">
        <f t="shared" si="3"/>
        <v>0</v>
      </c>
      <c r="AM31" s="50">
        <f t="shared" si="3"/>
        <v>1057753.9888551</v>
      </c>
      <c r="AN31" s="50">
        <f t="shared" si="3"/>
        <v>510485.68620900001</v>
      </c>
      <c r="AO31" s="50">
        <f t="shared" si="3"/>
        <v>309244.28577059996</v>
      </c>
      <c r="AP31" s="50">
        <f t="shared" si="3"/>
        <v>1849546.0889190002</v>
      </c>
      <c r="AQ31" s="50">
        <f>SUM(AQ6:AQ30)</f>
        <v>0</v>
      </c>
      <c r="AR31" s="50">
        <f t="shared" ref="AR31" si="4">SUM(AR6:AR30)</f>
        <v>14891643.237110997</v>
      </c>
      <c r="AS31" s="50">
        <f>SUM(AS6:AS30)</f>
        <v>0</v>
      </c>
      <c r="AT31" s="51">
        <f>SUM(C31:AR31)</f>
        <v>29483312.199523196</v>
      </c>
      <c r="AU31" s="51"/>
      <c r="AV31" s="42"/>
    </row>
    <row r="32" spans="1:48">
      <c r="C32" s="52"/>
      <c r="D32" s="52"/>
      <c r="E32" s="52"/>
      <c r="F32" s="52"/>
      <c r="G32" s="52"/>
      <c r="H32" s="52"/>
      <c r="I32" s="52"/>
      <c r="J32" s="52"/>
      <c r="K32" s="52"/>
      <c r="L32" s="52"/>
      <c r="M32" s="52"/>
      <c r="N32" s="52"/>
      <c r="O32" s="52"/>
      <c r="P32" s="52"/>
      <c r="Q32" s="52"/>
      <c r="R32" s="52"/>
      <c r="S32" s="52"/>
      <c r="T32" s="52"/>
      <c r="U32" s="52"/>
      <c r="V32" s="51"/>
      <c r="W32" s="52"/>
      <c r="X32" s="52"/>
      <c r="Y32" s="52"/>
      <c r="Z32" s="52"/>
      <c r="AA32" s="52"/>
      <c r="AB32" s="52"/>
      <c r="AC32" s="52"/>
      <c r="AD32" s="52"/>
      <c r="AE32" s="52"/>
      <c r="AF32" s="52"/>
      <c r="AG32" s="52"/>
      <c r="AH32" s="52"/>
      <c r="AI32" s="52"/>
      <c r="AJ32" s="52"/>
      <c r="AK32" s="52"/>
      <c r="AL32" s="52"/>
      <c r="AM32" s="52"/>
      <c r="AN32" s="52"/>
      <c r="AO32" s="52"/>
      <c r="AP32" s="52"/>
      <c r="AQ32" s="52"/>
      <c r="AS32" s="53">
        <f>SUM(C31:AS31)</f>
        <v>29483312.199523196</v>
      </c>
      <c r="AU32" s="53"/>
      <c r="AV32" s="42">
        <f>SUM(AV6:AV31)</f>
        <v>14591668.962412197</v>
      </c>
    </row>
    <row r="33" spans="3:46">
      <c r="C33" s="51"/>
      <c r="D33" s="51"/>
      <c r="F33" s="51"/>
      <c r="G33" s="51"/>
      <c r="H33" s="51"/>
      <c r="I33" s="51"/>
      <c r="J33" s="51"/>
      <c r="L33" s="51"/>
      <c r="M33" s="51"/>
      <c r="N33" s="51"/>
      <c r="O33" s="51"/>
      <c r="P33" s="51"/>
      <c r="Q33" s="51"/>
      <c r="R33" s="51"/>
      <c r="S33" s="51"/>
      <c r="U33" s="51"/>
      <c r="V33" s="51"/>
      <c r="W33" s="51"/>
      <c r="X33" s="51"/>
      <c r="Y33" s="51"/>
      <c r="Z33" s="52"/>
      <c r="AA33" s="51"/>
      <c r="AB33" s="51"/>
      <c r="AC33" s="51"/>
      <c r="AD33" s="51"/>
      <c r="AE33" s="51"/>
      <c r="AF33" s="51"/>
      <c r="AG33" s="51"/>
      <c r="AH33" s="51"/>
      <c r="AI33" s="51"/>
      <c r="AJ33" s="51"/>
      <c r="AM33" s="51"/>
      <c r="AN33" s="51"/>
      <c r="AO33" s="51"/>
      <c r="AP33" s="51"/>
      <c r="AR33" s="53"/>
      <c r="AS33" s="54"/>
      <c r="AT33" s="55"/>
    </row>
    <row r="34" spans="3:46">
      <c r="AQ34" s="75" t="s">
        <v>356</v>
      </c>
      <c r="AR34" s="51">
        <f>SUM(C31:AP31)</f>
        <v>14591668.962412201</v>
      </c>
    </row>
    <row r="35" spans="3:46">
      <c r="AQ35" s="76" t="s">
        <v>451</v>
      </c>
      <c r="AR35" s="51">
        <f>INSUMOABRIL</f>
        <v>14591668.962412195</v>
      </c>
    </row>
    <row r="36" spans="3:46" ht="15.75" thickBot="1">
      <c r="AR36" s="57">
        <f>+AR34-AR35</f>
        <v>0</v>
      </c>
    </row>
    <row r="37" spans="3:46" ht="15.75" thickTop="1"/>
  </sheetData>
  <mergeCells count="3">
    <mergeCell ref="A1:B1"/>
    <mergeCell ref="A2:B2"/>
    <mergeCell ref="A3:B3"/>
  </mergeCells>
  <conditionalFormatting sqref="B6:B30">
    <cfRule type="duplicateValues" dxfId="163" priority="1"/>
  </conditionalFormatting>
  <conditionalFormatting sqref="C3:AS3">
    <cfRule type="cellIs" dxfId="162" priority="2" operator="lessThan">
      <formula>0</formula>
    </cfRule>
  </conditionalFormatting>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B220"/>
  <sheetViews>
    <sheetView topLeftCell="A180" zoomScale="50" zoomScaleNormal="50" workbookViewId="0">
      <selection activeCell="D7" sqref="D7:D8"/>
    </sheetView>
  </sheetViews>
  <sheetFormatPr baseColWidth="10" defaultColWidth="11.42578125" defaultRowHeight="17.25"/>
  <cols>
    <col min="1" max="1" width="24.140625" style="90" customWidth="1"/>
    <col min="2" max="2" width="7" style="90" bestFit="1" customWidth="1"/>
    <col min="3" max="3" width="16.42578125" style="136" customWidth="1"/>
    <col min="4" max="4" width="49.85546875" style="90" customWidth="1"/>
    <col min="5" max="5" width="40" style="90" customWidth="1"/>
    <col min="6" max="6" width="54.85546875" style="90" customWidth="1"/>
    <col min="7" max="7" width="75.5703125" style="90" hidden="1" customWidth="1"/>
    <col min="8" max="8" width="23.28515625" style="90" hidden="1" customWidth="1"/>
    <col min="9" max="9" width="25.140625" style="90" hidden="1" customWidth="1"/>
    <col min="10" max="18" width="6.7109375" style="90" customWidth="1"/>
    <col min="19" max="19" width="6.7109375" style="137" customWidth="1"/>
    <col min="20" max="20" width="6.42578125" style="137" customWidth="1"/>
    <col min="21" max="21" width="6.5703125" style="137" customWidth="1"/>
    <col min="22" max="25" width="6.7109375" style="137" customWidth="1"/>
    <col min="26" max="28" width="6.7109375" style="90" customWidth="1"/>
    <col min="29" max="32" width="6.7109375" style="137" customWidth="1"/>
    <col min="33" max="39" width="6.7109375" style="90" customWidth="1"/>
    <col min="40" max="41" width="18.85546875" style="90" customWidth="1"/>
    <col min="42" max="42" width="16.5703125" style="90" customWidth="1"/>
    <col min="43" max="43" width="15.28515625" style="90" customWidth="1"/>
    <col min="44" max="44" width="19.42578125" style="90" customWidth="1"/>
    <col min="45" max="45" width="15.7109375" style="90" customWidth="1"/>
    <col min="46" max="46" width="17.140625" style="90" customWidth="1"/>
    <col min="47" max="47" width="16.140625" style="90" customWidth="1"/>
    <col min="48" max="48" width="14.85546875" style="90" customWidth="1"/>
    <col min="49" max="49" width="14" style="90" customWidth="1"/>
    <col min="50" max="50" width="16.140625" style="90" customWidth="1"/>
    <col min="51" max="51" width="11.42578125" style="90"/>
    <col min="52" max="52" width="13.42578125" style="90" customWidth="1"/>
    <col min="53" max="53" width="11.42578125" style="90"/>
    <col min="54" max="54" width="15.5703125" style="90" customWidth="1"/>
    <col min="55" max="16384" width="11.42578125" style="90"/>
  </cols>
  <sheetData>
    <row r="1" spans="2:54" ht="16.5" customHeight="1">
      <c r="B1" s="87"/>
      <c r="C1" s="88"/>
      <c r="D1" s="89"/>
      <c r="E1" s="89"/>
      <c r="F1" s="89"/>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2:54" ht="27" customHeight="1">
      <c r="B2" s="284" t="s">
        <v>547</v>
      </c>
      <c r="C2" s="285"/>
      <c r="D2" s="91"/>
      <c r="E2" s="92"/>
      <c r="F2" s="92"/>
      <c r="G2" s="93"/>
      <c r="H2" s="93"/>
      <c r="I2" s="93"/>
      <c r="P2" s="87"/>
      <c r="Q2" s="87"/>
      <c r="R2" s="87"/>
      <c r="S2" s="87"/>
      <c r="T2" s="87"/>
      <c r="U2" s="87"/>
      <c r="V2" s="87"/>
      <c r="W2" s="87"/>
      <c r="X2" s="87"/>
      <c r="Y2" s="87"/>
      <c r="Z2" s="87"/>
      <c r="AA2" s="87"/>
      <c r="AB2" s="87"/>
      <c r="AC2" s="87"/>
      <c r="AD2" s="87"/>
      <c r="AE2" s="87"/>
      <c r="AF2" s="87"/>
      <c r="AG2" s="87"/>
      <c r="AH2" s="87"/>
      <c r="AI2" s="87"/>
      <c r="AJ2" s="87"/>
      <c r="AK2" s="87"/>
    </row>
    <row r="3" spans="2:54" ht="16.5" customHeight="1">
      <c r="B3" s="87"/>
      <c r="C3" s="93"/>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row>
    <row r="4" spans="2:54" ht="29.25" customHeight="1">
      <c r="B4" s="293" t="s">
        <v>548</v>
      </c>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row>
    <row r="5" spans="2:54" ht="16.5" customHeight="1">
      <c r="B5" s="293"/>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row>
    <row r="6" spans="2:54" ht="16.5" customHeight="1">
      <c r="B6" s="87"/>
      <c r="C6" s="93"/>
      <c r="D6" s="87"/>
      <c r="E6" s="87"/>
      <c r="F6" s="87"/>
      <c r="G6" s="87"/>
      <c r="H6" s="87"/>
      <c r="I6" s="87"/>
      <c r="J6" s="94">
        <v>1</v>
      </c>
      <c r="K6" s="94">
        <v>2</v>
      </c>
      <c r="L6" s="94">
        <v>3</v>
      </c>
      <c r="M6" s="94">
        <v>4</v>
      </c>
      <c r="N6" s="94">
        <v>5</v>
      </c>
      <c r="O6" s="94">
        <v>6</v>
      </c>
      <c r="P6" s="94">
        <v>7</v>
      </c>
      <c r="Q6" s="94">
        <v>8</v>
      </c>
      <c r="R6" s="94">
        <v>9</v>
      </c>
      <c r="S6" s="94">
        <v>10</v>
      </c>
      <c r="T6" s="94">
        <v>11</v>
      </c>
      <c r="U6" s="94">
        <v>12</v>
      </c>
      <c r="V6" s="94">
        <v>13</v>
      </c>
      <c r="W6" s="94">
        <v>14</v>
      </c>
      <c r="X6" s="94">
        <v>15</v>
      </c>
      <c r="Y6" s="94">
        <v>16</v>
      </c>
      <c r="Z6" s="94">
        <v>17</v>
      </c>
      <c r="AA6" s="94">
        <v>18</v>
      </c>
      <c r="AB6" s="94">
        <v>19</v>
      </c>
      <c r="AC6" s="94">
        <v>20</v>
      </c>
      <c r="AD6" s="94">
        <v>21</v>
      </c>
      <c r="AE6" s="94">
        <v>22</v>
      </c>
      <c r="AF6" s="94">
        <v>23</v>
      </c>
      <c r="AG6" s="94">
        <v>24</v>
      </c>
      <c r="AH6" s="94">
        <v>25</v>
      </c>
      <c r="AI6" s="94">
        <v>26</v>
      </c>
      <c r="AJ6" s="94">
        <v>27</v>
      </c>
      <c r="AK6" s="94">
        <v>28</v>
      </c>
      <c r="AL6" s="94">
        <v>29</v>
      </c>
      <c r="AM6" s="94">
        <v>30</v>
      </c>
    </row>
    <row r="7" spans="2:54" ht="30.6" customHeight="1">
      <c r="B7" s="286" t="s">
        <v>1</v>
      </c>
      <c r="C7" s="286" t="s">
        <v>549</v>
      </c>
      <c r="D7" s="287" t="s">
        <v>550</v>
      </c>
      <c r="E7" s="286" t="s">
        <v>551</v>
      </c>
      <c r="F7" s="289" t="s">
        <v>552</v>
      </c>
      <c r="G7" s="291" t="s">
        <v>119</v>
      </c>
      <c r="H7" s="291" t="s">
        <v>553</v>
      </c>
      <c r="I7" s="282" t="s">
        <v>554</v>
      </c>
      <c r="J7" s="95" t="str">
        <f>TEXT(J8,"DDD")</f>
        <v>mié</v>
      </c>
      <c r="K7" s="95" t="str">
        <f t="shared" ref="K7:AM7" si="0">TEXT(K8,"DDD")</f>
        <v>jue</v>
      </c>
      <c r="L7" s="95" t="str">
        <f t="shared" si="0"/>
        <v>vie</v>
      </c>
      <c r="M7" s="95" t="str">
        <f t="shared" si="0"/>
        <v>sáb</v>
      </c>
      <c r="N7" s="95" t="str">
        <f t="shared" si="0"/>
        <v>dom</v>
      </c>
      <c r="O7" s="95" t="str">
        <f t="shared" si="0"/>
        <v>lun</v>
      </c>
      <c r="P7" s="95" t="str">
        <f t="shared" si="0"/>
        <v>mar</v>
      </c>
      <c r="Q7" s="95" t="str">
        <f t="shared" si="0"/>
        <v>mié</v>
      </c>
      <c r="R7" s="95" t="str">
        <f t="shared" si="0"/>
        <v>jue</v>
      </c>
      <c r="S7" s="95" t="str">
        <f t="shared" si="0"/>
        <v>vie</v>
      </c>
      <c r="T7" s="95" t="str">
        <f t="shared" si="0"/>
        <v>sáb</v>
      </c>
      <c r="U7" s="95" t="str">
        <f t="shared" si="0"/>
        <v>dom</v>
      </c>
      <c r="V7" s="95" t="str">
        <f t="shared" si="0"/>
        <v>lun</v>
      </c>
      <c r="W7" s="95" t="str">
        <f t="shared" si="0"/>
        <v>mar</v>
      </c>
      <c r="X7" s="95" t="str">
        <f t="shared" si="0"/>
        <v>mié</v>
      </c>
      <c r="Y7" s="95" t="str">
        <f t="shared" si="0"/>
        <v>jue</v>
      </c>
      <c r="Z7" s="95" t="str">
        <f t="shared" si="0"/>
        <v>vie</v>
      </c>
      <c r="AA7" s="95" t="str">
        <f t="shared" si="0"/>
        <v>sáb</v>
      </c>
      <c r="AB7" s="95" t="str">
        <f t="shared" si="0"/>
        <v>dom</v>
      </c>
      <c r="AC7" s="95" t="str">
        <f t="shared" si="0"/>
        <v>lun</v>
      </c>
      <c r="AD7" s="95" t="str">
        <f t="shared" si="0"/>
        <v>mar</v>
      </c>
      <c r="AE7" s="95" t="str">
        <f t="shared" si="0"/>
        <v>mié</v>
      </c>
      <c r="AF7" s="95" t="str">
        <f t="shared" si="0"/>
        <v>jue</v>
      </c>
      <c r="AG7" s="95" t="str">
        <f t="shared" si="0"/>
        <v>vie</v>
      </c>
      <c r="AH7" s="95" t="str">
        <f t="shared" si="0"/>
        <v>sáb</v>
      </c>
      <c r="AI7" s="95" t="str">
        <f t="shared" si="0"/>
        <v>dom</v>
      </c>
      <c r="AJ7" s="95" t="str">
        <f t="shared" si="0"/>
        <v>lun</v>
      </c>
      <c r="AK7" s="95" t="str">
        <f t="shared" si="0"/>
        <v>mar</v>
      </c>
      <c r="AL7" s="95" t="str">
        <f t="shared" si="0"/>
        <v>dom</v>
      </c>
      <c r="AM7" s="95" t="str">
        <f t="shared" si="0"/>
        <v>lun</v>
      </c>
      <c r="AO7" s="96" t="s">
        <v>555</v>
      </c>
      <c r="AP7" s="97" t="s">
        <v>556</v>
      </c>
      <c r="AQ7" s="98" t="s">
        <v>557</v>
      </c>
      <c r="AR7" s="99" t="s">
        <v>558</v>
      </c>
      <c r="AS7" s="96" t="s">
        <v>559</v>
      </c>
      <c r="AT7" s="100" t="s">
        <v>560</v>
      </c>
      <c r="AU7" s="101" t="s">
        <v>561</v>
      </c>
      <c r="AV7" s="102" t="s">
        <v>562</v>
      </c>
      <c r="AW7" s="103" t="s">
        <v>563</v>
      </c>
      <c r="AX7" s="104" t="s">
        <v>564</v>
      </c>
      <c r="AY7" s="105" t="s">
        <v>565</v>
      </c>
      <c r="AZ7" s="106" t="s">
        <v>566</v>
      </c>
      <c r="BA7" s="97" t="s">
        <v>567</v>
      </c>
      <c r="BB7" s="107" t="s">
        <v>568</v>
      </c>
    </row>
    <row r="8" spans="2:54" ht="78" customHeight="1">
      <c r="B8" s="287"/>
      <c r="C8" s="287"/>
      <c r="D8" s="288"/>
      <c r="E8" s="287"/>
      <c r="F8" s="290"/>
      <c r="G8" s="292"/>
      <c r="H8" s="292"/>
      <c r="I8" s="283"/>
      <c r="J8" s="108">
        <f>_xlfn.NUMBERVALUE(1&amp;B2&amp;[7]FECHAS!C3)</f>
        <v>46113</v>
      </c>
      <c r="K8" s="109">
        <f>J8+1</f>
        <v>46114</v>
      </c>
      <c r="L8" s="109">
        <f t="shared" ref="L8:AK8" si="1">K8+1</f>
        <v>46115</v>
      </c>
      <c r="M8" s="109">
        <f t="shared" si="1"/>
        <v>46116</v>
      </c>
      <c r="N8" s="109">
        <f t="shared" si="1"/>
        <v>46117</v>
      </c>
      <c r="O8" s="109">
        <f t="shared" si="1"/>
        <v>46118</v>
      </c>
      <c r="P8" s="109">
        <f t="shared" si="1"/>
        <v>46119</v>
      </c>
      <c r="Q8" s="109">
        <f t="shared" si="1"/>
        <v>46120</v>
      </c>
      <c r="R8" s="109">
        <f t="shared" si="1"/>
        <v>46121</v>
      </c>
      <c r="S8" s="109">
        <f t="shared" si="1"/>
        <v>46122</v>
      </c>
      <c r="T8" s="109">
        <f t="shared" si="1"/>
        <v>46123</v>
      </c>
      <c r="U8" s="109">
        <f t="shared" si="1"/>
        <v>46124</v>
      </c>
      <c r="V8" s="109">
        <f t="shared" si="1"/>
        <v>46125</v>
      </c>
      <c r="W8" s="109">
        <f t="shared" si="1"/>
        <v>46126</v>
      </c>
      <c r="X8" s="109">
        <f t="shared" si="1"/>
        <v>46127</v>
      </c>
      <c r="Y8" s="109">
        <f t="shared" si="1"/>
        <v>46128</v>
      </c>
      <c r="Z8" s="109">
        <f t="shared" si="1"/>
        <v>46129</v>
      </c>
      <c r="AA8" s="109">
        <f t="shared" si="1"/>
        <v>46130</v>
      </c>
      <c r="AB8" s="109">
        <f t="shared" si="1"/>
        <v>46131</v>
      </c>
      <c r="AC8" s="109">
        <f t="shared" si="1"/>
        <v>46132</v>
      </c>
      <c r="AD8" s="109">
        <f t="shared" si="1"/>
        <v>46133</v>
      </c>
      <c r="AE8" s="109">
        <f t="shared" si="1"/>
        <v>46134</v>
      </c>
      <c r="AF8" s="109">
        <f t="shared" si="1"/>
        <v>46135</v>
      </c>
      <c r="AG8" s="109">
        <f t="shared" si="1"/>
        <v>46136</v>
      </c>
      <c r="AH8" s="109">
        <f t="shared" si="1"/>
        <v>46137</v>
      </c>
      <c r="AI8" s="109">
        <f t="shared" si="1"/>
        <v>46138</v>
      </c>
      <c r="AJ8" s="109">
        <f t="shared" si="1"/>
        <v>46139</v>
      </c>
      <c r="AK8" s="109">
        <f t="shared" si="1"/>
        <v>46140</v>
      </c>
      <c r="AL8" s="109">
        <v>29</v>
      </c>
      <c r="AM8" s="109">
        <f t="shared" ref="AM8" si="2">AL8+1</f>
        <v>30</v>
      </c>
      <c r="AO8" s="110" t="s">
        <v>569</v>
      </c>
      <c r="AP8" s="111" t="s">
        <v>570</v>
      </c>
      <c r="AQ8" s="110" t="s">
        <v>571</v>
      </c>
      <c r="AR8" s="110" t="s">
        <v>572</v>
      </c>
      <c r="AS8" s="110" t="s">
        <v>573</v>
      </c>
      <c r="AT8" s="111" t="s">
        <v>574</v>
      </c>
      <c r="AU8" s="110" t="s">
        <v>575</v>
      </c>
      <c r="AV8" s="111" t="s">
        <v>576</v>
      </c>
      <c r="AW8" s="110" t="s">
        <v>577</v>
      </c>
      <c r="AX8" s="111" t="s">
        <v>578</v>
      </c>
      <c r="AY8" s="111" t="s">
        <v>579</v>
      </c>
      <c r="AZ8" s="111" t="s">
        <v>580</v>
      </c>
      <c r="BA8" s="110" t="s">
        <v>581</v>
      </c>
      <c r="BB8" s="111"/>
    </row>
    <row r="9" spans="2:54" ht="18.600000000000001" customHeight="1">
      <c r="B9" s="112">
        <v>1</v>
      </c>
      <c r="C9" s="113">
        <f>+'[7]PLANILLA ALEJANDRO'!C9</f>
        <v>28115434</v>
      </c>
      <c r="D9" s="114" t="str">
        <f>IFERROR(VLOOKUP($C9,'[7]PLANILLA ALEJANDRO'!$C$9:$F$57,2,0),"NO BD")</f>
        <v xml:space="preserve">CAMACHO TORRES MARIA EDILIA </v>
      </c>
      <c r="E9" s="115" t="s">
        <v>582</v>
      </c>
      <c r="F9" s="114" t="str">
        <f>IFERROR(VLOOKUP($C9,[7]BD!$B$3:$O$213,3,0),"")</f>
        <v>OPERARIA DE ASEO Y CAFETERIA</v>
      </c>
      <c r="G9" s="77" t="s">
        <v>482</v>
      </c>
      <c r="H9" s="114" t="str">
        <f>IFERROR(VLOOKUP($C9,[7]BD!$B$3:$O$203,14,0),"")</f>
        <v>3142957281</v>
      </c>
      <c r="I9" s="114" t="str">
        <f>IFERROR(VLOOKUP($C9,[7]BD!$B$3:$O$203,4,0),"")</f>
        <v>18/10/2025</v>
      </c>
      <c r="J9" s="97" t="str">
        <f>INDEX('[7]PLANILLA ALEJANDRO'!C9:AK52,1,6)</f>
        <v>OK</v>
      </c>
      <c r="K9" s="97" t="str">
        <f>INDEX('[7]PLANILLA ALEJANDRO'!D9:AL52,1,6)</f>
        <v>OK</v>
      </c>
      <c r="L9" s="97" t="str">
        <f>INDEX('[7]PLANILLA ALEJANDRO'!E9:AM52,1,6)</f>
        <v>OK</v>
      </c>
      <c r="M9" s="97" t="str">
        <f>INDEX('[7]PLANILLA ALEJANDRO'!F9:AN52,1,6)</f>
        <v>OK</v>
      </c>
      <c r="N9" s="97" t="str">
        <f>INDEX('[7]PLANILLA ALEJANDRO'!G9:AO52,1,6)</f>
        <v>OK</v>
      </c>
      <c r="O9" s="97" t="str">
        <f>INDEX('[7]PLANILLA ALEJANDRO'!H9:AP52,1,6)</f>
        <v>OK</v>
      </c>
      <c r="P9" s="97" t="str">
        <f>INDEX('[7]PLANILLA ALEJANDRO'!I9:AQ52,1,6)</f>
        <v>OK</v>
      </c>
      <c r="Q9" s="97" t="str">
        <f>INDEX('[7]PLANILLA ALEJANDRO'!J9:AR52,1,6)</f>
        <v>OK</v>
      </c>
      <c r="R9" s="97" t="str">
        <f>INDEX('[7]PLANILLA ALEJANDRO'!K9:AS52,1,6)</f>
        <v>OK</v>
      </c>
      <c r="S9" s="97" t="str">
        <f>INDEX('[7]PLANILLA ALEJANDRO'!L9:AT52,1,6)</f>
        <v>ok</v>
      </c>
      <c r="T9" s="97" t="str">
        <f>INDEX('[7]PLANILLA ALEJANDRO'!M9:AU52,1,6)</f>
        <v>OK</v>
      </c>
      <c r="U9" s="97" t="str">
        <f>INDEX('[7]PLANILLA ALEJANDRO'!N9:AV52,1,6)</f>
        <v>OK</v>
      </c>
      <c r="V9" s="97" t="str">
        <f>INDEX('[7]PLANILLA ALEJANDRO'!O9:AW52,1,6)</f>
        <v>OK</v>
      </c>
      <c r="W9" s="97" t="str">
        <f>INDEX('[7]PLANILLA ALEJANDRO'!P9:AX52,1,6)</f>
        <v>OK</v>
      </c>
      <c r="X9" s="97" t="str">
        <f>INDEX('[7]PLANILLA ALEJANDRO'!Q9:AY52,1,6)</f>
        <v>OK</v>
      </c>
      <c r="Y9" s="97" t="str">
        <f>INDEX('[7]PLANILLA ALEJANDRO'!R9:AZ52,1,6)</f>
        <v>OK</v>
      </c>
      <c r="Z9" s="97" t="str">
        <f>INDEX('[7]PLANILLA ALEJANDRO'!S9:BA52,1,6)</f>
        <v>OK</v>
      </c>
      <c r="AA9" s="97" t="str">
        <f>INDEX('[7]PLANILLA ALEJANDRO'!T9:BB52,1,6)</f>
        <v>OK</v>
      </c>
      <c r="AB9" s="97" t="str">
        <f>INDEX('[7]PLANILLA ALEJANDRO'!U9:BC52,1,6)</f>
        <v>OK</v>
      </c>
      <c r="AC9" s="97" t="str">
        <f>INDEX('[7]PLANILLA ALEJANDRO'!V9:BD52,1,6)</f>
        <v>OK</v>
      </c>
      <c r="AD9" s="97" t="str">
        <f>INDEX('[7]PLANILLA ALEJANDRO'!W9:BE52,1,6)</f>
        <v>OK</v>
      </c>
      <c r="AE9" s="97" t="str">
        <f>INDEX('[7]PLANILLA ALEJANDRO'!X9:BF52,1,6)</f>
        <v>OK</v>
      </c>
      <c r="AF9" s="97">
        <f>INDEX('[7]PLANILLA ALEJANDRO'!Y9:BG52,1,6)</f>
        <v>0</v>
      </c>
      <c r="AG9" s="97">
        <f>INDEX('[7]PLANILLA ALEJANDRO'!Z9:BH52,1,6)</f>
        <v>0</v>
      </c>
      <c r="AH9" s="97">
        <f>INDEX('[7]PLANILLA ALEJANDRO'!AA9:BI52,1,6)</f>
        <v>0</v>
      </c>
      <c r="AI9" s="97">
        <f>INDEX('[7]PLANILLA ALEJANDRO'!AB9:BJ52,1,6)</f>
        <v>0</v>
      </c>
      <c r="AJ9" s="97">
        <f>INDEX('[7]PLANILLA ALEJANDRO'!AC9:BK52,1,6)</f>
        <v>0</v>
      </c>
      <c r="AK9" s="97">
        <f>INDEX('[7]PLANILLA ALEJANDRO'!AD9:BL52,1,6)</f>
        <v>0</v>
      </c>
      <c r="AL9" s="97">
        <f>INDEX('[7]PLANILLA ALEJANDRO'!AE9:BM52,1,6)</f>
        <v>0</v>
      </c>
      <c r="AM9" s="97">
        <f>INDEX('[7]PLANILLA ALEJANDRO'!AF9:BN52,1,6)</f>
        <v>0</v>
      </c>
      <c r="AO9" s="116">
        <f>COUNTIF($J9:$AM9,AO$7)</f>
        <v>0</v>
      </c>
      <c r="AP9" s="116">
        <f t="shared" ref="AP9:BA24" si="3">COUNTIF($J9:$AM9,AP$7)</f>
        <v>0</v>
      </c>
      <c r="AQ9" s="116">
        <f t="shared" si="3"/>
        <v>0</v>
      </c>
      <c r="AR9" s="116">
        <f t="shared" si="3"/>
        <v>0</v>
      </c>
      <c r="AS9" s="116">
        <f t="shared" si="3"/>
        <v>0</v>
      </c>
      <c r="AT9" s="116">
        <f t="shared" si="3"/>
        <v>0</v>
      </c>
      <c r="AU9" s="116">
        <f t="shared" si="3"/>
        <v>0</v>
      </c>
      <c r="AV9" s="116">
        <f t="shared" si="3"/>
        <v>0</v>
      </c>
      <c r="AW9" s="116">
        <f t="shared" si="3"/>
        <v>0</v>
      </c>
      <c r="AX9" s="116">
        <f t="shared" si="3"/>
        <v>0</v>
      </c>
      <c r="AY9" s="116">
        <f t="shared" si="3"/>
        <v>0</v>
      </c>
      <c r="AZ9" s="116">
        <f>COUNTIF($J9:$AM9,AZ$7)</f>
        <v>0</v>
      </c>
      <c r="BA9" s="116">
        <f t="shared" si="3"/>
        <v>22</v>
      </c>
      <c r="BB9" s="117">
        <f t="shared" ref="BB9:BB72" si="4">+BA9+AQ9</f>
        <v>22</v>
      </c>
    </row>
    <row r="10" spans="2:54" ht="18.600000000000001" customHeight="1">
      <c r="B10" s="112">
        <v>2</v>
      </c>
      <c r="C10" s="113">
        <f>+'[7]PLANILLA ALEJANDRO'!C10</f>
        <v>52112939</v>
      </c>
      <c r="D10" s="114" t="str">
        <f>IFERROR(VLOOKUP($C10,'[7]PLANILLA ALEJANDRO'!$C$9:$F$57,2,0),"NO BD")</f>
        <v xml:space="preserve">CHAPARRO MORA GLORIA ESPERANZA </v>
      </c>
      <c r="E10" s="115" t="s">
        <v>582</v>
      </c>
      <c r="F10" s="114" t="str">
        <f>IFERROR(VLOOKUP($C10,[7]BD!$B$3:$O$213,3,0),"")</f>
        <v>OPERARIA DE ASEO Y CAFETERIA</v>
      </c>
      <c r="G10" s="77" t="s">
        <v>482</v>
      </c>
      <c r="H10" s="114" t="str">
        <f>IFERROR(VLOOKUP($C10,[7]BD!$B$3:$O$203,14,0),"")</f>
        <v>3132452944</v>
      </c>
      <c r="I10" s="114" t="str">
        <f>IFERROR(VLOOKUP($C10,[7]BD!$B$3:$O$203,4,0),"")</f>
        <v>18/10/2025</v>
      </c>
      <c r="J10" s="97" t="str">
        <f>INDEX('[7]PLANILLA ALEJANDRO'!C10:AK53,1,6)</f>
        <v>OK</v>
      </c>
      <c r="K10" s="97" t="str">
        <f>INDEX('[7]PLANILLA ALEJANDRO'!D10:AL53,1,6)</f>
        <v>OK</v>
      </c>
      <c r="L10" s="97" t="str">
        <f>INDEX('[7]PLANILLA ALEJANDRO'!E10:AM53,1,6)</f>
        <v>OK</v>
      </c>
      <c r="M10" s="97" t="str">
        <f>INDEX('[7]PLANILLA ALEJANDRO'!F10:AN53,1,6)</f>
        <v>OK</v>
      </c>
      <c r="N10" s="97" t="str">
        <f>INDEX('[7]PLANILLA ALEJANDRO'!G10:AO53,1,6)</f>
        <v>OK</v>
      </c>
      <c r="O10" s="97" t="str">
        <f>INDEX('[7]PLANILLA ALEJANDRO'!H10:AP53,1,6)</f>
        <v>OK</v>
      </c>
      <c r="P10" s="97" t="str">
        <f>INDEX('[7]PLANILLA ALEJANDRO'!I10:AQ53,1,6)</f>
        <v>OK</v>
      </c>
      <c r="Q10" s="97" t="str">
        <f>INDEX('[7]PLANILLA ALEJANDRO'!J10:AR53,1,6)</f>
        <v>OK</v>
      </c>
      <c r="R10" s="97" t="str">
        <f>INDEX('[7]PLANILLA ALEJANDRO'!K10:AS53,1,6)</f>
        <v>OK</v>
      </c>
      <c r="S10" s="97" t="str">
        <f>INDEX('[7]PLANILLA ALEJANDRO'!L10:AT53,1,6)</f>
        <v>OK</v>
      </c>
      <c r="T10" s="97" t="str">
        <f>INDEX('[7]PLANILLA ALEJANDRO'!M10:AU53,1,6)</f>
        <v>OK</v>
      </c>
      <c r="U10" s="97" t="str">
        <f>INDEX('[7]PLANILLA ALEJANDRO'!N10:AV53,1,6)</f>
        <v>OK</v>
      </c>
      <c r="V10" s="97" t="str">
        <f>INDEX('[7]PLANILLA ALEJANDRO'!O10:AW53,1,6)</f>
        <v>OK</v>
      </c>
      <c r="W10" s="97" t="str">
        <f>INDEX('[7]PLANILLA ALEJANDRO'!P10:AX53,1,6)</f>
        <v>OK</v>
      </c>
      <c r="X10" s="97" t="str">
        <f>INDEX('[7]PLANILLA ALEJANDRO'!Q10:AY53,1,6)</f>
        <v>OK</v>
      </c>
      <c r="Y10" s="97" t="str">
        <f>INDEX('[7]PLANILLA ALEJANDRO'!R10:AZ53,1,6)</f>
        <v>OK</v>
      </c>
      <c r="Z10" s="97" t="str">
        <f>INDEX('[7]PLANILLA ALEJANDRO'!S10:BA53,1,6)</f>
        <v>OK</v>
      </c>
      <c r="AA10" s="97" t="str">
        <f>INDEX('[7]PLANILLA ALEJANDRO'!T10:BB53,1,6)</f>
        <v>OK</v>
      </c>
      <c r="AB10" s="97" t="str">
        <f>INDEX('[7]PLANILLA ALEJANDRO'!U10:BC53,1,6)</f>
        <v>OK</v>
      </c>
      <c r="AC10" s="97" t="str">
        <f>INDEX('[7]PLANILLA ALEJANDRO'!V10:BD53,1,6)</f>
        <v>OK</v>
      </c>
      <c r="AD10" s="97" t="str">
        <f>INDEX('[7]PLANILLA ALEJANDRO'!W10:BE53,1,6)</f>
        <v>OK</v>
      </c>
      <c r="AE10" s="97" t="str">
        <f>INDEX('[7]PLANILLA ALEJANDRO'!X10:BF53,1,6)</f>
        <v>OK</v>
      </c>
      <c r="AF10" s="97">
        <f>INDEX('[7]PLANILLA ALEJANDRO'!Y10:BG53,1,6)</f>
        <v>0</v>
      </c>
      <c r="AG10" s="97">
        <f>INDEX('[7]PLANILLA ALEJANDRO'!Z10:BH53,1,6)</f>
        <v>0</v>
      </c>
      <c r="AH10" s="97">
        <f>INDEX('[7]PLANILLA ALEJANDRO'!AA10:BI53,1,6)</f>
        <v>0</v>
      </c>
      <c r="AI10" s="97">
        <f>INDEX('[7]PLANILLA ALEJANDRO'!AB10:BJ53,1,6)</f>
        <v>0</v>
      </c>
      <c r="AJ10" s="97">
        <f>INDEX('[7]PLANILLA ALEJANDRO'!AC10:BK53,1,6)</f>
        <v>0</v>
      </c>
      <c r="AK10" s="97">
        <f>INDEX('[7]PLANILLA ALEJANDRO'!AD10:BL53,1,6)</f>
        <v>0</v>
      </c>
      <c r="AL10" s="97">
        <f>INDEX('[7]PLANILLA ALEJANDRO'!AE10:BM53,1,6)</f>
        <v>0</v>
      </c>
      <c r="AM10" s="97">
        <f>INDEX('[7]PLANILLA ALEJANDRO'!AF10:BN53,1,6)</f>
        <v>0</v>
      </c>
      <c r="AO10" s="116">
        <f t="shared" ref="AO10:BA43" si="5">COUNTIF($J10:$AM10,AO$7)</f>
        <v>0</v>
      </c>
      <c r="AP10" s="116">
        <f t="shared" si="3"/>
        <v>0</v>
      </c>
      <c r="AQ10" s="116">
        <f t="shared" si="3"/>
        <v>0</v>
      </c>
      <c r="AR10" s="116">
        <f t="shared" si="3"/>
        <v>0</v>
      </c>
      <c r="AS10" s="116">
        <f t="shared" si="3"/>
        <v>0</v>
      </c>
      <c r="AT10" s="116">
        <f t="shared" si="3"/>
        <v>0</v>
      </c>
      <c r="AU10" s="116">
        <f t="shared" si="3"/>
        <v>0</v>
      </c>
      <c r="AV10" s="116">
        <f t="shared" si="3"/>
        <v>0</v>
      </c>
      <c r="AW10" s="116">
        <f t="shared" si="3"/>
        <v>0</v>
      </c>
      <c r="AX10" s="116">
        <f t="shared" si="3"/>
        <v>0</v>
      </c>
      <c r="AY10" s="116">
        <f t="shared" si="3"/>
        <v>0</v>
      </c>
      <c r="AZ10" s="116">
        <f t="shared" si="3"/>
        <v>0</v>
      </c>
      <c r="BA10" s="116">
        <f t="shared" si="3"/>
        <v>22</v>
      </c>
      <c r="BB10" s="117">
        <f t="shared" si="4"/>
        <v>22</v>
      </c>
    </row>
    <row r="11" spans="2:54" ht="18.600000000000001" customHeight="1">
      <c r="B11" s="112">
        <v>3</v>
      </c>
      <c r="C11" s="113">
        <f>+'[7]PLANILLA ALEJANDRO'!C11</f>
        <v>1023016053</v>
      </c>
      <c r="D11" s="114" t="str">
        <f>IFERROR(VLOOKUP($C11,'[7]PLANILLA ALEJANDRO'!$C$9:$F$57,2,0),"NO BD")</f>
        <v xml:space="preserve">CRISTANCHO ZUNIGA SANDRA JINETH </v>
      </c>
      <c r="E11" s="115" t="s">
        <v>582</v>
      </c>
      <c r="F11" s="114" t="str">
        <f>IFERROR(VLOOKUP($C11,[7]BD!$B$3:$O$213,3,0),"")</f>
        <v>OPERARIA DE ASEO Y CAFETERIA</v>
      </c>
      <c r="G11" s="77" t="s">
        <v>482</v>
      </c>
      <c r="H11" s="114" t="str">
        <f>IFERROR(VLOOKUP($C11,[7]BD!$B$3:$O$203,14,0),"")</f>
        <v>3115212734</v>
      </c>
      <c r="I11" s="114" t="str">
        <f>IFERROR(VLOOKUP($C11,[7]BD!$B$3:$O$203,4,0),"")</f>
        <v>18/10/2025</v>
      </c>
      <c r="J11" s="97" t="str">
        <f>INDEX('[7]PLANILLA ALEJANDRO'!C11:AK54,1,6)</f>
        <v>OK</v>
      </c>
      <c r="K11" s="97" t="str">
        <f>INDEX('[7]PLANILLA ALEJANDRO'!D11:AL54,1,6)</f>
        <v>OK</v>
      </c>
      <c r="L11" s="97" t="str">
        <f>INDEX('[7]PLANILLA ALEJANDRO'!E11:AM54,1,6)</f>
        <v>OK</v>
      </c>
      <c r="M11" s="97" t="str">
        <f>INDEX('[7]PLANILLA ALEJANDRO'!F11:AN54,1,6)</f>
        <v>OK</v>
      </c>
      <c r="N11" s="97" t="str">
        <f>INDEX('[7]PLANILLA ALEJANDRO'!G11:AO54,1,6)</f>
        <v>OK</v>
      </c>
      <c r="O11" s="97" t="str">
        <f>INDEX('[7]PLANILLA ALEJANDRO'!H11:AP54,1,6)</f>
        <v>OK</v>
      </c>
      <c r="P11" s="97" t="str">
        <f>INDEX('[7]PLANILLA ALEJANDRO'!I11:AQ54,1,6)</f>
        <v>OK</v>
      </c>
      <c r="Q11" s="97" t="str">
        <f>INDEX('[7]PLANILLA ALEJANDRO'!J11:AR54,1,6)</f>
        <v>OK</v>
      </c>
      <c r="R11" s="97" t="str">
        <f>INDEX('[7]PLANILLA ALEJANDRO'!K11:AS54,1,6)</f>
        <v>OK</v>
      </c>
      <c r="S11" s="97" t="str">
        <f>INDEX('[7]PLANILLA ALEJANDRO'!L11:AT54,1,6)</f>
        <v>OK</v>
      </c>
      <c r="T11" s="97" t="str">
        <f>INDEX('[7]PLANILLA ALEJANDRO'!M11:AU54,1,6)</f>
        <v>OK</v>
      </c>
      <c r="U11" s="97" t="str">
        <f>INDEX('[7]PLANILLA ALEJANDRO'!N11:AV54,1,6)</f>
        <v>OK</v>
      </c>
      <c r="V11" s="97" t="str">
        <f>INDEX('[7]PLANILLA ALEJANDRO'!O11:AW54,1,6)</f>
        <v>OK</v>
      </c>
      <c r="W11" s="97" t="str">
        <f>INDEX('[7]PLANILLA ALEJANDRO'!P11:AX54,1,6)</f>
        <v>OK</v>
      </c>
      <c r="X11" s="97" t="str">
        <f>INDEX('[7]PLANILLA ALEJANDRO'!Q11:AY54,1,6)</f>
        <v>OK</v>
      </c>
      <c r="Y11" s="97" t="str">
        <f>INDEX('[7]PLANILLA ALEJANDRO'!R11:AZ54,1,6)</f>
        <v>OK</v>
      </c>
      <c r="Z11" s="97" t="str">
        <f>INDEX('[7]PLANILLA ALEJANDRO'!S11:BA54,1,6)</f>
        <v>OK</v>
      </c>
      <c r="AA11" s="97" t="str">
        <f>INDEX('[7]PLANILLA ALEJANDRO'!T11:BB54,1,6)</f>
        <v>OK</v>
      </c>
      <c r="AB11" s="97" t="str">
        <f>INDEX('[7]PLANILLA ALEJANDRO'!U11:BC54,1,6)</f>
        <v>OK</v>
      </c>
      <c r="AC11" s="97" t="str">
        <f>INDEX('[7]PLANILLA ALEJANDRO'!V11:BD54,1,6)</f>
        <v>OK</v>
      </c>
      <c r="AD11" s="97" t="str">
        <f>INDEX('[7]PLANILLA ALEJANDRO'!W11:BE54,1,6)</f>
        <v>OK</v>
      </c>
      <c r="AE11" s="97" t="str">
        <f>INDEX('[7]PLANILLA ALEJANDRO'!X11:BF54,1,6)</f>
        <v>OK</v>
      </c>
      <c r="AF11" s="97">
        <f>INDEX('[7]PLANILLA ALEJANDRO'!Y11:BG54,1,6)</f>
        <v>0</v>
      </c>
      <c r="AG11" s="97">
        <f>INDEX('[7]PLANILLA ALEJANDRO'!Z11:BH54,1,6)</f>
        <v>0</v>
      </c>
      <c r="AH11" s="97">
        <f>INDEX('[7]PLANILLA ALEJANDRO'!AA11:BI54,1,6)</f>
        <v>0</v>
      </c>
      <c r="AI11" s="97">
        <f>INDEX('[7]PLANILLA ALEJANDRO'!AB11:BJ54,1,6)</f>
        <v>0</v>
      </c>
      <c r="AJ11" s="97">
        <f>INDEX('[7]PLANILLA ALEJANDRO'!AC11:BK54,1,6)</f>
        <v>0</v>
      </c>
      <c r="AK11" s="97">
        <f>INDEX('[7]PLANILLA ALEJANDRO'!AD11:BL54,1,6)</f>
        <v>0</v>
      </c>
      <c r="AL11" s="97">
        <f>INDEX('[7]PLANILLA ALEJANDRO'!AE11:BM54,1,6)</f>
        <v>0</v>
      </c>
      <c r="AM11" s="97">
        <f>INDEX('[7]PLANILLA ALEJANDRO'!AF11:BN54,1,6)</f>
        <v>0</v>
      </c>
      <c r="AO11" s="116">
        <f t="shared" si="5"/>
        <v>0</v>
      </c>
      <c r="AP11" s="116">
        <f t="shared" si="3"/>
        <v>0</v>
      </c>
      <c r="AQ11" s="116">
        <f t="shared" si="3"/>
        <v>0</v>
      </c>
      <c r="AR11" s="116">
        <f t="shared" si="3"/>
        <v>0</v>
      </c>
      <c r="AS11" s="116">
        <f t="shared" si="3"/>
        <v>0</v>
      </c>
      <c r="AT11" s="116">
        <f t="shared" si="3"/>
        <v>0</v>
      </c>
      <c r="AU11" s="116">
        <f t="shared" si="3"/>
        <v>0</v>
      </c>
      <c r="AV11" s="116">
        <f t="shared" si="3"/>
        <v>0</v>
      </c>
      <c r="AW11" s="116">
        <f t="shared" si="3"/>
        <v>0</v>
      </c>
      <c r="AX11" s="116">
        <f t="shared" si="3"/>
        <v>0</v>
      </c>
      <c r="AY11" s="116">
        <f t="shared" si="3"/>
        <v>0</v>
      </c>
      <c r="AZ11" s="116">
        <f t="shared" si="3"/>
        <v>0</v>
      </c>
      <c r="BA11" s="116">
        <f t="shared" si="3"/>
        <v>22</v>
      </c>
      <c r="BB11" s="117">
        <f t="shared" si="4"/>
        <v>22</v>
      </c>
    </row>
    <row r="12" spans="2:54" ht="18.600000000000001" customHeight="1">
      <c r="B12" s="112">
        <v>4</v>
      </c>
      <c r="C12" s="113">
        <f>+'[7]PLANILLA ALEJANDRO'!C12</f>
        <v>52122597</v>
      </c>
      <c r="D12" s="114" t="str">
        <f>IFERROR(VLOOKUP($C12,'[7]PLANILLA ALEJANDRO'!$C$9:$F$57,2,0),"NO BD")</f>
        <v xml:space="preserve">ARAQUE SILVA MIRYAM  </v>
      </c>
      <c r="E12" s="115" t="s">
        <v>582</v>
      </c>
      <c r="F12" s="114" t="str">
        <f>IFERROR(VLOOKUP($C12,[7]BD!$B$3:$O$213,3,0),"")</f>
        <v>OPERARIA DE ASEO Y CAFETERIA</v>
      </c>
      <c r="G12" s="77" t="s">
        <v>482</v>
      </c>
      <c r="H12" s="114" t="str">
        <f>IFERROR(VLOOKUP($C12,[7]BD!$B$3:$O$203,14,0),"")</f>
        <v>3115155557</v>
      </c>
      <c r="I12" s="114" t="str">
        <f>IFERROR(VLOOKUP($C12,[7]BD!$B$3:$O$203,4,0),"")</f>
        <v>18/10/2025</v>
      </c>
      <c r="J12" s="97" t="str">
        <f>INDEX('[7]PLANILLA ALEJANDRO'!C12:AK55,1,6)</f>
        <v>OK</v>
      </c>
      <c r="K12" s="97" t="str">
        <f>INDEX('[7]PLANILLA ALEJANDRO'!D12:AL55,1,6)</f>
        <v>OK</v>
      </c>
      <c r="L12" s="97" t="str">
        <f>INDEX('[7]PLANILLA ALEJANDRO'!E12:AM55,1,6)</f>
        <v>OK</v>
      </c>
      <c r="M12" s="97" t="str">
        <f>INDEX('[7]PLANILLA ALEJANDRO'!F12:AN55,1,6)</f>
        <v>OK</v>
      </c>
      <c r="N12" s="97" t="str">
        <f>INDEX('[7]PLANILLA ALEJANDRO'!G12:AO55,1,6)</f>
        <v>OK</v>
      </c>
      <c r="O12" s="97" t="str">
        <f>INDEX('[7]PLANILLA ALEJANDRO'!H12:AP55,1,6)</f>
        <v>OK</v>
      </c>
      <c r="P12" s="97" t="str">
        <f>INDEX('[7]PLANILLA ALEJANDRO'!I12:AQ55,1,6)</f>
        <v>OK</v>
      </c>
      <c r="Q12" s="97" t="str">
        <f>INDEX('[7]PLANILLA ALEJANDRO'!J12:AR55,1,6)</f>
        <v>OK</v>
      </c>
      <c r="R12" s="97" t="str">
        <f>INDEX('[7]PLANILLA ALEJANDRO'!K12:AS55,1,6)</f>
        <v>OK</v>
      </c>
      <c r="S12" s="97" t="str">
        <f>INDEX('[7]PLANILLA ALEJANDRO'!L12:AT55,1,6)</f>
        <v>OK</v>
      </c>
      <c r="T12" s="97" t="str">
        <f>INDEX('[7]PLANILLA ALEJANDRO'!M12:AU55,1,6)</f>
        <v>OK</v>
      </c>
      <c r="U12" s="97" t="str">
        <f>INDEX('[7]PLANILLA ALEJANDRO'!N12:AV55,1,6)</f>
        <v>OK</v>
      </c>
      <c r="V12" s="97" t="str">
        <f>INDEX('[7]PLANILLA ALEJANDRO'!O12:AW55,1,6)</f>
        <v>OK</v>
      </c>
      <c r="W12" s="97" t="str">
        <f>INDEX('[7]PLANILLA ALEJANDRO'!P12:AX55,1,6)</f>
        <v>OK</v>
      </c>
      <c r="X12" s="97" t="str">
        <f>INDEX('[7]PLANILLA ALEJANDRO'!Q12:AY55,1,6)</f>
        <v>OK</v>
      </c>
      <c r="Y12" s="97" t="str">
        <f>INDEX('[7]PLANILLA ALEJANDRO'!R12:AZ55,1,6)</f>
        <v>OK</v>
      </c>
      <c r="Z12" s="97" t="str">
        <f>INDEX('[7]PLANILLA ALEJANDRO'!S12:BA55,1,6)</f>
        <v>OK</v>
      </c>
      <c r="AA12" s="97" t="str">
        <f>INDEX('[7]PLANILLA ALEJANDRO'!T12:BB55,1,6)</f>
        <v>OK</v>
      </c>
      <c r="AB12" s="97" t="str">
        <f>INDEX('[7]PLANILLA ALEJANDRO'!U12:BC55,1,6)</f>
        <v>OK</v>
      </c>
      <c r="AC12" s="97" t="str">
        <f>INDEX('[7]PLANILLA ALEJANDRO'!V12:BD55,1,6)</f>
        <v>OK</v>
      </c>
      <c r="AD12" s="97" t="str">
        <f>INDEX('[7]PLANILLA ALEJANDRO'!W12:BE55,1,6)</f>
        <v>OK</v>
      </c>
      <c r="AE12" s="97" t="str">
        <f>INDEX('[7]PLANILLA ALEJANDRO'!X12:BF55,1,6)</f>
        <v>OK</v>
      </c>
      <c r="AF12" s="97">
        <f>INDEX('[7]PLANILLA ALEJANDRO'!Y12:BG55,1,6)</f>
        <v>0</v>
      </c>
      <c r="AG12" s="97">
        <f>INDEX('[7]PLANILLA ALEJANDRO'!Z12:BH55,1,6)</f>
        <v>0</v>
      </c>
      <c r="AH12" s="97">
        <f>INDEX('[7]PLANILLA ALEJANDRO'!AA12:BI55,1,6)</f>
        <v>0</v>
      </c>
      <c r="AI12" s="97">
        <f>INDEX('[7]PLANILLA ALEJANDRO'!AB12:BJ55,1,6)</f>
        <v>0</v>
      </c>
      <c r="AJ12" s="97">
        <f>INDEX('[7]PLANILLA ALEJANDRO'!AC12:BK55,1,6)</f>
        <v>0</v>
      </c>
      <c r="AK12" s="97">
        <f>INDEX('[7]PLANILLA ALEJANDRO'!AD12:BL55,1,6)</f>
        <v>0</v>
      </c>
      <c r="AL12" s="97">
        <f>INDEX('[7]PLANILLA ALEJANDRO'!AE12:BM55,1,6)</f>
        <v>0</v>
      </c>
      <c r="AM12" s="97">
        <f>INDEX('[7]PLANILLA ALEJANDRO'!AF12:BN55,1,6)</f>
        <v>0</v>
      </c>
      <c r="AO12" s="116">
        <f t="shared" si="5"/>
        <v>0</v>
      </c>
      <c r="AP12" s="116">
        <f t="shared" si="3"/>
        <v>0</v>
      </c>
      <c r="AQ12" s="116">
        <f t="shared" si="3"/>
        <v>0</v>
      </c>
      <c r="AR12" s="116">
        <f t="shared" si="3"/>
        <v>0</v>
      </c>
      <c r="AS12" s="116">
        <f t="shared" si="3"/>
        <v>0</v>
      </c>
      <c r="AT12" s="116">
        <f t="shared" si="3"/>
        <v>0</v>
      </c>
      <c r="AU12" s="116">
        <f t="shared" si="3"/>
        <v>0</v>
      </c>
      <c r="AV12" s="116">
        <f t="shared" si="3"/>
        <v>0</v>
      </c>
      <c r="AW12" s="116">
        <f t="shared" si="3"/>
        <v>0</v>
      </c>
      <c r="AX12" s="116">
        <f t="shared" si="3"/>
        <v>0</v>
      </c>
      <c r="AY12" s="116">
        <f t="shared" si="3"/>
        <v>0</v>
      </c>
      <c r="AZ12" s="116">
        <f t="shared" si="3"/>
        <v>0</v>
      </c>
      <c r="BA12" s="116">
        <f t="shared" si="3"/>
        <v>22</v>
      </c>
      <c r="BB12" s="117">
        <f t="shared" si="4"/>
        <v>22</v>
      </c>
    </row>
    <row r="13" spans="2:54" ht="18.600000000000001" customHeight="1">
      <c r="B13" s="112">
        <v>5</v>
      </c>
      <c r="C13" s="113">
        <f>+'[7]PLANILLA ALEJANDRO'!C13</f>
        <v>1023891887</v>
      </c>
      <c r="D13" s="114" t="str">
        <f>IFERROR(VLOOKUP($C13,'[7]PLANILLA ALEJANDRO'!$C$9:$F$57,2,0),"NO BD")</f>
        <v xml:space="preserve">CRUZ DIAZ KAREN DAYANA </v>
      </c>
      <c r="E13" s="115" t="s">
        <v>582</v>
      </c>
      <c r="F13" s="114" t="str">
        <f>IFERROR(VLOOKUP($C13,[7]BD!$B$3:$O$213,3,0),"")</f>
        <v>OPERARIA DE ASEO Y CAFETERIA</v>
      </c>
      <c r="G13" s="77" t="s">
        <v>482</v>
      </c>
      <c r="H13" s="114" t="str">
        <f>IFERROR(VLOOKUP($C13,[7]BD!$B$3:$O$203,14,0),"")</f>
        <v>3146834455</v>
      </c>
      <c r="I13" s="114" t="str">
        <f>IFERROR(VLOOKUP($C13,[7]BD!$B$3:$O$203,4,0),"")</f>
        <v>18/10/2025</v>
      </c>
      <c r="J13" s="97" t="str">
        <f>INDEX('[7]PLANILLA ALEJANDRO'!C13:AK56,1,6)</f>
        <v>OK</v>
      </c>
      <c r="K13" s="97" t="str">
        <f>INDEX('[7]PLANILLA ALEJANDRO'!D13:AL56,1,6)</f>
        <v>OK</v>
      </c>
      <c r="L13" s="97" t="str">
        <f>INDEX('[7]PLANILLA ALEJANDRO'!E13:AM56,1,6)</f>
        <v>OK</v>
      </c>
      <c r="M13" s="97" t="str">
        <f>INDEX('[7]PLANILLA ALEJANDRO'!F13:AN56,1,6)</f>
        <v>OK</v>
      </c>
      <c r="N13" s="97" t="str">
        <f>INDEX('[7]PLANILLA ALEJANDRO'!G13:AO56,1,6)</f>
        <v>OK</v>
      </c>
      <c r="O13" s="97" t="str">
        <f>INDEX('[7]PLANILLA ALEJANDRO'!H13:AP56,1,6)</f>
        <v>OK</v>
      </c>
      <c r="P13" s="97" t="str">
        <f>INDEX('[7]PLANILLA ALEJANDRO'!I13:AQ56,1,6)</f>
        <v>OK</v>
      </c>
      <c r="Q13" s="97" t="str">
        <f>INDEX('[7]PLANILLA ALEJANDRO'!J13:AR56,1,6)</f>
        <v>OK</v>
      </c>
      <c r="R13" s="97" t="str">
        <f>INDEX('[7]PLANILLA ALEJANDRO'!K13:AS56,1,6)</f>
        <v>OK</v>
      </c>
      <c r="S13" s="97" t="str">
        <f>INDEX('[7]PLANILLA ALEJANDRO'!L13:AT56,1,6)</f>
        <v>OK</v>
      </c>
      <c r="T13" s="97" t="str">
        <f>INDEX('[7]PLANILLA ALEJANDRO'!M13:AU56,1,6)</f>
        <v>OK</v>
      </c>
      <c r="U13" s="97" t="str">
        <f>INDEX('[7]PLANILLA ALEJANDRO'!N13:AV56,1,6)</f>
        <v>OK</v>
      </c>
      <c r="V13" s="97" t="str">
        <f>INDEX('[7]PLANILLA ALEJANDRO'!O13:AW56,1,6)</f>
        <v>OK</v>
      </c>
      <c r="W13" s="97" t="str">
        <f>INDEX('[7]PLANILLA ALEJANDRO'!P13:AX56,1,6)</f>
        <v>OK</v>
      </c>
      <c r="X13" s="97" t="str">
        <f>INDEX('[7]PLANILLA ALEJANDRO'!Q13:AY56,1,6)</f>
        <v>OK</v>
      </c>
      <c r="Y13" s="97" t="str">
        <f>INDEX('[7]PLANILLA ALEJANDRO'!R13:AZ56,1,6)</f>
        <v>OK</v>
      </c>
      <c r="Z13" s="97" t="str">
        <f>INDEX('[7]PLANILLA ALEJANDRO'!S13:BA56,1,6)</f>
        <v>OK</v>
      </c>
      <c r="AA13" s="97" t="str">
        <f>INDEX('[7]PLANILLA ALEJANDRO'!T13:BB56,1,6)</f>
        <v>OK</v>
      </c>
      <c r="AB13" s="97" t="str">
        <f>INDEX('[7]PLANILLA ALEJANDRO'!U13:BC56,1,6)</f>
        <v>OK</v>
      </c>
      <c r="AC13" s="97" t="str">
        <f>INDEX('[7]PLANILLA ALEJANDRO'!V13:BD56,1,6)</f>
        <v>OK</v>
      </c>
      <c r="AD13" s="97" t="str">
        <f>INDEX('[7]PLANILLA ALEJANDRO'!W13:BE56,1,6)</f>
        <v>OK</v>
      </c>
      <c r="AE13" s="97" t="str">
        <f>INDEX('[7]PLANILLA ALEJANDRO'!X13:BF56,1,6)</f>
        <v>OK</v>
      </c>
      <c r="AF13" s="97">
        <f>INDEX('[7]PLANILLA ALEJANDRO'!Y13:BG56,1,6)</f>
        <v>0</v>
      </c>
      <c r="AG13" s="97">
        <f>INDEX('[7]PLANILLA ALEJANDRO'!Z13:BH56,1,6)</f>
        <v>0</v>
      </c>
      <c r="AH13" s="97">
        <f>INDEX('[7]PLANILLA ALEJANDRO'!AA13:BI56,1,6)</f>
        <v>0</v>
      </c>
      <c r="AI13" s="97">
        <f>INDEX('[7]PLANILLA ALEJANDRO'!AB13:BJ56,1,6)</f>
        <v>0</v>
      </c>
      <c r="AJ13" s="97">
        <f>INDEX('[7]PLANILLA ALEJANDRO'!AC13:BK56,1,6)</f>
        <v>0</v>
      </c>
      <c r="AK13" s="97">
        <f>INDEX('[7]PLANILLA ALEJANDRO'!AD13:BL56,1,6)</f>
        <v>0</v>
      </c>
      <c r="AL13" s="97">
        <f>INDEX('[7]PLANILLA ALEJANDRO'!AE13:BM56,1,6)</f>
        <v>0</v>
      </c>
      <c r="AM13" s="97">
        <f>INDEX('[7]PLANILLA ALEJANDRO'!AF13:BN56,1,6)</f>
        <v>0</v>
      </c>
      <c r="AO13" s="116">
        <f t="shared" si="5"/>
        <v>0</v>
      </c>
      <c r="AP13" s="116">
        <f t="shared" si="3"/>
        <v>0</v>
      </c>
      <c r="AQ13" s="116">
        <f t="shared" si="3"/>
        <v>0</v>
      </c>
      <c r="AR13" s="116">
        <f t="shared" si="3"/>
        <v>0</v>
      </c>
      <c r="AS13" s="116">
        <f t="shared" si="3"/>
        <v>0</v>
      </c>
      <c r="AT13" s="116">
        <f t="shared" si="3"/>
        <v>0</v>
      </c>
      <c r="AU13" s="116">
        <f t="shared" si="3"/>
        <v>0</v>
      </c>
      <c r="AV13" s="116">
        <f t="shared" si="3"/>
        <v>0</v>
      </c>
      <c r="AW13" s="116">
        <f t="shared" si="3"/>
        <v>0</v>
      </c>
      <c r="AX13" s="116">
        <f t="shared" si="3"/>
        <v>0</v>
      </c>
      <c r="AY13" s="116">
        <f t="shared" si="3"/>
        <v>0</v>
      </c>
      <c r="AZ13" s="116">
        <f t="shared" si="3"/>
        <v>0</v>
      </c>
      <c r="BA13" s="116">
        <f t="shared" si="3"/>
        <v>22</v>
      </c>
      <c r="BB13" s="117">
        <f t="shared" si="4"/>
        <v>22</v>
      </c>
    </row>
    <row r="14" spans="2:54" ht="18.600000000000001" customHeight="1">
      <c r="B14" s="112">
        <v>6</v>
      </c>
      <c r="C14" s="113">
        <f>+'[7]PLANILLA ALEJANDRO'!C14</f>
        <v>1087206496</v>
      </c>
      <c r="D14" s="114" t="str">
        <f>IFERROR(VLOOKUP($C14,'[7]PLANILLA ALEJANDRO'!$C$9:$F$57,2,0),"NO BD")</f>
        <v xml:space="preserve">CASTILLO GONZALEZ JENIFER TATIANA </v>
      </c>
      <c r="E14" s="115" t="s">
        <v>582</v>
      </c>
      <c r="F14" s="114" t="str">
        <f>IFERROR(VLOOKUP($C14,[7]BD!$B$3:$O$213,3,0),"")</f>
        <v>OPERARIAS DE ASEO Y CAFETERIA</v>
      </c>
      <c r="G14" s="77" t="s">
        <v>482</v>
      </c>
      <c r="H14" s="114" t="str">
        <f>IFERROR(VLOOKUP($C14,[7]BD!$B$3:$O$203,14,0),"")</f>
        <v>3504640587</v>
      </c>
      <c r="I14" s="114" t="str">
        <f>IFERROR(VLOOKUP($C14,[7]BD!$B$3:$O$203,4,0),"")</f>
        <v>12/02/2026</v>
      </c>
      <c r="J14" s="97" t="str">
        <f>INDEX('[7]PLANILLA ALEJANDRO'!C14:AK57,1,6)</f>
        <v>OK</v>
      </c>
      <c r="K14" s="97" t="str">
        <f>INDEX('[7]PLANILLA ALEJANDRO'!D14:AL57,1,6)</f>
        <v>OK</v>
      </c>
      <c r="L14" s="97" t="str">
        <f>INDEX('[7]PLANILLA ALEJANDRO'!E14:AM57,1,6)</f>
        <v>OK</v>
      </c>
      <c r="M14" s="97" t="str">
        <f>INDEX('[7]PLANILLA ALEJANDRO'!F14:AN57,1,6)</f>
        <v>OK</v>
      </c>
      <c r="N14" s="97" t="str">
        <f>INDEX('[7]PLANILLA ALEJANDRO'!G14:AO57,1,6)</f>
        <v>OK</v>
      </c>
      <c r="O14" s="97" t="str">
        <f>INDEX('[7]PLANILLA ALEJANDRO'!H14:AP57,1,6)</f>
        <v>OK</v>
      </c>
      <c r="P14" s="97" t="str">
        <f>INDEX('[7]PLANILLA ALEJANDRO'!I14:AQ57,1,6)</f>
        <v>OK</v>
      </c>
      <c r="Q14" s="97" t="str">
        <f>INDEX('[7]PLANILLA ALEJANDRO'!J14:AR57,1,6)</f>
        <v>OK</v>
      </c>
      <c r="R14" s="97" t="str">
        <f>INDEX('[7]PLANILLA ALEJANDRO'!K14:AS57,1,6)</f>
        <v>OK</v>
      </c>
      <c r="S14" s="97" t="str">
        <f>INDEX('[7]PLANILLA ALEJANDRO'!L14:AT57,1,6)</f>
        <v>OK</v>
      </c>
      <c r="T14" s="97" t="str">
        <f>INDEX('[7]PLANILLA ALEJANDRO'!M14:AU57,1,6)</f>
        <v>OK</v>
      </c>
      <c r="U14" s="97" t="str">
        <f>INDEX('[7]PLANILLA ALEJANDRO'!N14:AV57,1,6)</f>
        <v>OK</v>
      </c>
      <c r="V14" s="97" t="str">
        <f>INDEX('[7]PLANILLA ALEJANDRO'!O14:AW57,1,6)</f>
        <v>OK</v>
      </c>
      <c r="W14" s="97" t="str">
        <f>INDEX('[7]PLANILLA ALEJANDRO'!P14:AX57,1,6)</f>
        <v>OK</v>
      </c>
      <c r="X14" s="97" t="str">
        <f>INDEX('[7]PLANILLA ALEJANDRO'!Q14:AY57,1,6)</f>
        <v>OK</v>
      </c>
      <c r="Y14" s="97" t="str">
        <f>INDEX('[7]PLANILLA ALEJANDRO'!R14:AZ57,1,6)</f>
        <v>OK</v>
      </c>
      <c r="Z14" s="97" t="str">
        <f>INDEX('[7]PLANILLA ALEJANDRO'!S14:BA57,1,6)</f>
        <v>OK</v>
      </c>
      <c r="AA14" s="97" t="str">
        <f>INDEX('[7]PLANILLA ALEJANDRO'!T14:BB57,1,6)</f>
        <v>OK</v>
      </c>
      <c r="AB14" s="97" t="str">
        <f>INDEX('[7]PLANILLA ALEJANDRO'!U14:BC57,1,6)</f>
        <v>OK</v>
      </c>
      <c r="AC14" s="97" t="str">
        <f>INDEX('[7]PLANILLA ALEJANDRO'!V14:BD57,1,6)</f>
        <v>OK</v>
      </c>
      <c r="AD14" s="97" t="str">
        <f>INDEX('[7]PLANILLA ALEJANDRO'!W14:BE57,1,6)</f>
        <v>OK</v>
      </c>
      <c r="AE14" s="97" t="str">
        <f>INDEX('[7]PLANILLA ALEJANDRO'!X14:BF57,1,6)</f>
        <v>OK</v>
      </c>
      <c r="AF14" s="97">
        <f>INDEX('[7]PLANILLA ALEJANDRO'!Y14:BG57,1,6)</f>
        <v>0</v>
      </c>
      <c r="AG14" s="97">
        <f>INDEX('[7]PLANILLA ALEJANDRO'!Z14:BH57,1,6)</f>
        <v>0</v>
      </c>
      <c r="AH14" s="97">
        <f>INDEX('[7]PLANILLA ALEJANDRO'!AA14:BI57,1,6)</f>
        <v>0</v>
      </c>
      <c r="AI14" s="97">
        <f>INDEX('[7]PLANILLA ALEJANDRO'!AB14:BJ57,1,6)</f>
        <v>0</v>
      </c>
      <c r="AJ14" s="97">
        <f>INDEX('[7]PLANILLA ALEJANDRO'!AC14:BK57,1,6)</f>
        <v>0</v>
      </c>
      <c r="AK14" s="97">
        <f>INDEX('[7]PLANILLA ALEJANDRO'!AD14:BL57,1,6)</f>
        <v>0</v>
      </c>
      <c r="AL14" s="97">
        <f>INDEX('[7]PLANILLA ALEJANDRO'!AE14:BM57,1,6)</f>
        <v>0</v>
      </c>
      <c r="AM14" s="97">
        <f>INDEX('[7]PLANILLA ALEJANDRO'!AF14:BN57,1,6)</f>
        <v>0</v>
      </c>
      <c r="AO14" s="116">
        <f t="shared" si="5"/>
        <v>0</v>
      </c>
      <c r="AP14" s="116">
        <f t="shared" si="3"/>
        <v>0</v>
      </c>
      <c r="AQ14" s="116">
        <f t="shared" si="3"/>
        <v>0</v>
      </c>
      <c r="AR14" s="116">
        <f t="shared" si="3"/>
        <v>0</v>
      </c>
      <c r="AS14" s="116">
        <f t="shared" si="3"/>
        <v>0</v>
      </c>
      <c r="AT14" s="116">
        <f t="shared" si="3"/>
        <v>0</v>
      </c>
      <c r="AU14" s="116">
        <f t="shared" si="3"/>
        <v>0</v>
      </c>
      <c r="AV14" s="116">
        <f t="shared" si="3"/>
        <v>0</v>
      </c>
      <c r="AW14" s="116">
        <f t="shared" si="3"/>
        <v>0</v>
      </c>
      <c r="AX14" s="116">
        <f t="shared" si="3"/>
        <v>0</v>
      </c>
      <c r="AY14" s="116">
        <f t="shared" si="3"/>
        <v>0</v>
      </c>
      <c r="AZ14" s="116">
        <f t="shared" si="3"/>
        <v>0</v>
      </c>
      <c r="BA14" s="116">
        <f t="shared" si="3"/>
        <v>22</v>
      </c>
      <c r="BB14" s="117">
        <f t="shared" si="4"/>
        <v>22</v>
      </c>
    </row>
    <row r="15" spans="2:54" ht="18.600000000000001" customHeight="1">
      <c r="B15" s="112">
        <v>7</v>
      </c>
      <c r="C15" s="113">
        <f>+'[7]PLANILLA ALEJANDRO'!C15</f>
        <v>1023950293</v>
      </c>
      <c r="D15" s="114" t="str">
        <f>IFERROR(VLOOKUP($C15,'[7]PLANILLA ALEJANDRO'!$C$9:$F$57,2,0),"NO BD")</f>
        <v xml:space="preserve">MADRIGAL DIAZ LUIS ENRIQUE </v>
      </c>
      <c r="E15" s="115" t="s">
        <v>582</v>
      </c>
      <c r="F15" s="114" t="str">
        <f>IFERROR(VLOOKUP($C15,[7]BD!$B$3:$O$213,3,0),"")</f>
        <v>OPERARIO DE MANTENIMIENTO</v>
      </c>
      <c r="G15" s="77" t="s">
        <v>482</v>
      </c>
      <c r="H15" s="114" t="str">
        <f>IFERROR(VLOOKUP($C15,[7]BD!$B$3:$O$203,14,0),"")</f>
        <v>3248362025</v>
      </c>
      <c r="I15" s="114" t="str">
        <f>IFERROR(VLOOKUP($C15,[7]BD!$B$3:$O$203,4,0),"")</f>
        <v>18/10/2025</v>
      </c>
      <c r="J15" s="97" t="str">
        <f>INDEX('[7]PLANILLA ALEJANDRO'!C15:AK58,1,6)</f>
        <v>OK</v>
      </c>
      <c r="K15" s="97" t="str">
        <f>INDEX('[7]PLANILLA ALEJANDRO'!D15:AL58,1,6)</f>
        <v>OK</v>
      </c>
      <c r="L15" s="97" t="str">
        <f>INDEX('[7]PLANILLA ALEJANDRO'!E15:AM58,1,6)</f>
        <v>OK</v>
      </c>
      <c r="M15" s="97" t="str">
        <f>INDEX('[7]PLANILLA ALEJANDRO'!F15:AN58,1,6)</f>
        <v>OK</v>
      </c>
      <c r="N15" s="97" t="str">
        <f>INDEX('[7]PLANILLA ALEJANDRO'!G15:AO58,1,6)</f>
        <v>OK</v>
      </c>
      <c r="O15" s="97" t="str">
        <f>INDEX('[7]PLANILLA ALEJANDRO'!H15:AP58,1,6)</f>
        <v>OK</v>
      </c>
      <c r="P15" s="97" t="str">
        <f>INDEX('[7]PLANILLA ALEJANDRO'!I15:AQ58,1,6)</f>
        <v>OK</v>
      </c>
      <c r="Q15" s="97" t="str">
        <f>INDEX('[7]PLANILLA ALEJANDRO'!J15:AR58,1,6)</f>
        <v>OK</v>
      </c>
      <c r="R15" s="97" t="str">
        <f>INDEX('[7]PLANILLA ALEJANDRO'!K15:AS58,1,6)</f>
        <v>OK</v>
      </c>
      <c r="S15" s="97" t="str">
        <f>INDEX('[7]PLANILLA ALEJANDRO'!L15:AT58,1,6)</f>
        <v>OK</v>
      </c>
      <c r="T15" s="97" t="str">
        <f>INDEX('[7]PLANILLA ALEJANDRO'!M15:AU58,1,6)</f>
        <v>OK</v>
      </c>
      <c r="U15" s="97" t="str">
        <f>INDEX('[7]PLANILLA ALEJANDRO'!N15:AV58,1,6)</f>
        <v>OK</v>
      </c>
      <c r="V15" s="97" t="str">
        <f>INDEX('[7]PLANILLA ALEJANDRO'!O15:AW58,1,6)</f>
        <v>OK</v>
      </c>
      <c r="W15" s="97" t="str">
        <f>INDEX('[7]PLANILLA ALEJANDRO'!P15:AX58,1,6)</f>
        <v>OK</v>
      </c>
      <c r="X15" s="97" t="str">
        <f>INDEX('[7]PLANILLA ALEJANDRO'!Q15:AY58,1,6)</f>
        <v>OK</v>
      </c>
      <c r="Y15" s="97" t="str">
        <f>INDEX('[7]PLANILLA ALEJANDRO'!R15:AZ58,1,6)</f>
        <v>OK</v>
      </c>
      <c r="Z15" s="97" t="str">
        <f>INDEX('[7]PLANILLA ALEJANDRO'!S15:BA58,1,6)</f>
        <v>OK</v>
      </c>
      <c r="AA15" s="97" t="str">
        <f>INDEX('[7]PLANILLA ALEJANDRO'!T15:BB58,1,6)</f>
        <v>OK</v>
      </c>
      <c r="AB15" s="97" t="str">
        <f>INDEX('[7]PLANILLA ALEJANDRO'!U15:BC58,1,6)</f>
        <v>OK</v>
      </c>
      <c r="AC15" s="97" t="str">
        <f>INDEX('[7]PLANILLA ALEJANDRO'!V15:BD58,1,6)</f>
        <v>OK</v>
      </c>
      <c r="AD15" s="97" t="str">
        <f>INDEX('[7]PLANILLA ALEJANDRO'!W15:BE58,1,6)</f>
        <v>OK</v>
      </c>
      <c r="AE15" s="97" t="str">
        <f>INDEX('[7]PLANILLA ALEJANDRO'!X15:BF58,1,6)</f>
        <v>OK</v>
      </c>
      <c r="AF15" s="97">
        <f>INDEX('[7]PLANILLA ALEJANDRO'!Y15:BG58,1,6)</f>
        <v>0</v>
      </c>
      <c r="AG15" s="97">
        <f>INDEX('[7]PLANILLA ALEJANDRO'!Z15:BH58,1,6)</f>
        <v>0</v>
      </c>
      <c r="AH15" s="97">
        <f>INDEX('[7]PLANILLA ALEJANDRO'!AA15:BI58,1,6)</f>
        <v>0</v>
      </c>
      <c r="AI15" s="97">
        <f>INDEX('[7]PLANILLA ALEJANDRO'!AB15:BJ58,1,6)</f>
        <v>0</v>
      </c>
      <c r="AJ15" s="97">
        <f>INDEX('[7]PLANILLA ALEJANDRO'!AC15:BK58,1,6)</f>
        <v>0</v>
      </c>
      <c r="AK15" s="97">
        <f>INDEX('[7]PLANILLA ALEJANDRO'!AD15:BL58,1,6)</f>
        <v>0</v>
      </c>
      <c r="AL15" s="97">
        <f>INDEX('[7]PLANILLA ALEJANDRO'!AE15:BM58,1,6)</f>
        <v>0</v>
      </c>
      <c r="AM15" s="97">
        <f>INDEX('[7]PLANILLA ALEJANDRO'!AF15:BN58,1,6)</f>
        <v>0</v>
      </c>
      <c r="AO15" s="116">
        <f t="shared" si="5"/>
        <v>0</v>
      </c>
      <c r="AP15" s="116">
        <f t="shared" si="3"/>
        <v>0</v>
      </c>
      <c r="AQ15" s="116">
        <f t="shared" si="3"/>
        <v>0</v>
      </c>
      <c r="AR15" s="116">
        <f t="shared" si="3"/>
        <v>0</v>
      </c>
      <c r="AS15" s="116">
        <f t="shared" si="3"/>
        <v>0</v>
      </c>
      <c r="AT15" s="116">
        <f t="shared" si="3"/>
        <v>0</v>
      </c>
      <c r="AU15" s="116">
        <f t="shared" si="3"/>
        <v>0</v>
      </c>
      <c r="AV15" s="116">
        <f t="shared" si="3"/>
        <v>0</v>
      </c>
      <c r="AW15" s="116">
        <f t="shared" si="3"/>
        <v>0</v>
      </c>
      <c r="AX15" s="116">
        <f t="shared" si="3"/>
        <v>0</v>
      </c>
      <c r="AY15" s="116">
        <f t="shared" si="3"/>
        <v>0</v>
      </c>
      <c r="AZ15" s="116">
        <f t="shared" si="3"/>
        <v>0</v>
      </c>
      <c r="BA15" s="116">
        <f t="shared" si="3"/>
        <v>22</v>
      </c>
      <c r="BB15" s="117">
        <f t="shared" si="4"/>
        <v>22</v>
      </c>
    </row>
    <row r="16" spans="2:54" ht="18.600000000000001" customHeight="1">
      <c r="B16" s="112">
        <v>8</v>
      </c>
      <c r="C16" s="113">
        <f>+'[7]PLANILLA ALEJANDRO'!C16</f>
        <v>1023943429</v>
      </c>
      <c r="D16" s="114" t="str">
        <f>IFERROR(VLOOKUP($C16,'[7]PLANILLA ALEJANDRO'!$C$9:$F$57,2,0),"NO BD")</f>
        <v xml:space="preserve">AVILA SALINAS CARLOS ALBERTO </v>
      </c>
      <c r="E16" s="115" t="s">
        <v>582</v>
      </c>
      <c r="F16" s="114" t="str">
        <f>IFERROR(VLOOKUP($C16,[7]BD!$B$3:$O$213,3,0),"")</f>
        <v>OPERARIO DE MANTENIMIENTO</v>
      </c>
      <c r="G16" s="77" t="s">
        <v>482</v>
      </c>
      <c r="H16" s="114" t="str">
        <f>IFERROR(VLOOKUP($C16,[7]BD!$B$3:$O$203,14,0),"")</f>
        <v>3246890914</v>
      </c>
      <c r="I16" s="114" t="str">
        <f>IFERROR(VLOOKUP($C16,[7]BD!$B$3:$O$203,4,0),"")</f>
        <v>17/12/2025</v>
      </c>
      <c r="J16" s="97" t="str">
        <f>INDEX('[7]PLANILLA ALEJANDRO'!C16:AK59,1,6)</f>
        <v>OK</v>
      </c>
      <c r="K16" s="97" t="str">
        <f>INDEX('[7]PLANILLA ALEJANDRO'!D16:AL59,1,6)</f>
        <v>OK</v>
      </c>
      <c r="L16" s="97" t="str">
        <f>INDEX('[7]PLANILLA ALEJANDRO'!E16:AM59,1,6)</f>
        <v>OK</v>
      </c>
      <c r="M16" s="97" t="str">
        <f>INDEX('[7]PLANILLA ALEJANDRO'!F16:AN59,1,6)</f>
        <v>OK</v>
      </c>
      <c r="N16" s="97" t="str">
        <f>INDEX('[7]PLANILLA ALEJANDRO'!G16:AO59,1,6)</f>
        <v>OK</v>
      </c>
      <c r="O16" s="97" t="str">
        <f>INDEX('[7]PLANILLA ALEJANDRO'!H16:AP59,1,6)</f>
        <v>OK</v>
      </c>
      <c r="P16" s="97" t="str">
        <f>INDEX('[7]PLANILLA ALEJANDRO'!I16:AQ59,1,6)</f>
        <v>OK</v>
      </c>
      <c r="Q16" s="97" t="str">
        <f>INDEX('[7]PLANILLA ALEJANDRO'!J16:AR59,1,6)</f>
        <v>OK</v>
      </c>
      <c r="R16" s="97" t="str">
        <f>INDEX('[7]PLANILLA ALEJANDRO'!K16:AS59,1,6)</f>
        <v>OK</v>
      </c>
      <c r="S16" s="97" t="str">
        <f>INDEX('[7]PLANILLA ALEJANDRO'!L16:AT59,1,6)</f>
        <v>OK</v>
      </c>
      <c r="T16" s="97" t="str">
        <f>INDEX('[7]PLANILLA ALEJANDRO'!M16:AU59,1,6)</f>
        <v>OK</v>
      </c>
      <c r="U16" s="97" t="str">
        <f>INDEX('[7]PLANILLA ALEJANDRO'!N16:AV59,1,6)</f>
        <v>OK</v>
      </c>
      <c r="V16" s="97" t="str">
        <f>INDEX('[7]PLANILLA ALEJANDRO'!O16:AW59,1,6)</f>
        <v>OK</v>
      </c>
      <c r="W16" s="97" t="str">
        <f>INDEX('[7]PLANILLA ALEJANDRO'!P16:AX59,1,6)</f>
        <v>OK</v>
      </c>
      <c r="X16" s="97" t="str">
        <f>INDEX('[7]PLANILLA ALEJANDRO'!Q16:AY59,1,6)</f>
        <v>OK</v>
      </c>
      <c r="Y16" s="97" t="str">
        <f>INDEX('[7]PLANILLA ALEJANDRO'!R16:AZ59,1,6)</f>
        <v>OK</v>
      </c>
      <c r="Z16" s="97" t="str">
        <f>INDEX('[7]PLANILLA ALEJANDRO'!S16:BA59,1,6)</f>
        <v>OK</v>
      </c>
      <c r="AA16" s="97" t="str">
        <f>INDEX('[7]PLANILLA ALEJANDRO'!T16:BB59,1,6)</f>
        <v>OK</v>
      </c>
      <c r="AB16" s="97" t="str">
        <f>INDEX('[7]PLANILLA ALEJANDRO'!U16:BC59,1,6)</f>
        <v>OK</v>
      </c>
      <c r="AC16" s="97" t="str">
        <f>INDEX('[7]PLANILLA ALEJANDRO'!V16:BD59,1,6)</f>
        <v>OK</v>
      </c>
      <c r="AD16" s="97" t="str">
        <f>INDEX('[7]PLANILLA ALEJANDRO'!W16:BE59,1,6)</f>
        <v>OK</v>
      </c>
      <c r="AE16" s="97" t="str">
        <f>INDEX('[7]PLANILLA ALEJANDRO'!X16:BF59,1,6)</f>
        <v>OK</v>
      </c>
      <c r="AF16" s="97">
        <f>INDEX('[7]PLANILLA ALEJANDRO'!Y16:BG59,1,6)</f>
        <v>0</v>
      </c>
      <c r="AG16" s="97">
        <f>INDEX('[7]PLANILLA ALEJANDRO'!Z16:BH59,1,6)</f>
        <v>0</v>
      </c>
      <c r="AH16" s="97">
        <f>INDEX('[7]PLANILLA ALEJANDRO'!AA16:BI59,1,6)</f>
        <v>0</v>
      </c>
      <c r="AI16" s="97">
        <f>INDEX('[7]PLANILLA ALEJANDRO'!AB16:BJ59,1,6)</f>
        <v>0</v>
      </c>
      <c r="AJ16" s="97">
        <f>INDEX('[7]PLANILLA ALEJANDRO'!AC16:BK59,1,6)</f>
        <v>0</v>
      </c>
      <c r="AK16" s="97">
        <f>INDEX('[7]PLANILLA ALEJANDRO'!AD16:BL59,1,6)</f>
        <v>0</v>
      </c>
      <c r="AL16" s="97">
        <f>INDEX('[7]PLANILLA ALEJANDRO'!AE16:BM59,1,6)</f>
        <v>0</v>
      </c>
      <c r="AM16" s="97">
        <f>INDEX('[7]PLANILLA ALEJANDRO'!AF16:BN59,1,6)</f>
        <v>0</v>
      </c>
      <c r="AO16" s="116">
        <f t="shared" si="5"/>
        <v>0</v>
      </c>
      <c r="AP16" s="116">
        <f t="shared" si="3"/>
        <v>0</v>
      </c>
      <c r="AQ16" s="116">
        <f t="shared" si="3"/>
        <v>0</v>
      </c>
      <c r="AR16" s="116">
        <f t="shared" si="3"/>
        <v>0</v>
      </c>
      <c r="AS16" s="116">
        <f t="shared" si="3"/>
        <v>0</v>
      </c>
      <c r="AT16" s="116">
        <f t="shared" si="3"/>
        <v>0</v>
      </c>
      <c r="AU16" s="116">
        <f t="shared" si="3"/>
        <v>0</v>
      </c>
      <c r="AV16" s="116">
        <f t="shared" si="3"/>
        <v>0</v>
      </c>
      <c r="AW16" s="116">
        <f t="shared" si="3"/>
        <v>0</v>
      </c>
      <c r="AX16" s="116">
        <f t="shared" si="3"/>
        <v>0</v>
      </c>
      <c r="AY16" s="116">
        <f t="shared" si="3"/>
        <v>0</v>
      </c>
      <c r="AZ16" s="116">
        <f t="shared" si="3"/>
        <v>0</v>
      </c>
      <c r="BA16" s="116">
        <f t="shared" si="3"/>
        <v>22</v>
      </c>
      <c r="BB16" s="117">
        <f t="shared" si="4"/>
        <v>22</v>
      </c>
    </row>
    <row r="17" spans="2:54" ht="18.600000000000001" customHeight="1">
      <c r="B17" s="112">
        <v>9</v>
      </c>
      <c r="C17" s="113">
        <f>+'[7]PLANILLA ALEJANDRO'!C17</f>
        <v>1023940881</v>
      </c>
      <c r="D17" s="114" t="str">
        <f>IFERROR(VLOOKUP($C17,'[7]PLANILLA ALEJANDRO'!$C$9:$F$57,2,0),"NO BD")</f>
        <v xml:space="preserve">VALENCIA PERILLA KAREN JOHANA </v>
      </c>
      <c r="E17" s="115" t="s">
        <v>582</v>
      </c>
      <c r="F17" s="114" t="str">
        <f>IFERROR(VLOOKUP($C17,[7]BD!$B$3:$O$213,3,0),"")</f>
        <v>OPERARIA DE ASEO Y CAFETERIA</v>
      </c>
      <c r="G17" s="77" t="s">
        <v>495</v>
      </c>
      <c r="H17" s="114" t="str">
        <f>IFERROR(VLOOKUP($C17,[7]BD!$B$3:$O$203,14,0),"")</f>
        <v>3219453295</v>
      </c>
      <c r="I17" s="114" t="str">
        <f>IFERROR(VLOOKUP($C17,[7]BD!$B$3:$O$203,4,0),"")</f>
        <v>18/10/2025</v>
      </c>
      <c r="J17" s="97" t="str">
        <f>INDEX('[7]PLANILLA ALEJANDRO'!C17:AK60,1,6)</f>
        <v>OK</v>
      </c>
      <c r="K17" s="97" t="str">
        <f>INDEX('[7]PLANILLA ALEJANDRO'!D17:AL60,1,6)</f>
        <v>OK</v>
      </c>
      <c r="L17" s="97" t="str">
        <f>INDEX('[7]PLANILLA ALEJANDRO'!E17:AM60,1,6)</f>
        <v>OK</v>
      </c>
      <c r="M17" s="97" t="str">
        <f>INDEX('[7]PLANILLA ALEJANDRO'!F17:AN60,1,6)</f>
        <v>OK</v>
      </c>
      <c r="N17" s="97" t="str">
        <f>INDEX('[7]PLANILLA ALEJANDRO'!G17:AO60,1,6)</f>
        <v>OK</v>
      </c>
      <c r="O17" s="97" t="str">
        <f>INDEX('[7]PLANILLA ALEJANDRO'!H17:AP60,1,6)</f>
        <v>OK</v>
      </c>
      <c r="P17" s="97" t="str">
        <f>INDEX('[7]PLANILLA ALEJANDRO'!I17:AQ60,1,6)</f>
        <v>OK</v>
      </c>
      <c r="Q17" s="97" t="str">
        <f>INDEX('[7]PLANILLA ALEJANDRO'!J17:AR60,1,6)</f>
        <v>OK</v>
      </c>
      <c r="R17" s="97" t="str">
        <f>INDEX('[7]PLANILLA ALEJANDRO'!K17:AS60,1,6)</f>
        <v>OK</v>
      </c>
      <c r="S17" s="97" t="str">
        <f>INDEX('[7]PLANILLA ALEJANDRO'!L17:AT60,1,6)</f>
        <v>OK</v>
      </c>
      <c r="T17" s="97" t="str">
        <f>INDEX('[7]PLANILLA ALEJANDRO'!M17:AU60,1,6)</f>
        <v>OK</v>
      </c>
      <c r="U17" s="97" t="str">
        <f>INDEX('[7]PLANILLA ALEJANDRO'!N17:AV60,1,6)</f>
        <v>OK</v>
      </c>
      <c r="V17" s="97" t="str">
        <f>INDEX('[7]PLANILLA ALEJANDRO'!O17:AW60,1,6)</f>
        <v>OK</v>
      </c>
      <c r="W17" s="97" t="str">
        <f>INDEX('[7]PLANILLA ALEJANDRO'!P17:AX60,1,6)</f>
        <v>OK</v>
      </c>
      <c r="X17" s="97" t="str">
        <f>INDEX('[7]PLANILLA ALEJANDRO'!Q17:AY60,1,6)</f>
        <v>OK</v>
      </c>
      <c r="Y17" s="97" t="str">
        <f>INDEX('[7]PLANILLA ALEJANDRO'!R17:AZ60,1,6)</f>
        <v>OK</v>
      </c>
      <c r="Z17" s="97" t="str">
        <f>INDEX('[7]PLANILLA ALEJANDRO'!S17:BA60,1,6)</f>
        <v>OK</v>
      </c>
      <c r="AA17" s="97" t="str">
        <f>INDEX('[7]PLANILLA ALEJANDRO'!T17:BB60,1,6)</f>
        <v>OK</v>
      </c>
      <c r="AB17" s="97" t="str">
        <f>INDEX('[7]PLANILLA ALEJANDRO'!U17:BC60,1,6)</f>
        <v>OK</v>
      </c>
      <c r="AC17" s="97" t="str">
        <f>INDEX('[7]PLANILLA ALEJANDRO'!V17:BD60,1,6)</f>
        <v>OK</v>
      </c>
      <c r="AD17" s="97" t="str">
        <f>INDEX('[7]PLANILLA ALEJANDRO'!W17:BE60,1,6)</f>
        <v>OK</v>
      </c>
      <c r="AE17" s="97" t="str">
        <f>INDEX('[7]PLANILLA ALEJANDRO'!X17:BF60,1,6)</f>
        <v>OK</v>
      </c>
      <c r="AF17" s="97">
        <f>INDEX('[7]PLANILLA ALEJANDRO'!Y17:BG60,1,6)</f>
        <v>0</v>
      </c>
      <c r="AG17" s="97">
        <f>INDEX('[7]PLANILLA ALEJANDRO'!Z17:BH60,1,6)</f>
        <v>0</v>
      </c>
      <c r="AH17" s="97">
        <f>INDEX('[7]PLANILLA ALEJANDRO'!AA17:BI60,1,6)</f>
        <v>0</v>
      </c>
      <c r="AI17" s="97">
        <f>INDEX('[7]PLANILLA ALEJANDRO'!AB17:BJ60,1,6)</f>
        <v>0</v>
      </c>
      <c r="AJ17" s="97">
        <f>INDEX('[7]PLANILLA ALEJANDRO'!AC17:BK60,1,6)</f>
        <v>0</v>
      </c>
      <c r="AK17" s="97">
        <f>INDEX('[7]PLANILLA ALEJANDRO'!AD17:BL60,1,6)</f>
        <v>0</v>
      </c>
      <c r="AL17" s="97">
        <f>INDEX('[7]PLANILLA ALEJANDRO'!AE17:BM60,1,6)</f>
        <v>0</v>
      </c>
      <c r="AM17" s="97">
        <f>INDEX('[7]PLANILLA ALEJANDRO'!AF17:BN60,1,6)</f>
        <v>0</v>
      </c>
      <c r="AO17" s="116">
        <f t="shared" si="5"/>
        <v>0</v>
      </c>
      <c r="AP17" s="116">
        <f t="shared" si="3"/>
        <v>0</v>
      </c>
      <c r="AQ17" s="116">
        <f t="shared" si="3"/>
        <v>0</v>
      </c>
      <c r="AR17" s="116">
        <f t="shared" si="3"/>
        <v>0</v>
      </c>
      <c r="AS17" s="116">
        <f t="shared" si="3"/>
        <v>0</v>
      </c>
      <c r="AT17" s="116">
        <f t="shared" si="3"/>
        <v>0</v>
      </c>
      <c r="AU17" s="116">
        <f t="shared" si="3"/>
        <v>0</v>
      </c>
      <c r="AV17" s="116">
        <f t="shared" si="3"/>
        <v>0</v>
      </c>
      <c r="AW17" s="116">
        <f t="shared" si="3"/>
        <v>0</v>
      </c>
      <c r="AX17" s="116">
        <f t="shared" si="3"/>
        <v>0</v>
      </c>
      <c r="AY17" s="116">
        <f t="shared" si="3"/>
        <v>0</v>
      </c>
      <c r="AZ17" s="116">
        <f t="shared" si="3"/>
        <v>0</v>
      </c>
      <c r="BA17" s="116">
        <f t="shared" si="3"/>
        <v>22</v>
      </c>
      <c r="BB17" s="117">
        <f t="shared" si="4"/>
        <v>22</v>
      </c>
    </row>
    <row r="18" spans="2:54" ht="18.600000000000001" customHeight="1">
      <c r="B18" s="112">
        <v>10</v>
      </c>
      <c r="C18" s="113">
        <f>+'[7]PLANILLA ALEJANDRO'!C18</f>
        <v>39799657</v>
      </c>
      <c r="D18" s="114" t="str">
        <f>IFERROR(VLOOKUP($C18,'[7]PLANILLA ALEJANDRO'!$C$9:$F$57,2,0),"NO BD")</f>
        <v xml:space="preserve">CARO VARGAS MARIA YOLANDA </v>
      </c>
      <c r="E18" s="115" t="s">
        <v>582</v>
      </c>
      <c r="F18" s="114" t="str">
        <f>IFERROR(VLOOKUP($C18,[7]BD!$B$3:$O$213,3,0),"")</f>
        <v>OPERARIA DE ASEO Y CAFETERIA</v>
      </c>
      <c r="G18" s="77" t="s">
        <v>495</v>
      </c>
      <c r="H18" s="114" t="str">
        <f>IFERROR(VLOOKUP($C18,[7]BD!$B$3:$O$203,14,0),"")</f>
        <v>3123908254</v>
      </c>
      <c r="I18" s="114" t="str">
        <f>IFERROR(VLOOKUP($C18,[7]BD!$B$3:$O$203,4,0),"")</f>
        <v>18/10/2025</v>
      </c>
      <c r="J18" s="97" t="str">
        <f>INDEX('[7]PLANILLA ALEJANDRO'!C18:AK61,1,6)</f>
        <v>OK</v>
      </c>
      <c r="K18" s="97" t="str">
        <f>INDEX('[7]PLANILLA ALEJANDRO'!D18:AL61,1,6)</f>
        <v>OK</v>
      </c>
      <c r="L18" s="97" t="str">
        <f>INDEX('[7]PLANILLA ALEJANDRO'!E18:AM61,1,6)</f>
        <v>OK</v>
      </c>
      <c r="M18" s="97" t="str">
        <f>INDEX('[7]PLANILLA ALEJANDRO'!F18:AN61,1,6)</f>
        <v>OK</v>
      </c>
      <c r="N18" s="97" t="str">
        <f>INDEX('[7]PLANILLA ALEJANDRO'!G18:AO61,1,6)</f>
        <v>OK</v>
      </c>
      <c r="O18" s="97" t="str">
        <f>INDEX('[7]PLANILLA ALEJANDRO'!H18:AP61,1,6)</f>
        <v>OK</v>
      </c>
      <c r="P18" s="97" t="str">
        <f>INDEX('[7]PLANILLA ALEJANDRO'!I18:AQ61,1,6)</f>
        <v>OK</v>
      </c>
      <c r="Q18" s="97" t="str">
        <f>INDEX('[7]PLANILLA ALEJANDRO'!J18:AR61,1,6)</f>
        <v>OK</v>
      </c>
      <c r="R18" s="97" t="str">
        <f>INDEX('[7]PLANILLA ALEJANDRO'!K18:AS61,1,6)</f>
        <v>OK</v>
      </c>
      <c r="S18" s="97" t="str">
        <f>INDEX('[7]PLANILLA ALEJANDRO'!L18:AT61,1,6)</f>
        <v>OK</v>
      </c>
      <c r="T18" s="97" t="str">
        <f>INDEX('[7]PLANILLA ALEJANDRO'!M18:AU61,1,6)</f>
        <v>OK</v>
      </c>
      <c r="U18" s="97" t="str">
        <f>INDEX('[7]PLANILLA ALEJANDRO'!N18:AV61,1,6)</f>
        <v>OK</v>
      </c>
      <c r="V18" s="97" t="str">
        <f>INDEX('[7]PLANILLA ALEJANDRO'!O18:AW61,1,6)</f>
        <v>OK</v>
      </c>
      <c r="W18" s="97" t="str">
        <f>INDEX('[7]PLANILLA ALEJANDRO'!P18:AX61,1,6)</f>
        <v>OK</v>
      </c>
      <c r="X18" s="97" t="str">
        <f>INDEX('[7]PLANILLA ALEJANDRO'!Q18:AY61,1,6)</f>
        <v>OK</v>
      </c>
      <c r="Y18" s="97" t="str">
        <f>INDEX('[7]PLANILLA ALEJANDRO'!R18:AZ61,1,6)</f>
        <v>OK</v>
      </c>
      <c r="Z18" s="97" t="str">
        <f>INDEX('[7]PLANILLA ALEJANDRO'!S18:BA61,1,6)</f>
        <v>OK</v>
      </c>
      <c r="AA18" s="97" t="str">
        <f>INDEX('[7]PLANILLA ALEJANDRO'!T18:BB61,1,6)</f>
        <v>OK</v>
      </c>
      <c r="AB18" s="97" t="str">
        <f>INDEX('[7]PLANILLA ALEJANDRO'!U18:BC61,1,6)</f>
        <v>OK</v>
      </c>
      <c r="AC18" s="97" t="str">
        <f>INDEX('[7]PLANILLA ALEJANDRO'!V18:BD61,1,6)</f>
        <v>OK</v>
      </c>
      <c r="AD18" s="97" t="str">
        <f>INDEX('[7]PLANILLA ALEJANDRO'!W18:BE61,1,6)</f>
        <v>OK</v>
      </c>
      <c r="AE18" s="97" t="str">
        <f>INDEX('[7]PLANILLA ALEJANDRO'!X18:BF61,1,6)</f>
        <v>OK</v>
      </c>
      <c r="AF18" s="97">
        <f>INDEX('[7]PLANILLA ALEJANDRO'!Y18:BG61,1,6)</f>
        <v>0</v>
      </c>
      <c r="AG18" s="97">
        <f>INDEX('[7]PLANILLA ALEJANDRO'!Z18:BH61,1,6)</f>
        <v>0</v>
      </c>
      <c r="AH18" s="97">
        <f>INDEX('[7]PLANILLA ALEJANDRO'!AA18:BI61,1,6)</f>
        <v>0</v>
      </c>
      <c r="AI18" s="97">
        <f>INDEX('[7]PLANILLA ALEJANDRO'!AB18:BJ61,1,6)</f>
        <v>0</v>
      </c>
      <c r="AJ18" s="97">
        <f>INDEX('[7]PLANILLA ALEJANDRO'!AC18:BK61,1,6)</f>
        <v>0</v>
      </c>
      <c r="AK18" s="97">
        <f>INDEX('[7]PLANILLA ALEJANDRO'!AD18:BL61,1,6)</f>
        <v>0</v>
      </c>
      <c r="AL18" s="97">
        <f>INDEX('[7]PLANILLA ALEJANDRO'!AE18:BM61,1,6)</f>
        <v>0</v>
      </c>
      <c r="AM18" s="97">
        <f>INDEX('[7]PLANILLA ALEJANDRO'!AF18:BN61,1,6)</f>
        <v>0</v>
      </c>
      <c r="AO18" s="116">
        <f t="shared" si="5"/>
        <v>0</v>
      </c>
      <c r="AP18" s="116">
        <f t="shared" si="3"/>
        <v>0</v>
      </c>
      <c r="AQ18" s="116">
        <f t="shared" si="3"/>
        <v>0</v>
      </c>
      <c r="AR18" s="116">
        <f t="shared" si="3"/>
        <v>0</v>
      </c>
      <c r="AS18" s="116">
        <f t="shared" si="3"/>
        <v>0</v>
      </c>
      <c r="AT18" s="116">
        <f t="shared" si="3"/>
        <v>0</v>
      </c>
      <c r="AU18" s="116">
        <f t="shared" si="3"/>
        <v>0</v>
      </c>
      <c r="AV18" s="116">
        <f t="shared" si="3"/>
        <v>0</v>
      </c>
      <c r="AW18" s="116">
        <f t="shared" si="3"/>
        <v>0</v>
      </c>
      <c r="AX18" s="116">
        <f t="shared" si="3"/>
        <v>0</v>
      </c>
      <c r="AY18" s="116">
        <f t="shared" si="3"/>
        <v>0</v>
      </c>
      <c r="AZ18" s="116">
        <f t="shared" si="3"/>
        <v>0</v>
      </c>
      <c r="BA18" s="116">
        <f t="shared" si="3"/>
        <v>22</v>
      </c>
      <c r="BB18" s="117">
        <f t="shared" si="4"/>
        <v>22</v>
      </c>
    </row>
    <row r="19" spans="2:54" ht="18.600000000000001" customHeight="1">
      <c r="B19" s="112">
        <v>11</v>
      </c>
      <c r="C19" s="113">
        <f>+'[7]PLANILLA ALEJANDRO'!C19</f>
        <v>52239435</v>
      </c>
      <c r="D19" s="114" t="str">
        <f>IFERROR(VLOOKUP($C19,'[7]PLANILLA ALEJANDRO'!$C$9:$F$57,2,0),"NO BD")</f>
        <v xml:space="preserve">RAMOS BUITRAGO DORIS JANNETH </v>
      </c>
      <c r="E19" s="115" t="s">
        <v>582</v>
      </c>
      <c r="F19" s="114" t="str">
        <f>IFERROR(VLOOKUP($C19,[7]BD!$B$3:$O$213,3,0),"")</f>
        <v>OPERARIA DE ASEO Y CAFETERIA</v>
      </c>
      <c r="G19" s="77" t="s">
        <v>495</v>
      </c>
      <c r="H19" s="114" t="str">
        <f>IFERROR(VLOOKUP($C19,[7]BD!$B$3:$O$203,14,0),"")</f>
        <v>3203253608</v>
      </c>
      <c r="I19" s="114" t="str">
        <f>IFERROR(VLOOKUP($C19,[7]BD!$B$3:$O$203,4,0),"")</f>
        <v>18/10/2025</v>
      </c>
      <c r="J19" s="97" t="str">
        <f>INDEX('[7]PLANILLA ALEJANDRO'!C19:AK62,1,6)</f>
        <v>OK</v>
      </c>
      <c r="K19" s="97" t="str">
        <f>INDEX('[7]PLANILLA ALEJANDRO'!D19:AL62,1,6)</f>
        <v>OK</v>
      </c>
      <c r="L19" s="97" t="str">
        <f>INDEX('[7]PLANILLA ALEJANDRO'!E19:AM62,1,6)</f>
        <v>OK</v>
      </c>
      <c r="M19" s="97" t="str">
        <f>INDEX('[7]PLANILLA ALEJANDRO'!F19:AN62,1,6)</f>
        <v>OK</v>
      </c>
      <c r="N19" s="97" t="str">
        <f>INDEX('[7]PLANILLA ALEJANDRO'!G19:AO62,1,6)</f>
        <v>OK</v>
      </c>
      <c r="O19" s="97" t="str">
        <f>INDEX('[7]PLANILLA ALEJANDRO'!H19:AP62,1,6)</f>
        <v>OK</v>
      </c>
      <c r="P19" s="97" t="str">
        <f>INDEX('[7]PLANILLA ALEJANDRO'!I19:AQ62,1,6)</f>
        <v>OK</v>
      </c>
      <c r="Q19" s="97" t="str">
        <f>INDEX('[7]PLANILLA ALEJANDRO'!J19:AR62,1,6)</f>
        <v>OK</v>
      </c>
      <c r="R19" s="97" t="str">
        <f>INDEX('[7]PLANILLA ALEJANDRO'!K19:AS62,1,6)</f>
        <v>OK</v>
      </c>
      <c r="S19" s="97" t="str">
        <f>INDEX('[7]PLANILLA ALEJANDRO'!L19:AT62,1,6)</f>
        <v>OK</v>
      </c>
      <c r="T19" s="97" t="str">
        <f>INDEX('[7]PLANILLA ALEJANDRO'!M19:AU62,1,6)</f>
        <v>OK</v>
      </c>
      <c r="U19" s="97" t="str">
        <f>INDEX('[7]PLANILLA ALEJANDRO'!N19:AV62,1,6)</f>
        <v>OK</v>
      </c>
      <c r="V19" s="97" t="str">
        <f>INDEX('[7]PLANILLA ALEJANDRO'!O19:AW62,1,6)</f>
        <v>OK</v>
      </c>
      <c r="W19" s="97" t="str">
        <f>INDEX('[7]PLANILLA ALEJANDRO'!P19:AX62,1,6)</f>
        <v>OK</v>
      </c>
      <c r="X19" s="97" t="str">
        <f>INDEX('[7]PLANILLA ALEJANDRO'!Q19:AY62,1,6)</f>
        <v>OK</v>
      </c>
      <c r="Y19" s="97" t="str">
        <f>INDEX('[7]PLANILLA ALEJANDRO'!R19:AZ62,1,6)</f>
        <v>OK</v>
      </c>
      <c r="Z19" s="97" t="str">
        <f>INDEX('[7]PLANILLA ALEJANDRO'!S19:BA62,1,6)</f>
        <v>OK</v>
      </c>
      <c r="AA19" s="97" t="str">
        <f>INDEX('[7]PLANILLA ALEJANDRO'!T19:BB62,1,6)</f>
        <v>OK</v>
      </c>
      <c r="AB19" s="97" t="str">
        <f>INDEX('[7]PLANILLA ALEJANDRO'!U19:BC62,1,6)</f>
        <v>OK</v>
      </c>
      <c r="AC19" s="97" t="str">
        <f>INDEX('[7]PLANILLA ALEJANDRO'!V19:BD62,1,6)</f>
        <v>OK</v>
      </c>
      <c r="AD19" s="97" t="str">
        <f>INDEX('[7]PLANILLA ALEJANDRO'!W19:BE62,1,6)</f>
        <v>OK</v>
      </c>
      <c r="AE19" s="97" t="str">
        <f>INDEX('[7]PLANILLA ALEJANDRO'!X19:BF62,1,6)</f>
        <v>OK</v>
      </c>
      <c r="AF19" s="97">
        <f>INDEX('[7]PLANILLA ALEJANDRO'!Y19:BG62,1,6)</f>
        <v>0</v>
      </c>
      <c r="AG19" s="97">
        <f>INDEX('[7]PLANILLA ALEJANDRO'!Z19:BH62,1,6)</f>
        <v>0</v>
      </c>
      <c r="AH19" s="97">
        <f>INDEX('[7]PLANILLA ALEJANDRO'!AA19:BI62,1,6)</f>
        <v>0</v>
      </c>
      <c r="AI19" s="97">
        <f>INDEX('[7]PLANILLA ALEJANDRO'!AB19:BJ62,1,6)</f>
        <v>0</v>
      </c>
      <c r="AJ19" s="97">
        <f>INDEX('[7]PLANILLA ALEJANDRO'!AC19:BK62,1,6)</f>
        <v>0</v>
      </c>
      <c r="AK19" s="97">
        <f>INDEX('[7]PLANILLA ALEJANDRO'!AD19:BL62,1,6)</f>
        <v>0</v>
      </c>
      <c r="AL19" s="97">
        <f>INDEX('[7]PLANILLA ALEJANDRO'!AE19:BM62,1,6)</f>
        <v>0</v>
      </c>
      <c r="AM19" s="97">
        <f>INDEX('[7]PLANILLA ALEJANDRO'!AF19:BN62,1,6)</f>
        <v>0</v>
      </c>
      <c r="AO19" s="116">
        <f t="shared" si="5"/>
        <v>0</v>
      </c>
      <c r="AP19" s="116">
        <f t="shared" si="3"/>
        <v>0</v>
      </c>
      <c r="AQ19" s="116">
        <f t="shared" si="3"/>
        <v>0</v>
      </c>
      <c r="AR19" s="116">
        <f t="shared" si="3"/>
        <v>0</v>
      </c>
      <c r="AS19" s="116">
        <f t="shared" si="3"/>
        <v>0</v>
      </c>
      <c r="AT19" s="116">
        <f t="shared" si="3"/>
        <v>0</v>
      </c>
      <c r="AU19" s="116">
        <f t="shared" si="3"/>
        <v>0</v>
      </c>
      <c r="AV19" s="116">
        <f t="shared" si="3"/>
        <v>0</v>
      </c>
      <c r="AW19" s="116">
        <f t="shared" si="3"/>
        <v>0</v>
      </c>
      <c r="AX19" s="116">
        <f t="shared" si="3"/>
        <v>0</v>
      </c>
      <c r="AY19" s="116">
        <f t="shared" si="3"/>
        <v>0</v>
      </c>
      <c r="AZ19" s="116">
        <f t="shared" si="3"/>
        <v>0</v>
      </c>
      <c r="BA19" s="116">
        <f t="shared" si="3"/>
        <v>22</v>
      </c>
      <c r="BB19" s="117">
        <f t="shared" si="4"/>
        <v>22</v>
      </c>
    </row>
    <row r="20" spans="2:54" ht="18.600000000000001" customHeight="1">
      <c r="B20" s="112">
        <v>12</v>
      </c>
      <c r="C20" s="113">
        <f>+'[7]PLANILLA ALEJANDRO'!C20</f>
        <v>5422081</v>
      </c>
      <c r="D20" s="114" t="str">
        <f>IFERROR(VLOOKUP($C20,'[7]PLANILLA ALEJANDRO'!$C$9:$F$57,2,0),"NO BD")</f>
        <v xml:space="preserve">DELGADO ACANDO DALIERZON MIGUEL </v>
      </c>
      <c r="E20" s="115" t="s">
        <v>582</v>
      </c>
      <c r="F20" s="114" t="str">
        <f>IFERROR(VLOOKUP($C20,[7]BD!$B$3:$O$213,3,0),"")</f>
        <v>OPERARIO DE MANTENIMIENTO</v>
      </c>
      <c r="G20" s="77" t="s">
        <v>495</v>
      </c>
      <c r="H20" s="114" t="str">
        <f>IFERROR(VLOOKUP($C20,[7]BD!$B$3:$O$203,14,0),"")</f>
        <v>3011176244</v>
      </c>
      <c r="I20" s="114" t="str">
        <f>IFERROR(VLOOKUP($C20,[7]BD!$B$3:$O$203,4,0),"")</f>
        <v>18/10/2025</v>
      </c>
      <c r="J20" s="97" t="str">
        <f>INDEX('[7]PLANILLA ALEJANDRO'!C20:AK63,1,6)</f>
        <v>OK</v>
      </c>
      <c r="K20" s="97" t="str">
        <f>INDEX('[7]PLANILLA ALEJANDRO'!D20:AL63,1,6)</f>
        <v>OK</v>
      </c>
      <c r="L20" s="97" t="str">
        <f>INDEX('[7]PLANILLA ALEJANDRO'!E20:AM63,1,6)</f>
        <v>OK</v>
      </c>
      <c r="M20" s="97" t="str">
        <f>INDEX('[7]PLANILLA ALEJANDRO'!F20:AN63,1,6)</f>
        <v>OK</v>
      </c>
      <c r="N20" s="97" t="str">
        <f>INDEX('[7]PLANILLA ALEJANDRO'!G20:AO63,1,6)</f>
        <v>OK</v>
      </c>
      <c r="O20" s="97" t="str">
        <f>INDEX('[7]PLANILLA ALEJANDRO'!H20:AP63,1,6)</f>
        <v>OK</v>
      </c>
      <c r="P20" s="97" t="str">
        <f>INDEX('[7]PLANILLA ALEJANDRO'!I20:AQ63,1,6)</f>
        <v>OK</v>
      </c>
      <c r="Q20" s="97" t="str">
        <f>INDEX('[7]PLANILLA ALEJANDRO'!J20:AR63,1,6)</f>
        <v>OK</v>
      </c>
      <c r="R20" s="97" t="str">
        <f>INDEX('[7]PLANILLA ALEJANDRO'!K20:AS63,1,6)</f>
        <v>OK</v>
      </c>
      <c r="S20" s="97" t="str">
        <f>INDEX('[7]PLANILLA ALEJANDRO'!L20:AT63,1,6)</f>
        <v>OK</v>
      </c>
      <c r="T20" s="97" t="str">
        <f>INDEX('[7]PLANILLA ALEJANDRO'!M20:AU63,1,6)</f>
        <v>OK</v>
      </c>
      <c r="U20" s="97" t="str">
        <f>INDEX('[7]PLANILLA ALEJANDRO'!N20:AV63,1,6)</f>
        <v>OK</v>
      </c>
      <c r="V20" s="97" t="str">
        <f>INDEX('[7]PLANILLA ALEJANDRO'!O20:AW63,1,6)</f>
        <v>OK</v>
      </c>
      <c r="W20" s="97" t="str">
        <f>INDEX('[7]PLANILLA ALEJANDRO'!P20:AX63,1,6)</f>
        <v>OK</v>
      </c>
      <c r="X20" s="97" t="str">
        <f>INDEX('[7]PLANILLA ALEJANDRO'!Q20:AY63,1,6)</f>
        <v>OK</v>
      </c>
      <c r="Y20" s="97" t="str">
        <f>INDEX('[7]PLANILLA ALEJANDRO'!R20:AZ63,1,6)</f>
        <v>OK</v>
      </c>
      <c r="Z20" s="97" t="str">
        <f>INDEX('[7]PLANILLA ALEJANDRO'!S20:BA63,1,6)</f>
        <v>OK</v>
      </c>
      <c r="AA20" s="97" t="str">
        <f>INDEX('[7]PLANILLA ALEJANDRO'!T20:BB63,1,6)</f>
        <v>OK</v>
      </c>
      <c r="AB20" s="97" t="str">
        <f>INDEX('[7]PLANILLA ALEJANDRO'!U20:BC63,1,6)</f>
        <v>OK</v>
      </c>
      <c r="AC20" s="97" t="str">
        <f>INDEX('[7]PLANILLA ALEJANDRO'!V20:BD63,1,6)</f>
        <v>OK</v>
      </c>
      <c r="AD20" s="97" t="str">
        <f>INDEX('[7]PLANILLA ALEJANDRO'!W20:BE63,1,6)</f>
        <v>OK</v>
      </c>
      <c r="AE20" s="97" t="str">
        <f>INDEX('[7]PLANILLA ALEJANDRO'!X20:BF63,1,6)</f>
        <v>OK</v>
      </c>
      <c r="AF20" s="97">
        <f>INDEX('[7]PLANILLA ALEJANDRO'!Y20:BG63,1,6)</f>
        <v>0</v>
      </c>
      <c r="AG20" s="97">
        <f>INDEX('[7]PLANILLA ALEJANDRO'!Z20:BH63,1,6)</f>
        <v>0</v>
      </c>
      <c r="AH20" s="97">
        <f>INDEX('[7]PLANILLA ALEJANDRO'!AA20:BI63,1,6)</f>
        <v>0</v>
      </c>
      <c r="AI20" s="97">
        <f>INDEX('[7]PLANILLA ALEJANDRO'!AB20:BJ63,1,6)</f>
        <v>0</v>
      </c>
      <c r="AJ20" s="97">
        <f>INDEX('[7]PLANILLA ALEJANDRO'!AC20:BK63,1,6)</f>
        <v>0</v>
      </c>
      <c r="AK20" s="97">
        <f>INDEX('[7]PLANILLA ALEJANDRO'!AD20:BL63,1,6)</f>
        <v>0</v>
      </c>
      <c r="AL20" s="97">
        <f>INDEX('[7]PLANILLA ALEJANDRO'!AE20:BM63,1,6)</f>
        <v>0</v>
      </c>
      <c r="AM20" s="97">
        <f>INDEX('[7]PLANILLA ALEJANDRO'!AF20:BN63,1,6)</f>
        <v>0</v>
      </c>
      <c r="AO20" s="116">
        <f t="shared" si="5"/>
        <v>0</v>
      </c>
      <c r="AP20" s="116">
        <f t="shared" si="3"/>
        <v>0</v>
      </c>
      <c r="AQ20" s="116">
        <f t="shared" si="3"/>
        <v>0</v>
      </c>
      <c r="AR20" s="116">
        <f t="shared" si="3"/>
        <v>0</v>
      </c>
      <c r="AS20" s="116">
        <f t="shared" si="3"/>
        <v>0</v>
      </c>
      <c r="AT20" s="116">
        <f t="shared" si="3"/>
        <v>0</v>
      </c>
      <c r="AU20" s="116">
        <f t="shared" si="3"/>
        <v>0</v>
      </c>
      <c r="AV20" s="116">
        <f t="shared" si="3"/>
        <v>0</v>
      </c>
      <c r="AW20" s="116">
        <f t="shared" si="3"/>
        <v>0</v>
      </c>
      <c r="AX20" s="116">
        <f t="shared" si="3"/>
        <v>0</v>
      </c>
      <c r="AY20" s="116">
        <f t="shared" si="3"/>
        <v>0</v>
      </c>
      <c r="AZ20" s="116">
        <f t="shared" si="3"/>
        <v>0</v>
      </c>
      <c r="BA20" s="116">
        <f t="shared" si="3"/>
        <v>22</v>
      </c>
      <c r="BB20" s="117">
        <f t="shared" si="4"/>
        <v>22</v>
      </c>
    </row>
    <row r="21" spans="2:54" ht="18.600000000000001" customHeight="1">
      <c r="B21" s="112">
        <v>13</v>
      </c>
      <c r="C21" s="113">
        <f>+'[7]PLANILLA ALEJANDRO'!C21</f>
        <v>52973150</v>
      </c>
      <c r="D21" s="114" t="str">
        <f>IFERROR(VLOOKUP($C21,'[7]PLANILLA ALEJANDRO'!$C$9:$F$57,2,0),"NO BD")</f>
        <v xml:space="preserve">YANGUMA  NINI YOANA </v>
      </c>
      <c r="E21" s="115" t="s">
        <v>582</v>
      </c>
      <c r="F21" s="114" t="str">
        <f>IFERROR(VLOOKUP($C21,[7]BD!$B$3:$O$213,3,0),"")</f>
        <v>OPERARIA DE ASEO Y CAFETERIA</v>
      </c>
      <c r="G21" s="77" t="s">
        <v>481</v>
      </c>
      <c r="H21" s="114" t="str">
        <f>IFERROR(VLOOKUP($C21,[7]BD!$B$3:$O$203,14,0),"")</f>
        <v>3213976040</v>
      </c>
      <c r="I21" s="114" t="str">
        <f>IFERROR(VLOOKUP($C21,[7]BD!$B$3:$O$203,4,0),"")</f>
        <v>21/10/2025</v>
      </c>
      <c r="J21" s="97" t="str">
        <f>INDEX('[7]PLANILLA ALEJANDRO'!C21:AK64,1,6)</f>
        <v>OK</v>
      </c>
      <c r="K21" s="97" t="str">
        <f>INDEX('[7]PLANILLA ALEJANDRO'!D21:AL64,1,6)</f>
        <v>OK</v>
      </c>
      <c r="L21" s="97" t="str">
        <f>INDEX('[7]PLANILLA ALEJANDRO'!E21:AM64,1,6)</f>
        <v>OK</v>
      </c>
      <c r="M21" s="97" t="str">
        <f>INDEX('[7]PLANILLA ALEJANDRO'!F21:AN64,1,6)</f>
        <v>OK</v>
      </c>
      <c r="N21" s="97" t="str">
        <f>INDEX('[7]PLANILLA ALEJANDRO'!G21:AO64,1,6)</f>
        <v>OK</v>
      </c>
      <c r="O21" s="97" t="str">
        <f>INDEX('[7]PLANILLA ALEJANDRO'!H21:AP64,1,6)</f>
        <v>OK</v>
      </c>
      <c r="P21" s="97" t="str">
        <f>INDEX('[7]PLANILLA ALEJANDRO'!I21:AQ64,1,6)</f>
        <v>OK</v>
      </c>
      <c r="Q21" s="97" t="str">
        <f>INDEX('[7]PLANILLA ALEJANDRO'!J21:AR64,1,6)</f>
        <v>OK</v>
      </c>
      <c r="R21" s="97" t="str">
        <f>INDEX('[7]PLANILLA ALEJANDRO'!K21:AS64,1,6)</f>
        <v>OK</v>
      </c>
      <c r="S21" s="97" t="str">
        <f>INDEX('[7]PLANILLA ALEJANDRO'!L21:AT64,1,6)</f>
        <v>OK</v>
      </c>
      <c r="T21" s="97" t="str">
        <f>INDEX('[7]PLANILLA ALEJANDRO'!M21:AU64,1,6)</f>
        <v>OK</v>
      </c>
      <c r="U21" s="97" t="str">
        <f>INDEX('[7]PLANILLA ALEJANDRO'!N21:AV64,1,6)</f>
        <v>OK</v>
      </c>
      <c r="V21" s="97" t="str">
        <f>INDEX('[7]PLANILLA ALEJANDRO'!O21:AW64,1,6)</f>
        <v>OK</v>
      </c>
      <c r="W21" s="97" t="str">
        <f>INDEX('[7]PLANILLA ALEJANDRO'!P21:AX64,1,6)</f>
        <v>OK</v>
      </c>
      <c r="X21" s="97" t="str">
        <f>INDEX('[7]PLANILLA ALEJANDRO'!Q21:AY64,1,6)</f>
        <v>OK</v>
      </c>
      <c r="Y21" s="97" t="str">
        <f>INDEX('[7]PLANILLA ALEJANDRO'!R21:AZ64,1,6)</f>
        <v>OK</v>
      </c>
      <c r="Z21" s="97" t="str">
        <f>INDEX('[7]PLANILLA ALEJANDRO'!S21:BA64,1,6)</f>
        <v>OK</v>
      </c>
      <c r="AA21" s="97" t="str">
        <f>INDEX('[7]PLANILLA ALEJANDRO'!T21:BB64,1,6)</f>
        <v>OK</v>
      </c>
      <c r="AB21" s="97" t="str">
        <f>INDEX('[7]PLANILLA ALEJANDRO'!U21:BC64,1,6)</f>
        <v>OK</v>
      </c>
      <c r="AC21" s="97" t="str">
        <f>INDEX('[7]PLANILLA ALEJANDRO'!V21:BD64,1,6)</f>
        <v>OK</v>
      </c>
      <c r="AD21" s="97" t="str">
        <f>INDEX('[7]PLANILLA ALEJANDRO'!W21:BE64,1,6)</f>
        <v>OK</v>
      </c>
      <c r="AE21" s="97" t="str">
        <f>INDEX('[7]PLANILLA ALEJANDRO'!X21:BF64,1,6)</f>
        <v>OK</v>
      </c>
      <c r="AF21" s="97">
        <f>INDEX('[7]PLANILLA ALEJANDRO'!Y21:BG64,1,6)</f>
        <v>0</v>
      </c>
      <c r="AG21" s="97">
        <f>INDEX('[7]PLANILLA ALEJANDRO'!Z21:BH64,1,6)</f>
        <v>0</v>
      </c>
      <c r="AH21" s="97">
        <f>INDEX('[7]PLANILLA ALEJANDRO'!AA21:BI64,1,6)</f>
        <v>0</v>
      </c>
      <c r="AI21" s="97">
        <f>INDEX('[7]PLANILLA ALEJANDRO'!AB21:BJ64,1,6)</f>
        <v>0</v>
      </c>
      <c r="AJ21" s="97">
        <f>INDEX('[7]PLANILLA ALEJANDRO'!AC21:BK64,1,6)</f>
        <v>0</v>
      </c>
      <c r="AK21" s="97">
        <f>INDEX('[7]PLANILLA ALEJANDRO'!AD21:BL64,1,6)</f>
        <v>0</v>
      </c>
      <c r="AL21" s="97">
        <f>INDEX('[7]PLANILLA ALEJANDRO'!AE21:BM64,1,6)</f>
        <v>0</v>
      </c>
      <c r="AM21" s="97">
        <f>INDEX('[7]PLANILLA ALEJANDRO'!AF21:BN64,1,6)</f>
        <v>0</v>
      </c>
      <c r="AO21" s="116">
        <f t="shared" si="5"/>
        <v>0</v>
      </c>
      <c r="AP21" s="116">
        <f t="shared" si="3"/>
        <v>0</v>
      </c>
      <c r="AQ21" s="116">
        <f t="shared" si="3"/>
        <v>0</v>
      </c>
      <c r="AR21" s="116">
        <f t="shared" si="3"/>
        <v>0</v>
      </c>
      <c r="AS21" s="116">
        <f t="shared" si="3"/>
        <v>0</v>
      </c>
      <c r="AT21" s="116">
        <f t="shared" si="3"/>
        <v>0</v>
      </c>
      <c r="AU21" s="116">
        <f t="shared" si="3"/>
        <v>0</v>
      </c>
      <c r="AV21" s="116">
        <f t="shared" si="3"/>
        <v>0</v>
      </c>
      <c r="AW21" s="116">
        <f t="shared" si="3"/>
        <v>0</v>
      </c>
      <c r="AX21" s="116">
        <f t="shared" si="3"/>
        <v>0</v>
      </c>
      <c r="AY21" s="116">
        <f t="shared" si="3"/>
        <v>0</v>
      </c>
      <c r="AZ21" s="116">
        <f t="shared" si="3"/>
        <v>0</v>
      </c>
      <c r="BA21" s="116">
        <f t="shared" si="3"/>
        <v>22</v>
      </c>
      <c r="BB21" s="117">
        <f t="shared" si="4"/>
        <v>22</v>
      </c>
    </row>
    <row r="22" spans="2:54" ht="18.600000000000001" customHeight="1">
      <c r="B22" s="112">
        <v>14</v>
      </c>
      <c r="C22" s="113">
        <f>+'[7]PLANILLA ALEJANDRO'!C22</f>
        <v>1033786605</v>
      </c>
      <c r="D22" s="114" t="str">
        <f>IFERROR(VLOOKUP($C22,'[7]PLANILLA ALEJANDRO'!$C$9:$F$57,2,0),"NO BD")</f>
        <v xml:space="preserve">QUIJANO RODRIGUEZ CARLOS ENRIQUE </v>
      </c>
      <c r="E22" s="115" t="s">
        <v>582</v>
      </c>
      <c r="F22" s="114" t="str">
        <f>IFERROR(VLOOKUP($C22,[7]BD!$B$3:$O$213,3,0),"")</f>
        <v>OPERARIO DE MANTENIMIENTO</v>
      </c>
      <c r="G22" s="77" t="s">
        <v>481</v>
      </c>
      <c r="H22" s="114" t="str">
        <f>IFERROR(VLOOKUP($C22,[7]BD!$B$3:$O$203,14,0),"")</f>
        <v>3166894441</v>
      </c>
      <c r="I22" s="114" t="str">
        <f>IFERROR(VLOOKUP($C22,[7]BD!$B$3:$O$203,4,0),"")</f>
        <v>18/10/2025</v>
      </c>
      <c r="J22" s="97" t="str">
        <f>INDEX('[7]PLANILLA ALEJANDRO'!C22:AK65,1,6)</f>
        <v>OK</v>
      </c>
      <c r="K22" s="97" t="str">
        <f>INDEX('[7]PLANILLA ALEJANDRO'!D22:AL65,1,6)</f>
        <v>OK</v>
      </c>
      <c r="L22" s="97" t="str">
        <f>INDEX('[7]PLANILLA ALEJANDRO'!E22:AM65,1,6)</f>
        <v>OK</v>
      </c>
      <c r="M22" s="97" t="str">
        <f>INDEX('[7]PLANILLA ALEJANDRO'!F22:AN65,1,6)</f>
        <v>OK</v>
      </c>
      <c r="N22" s="97" t="str">
        <f>INDEX('[7]PLANILLA ALEJANDRO'!G22:AO65,1,6)</f>
        <v>OK</v>
      </c>
      <c r="O22" s="97" t="str">
        <f>INDEX('[7]PLANILLA ALEJANDRO'!H22:AP65,1,6)</f>
        <v>OK</v>
      </c>
      <c r="P22" s="97" t="str">
        <f>INDEX('[7]PLANILLA ALEJANDRO'!I22:AQ65,1,6)</f>
        <v>OK</v>
      </c>
      <c r="Q22" s="97" t="str">
        <f>INDEX('[7]PLANILLA ALEJANDRO'!J22:AR65,1,6)</f>
        <v>OK</v>
      </c>
      <c r="R22" s="97" t="str">
        <f>INDEX('[7]PLANILLA ALEJANDRO'!K22:AS65,1,6)</f>
        <v>OK</v>
      </c>
      <c r="S22" s="97" t="str">
        <f>INDEX('[7]PLANILLA ALEJANDRO'!L22:AT65,1,6)</f>
        <v>OK</v>
      </c>
      <c r="T22" s="97" t="str">
        <f>INDEX('[7]PLANILLA ALEJANDRO'!M22:AU65,1,6)</f>
        <v>OK</v>
      </c>
      <c r="U22" s="97" t="str">
        <f>INDEX('[7]PLANILLA ALEJANDRO'!N22:AV65,1,6)</f>
        <v>OK</v>
      </c>
      <c r="V22" s="97" t="str">
        <f>INDEX('[7]PLANILLA ALEJANDRO'!O22:AW65,1,6)</f>
        <v>OK</v>
      </c>
      <c r="W22" s="97" t="str">
        <f>INDEX('[7]PLANILLA ALEJANDRO'!P22:AX65,1,6)</f>
        <v>OK</v>
      </c>
      <c r="X22" s="97" t="str">
        <f>INDEX('[7]PLANILLA ALEJANDRO'!Q22:AY65,1,6)</f>
        <v>OK</v>
      </c>
      <c r="Y22" s="97" t="str">
        <f>INDEX('[7]PLANILLA ALEJANDRO'!R22:AZ65,1,6)</f>
        <v>OK</v>
      </c>
      <c r="Z22" s="97" t="str">
        <f>INDEX('[7]PLANILLA ALEJANDRO'!S22:BA65,1,6)</f>
        <v>OK</v>
      </c>
      <c r="AA22" s="97" t="str">
        <f>INDEX('[7]PLANILLA ALEJANDRO'!T22:BB65,1,6)</f>
        <v>OK</v>
      </c>
      <c r="AB22" s="97" t="str">
        <f>INDEX('[7]PLANILLA ALEJANDRO'!U22:BC65,1,6)</f>
        <v>OK</v>
      </c>
      <c r="AC22" s="97" t="str">
        <f>INDEX('[7]PLANILLA ALEJANDRO'!V22:BD65,1,6)</f>
        <v>OK</v>
      </c>
      <c r="AD22" s="97" t="str">
        <f>INDEX('[7]PLANILLA ALEJANDRO'!W22:BE65,1,6)</f>
        <v>OK</v>
      </c>
      <c r="AE22" s="97" t="str">
        <f>INDEX('[7]PLANILLA ALEJANDRO'!X22:BF65,1,6)</f>
        <v>OK</v>
      </c>
      <c r="AF22" s="97">
        <f>INDEX('[7]PLANILLA ALEJANDRO'!Y22:BG65,1,6)</f>
        <v>0</v>
      </c>
      <c r="AG22" s="97">
        <f>INDEX('[7]PLANILLA ALEJANDRO'!Z22:BH65,1,6)</f>
        <v>0</v>
      </c>
      <c r="AH22" s="97">
        <f>INDEX('[7]PLANILLA ALEJANDRO'!AA22:BI65,1,6)</f>
        <v>0</v>
      </c>
      <c r="AI22" s="97">
        <f>INDEX('[7]PLANILLA ALEJANDRO'!AB22:BJ65,1,6)</f>
        <v>0</v>
      </c>
      <c r="AJ22" s="97">
        <f>INDEX('[7]PLANILLA ALEJANDRO'!AC22:BK65,1,6)</f>
        <v>0</v>
      </c>
      <c r="AK22" s="97">
        <f>INDEX('[7]PLANILLA ALEJANDRO'!AD22:BL65,1,6)</f>
        <v>0</v>
      </c>
      <c r="AL22" s="97">
        <f>INDEX('[7]PLANILLA ALEJANDRO'!AE22:BM65,1,6)</f>
        <v>0</v>
      </c>
      <c r="AM22" s="97">
        <f>INDEX('[7]PLANILLA ALEJANDRO'!AF22:BN65,1,6)</f>
        <v>0</v>
      </c>
      <c r="AO22" s="116">
        <f t="shared" si="5"/>
        <v>0</v>
      </c>
      <c r="AP22" s="116">
        <f t="shared" si="3"/>
        <v>0</v>
      </c>
      <c r="AQ22" s="116">
        <f t="shared" si="3"/>
        <v>0</v>
      </c>
      <c r="AR22" s="116">
        <f t="shared" si="3"/>
        <v>0</v>
      </c>
      <c r="AS22" s="116">
        <f t="shared" si="3"/>
        <v>0</v>
      </c>
      <c r="AT22" s="116">
        <f t="shared" si="3"/>
        <v>0</v>
      </c>
      <c r="AU22" s="116">
        <f t="shared" si="3"/>
        <v>0</v>
      </c>
      <c r="AV22" s="116">
        <f t="shared" si="3"/>
        <v>0</v>
      </c>
      <c r="AW22" s="116">
        <f t="shared" si="3"/>
        <v>0</v>
      </c>
      <c r="AX22" s="116">
        <f t="shared" si="3"/>
        <v>0</v>
      </c>
      <c r="AY22" s="116">
        <f t="shared" si="3"/>
        <v>0</v>
      </c>
      <c r="AZ22" s="116">
        <f t="shared" si="3"/>
        <v>0</v>
      </c>
      <c r="BA22" s="116">
        <f t="shared" si="3"/>
        <v>22</v>
      </c>
      <c r="BB22" s="117">
        <f t="shared" si="4"/>
        <v>22</v>
      </c>
    </row>
    <row r="23" spans="2:54" ht="18.600000000000001" customHeight="1">
      <c r="B23" s="112">
        <v>15</v>
      </c>
      <c r="C23" s="113">
        <f>+'[7]PLANILLA ALEJANDRO'!C23</f>
        <v>1022344041</v>
      </c>
      <c r="D23" s="114" t="str">
        <f>IFERROR(VLOOKUP($C23,'[7]PLANILLA ALEJANDRO'!$C$9:$F$57,2,0),"NO BD")</f>
        <v xml:space="preserve">BARBOSA HERRERA DIANA MILENA </v>
      </c>
      <c r="E23" s="115" t="s">
        <v>582</v>
      </c>
      <c r="F23" s="114" t="str">
        <f>IFERROR(VLOOKUP($C23,[7]BD!$B$3:$O$213,3,0),"")</f>
        <v>OPERARIA DE ASEO Y CAFETERIA</v>
      </c>
      <c r="G23" s="77" t="s">
        <v>481</v>
      </c>
      <c r="H23" s="114" t="str">
        <f>IFERROR(VLOOKUP($C23,[7]BD!$B$3:$O$203,14,0),"")</f>
        <v>3118706732</v>
      </c>
      <c r="I23" s="114" t="str">
        <f>IFERROR(VLOOKUP($C23,[7]BD!$B$3:$O$203,4,0),"")</f>
        <v>18/10/2025</v>
      </c>
      <c r="J23" s="97" t="str">
        <f>INDEX('[7]PLANILLA ALEJANDRO'!C23:AK66,1,6)</f>
        <v>OK</v>
      </c>
      <c r="K23" s="97" t="str">
        <f>INDEX('[7]PLANILLA ALEJANDRO'!D23:AL66,1,6)</f>
        <v>OK</v>
      </c>
      <c r="L23" s="97" t="str">
        <f>INDEX('[7]PLANILLA ALEJANDRO'!E23:AM66,1,6)</f>
        <v>OK</v>
      </c>
      <c r="M23" s="97" t="str">
        <f>INDEX('[7]PLANILLA ALEJANDRO'!F23:AN66,1,6)</f>
        <v>OK</v>
      </c>
      <c r="N23" s="97" t="str">
        <f>INDEX('[7]PLANILLA ALEJANDRO'!G23:AO66,1,6)</f>
        <v>OK</v>
      </c>
      <c r="O23" s="97" t="str">
        <f>INDEX('[7]PLANILLA ALEJANDRO'!H23:AP66,1,6)</f>
        <v>OK</v>
      </c>
      <c r="P23" s="97" t="str">
        <f>INDEX('[7]PLANILLA ALEJANDRO'!I23:AQ66,1,6)</f>
        <v>OK</v>
      </c>
      <c r="Q23" s="97" t="str">
        <f>INDEX('[7]PLANILLA ALEJANDRO'!J23:AR66,1,6)</f>
        <v>OK</v>
      </c>
      <c r="R23" s="97" t="str">
        <f>INDEX('[7]PLANILLA ALEJANDRO'!K23:AS66,1,6)</f>
        <v>OK</v>
      </c>
      <c r="S23" s="97" t="str">
        <f>INDEX('[7]PLANILLA ALEJANDRO'!L23:AT66,1,6)</f>
        <v>OK</v>
      </c>
      <c r="T23" s="97" t="str">
        <f>INDEX('[7]PLANILLA ALEJANDRO'!M23:AU66,1,6)</f>
        <v>OK</v>
      </c>
      <c r="U23" s="97" t="str">
        <f>INDEX('[7]PLANILLA ALEJANDRO'!N23:AV66,1,6)</f>
        <v>OK</v>
      </c>
      <c r="V23" s="97" t="str">
        <f>INDEX('[7]PLANILLA ALEJANDRO'!O23:AW66,1,6)</f>
        <v>OK</v>
      </c>
      <c r="W23" s="97" t="str">
        <f>INDEX('[7]PLANILLA ALEJANDRO'!P23:AX66,1,6)</f>
        <v>OK</v>
      </c>
      <c r="X23" s="97" t="str">
        <f>INDEX('[7]PLANILLA ALEJANDRO'!Q23:AY66,1,6)</f>
        <v>OK</v>
      </c>
      <c r="Y23" s="97" t="str">
        <f>INDEX('[7]PLANILLA ALEJANDRO'!R23:AZ66,1,6)</f>
        <v>OK</v>
      </c>
      <c r="Z23" s="97" t="str">
        <f>INDEX('[7]PLANILLA ALEJANDRO'!S23:BA66,1,6)</f>
        <v>OK</v>
      </c>
      <c r="AA23" s="97" t="str">
        <f>INDEX('[7]PLANILLA ALEJANDRO'!T23:BB66,1,6)</f>
        <v>OK</v>
      </c>
      <c r="AB23" s="97" t="str">
        <f>INDEX('[7]PLANILLA ALEJANDRO'!U23:BC66,1,6)</f>
        <v>OK</v>
      </c>
      <c r="AC23" s="97" t="str">
        <f>INDEX('[7]PLANILLA ALEJANDRO'!V23:BD66,1,6)</f>
        <v>OK</v>
      </c>
      <c r="AD23" s="97" t="str">
        <f>INDEX('[7]PLANILLA ALEJANDRO'!W23:BE66,1,6)</f>
        <v>OK</v>
      </c>
      <c r="AE23" s="97" t="str">
        <f>INDEX('[7]PLANILLA ALEJANDRO'!X23:BF66,1,6)</f>
        <v>OK</v>
      </c>
      <c r="AF23" s="97">
        <f>INDEX('[7]PLANILLA ALEJANDRO'!Y23:BG66,1,6)</f>
        <v>0</v>
      </c>
      <c r="AG23" s="97">
        <f>INDEX('[7]PLANILLA ALEJANDRO'!Z23:BH66,1,6)</f>
        <v>0</v>
      </c>
      <c r="AH23" s="97">
        <f>INDEX('[7]PLANILLA ALEJANDRO'!AA23:BI66,1,6)</f>
        <v>0</v>
      </c>
      <c r="AI23" s="97">
        <f>INDEX('[7]PLANILLA ALEJANDRO'!AB23:BJ66,1,6)</f>
        <v>0</v>
      </c>
      <c r="AJ23" s="97">
        <f>INDEX('[7]PLANILLA ALEJANDRO'!AC23:BK66,1,6)</f>
        <v>0</v>
      </c>
      <c r="AK23" s="97">
        <f>INDEX('[7]PLANILLA ALEJANDRO'!AD23:BL66,1,6)</f>
        <v>0</v>
      </c>
      <c r="AL23" s="97">
        <f>INDEX('[7]PLANILLA ALEJANDRO'!AE23:BM66,1,6)</f>
        <v>0</v>
      </c>
      <c r="AM23" s="97">
        <f>INDEX('[7]PLANILLA ALEJANDRO'!AF23:BN66,1,6)</f>
        <v>0</v>
      </c>
      <c r="AO23" s="116">
        <f t="shared" si="5"/>
        <v>0</v>
      </c>
      <c r="AP23" s="116">
        <f t="shared" si="3"/>
        <v>0</v>
      </c>
      <c r="AQ23" s="116">
        <f t="shared" si="3"/>
        <v>0</v>
      </c>
      <c r="AR23" s="116">
        <f t="shared" si="3"/>
        <v>0</v>
      </c>
      <c r="AS23" s="116">
        <f t="shared" si="3"/>
        <v>0</v>
      </c>
      <c r="AT23" s="116">
        <f t="shared" si="3"/>
        <v>0</v>
      </c>
      <c r="AU23" s="116">
        <f t="shared" si="3"/>
        <v>0</v>
      </c>
      <c r="AV23" s="116">
        <f t="shared" si="3"/>
        <v>0</v>
      </c>
      <c r="AW23" s="116">
        <f t="shared" si="3"/>
        <v>0</v>
      </c>
      <c r="AX23" s="116">
        <f t="shared" si="3"/>
        <v>0</v>
      </c>
      <c r="AY23" s="116">
        <f t="shared" si="3"/>
        <v>0</v>
      </c>
      <c r="AZ23" s="116">
        <f t="shared" si="3"/>
        <v>0</v>
      </c>
      <c r="BA23" s="116">
        <f t="shared" si="3"/>
        <v>22</v>
      </c>
      <c r="BB23" s="117">
        <f t="shared" si="4"/>
        <v>22</v>
      </c>
    </row>
    <row r="24" spans="2:54" ht="18.600000000000001" customHeight="1">
      <c r="B24" s="112">
        <v>16</v>
      </c>
      <c r="C24" s="113">
        <f>+'[7]PLANILLA ALEJANDRO'!C24</f>
        <v>1026595414</v>
      </c>
      <c r="D24" s="114" t="str">
        <f>IFERROR(VLOOKUP($C24,'[7]PLANILLA ALEJANDRO'!$C$9:$F$57,2,0),"NO BD")</f>
        <v xml:space="preserve">SOTO PACHECO BRANDON  </v>
      </c>
      <c r="E24" s="115" t="s">
        <v>582</v>
      </c>
      <c r="F24" s="114" t="str">
        <f>IFERROR(VLOOKUP($C24,[7]BD!$B$3:$O$213,3,0),"")</f>
        <v>OPERARIO DE MANTENIMIENTO</v>
      </c>
      <c r="G24" s="77" t="s">
        <v>486</v>
      </c>
      <c r="H24" s="114" t="str">
        <f>IFERROR(VLOOKUP($C24,[7]BD!$B$3:$O$203,14,0),"")</f>
        <v>3009886043</v>
      </c>
      <c r="I24" s="114" t="str">
        <f>IFERROR(VLOOKUP($C24,[7]BD!$B$3:$O$203,4,0),"")</f>
        <v>18/10/2025</v>
      </c>
      <c r="J24" s="97" t="str">
        <f>INDEX('[7]PLANILLA ALEJANDRO'!C24:AK67,1,6)</f>
        <v>OK</v>
      </c>
      <c r="K24" s="97" t="str">
        <f>INDEX('[7]PLANILLA ALEJANDRO'!D24:AL67,1,6)</f>
        <v>OK</v>
      </c>
      <c r="L24" s="97" t="str">
        <f>INDEX('[7]PLANILLA ALEJANDRO'!E24:AM67,1,6)</f>
        <v>OK</v>
      </c>
      <c r="M24" s="97" t="str">
        <f>INDEX('[7]PLANILLA ALEJANDRO'!F24:AN67,1,6)</f>
        <v>OK</v>
      </c>
      <c r="N24" s="97" t="str">
        <f>INDEX('[7]PLANILLA ALEJANDRO'!G24:AO67,1,6)</f>
        <v>OK</v>
      </c>
      <c r="O24" s="97" t="str">
        <f>INDEX('[7]PLANILLA ALEJANDRO'!H24:AP67,1,6)</f>
        <v>OK</v>
      </c>
      <c r="P24" s="97" t="str">
        <f>INDEX('[7]PLANILLA ALEJANDRO'!I24:AQ67,1,6)</f>
        <v>OK</v>
      </c>
      <c r="Q24" s="97" t="str">
        <f>INDEX('[7]PLANILLA ALEJANDRO'!J24:AR67,1,6)</f>
        <v>OK</v>
      </c>
      <c r="R24" s="97" t="str">
        <f>INDEX('[7]PLANILLA ALEJANDRO'!K24:AS67,1,6)</f>
        <v>OK</v>
      </c>
      <c r="S24" s="97" t="str">
        <f>INDEX('[7]PLANILLA ALEJANDRO'!L24:AT67,1,6)</f>
        <v>OK</v>
      </c>
      <c r="T24" s="97" t="str">
        <f>INDEX('[7]PLANILLA ALEJANDRO'!M24:AU67,1,6)</f>
        <v>OK</v>
      </c>
      <c r="U24" s="97" t="str">
        <f>INDEX('[7]PLANILLA ALEJANDRO'!N24:AV67,1,6)</f>
        <v>OK</v>
      </c>
      <c r="V24" s="97" t="str">
        <f>INDEX('[7]PLANILLA ALEJANDRO'!O24:AW67,1,6)</f>
        <v>OK</v>
      </c>
      <c r="W24" s="97" t="str">
        <f>INDEX('[7]PLANILLA ALEJANDRO'!P24:AX67,1,6)</f>
        <v>OK</v>
      </c>
      <c r="X24" s="97" t="str">
        <f>INDEX('[7]PLANILLA ALEJANDRO'!Q24:AY67,1,6)</f>
        <v>OK</v>
      </c>
      <c r="Y24" s="97" t="str">
        <f>INDEX('[7]PLANILLA ALEJANDRO'!R24:AZ67,1,6)</f>
        <v>OK</v>
      </c>
      <c r="Z24" s="97" t="str">
        <f>INDEX('[7]PLANILLA ALEJANDRO'!S24:BA67,1,6)</f>
        <v>OK</v>
      </c>
      <c r="AA24" s="97" t="str">
        <f>INDEX('[7]PLANILLA ALEJANDRO'!T24:BB67,1,6)</f>
        <v>OK</v>
      </c>
      <c r="AB24" s="97" t="str">
        <f>INDEX('[7]PLANILLA ALEJANDRO'!U24:BC67,1,6)</f>
        <v>OK</v>
      </c>
      <c r="AC24" s="97" t="str">
        <f>INDEX('[7]PLANILLA ALEJANDRO'!V24:BD67,1,6)</f>
        <v>OK</v>
      </c>
      <c r="AD24" s="97" t="str">
        <f>INDEX('[7]PLANILLA ALEJANDRO'!W24:BE67,1,6)</f>
        <v>OK</v>
      </c>
      <c r="AE24" s="97" t="str">
        <f>INDEX('[7]PLANILLA ALEJANDRO'!X24:BF67,1,6)</f>
        <v>OK</v>
      </c>
      <c r="AF24" s="97">
        <f>INDEX('[7]PLANILLA ALEJANDRO'!Y24:BG67,1,6)</f>
        <v>0</v>
      </c>
      <c r="AG24" s="97">
        <f>INDEX('[7]PLANILLA ALEJANDRO'!Z24:BH67,1,6)</f>
        <v>0</v>
      </c>
      <c r="AH24" s="97">
        <f>INDEX('[7]PLANILLA ALEJANDRO'!AA24:BI67,1,6)</f>
        <v>0</v>
      </c>
      <c r="AI24" s="97">
        <f>INDEX('[7]PLANILLA ALEJANDRO'!AB24:BJ67,1,6)</f>
        <v>0</v>
      </c>
      <c r="AJ24" s="97">
        <f>INDEX('[7]PLANILLA ALEJANDRO'!AC24:BK67,1,6)</f>
        <v>0</v>
      </c>
      <c r="AK24" s="97">
        <f>INDEX('[7]PLANILLA ALEJANDRO'!AD24:BL67,1,6)</f>
        <v>0</v>
      </c>
      <c r="AL24" s="97">
        <f>INDEX('[7]PLANILLA ALEJANDRO'!AE24:BM67,1,6)</f>
        <v>0</v>
      </c>
      <c r="AM24" s="97">
        <f>INDEX('[7]PLANILLA ALEJANDRO'!AF24:BN67,1,6)</f>
        <v>0</v>
      </c>
      <c r="AO24" s="116">
        <f t="shared" si="5"/>
        <v>0</v>
      </c>
      <c r="AP24" s="116">
        <f t="shared" si="3"/>
        <v>0</v>
      </c>
      <c r="AQ24" s="116">
        <f t="shared" si="3"/>
        <v>0</v>
      </c>
      <c r="AR24" s="116">
        <f t="shared" si="3"/>
        <v>0</v>
      </c>
      <c r="AS24" s="116">
        <f t="shared" si="3"/>
        <v>0</v>
      </c>
      <c r="AT24" s="116">
        <f t="shared" si="3"/>
        <v>0</v>
      </c>
      <c r="AU24" s="116">
        <f t="shared" si="3"/>
        <v>0</v>
      </c>
      <c r="AV24" s="116">
        <f t="shared" si="3"/>
        <v>0</v>
      </c>
      <c r="AW24" s="116">
        <f t="shared" si="3"/>
        <v>0</v>
      </c>
      <c r="AX24" s="116">
        <f t="shared" si="3"/>
        <v>0</v>
      </c>
      <c r="AY24" s="116">
        <f t="shared" si="3"/>
        <v>0</v>
      </c>
      <c r="AZ24" s="116">
        <f t="shared" si="3"/>
        <v>0</v>
      </c>
      <c r="BA24" s="116">
        <f t="shared" si="3"/>
        <v>22</v>
      </c>
      <c r="BB24" s="117">
        <f t="shared" si="4"/>
        <v>22</v>
      </c>
    </row>
    <row r="25" spans="2:54" ht="18.600000000000001" customHeight="1">
      <c r="B25" s="112">
        <v>17</v>
      </c>
      <c r="C25" s="113">
        <f>+'[7]PLANILLA ALEJANDRO'!C25</f>
        <v>1010053949</v>
      </c>
      <c r="D25" s="114" t="str">
        <f>IFERROR(VLOOKUP($C25,'[7]PLANILLA ALEJANDRO'!$C$9:$F$57,2,0),"NO BD")</f>
        <v xml:space="preserve">SARMIENTO CORREDOR DORA MARCELA </v>
      </c>
      <c r="E25" s="115" t="s">
        <v>582</v>
      </c>
      <c r="F25" s="114" t="str">
        <f>IFERROR(VLOOKUP($C25,[7]BD!$B$3:$O$213,3,0),"")</f>
        <v>OPERARIA DE ASEO Y CAFETERIA</v>
      </c>
      <c r="G25" s="77" t="s">
        <v>486</v>
      </c>
      <c r="H25" s="114" t="str">
        <f>IFERROR(VLOOKUP($C25,[7]BD!$B$3:$O$203,14,0),"")</f>
        <v>3017347739</v>
      </c>
      <c r="I25" s="114" t="str">
        <f>IFERROR(VLOOKUP($C25,[7]BD!$B$3:$O$203,4,0),"")</f>
        <v>22/10/2025</v>
      </c>
      <c r="J25" s="97" t="str">
        <f>INDEX('[7]PLANILLA ALEJANDRO'!C25:AK68,1,6)</f>
        <v>OK</v>
      </c>
      <c r="K25" s="97" t="str">
        <f>INDEX('[7]PLANILLA ALEJANDRO'!D25:AL68,1,6)</f>
        <v>OK</v>
      </c>
      <c r="L25" s="97" t="str">
        <f>INDEX('[7]PLANILLA ALEJANDRO'!E25:AM68,1,6)</f>
        <v>OK</v>
      </c>
      <c r="M25" s="97" t="str">
        <f>INDEX('[7]PLANILLA ALEJANDRO'!F25:AN68,1,6)</f>
        <v>OK</v>
      </c>
      <c r="N25" s="97" t="str">
        <f>INDEX('[7]PLANILLA ALEJANDRO'!G25:AO68,1,6)</f>
        <v>OK</v>
      </c>
      <c r="O25" s="97" t="str">
        <f>INDEX('[7]PLANILLA ALEJANDRO'!H25:AP68,1,6)</f>
        <v>OK</v>
      </c>
      <c r="P25" s="97" t="str">
        <f>INDEX('[7]PLANILLA ALEJANDRO'!I25:AQ68,1,6)</f>
        <v>OK</v>
      </c>
      <c r="Q25" s="97" t="str">
        <f>INDEX('[7]PLANILLA ALEJANDRO'!J25:AR68,1,6)</f>
        <v>OK</v>
      </c>
      <c r="R25" s="97" t="str">
        <f>INDEX('[7]PLANILLA ALEJANDRO'!K25:AS68,1,6)</f>
        <v>OK</v>
      </c>
      <c r="S25" s="97" t="str">
        <f>INDEX('[7]PLANILLA ALEJANDRO'!L25:AT68,1,6)</f>
        <v>OK</v>
      </c>
      <c r="T25" s="97" t="str">
        <f>INDEX('[7]PLANILLA ALEJANDRO'!M25:AU68,1,6)</f>
        <v>OK</v>
      </c>
      <c r="U25" s="97" t="str">
        <f>INDEX('[7]PLANILLA ALEJANDRO'!N25:AV68,1,6)</f>
        <v>OK</v>
      </c>
      <c r="V25" s="97" t="str">
        <f>INDEX('[7]PLANILLA ALEJANDRO'!O25:AW68,1,6)</f>
        <v>OK</v>
      </c>
      <c r="W25" s="97" t="str">
        <f>INDEX('[7]PLANILLA ALEJANDRO'!P25:AX68,1,6)</f>
        <v>OK</v>
      </c>
      <c r="X25" s="97" t="str">
        <f>INDEX('[7]PLANILLA ALEJANDRO'!Q25:AY68,1,6)</f>
        <v>OK</v>
      </c>
      <c r="Y25" s="97" t="str">
        <f>INDEX('[7]PLANILLA ALEJANDRO'!R25:AZ68,1,6)</f>
        <v>OK</v>
      </c>
      <c r="Z25" s="97" t="str">
        <f>INDEX('[7]PLANILLA ALEJANDRO'!S25:BA68,1,6)</f>
        <v>OK</v>
      </c>
      <c r="AA25" s="97" t="str">
        <f>INDEX('[7]PLANILLA ALEJANDRO'!T25:BB68,1,6)</f>
        <v>OK</v>
      </c>
      <c r="AB25" s="97" t="str">
        <f>INDEX('[7]PLANILLA ALEJANDRO'!U25:BC68,1,6)</f>
        <v>OK</v>
      </c>
      <c r="AC25" s="97" t="str">
        <f>INDEX('[7]PLANILLA ALEJANDRO'!V25:BD68,1,6)</f>
        <v>OK</v>
      </c>
      <c r="AD25" s="97" t="str">
        <f>INDEX('[7]PLANILLA ALEJANDRO'!W25:BE68,1,6)</f>
        <v>OK</v>
      </c>
      <c r="AE25" s="97" t="str">
        <f>INDEX('[7]PLANILLA ALEJANDRO'!X25:BF68,1,6)</f>
        <v>OK</v>
      </c>
      <c r="AF25" s="97">
        <f>INDEX('[7]PLANILLA ALEJANDRO'!Y25:BG68,1,6)</f>
        <v>0</v>
      </c>
      <c r="AG25" s="97">
        <f>INDEX('[7]PLANILLA ALEJANDRO'!Z25:BH68,1,6)</f>
        <v>0</v>
      </c>
      <c r="AH25" s="97">
        <f>INDEX('[7]PLANILLA ALEJANDRO'!AA25:BI68,1,6)</f>
        <v>0</v>
      </c>
      <c r="AI25" s="97">
        <f>INDEX('[7]PLANILLA ALEJANDRO'!AB25:BJ68,1,6)</f>
        <v>0</v>
      </c>
      <c r="AJ25" s="97">
        <f>INDEX('[7]PLANILLA ALEJANDRO'!AC25:BK68,1,6)</f>
        <v>0</v>
      </c>
      <c r="AK25" s="97">
        <f>INDEX('[7]PLANILLA ALEJANDRO'!AD25:BL68,1,6)</f>
        <v>0</v>
      </c>
      <c r="AL25" s="97">
        <f>INDEX('[7]PLANILLA ALEJANDRO'!AE25:BM68,1,6)</f>
        <v>0</v>
      </c>
      <c r="AM25" s="97">
        <f>INDEX('[7]PLANILLA ALEJANDRO'!AF25:BN68,1,6)</f>
        <v>0</v>
      </c>
      <c r="AO25" s="116">
        <f t="shared" si="5"/>
        <v>0</v>
      </c>
      <c r="AP25" s="116">
        <f t="shared" si="5"/>
        <v>0</v>
      </c>
      <c r="AQ25" s="116">
        <f t="shared" si="5"/>
        <v>0</v>
      </c>
      <c r="AR25" s="116">
        <f t="shared" si="5"/>
        <v>0</v>
      </c>
      <c r="AS25" s="116">
        <f t="shared" si="5"/>
        <v>0</v>
      </c>
      <c r="AT25" s="116">
        <f t="shared" si="5"/>
        <v>0</v>
      </c>
      <c r="AU25" s="116">
        <f t="shared" si="5"/>
        <v>0</v>
      </c>
      <c r="AV25" s="116">
        <f t="shared" si="5"/>
        <v>0</v>
      </c>
      <c r="AW25" s="116">
        <f t="shared" si="5"/>
        <v>0</v>
      </c>
      <c r="AX25" s="116">
        <f t="shared" si="5"/>
        <v>0</v>
      </c>
      <c r="AY25" s="116">
        <f t="shared" si="5"/>
        <v>0</v>
      </c>
      <c r="AZ25" s="116">
        <f t="shared" si="5"/>
        <v>0</v>
      </c>
      <c r="BA25" s="116">
        <f t="shared" si="5"/>
        <v>22</v>
      </c>
      <c r="BB25" s="117">
        <f t="shared" si="4"/>
        <v>22</v>
      </c>
    </row>
    <row r="26" spans="2:54" ht="18.600000000000001" customHeight="1">
      <c r="B26" s="112">
        <v>18</v>
      </c>
      <c r="C26" s="113">
        <f>+'[7]PLANILLA ALEJANDRO'!C26</f>
        <v>51909861</v>
      </c>
      <c r="D26" s="114" t="str">
        <f>IFERROR(VLOOKUP($C26,'[7]PLANILLA ALEJANDRO'!$C$9:$F$57,2,0),"NO BD")</f>
        <v xml:space="preserve">AREVALO  LUZ MIRELLA </v>
      </c>
      <c r="E26" s="115" t="s">
        <v>582</v>
      </c>
      <c r="F26" s="114" t="str">
        <f>IFERROR(VLOOKUP($C26,[7]BD!$B$3:$O$213,3,0),"")</f>
        <v>OPERARIA DE ASEO Y CAFETERIA</v>
      </c>
      <c r="G26" s="77" t="s">
        <v>486</v>
      </c>
      <c r="H26" s="114" t="str">
        <f>IFERROR(VLOOKUP($C26,[7]BD!$B$3:$O$203,14,0),"")</f>
        <v>3134433828</v>
      </c>
      <c r="I26" s="114" t="str">
        <f>IFERROR(VLOOKUP($C26,[7]BD!$B$3:$O$203,4,0),"")</f>
        <v>18/10/2025</v>
      </c>
      <c r="J26" s="97" t="str">
        <f>INDEX('[7]PLANILLA ALEJANDRO'!C26:AK69,1,6)</f>
        <v>OK</v>
      </c>
      <c r="K26" s="97" t="str">
        <f>INDEX('[7]PLANILLA ALEJANDRO'!D26:AL69,1,6)</f>
        <v>OK</v>
      </c>
      <c r="L26" s="97" t="str">
        <f>INDEX('[7]PLANILLA ALEJANDRO'!E26:AM69,1,6)</f>
        <v>OK</v>
      </c>
      <c r="M26" s="97" t="str">
        <f>INDEX('[7]PLANILLA ALEJANDRO'!F26:AN69,1,6)</f>
        <v>OK</v>
      </c>
      <c r="N26" s="97" t="str">
        <f>INDEX('[7]PLANILLA ALEJANDRO'!G26:AO69,1,6)</f>
        <v>OK</v>
      </c>
      <c r="O26" s="97" t="str">
        <f>INDEX('[7]PLANILLA ALEJANDRO'!H26:AP69,1,6)</f>
        <v>OK</v>
      </c>
      <c r="P26" s="97" t="str">
        <f>INDEX('[7]PLANILLA ALEJANDRO'!I26:AQ69,1,6)</f>
        <v>OK</v>
      </c>
      <c r="Q26" s="97" t="str">
        <f>INDEX('[7]PLANILLA ALEJANDRO'!J26:AR69,1,6)</f>
        <v>OK</v>
      </c>
      <c r="R26" s="97" t="str">
        <f>INDEX('[7]PLANILLA ALEJANDRO'!K26:AS69,1,6)</f>
        <v>OK</v>
      </c>
      <c r="S26" s="97" t="str">
        <f>INDEX('[7]PLANILLA ALEJANDRO'!L26:AT69,1,6)</f>
        <v>OK</v>
      </c>
      <c r="T26" s="97" t="str">
        <f>INDEX('[7]PLANILLA ALEJANDRO'!M26:AU69,1,6)</f>
        <v>OK</v>
      </c>
      <c r="U26" s="97" t="str">
        <f>INDEX('[7]PLANILLA ALEJANDRO'!N26:AV69,1,6)</f>
        <v>OK</v>
      </c>
      <c r="V26" s="97" t="str">
        <f>INDEX('[7]PLANILLA ALEJANDRO'!O26:AW69,1,6)</f>
        <v>OK</v>
      </c>
      <c r="W26" s="97" t="str">
        <f>INDEX('[7]PLANILLA ALEJANDRO'!P26:AX69,1,6)</f>
        <v>OK</v>
      </c>
      <c r="X26" s="97" t="str">
        <f>INDEX('[7]PLANILLA ALEJANDRO'!Q26:AY69,1,6)</f>
        <v>OK</v>
      </c>
      <c r="Y26" s="97" t="str">
        <f>INDEX('[7]PLANILLA ALEJANDRO'!R26:AZ69,1,6)</f>
        <v>OK</v>
      </c>
      <c r="Z26" s="97" t="str">
        <f>INDEX('[7]PLANILLA ALEJANDRO'!S26:BA69,1,6)</f>
        <v>OK</v>
      </c>
      <c r="AA26" s="97" t="str">
        <f>INDEX('[7]PLANILLA ALEJANDRO'!T26:BB69,1,6)</f>
        <v>OK</v>
      </c>
      <c r="AB26" s="97" t="str">
        <f>INDEX('[7]PLANILLA ALEJANDRO'!U26:BC69,1,6)</f>
        <v>OK</v>
      </c>
      <c r="AC26" s="97" t="str">
        <f>INDEX('[7]PLANILLA ALEJANDRO'!V26:BD69,1,6)</f>
        <v>OK</v>
      </c>
      <c r="AD26" s="97" t="str">
        <f>INDEX('[7]PLANILLA ALEJANDRO'!W26:BE69,1,6)</f>
        <v>OK</v>
      </c>
      <c r="AE26" s="97" t="str">
        <f>INDEX('[7]PLANILLA ALEJANDRO'!X26:BF69,1,6)</f>
        <v>OK</v>
      </c>
      <c r="AF26" s="97">
        <f>INDEX('[7]PLANILLA ALEJANDRO'!Y26:BG69,1,6)</f>
        <v>0</v>
      </c>
      <c r="AG26" s="97">
        <f>INDEX('[7]PLANILLA ALEJANDRO'!Z26:BH69,1,6)</f>
        <v>0</v>
      </c>
      <c r="AH26" s="97">
        <f>INDEX('[7]PLANILLA ALEJANDRO'!AA26:BI69,1,6)</f>
        <v>0</v>
      </c>
      <c r="AI26" s="97">
        <f>INDEX('[7]PLANILLA ALEJANDRO'!AB26:BJ69,1,6)</f>
        <v>0</v>
      </c>
      <c r="AJ26" s="97">
        <f>INDEX('[7]PLANILLA ALEJANDRO'!AC26:BK69,1,6)</f>
        <v>0</v>
      </c>
      <c r="AK26" s="97">
        <f>INDEX('[7]PLANILLA ALEJANDRO'!AD26:BL69,1,6)</f>
        <v>0</v>
      </c>
      <c r="AL26" s="97">
        <f>INDEX('[7]PLANILLA ALEJANDRO'!AE26:BM69,1,6)</f>
        <v>0</v>
      </c>
      <c r="AM26" s="97">
        <f>INDEX('[7]PLANILLA ALEJANDRO'!AF26:BN69,1,6)</f>
        <v>0</v>
      </c>
      <c r="AO26" s="116">
        <f t="shared" si="5"/>
        <v>0</v>
      </c>
      <c r="AP26" s="116">
        <f t="shared" si="5"/>
        <v>0</v>
      </c>
      <c r="AQ26" s="116">
        <f t="shared" si="5"/>
        <v>0</v>
      </c>
      <c r="AR26" s="116">
        <f t="shared" si="5"/>
        <v>0</v>
      </c>
      <c r="AS26" s="116">
        <f t="shared" si="5"/>
        <v>0</v>
      </c>
      <c r="AT26" s="116">
        <f t="shared" si="5"/>
        <v>0</v>
      </c>
      <c r="AU26" s="116">
        <f t="shared" si="5"/>
        <v>0</v>
      </c>
      <c r="AV26" s="116">
        <f t="shared" si="5"/>
        <v>0</v>
      </c>
      <c r="AW26" s="116">
        <f t="shared" si="5"/>
        <v>0</v>
      </c>
      <c r="AX26" s="116">
        <f t="shared" si="5"/>
        <v>0</v>
      </c>
      <c r="AY26" s="116">
        <f t="shared" si="5"/>
        <v>0</v>
      </c>
      <c r="AZ26" s="116">
        <f t="shared" si="5"/>
        <v>0</v>
      </c>
      <c r="BA26" s="116">
        <f t="shared" si="5"/>
        <v>22</v>
      </c>
      <c r="BB26" s="117">
        <f t="shared" si="4"/>
        <v>22</v>
      </c>
    </row>
    <row r="27" spans="2:54" ht="18.600000000000001" customHeight="1">
      <c r="B27" s="112">
        <v>19</v>
      </c>
      <c r="C27" s="113">
        <f>+'[7]PLANILLA ALEJANDRO'!C27</f>
        <v>80735722</v>
      </c>
      <c r="D27" s="114" t="str">
        <f>IFERROR(VLOOKUP($C27,'[7]PLANILLA ALEJANDRO'!$C$9:$F$57,2,0),"NO BD")</f>
        <v xml:space="preserve">BELTRAN  ANGEL ANTONIO </v>
      </c>
      <c r="E27" s="115" t="s">
        <v>582</v>
      </c>
      <c r="F27" s="114" t="str">
        <f>IFERROR(VLOOKUP($C27,[7]BD!$B$3:$O$213,3,0),"")</f>
        <v>OPERARIO DE MANTENIMIENTO</v>
      </c>
      <c r="G27" s="77" t="s">
        <v>478</v>
      </c>
      <c r="H27" s="114" t="str">
        <f>IFERROR(VLOOKUP($C27,[7]BD!$B$3:$O$203,14,0),"")</f>
        <v>3124825793</v>
      </c>
      <c r="I27" s="114" t="str">
        <f>IFERROR(VLOOKUP($C27,[7]BD!$B$3:$O$203,4,0),"")</f>
        <v>13/11/2025</v>
      </c>
      <c r="J27" s="97" t="str">
        <f>INDEX('[7]PLANILLA ALEJANDRO'!C27:AK70,1,6)</f>
        <v>OK</v>
      </c>
      <c r="K27" s="97" t="str">
        <f>INDEX('[7]PLANILLA ALEJANDRO'!D27:AL70,1,6)</f>
        <v>OK</v>
      </c>
      <c r="L27" s="97" t="str">
        <f>INDEX('[7]PLANILLA ALEJANDRO'!E27:AM70,1,6)</f>
        <v>OK</v>
      </c>
      <c r="M27" s="97" t="str">
        <f>INDEX('[7]PLANILLA ALEJANDRO'!F27:AN70,1,6)</f>
        <v>OK</v>
      </c>
      <c r="N27" s="97" t="str">
        <f>INDEX('[7]PLANILLA ALEJANDRO'!G27:AO70,1,6)</f>
        <v>OK</v>
      </c>
      <c r="O27" s="97" t="str">
        <f>INDEX('[7]PLANILLA ALEJANDRO'!H27:AP70,1,6)</f>
        <v>OK</v>
      </c>
      <c r="P27" s="97" t="str">
        <f>INDEX('[7]PLANILLA ALEJANDRO'!I27:AQ70,1,6)</f>
        <v>OK</v>
      </c>
      <c r="Q27" s="97" t="str">
        <f>INDEX('[7]PLANILLA ALEJANDRO'!J27:AR70,1,6)</f>
        <v>OK</v>
      </c>
      <c r="R27" s="97" t="str">
        <f>INDEX('[7]PLANILLA ALEJANDRO'!K27:AS70,1,6)</f>
        <v>OK</v>
      </c>
      <c r="S27" s="97" t="str">
        <f>INDEX('[7]PLANILLA ALEJANDRO'!L27:AT70,1,6)</f>
        <v>OK</v>
      </c>
      <c r="T27" s="97" t="str">
        <f>INDEX('[7]PLANILLA ALEJANDRO'!M27:AU70,1,6)</f>
        <v>OK</v>
      </c>
      <c r="U27" s="97" t="str">
        <f>INDEX('[7]PLANILLA ALEJANDRO'!N27:AV70,1,6)</f>
        <v>OK</v>
      </c>
      <c r="V27" s="97" t="str">
        <f>INDEX('[7]PLANILLA ALEJANDRO'!O27:AW70,1,6)</f>
        <v>OK</v>
      </c>
      <c r="W27" s="97" t="str">
        <f>INDEX('[7]PLANILLA ALEJANDRO'!P27:AX70,1,6)</f>
        <v>OK</v>
      </c>
      <c r="X27" s="97" t="str">
        <f>INDEX('[7]PLANILLA ALEJANDRO'!Q27:AY70,1,6)</f>
        <v>OK</v>
      </c>
      <c r="Y27" s="97" t="str">
        <f>INDEX('[7]PLANILLA ALEJANDRO'!R27:AZ70,1,6)</f>
        <v>OK</v>
      </c>
      <c r="Z27" s="97" t="str">
        <f>INDEX('[7]PLANILLA ALEJANDRO'!S27:BA70,1,6)</f>
        <v>OK</v>
      </c>
      <c r="AA27" s="97" t="str">
        <f>INDEX('[7]PLANILLA ALEJANDRO'!T27:BB70,1,6)</f>
        <v>OK</v>
      </c>
      <c r="AB27" s="97" t="str">
        <f>INDEX('[7]PLANILLA ALEJANDRO'!U27:BC70,1,6)</f>
        <v>OK</v>
      </c>
      <c r="AC27" s="97" t="str">
        <f>INDEX('[7]PLANILLA ALEJANDRO'!V27:BD70,1,6)</f>
        <v>OK</v>
      </c>
      <c r="AD27" s="97" t="str">
        <f>INDEX('[7]PLANILLA ALEJANDRO'!W27:BE70,1,6)</f>
        <v>OK</v>
      </c>
      <c r="AE27" s="97" t="str">
        <f>INDEX('[7]PLANILLA ALEJANDRO'!X27:BF70,1,6)</f>
        <v>OK</v>
      </c>
      <c r="AF27" s="97">
        <f>INDEX('[7]PLANILLA ALEJANDRO'!Y27:BG70,1,6)</f>
        <v>0</v>
      </c>
      <c r="AG27" s="97">
        <f>INDEX('[7]PLANILLA ALEJANDRO'!Z27:BH70,1,6)</f>
        <v>0</v>
      </c>
      <c r="AH27" s="97">
        <f>INDEX('[7]PLANILLA ALEJANDRO'!AA27:BI70,1,6)</f>
        <v>0</v>
      </c>
      <c r="AI27" s="97">
        <f>INDEX('[7]PLANILLA ALEJANDRO'!AB27:BJ70,1,6)</f>
        <v>0</v>
      </c>
      <c r="AJ27" s="97">
        <f>INDEX('[7]PLANILLA ALEJANDRO'!AC27:BK70,1,6)</f>
        <v>0</v>
      </c>
      <c r="AK27" s="97">
        <f>INDEX('[7]PLANILLA ALEJANDRO'!AD27:BL70,1,6)</f>
        <v>0</v>
      </c>
      <c r="AL27" s="97">
        <f>INDEX('[7]PLANILLA ALEJANDRO'!AE27:BM70,1,6)</f>
        <v>0</v>
      </c>
      <c r="AM27" s="97">
        <f>INDEX('[7]PLANILLA ALEJANDRO'!AF27:BN70,1,6)</f>
        <v>0</v>
      </c>
      <c r="AO27" s="116">
        <f t="shared" si="5"/>
        <v>0</v>
      </c>
      <c r="AP27" s="116">
        <f t="shared" si="5"/>
        <v>0</v>
      </c>
      <c r="AQ27" s="116">
        <f t="shared" si="5"/>
        <v>0</v>
      </c>
      <c r="AR27" s="116">
        <f t="shared" si="5"/>
        <v>0</v>
      </c>
      <c r="AS27" s="116">
        <f t="shared" si="5"/>
        <v>0</v>
      </c>
      <c r="AT27" s="116">
        <f t="shared" si="5"/>
        <v>0</v>
      </c>
      <c r="AU27" s="116">
        <f t="shared" si="5"/>
        <v>0</v>
      </c>
      <c r="AV27" s="116">
        <f t="shared" si="5"/>
        <v>0</v>
      </c>
      <c r="AW27" s="116">
        <f t="shared" si="5"/>
        <v>0</v>
      </c>
      <c r="AX27" s="116">
        <f t="shared" si="5"/>
        <v>0</v>
      </c>
      <c r="AY27" s="116">
        <f t="shared" si="5"/>
        <v>0</v>
      </c>
      <c r="AZ27" s="116">
        <f t="shared" si="5"/>
        <v>0</v>
      </c>
      <c r="BA27" s="116">
        <f t="shared" si="5"/>
        <v>22</v>
      </c>
      <c r="BB27" s="117">
        <f t="shared" si="4"/>
        <v>22</v>
      </c>
    </row>
    <row r="28" spans="2:54" ht="18.600000000000001" customHeight="1">
      <c r="B28" s="112">
        <v>20</v>
      </c>
      <c r="C28" s="113">
        <f>+'[7]PLANILLA ALEJANDRO'!C28</f>
        <v>1003310552</v>
      </c>
      <c r="D28" s="114" t="str">
        <f>IFERROR(VLOOKUP($C28,'[7]PLANILLA ALEJANDRO'!$C$9:$F$57,2,0),"NO BD")</f>
        <v xml:space="preserve">HERNANDEZ POLO LINDA MARCELA </v>
      </c>
      <c r="E28" s="115" t="s">
        <v>582</v>
      </c>
      <c r="F28" s="114" t="str">
        <f>IFERROR(VLOOKUP($C28,[7]BD!$B$3:$O$213,3,0),"")</f>
        <v>OPERARIA DE ASEO Y CAFETERIA</v>
      </c>
      <c r="G28" s="77" t="s">
        <v>478</v>
      </c>
      <c r="H28" s="114" t="str">
        <f>IFERROR(VLOOKUP($C28,[7]BD!$B$3:$O$203,14,0),"")</f>
        <v>3143197463</v>
      </c>
      <c r="I28" s="114" t="str">
        <f>IFERROR(VLOOKUP($C28,[7]BD!$B$3:$O$203,4,0),"")</f>
        <v>18/10/2025</v>
      </c>
      <c r="J28" s="97" t="str">
        <f>INDEX('[7]PLANILLA ALEJANDRO'!C28:AK71,1,6)</f>
        <v>OK</v>
      </c>
      <c r="K28" s="97" t="str">
        <f>INDEX('[7]PLANILLA ALEJANDRO'!D28:AL71,1,6)</f>
        <v>OK</v>
      </c>
      <c r="L28" s="97" t="str">
        <f>INDEX('[7]PLANILLA ALEJANDRO'!E28:AM71,1,6)</f>
        <v>OK</v>
      </c>
      <c r="M28" s="97" t="str">
        <f>INDEX('[7]PLANILLA ALEJANDRO'!F28:AN71,1,6)</f>
        <v>OK</v>
      </c>
      <c r="N28" s="97" t="str">
        <f>INDEX('[7]PLANILLA ALEJANDRO'!G28:AO71,1,6)</f>
        <v>OK</v>
      </c>
      <c r="O28" s="97" t="str">
        <f>INDEX('[7]PLANILLA ALEJANDRO'!H28:AP71,1,6)</f>
        <v>OK</v>
      </c>
      <c r="P28" s="97" t="str">
        <f>INDEX('[7]PLANILLA ALEJANDRO'!I28:AQ71,1,6)</f>
        <v>OK</v>
      </c>
      <c r="Q28" s="97" t="str">
        <f>INDEX('[7]PLANILLA ALEJANDRO'!J28:AR71,1,6)</f>
        <v>OK</v>
      </c>
      <c r="R28" s="97" t="str">
        <f>INDEX('[7]PLANILLA ALEJANDRO'!K28:AS71,1,6)</f>
        <v>OK</v>
      </c>
      <c r="S28" s="97" t="str">
        <f>INDEX('[7]PLANILLA ALEJANDRO'!L28:AT71,1,6)</f>
        <v>OK</v>
      </c>
      <c r="T28" s="97" t="str">
        <f>INDEX('[7]PLANILLA ALEJANDRO'!M28:AU71,1,6)</f>
        <v>OK</v>
      </c>
      <c r="U28" s="97" t="str">
        <f>INDEX('[7]PLANILLA ALEJANDRO'!N28:AV71,1,6)</f>
        <v>OK</v>
      </c>
      <c r="V28" s="97" t="str">
        <f>INDEX('[7]PLANILLA ALEJANDRO'!O28:AW71,1,6)</f>
        <v>OK</v>
      </c>
      <c r="W28" s="97" t="str">
        <f>INDEX('[7]PLANILLA ALEJANDRO'!P28:AX71,1,6)</f>
        <v>OK</v>
      </c>
      <c r="X28" s="97" t="str">
        <f>INDEX('[7]PLANILLA ALEJANDRO'!Q28:AY71,1,6)</f>
        <v>OK</v>
      </c>
      <c r="Y28" s="97" t="str">
        <f>INDEX('[7]PLANILLA ALEJANDRO'!R28:AZ71,1,6)</f>
        <v>OK</v>
      </c>
      <c r="Z28" s="97" t="str">
        <f>INDEX('[7]PLANILLA ALEJANDRO'!S28:BA71,1,6)</f>
        <v>OK</v>
      </c>
      <c r="AA28" s="97" t="str">
        <f>INDEX('[7]PLANILLA ALEJANDRO'!T28:BB71,1,6)</f>
        <v>OK</v>
      </c>
      <c r="AB28" s="97" t="str">
        <f>INDEX('[7]PLANILLA ALEJANDRO'!U28:BC71,1,6)</f>
        <v>OK</v>
      </c>
      <c r="AC28" s="97" t="str">
        <f>INDEX('[7]PLANILLA ALEJANDRO'!V28:BD71,1,6)</f>
        <v>OK</v>
      </c>
      <c r="AD28" s="97" t="str">
        <f>INDEX('[7]PLANILLA ALEJANDRO'!W28:BE71,1,6)</f>
        <v>OK</v>
      </c>
      <c r="AE28" s="97" t="str">
        <f>INDEX('[7]PLANILLA ALEJANDRO'!X28:BF71,1,6)</f>
        <v>OK</v>
      </c>
      <c r="AF28" s="97">
        <f>INDEX('[7]PLANILLA ALEJANDRO'!Y28:BG71,1,6)</f>
        <v>0</v>
      </c>
      <c r="AG28" s="97">
        <f>INDEX('[7]PLANILLA ALEJANDRO'!Z28:BH71,1,6)</f>
        <v>0</v>
      </c>
      <c r="AH28" s="97">
        <f>INDEX('[7]PLANILLA ALEJANDRO'!AA28:BI71,1,6)</f>
        <v>0</v>
      </c>
      <c r="AI28" s="97">
        <f>INDEX('[7]PLANILLA ALEJANDRO'!AB28:BJ71,1,6)</f>
        <v>0</v>
      </c>
      <c r="AJ28" s="97">
        <f>INDEX('[7]PLANILLA ALEJANDRO'!AC28:BK71,1,6)</f>
        <v>0</v>
      </c>
      <c r="AK28" s="97">
        <f>INDEX('[7]PLANILLA ALEJANDRO'!AD28:BL71,1,6)</f>
        <v>0</v>
      </c>
      <c r="AL28" s="97">
        <f>INDEX('[7]PLANILLA ALEJANDRO'!AE28:BM71,1,6)</f>
        <v>0</v>
      </c>
      <c r="AM28" s="97">
        <f>INDEX('[7]PLANILLA ALEJANDRO'!AF28:BN71,1,6)</f>
        <v>0</v>
      </c>
      <c r="AO28" s="116">
        <f t="shared" si="5"/>
        <v>0</v>
      </c>
      <c r="AP28" s="116">
        <f t="shared" si="5"/>
        <v>0</v>
      </c>
      <c r="AQ28" s="116">
        <f t="shared" si="5"/>
        <v>0</v>
      </c>
      <c r="AR28" s="116">
        <f t="shared" si="5"/>
        <v>0</v>
      </c>
      <c r="AS28" s="116">
        <f t="shared" si="5"/>
        <v>0</v>
      </c>
      <c r="AT28" s="116">
        <f t="shared" si="5"/>
        <v>0</v>
      </c>
      <c r="AU28" s="116">
        <f t="shared" si="5"/>
        <v>0</v>
      </c>
      <c r="AV28" s="116">
        <f t="shared" si="5"/>
        <v>0</v>
      </c>
      <c r="AW28" s="116">
        <f t="shared" si="5"/>
        <v>0</v>
      </c>
      <c r="AX28" s="116">
        <f t="shared" si="5"/>
        <v>0</v>
      </c>
      <c r="AY28" s="116">
        <f t="shared" si="5"/>
        <v>0</v>
      </c>
      <c r="AZ28" s="116">
        <f t="shared" si="5"/>
        <v>0</v>
      </c>
      <c r="BA28" s="116">
        <f t="shared" si="5"/>
        <v>22</v>
      </c>
      <c r="BB28" s="117">
        <f t="shared" si="4"/>
        <v>22</v>
      </c>
    </row>
    <row r="29" spans="2:54" ht="18.600000000000001" customHeight="1">
      <c r="B29" s="112">
        <v>21</v>
      </c>
      <c r="C29" s="113">
        <f>+'[7]PLANILLA ALEJANDRO'!C29</f>
        <v>52463545</v>
      </c>
      <c r="D29" s="114" t="str">
        <f>IFERROR(VLOOKUP($C29,'[7]PLANILLA ALEJANDRO'!$C$9:$F$57,2,0),"NO BD")</f>
        <v xml:space="preserve">ROJAS CAMACHO SONIA YEMILE </v>
      </c>
      <c r="E29" s="115" t="s">
        <v>582</v>
      </c>
      <c r="F29" s="114" t="str">
        <f>IFERROR(VLOOKUP($C29,[7]BD!$B$3:$O$213,3,0),"")</f>
        <v>OPERARIA DE ASEO Y CAFETERIA</v>
      </c>
      <c r="G29" s="77" t="s">
        <v>478</v>
      </c>
      <c r="H29" s="114" t="str">
        <f>IFERROR(VLOOKUP($C29,[7]BD!$B$3:$O$203,14,0),"")</f>
        <v>3115585946</v>
      </c>
      <c r="I29" s="114" t="str">
        <f>IFERROR(VLOOKUP($C29,[7]BD!$B$3:$O$203,4,0),"")</f>
        <v>21/10/2025</v>
      </c>
      <c r="J29" s="97" t="str">
        <f>INDEX('[7]PLANILLA ALEJANDRO'!C29:AK72,1,6)</f>
        <v>OK</v>
      </c>
      <c r="K29" s="97" t="str">
        <f>INDEX('[7]PLANILLA ALEJANDRO'!D29:AL72,1,6)</f>
        <v>OK</v>
      </c>
      <c r="L29" s="97" t="str">
        <f>INDEX('[7]PLANILLA ALEJANDRO'!E29:AM72,1,6)</f>
        <v>OK</v>
      </c>
      <c r="M29" s="97" t="str">
        <f>INDEX('[7]PLANILLA ALEJANDRO'!F29:AN72,1,6)</f>
        <v>OK</v>
      </c>
      <c r="N29" s="97" t="str">
        <f>INDEX('[7]PLANILLA ALEJANDRO'!G29:AO72,1,6)</f>
        <v>OK</v>
      </c>
      <c r="O29" s="97" t="str">
        <f>INDEX('[7]PLANILLA ALEJANDRO'!H29:AP72,1,6)</f>
        <v>OK</v>
      </c>
      <c r="P29" s="97" t="str">
        <f>INDEX('[7]PLANILLA ALEJANDRO'!I29:AQ72,1,6)</f>
        <v>OK</v>
      </c>
      <c r="Q29" s="97" t="str">
        <f>INDEX('[7]PLANILLA ALEJANDRO'!J29:AR72,1,6)</f>
        <v>OK</v>
      </c>
      <c r="R29" s="97" t="str">
        <f>INDEX('[7]PLANILLA ALEJANDRO'!K29:AS72,1,6)</f>
        <v>OK</v>
      </c>
      <c r="S29" s="97" t="str">
        <f>INDEX('[7]PLANILLA ALEJANDRO'!L29:AT72,1,6)</f>
        <v>OK</v>
      </c>
      <c r="T29" s="97" t="str">
        <f>INDEX('[7]PLANILLA ALEJANDRO'!M29:AU72,1,6)</f>
        <v>OK</v>
      </c>
      <c r="U29" s="97" t="str">
        <f>INDEX('[7]PLANILLA ALEJANDRO'!N29:AV72,1,6)</f>
        <v>OK</v>
      </c>
      <c r="V29" s="97" t="str">
        <f>INDEX('[7]PLANILLA ALEJANDRO'!O29:AW72,1,6)</f>
        <v>OK</v>
      </c>
      <c r="W29" s="97" t="str">
        <f>INDEX('[7]PLANILLA ALEJANDRO'!P29:AX72,1,6)</f>
        <v>OK</v>
      </c>
      <c r="X29" s="97" t="str">
        <f>INDEX('[7]PLANILLA ALEJANDRO'!Q29:AY72,1,6)</f>
        <v>OK</v>
      </c>
      <c r="Y29" s="97" t="str">
        <f>INDEX('[7]PLANILLA ALEJANDRO'!R29:AZ72,1,6)</f>
        <v>OK</v>
      </c>
      <c r="Z29" s="97" t="str">
        <f>INDEX('[7]PLANILLA ALEJANDRO'!S29:BA72,1,6)</f>
        <v>OK</v>
      </c>
      <c r="AA29" s="97" t="str">
        <f>INDEX('[7]PLANILLA ALEJANDRO'!T29:BB72,1,6)</f>
        <v>OK</v>
      </c>
      <c r="AB29" s="97" t="str">
        <f>INDEX('[7]PLANILLA ALEJANDRO'!U29:BC72,1,6)</f>
        <v>OK</v>
      </c>
      <c r="AC29" s="97" t="str">
        <f>INDEX('[7]PLANILLA ALEJANDRO'!V29:BD72,1,6)</f>
        <v>OK</v>
      </c>
      <c r="AD29" s="97" t="str">
        <f>INDEX('[7]PLANILLA ALEJANDRO'!W29:BE72,1,6)</f>
        <v>OK</v>
      </c>
      <c r="AE29" s="97" t="str">
        <f>INDEX('[7]PLANILLA ALEJANDRO'!X29:BF72,1,6)</f>
        <v>OK</v>
      </c>
      <c r="AF29" s="97">
        <f>INDEX('[7]PLANILLA ALEJANDRO'!Y29:BG72,1,6)</f>
        <v>0</v>
      </c>
      <c r="AG29" s="97">
        <f>INDEX('[7]PLANILLA ALEJANDRO'!Z29:BH72,1,6)</f>
        <v>0</v>
      </c>
      <c r="AH29" s="97">
        <f>INDEX('[7]PLANILLA ALEJANDRO'!AA29:BI72,1,6)</f>
        <v>0</v>
      </c>
      <c r="AI29" s="97">
        <f>INDEX('[7]PLANILLA ALEJANDRO'!AB29:BJ72,1,6)</f>
        <v>0</v>
      </c>
      <c r="AJ29" s="97">
        <f>INDEX('[7]PLANILLA ALEJANDRO'!AC29:BK72,1,6)</f>
        <v>0</v>
      </c>
      <c r="AK29" s="97">
        <f>INDEX('[7]PLANILLA ALEJANDRO'!AD29:BL72,1,6)</f>
        <v>0</v>
      </c>
      <c r="AL29" s="97">
        <f>INDEX('[7]PLANILLA ALEJANDRO'!AE29:BM72,1,6)</f>
        <v>0</v>
      </c>
      <c r="AM29" s="97">
        <f>INDEX('[7]PLANILLA ALEJANDRO'!AF29:BN72,1,6)</f>
        <v>0</v>
      </c>
      <c r="AO29" s="116">
        <f t="shared" si="5"/>
        <v>0</v>
      </c>
      <c r="AP29" s="116">
        <f t="shared" si="5"/>
        <v>0</v>
      </c>
      <c r="AQ29" s="116">
        <f t="shared" si="5"/>
        <v>0</v>
      </c>
      <c r="AR29" s="116">
        <f t="shared" si="5"/>
        <v>0</v>
      </c>
      <c r="AS29" s="116">
        <f t="shared" si="5"/>
        <v>0</v>
      </c>
      <c r="AT29" s="116">
        <f t="shared" si="5"/>
        <v>0</v>
      </c>
      <c r="AU29" s="116">
        <f t="shared" si="5"/>
        <v>0</v>
      </c>
      <c r="AV29" s="116">
        <f t="shared" si="5"/>
        <v>0</v>
      </c>
      <c r="AW29" s="116">
        <f t="shared" si="5"/>
        <v>0</v>
      </c>
      <c r="AX29" s="116">
        <f t="shared" si="5"/>
        <v>0</v>
      </c>
      <c r="AY29" s="116">
        <f t="shared" si="5"/>
        <v>0</v>
      </c>
      <c r="AZ29" s="116">
        <f t="shared" si="5"/>
        <v>0</v>
      </c>
      <c r="BA29" s="116">
        <f t="shared" si="5"/>
        <v>22</v>
      </c>
      <c r="BB29" s="117">
        <f t="shared" si="4"/>
        <v>22</v>
      </c>
    </row>
    <row r="30" spans="2:54" ht="18.600000000000001" customHeight="1">
      <c r="B30" s="112">
        <v>22</v>
      </c>
      <c r="C30" s="113">
        <f>+'[7]PLANILLA ALEJANDRO'!C30</f>
        <v>52038499</v>
      </c>
      <c r="D30" s="114" t="str">
        <f>IFERROR(VLOOKUP($C30,'[7]PLANILLA ALEJANDRO'!$C$9:$F$57,2,0),"NO BD")</f>
        <v xml:space="preserve">GUERRERO RINCON ROSA MARIA </v>
      </c>
      <c r="E30" s="115" t="s">
        <v>582</v>
      </c>
      <c r="F30" s="114" t="str">
        <f>IFERROR(VLOOKUP($C30,[7]BD!$B$3:$O$213,3,0),"")</f>
        <v>OPERARIA DE ASEO Y CAFETERIA</v>
      </c>
      <c r="G30" s="77" t="s">
        <v>478</v>
      </c>
      <c r="H30" s="114" t="str">
        <f>IFERROR(VLOOKUP($C30,[7]BD!$B$3:$O$203,14,0),"")</f>
        <v>3004534624</v>
      </c>
      <c r="I30" s="114" t="str">
        <f>IFERROR(VLOOKUP($C30,[7]BD!$B$3:$O$203,4,0),"")</f>
        <v>18/10/2025</v>
      </c>
      <c r="J30" s="97" t="str">
        <f>INDEX('[7]PLANILLA ALEJANDRO'!C30:AK73,1,6)</f>
        <v>OK</v>
      </c>
      <c r="K30" s="97" t="str">
        <f>INDEX('[7]PLANILLA ALEJANDRO'!D30:AL73,1,6)</f>
        <v>OK</v>
      </c>
      <c r="L30" s="97" t="str">
        <f>INDEX('[7]PLANILLA ALEJANDRO'!E30:AM73,1,6)</f>
        <v>OK</v>
      </c>
      <c r="M30" s="97" t="str">
        <f>INDEX('[7]PLANILLA ALEJANDRO'!F30:AN73,1,6)</f>
        <v>OK</v>
      </c>
      <c r="N30" s="97" t="str">
        <f>INDEX('[7]PLANILLA ALEJANDRO'!G30:AO73,1,6)</f>
        <v>OK</v>
      </c>
      <c r="O30" s="97" t="str">
        <f>INDEX('[7]PLANILLA ALEJANDRO'!H30:AP73,1,6)</f>
        <v>OK</v>
      </c>
      <c r="P30" s="97" t="str">
        <f>INDEX('[7]PLANILLA ALEJANDRO'!I30:AQ73,1,6)</f>
        <v>OK</v>
      </c>
      <c r="Q30" s="97" t="str">
        <f>INDEX('[7]PLANILLA ALEJANDRO'!J30:AR73,1,6)</f>
        <v>OK</v>
      </c>
      <c r="R30" s="97" t="str">
        <f>INDEX('[7]PLANILLA ALEJANDRO'!K30:AS73,1,6)</f>
        <v>OK</v>
      </c>
      <c r="S30" s="97" t="str">
        <f>INDEX('[7]PLANILLA ALEJANDRO'!L30:AT73,1,6)</f>
        <v>OK</v>
      </c>
      <c r="T30" s="97" t="str">
        <f>INDEX('[7]PLANILLA ALEJANDRO'!M30:AU73,1,6)</f>
        <v>OK</v>
      </c>
      <c r="U30" s="97" t="str">
        <f>INDEX('[7]PLANILLA ALEJANDRO'!N30:AV73,1,6)</f>
        <v>OK</v>
      </c>
      <c r="V30" s="97" t="str">
        <f>INDEX('[7]PLANILLA ALEJANDRO'!O30:AW73,1,6)</f>
        <v>OK</v>
      </c>
      <c r="W30" s="97" t="str">
        <f>INDEX('[7]PLANILLA ALEJANDRO'!P30:AX73,1,6)</f>
        <v>OK</v>
      </c>
      <c r="X30" s="97" t="str">
        <f>INDEX('[7]PLANILLA ALEJANDRO'!Q30:AY73,1,6)</f>
        <v>OK</v>
      </c>
      <c r="Y30" s="97" t="str">
        <f>INDEX('[7]PLANILLA ALEJANDRO'!R30:AZ73,1,6)</f>
        <v>OK</v>
      </c>
      <c r="Z30" s="97" t="str">
        <f>INDEX('[7]PLANILLA ALEJANDRO'!S30:BA73,1,6)</f>
        <v>OK</v>
      </c>
      <c r="AA30" s="97" t="str">
        <f>INDEX('[7]PLANILLA ALEJANDRO'!T30:BB73,1,6)</f>
        <v>OK</v>
      </c>
      <c r="AB30" s="97" t="str">
        <f>INDEX('[7]PLANILLA ALEJANDRO'!U30:BC73,1,6)</f>
        <v>OK</v>
      </c>
      <c r="AC30" s="97" t="str">
        <f>INDEX('[7]PLANILLA ALEJANDRO'!V30:BD73,1,6)</f>
        <v>OK</v>
      </c>
      <c r="AD30" s="97" t="str">
        <f>INDEX('[7]PLANILLA ALEJANDRO'!W30:BE73,1,6)</f>
        <v>OK</v>
      </c>
      <c r="AE30" s="97" t="str">
        <f>INDEX('[7]PLANILLA ALEJANDRO'!X30:BF73,1,6)</f>
        <v>OK</v>
      </c>
      <c r="AF30" s="97">
        <f>INDEX('[7]PLANILLA ALEJANDRO'!Y30:BG73,1,6)</f>
        <v>0</v>
      </c>
      <c r="AG30" s="97">
        <f>INDEX('[7]PLANILLA ALEJANDRO'!Z30:BH73,1,6)</f>
        <v>0</v>
      </c>
      <c r="AH30" s="97">
        <f>INDEX('[7]PLANILLA ALEJANDRO'!AA30:BI73,1,6)</f>
        <v>0</v>
      </c>
      <c r="AI30" s="97">
        <f>INDEX('[7]PLANILLA ALEJANDRO'!AB30:BJ73,1,6)</f>
        <v>0</v>
      </c>
      <c r="AJ30" s="97">
        <f>INDEX('[7]PLANILLA ALEJANDRO'!AC30:BK73,1,6)</f>
        <v>0</v>
      </c>
      <c r="AK30" s="97">
        <f>INDEX('[7]PLANILLA ALEJANDRO'!AD30:BL73,1,6)</f>
        <v>0</v>
      </c>
      <c r="AL30" s="97">
        <f>INDEX('[7]PLANILLA ALEJANDRO'!AE30:BM73,1,6)</f>
        <v>0</v>
      </c>
      <c r="AM30" s="97">
        <f>INDEX('[7]PLANILLA ALEJANDRO'!AF30:BN73,1,6)</f>
        <v>0</v>
      </c>
      <c r="AO30" s="116">
        <f t="shared" si="5"/>
        <v>0</v>
      </c>
      <c r="AP30" s="116">
        <f t="shared" si="5"/>
        <v>0</v>
      </c>
      <c r="AQ30" s="116">
        <f t="shared" si="5"/>
        <v>0</v>
      </c>
      <c r="AR30" s="116">
        <f t="shared" si="5"/>
        <v>0</v>
      </c>
      <c r="AS30" s="116">
        <f t="shared" si="5"/>
        <v>0</v>
      </c>
      <c r="AT30" s="116">
        <f t="shared" si="5"/>
        <v>0</v>
      </c>
      <c r="AU30" s="116">
        <f t="shared" si="5"/>
        <v>0</v>
      </c>
      <c r="AV30" s="116">
        <f t="shared" si="5"/>
        <v>0</v>
      </c>
      <c r="AW30" s="116">
        <f t="shared" si="5"/>
        <v>0</v>
      </c>
      <c r="AX30" s="116">
        <f t="shared" si="5"/>
        <v>0</v>
      </c>
      <c r="AY30" s="116">
        <f t="shared" si="5"/>
        <v>0</v>
      </c>
      <c r="AZ30" s="116">
        <f t="shared" si="5"/>
        <v>0</v>
      </c>
      <c r="BA30" s="116">
        <f t="shared" si="5"/>
        <v>22</v>
      </c>
      <c r="BB30" s="117">
        <f t="shared" si="4"/>
        <v>22</v>
      </c>
    </row>
    <row r="31" spans="2:54" ht="18.600000000000001" customHeight="1">
      <c r="B31" s="112">
        <v>23</v>
      </c>
      <c r="C31" s="113">
        <f>+'[7]PLANILLA ALEJANDRO'!C31</f>
        <v>1000596462</v>
      </c>
      <c r="D31" s="114" t="str">
        <f>IFERROR(VLOOKUP($C31,'[7]PLANILLA ALEJANDRO'!$C$9:$F$57,2,0),"NO BD")</f>
        <v xml:space="preserve">HERNANDEZ LUGO YADY ALEJANDRA </v>
      </c>
      <c r="E31" s="115" t="s">
        <v>582</v>
      </c>
      <c r="F31" s="114" t="str">
        <f>IFERROR(VLOOKUP($C31,[7]BD!$B$3:$O$213,3,0),"")</f>
        <v>OPERARIA DE ASEO Y CAFETERIA</v>
      </c>
      <c r="G31" s="77" t="s">
        <v>478</v>
      </c>
      <c r="H31" s="114" t="str">
        <f>IFERROR(VLOOKUP($C31,[7]BD!$B$3:$O$203,14,0),"")</f>
        <v>3112302469</v>
      </c>
      <c r="I31" s="114" t="str">
        <f>IFERROR(VLOOKUP($C31,[7]BD!$B$3:$O$203,4,0),"")</f>
        <v>14/01/2026</v>
      </c>
      <c r="J31" s="97" t="str">
        <f>INDEX('[7]PLANILLA ALEJANDRO'!C31:AK74,1,6)</f>
        <v>OK</v>
      </c>
      <c r="K31" s="97" t="str">
        <f>INDEX('[7]PLANILLA ALEJANDRO'!D31:AL74,1,6)</f>
        <v>OK</v>
      </c>
      <c r="L31" s="97" t="str">
        <f>INDEX('[7]PLANILLA ALEJANDRO'!E31:AM74,1,6)</f>
        <v>OK</v>
      </c>
      <c r="M31" s="97" t="str">
        <f>INDEX('[7]PLANILLA ALEJANDRO'!F31:AN74,1,6)</f>
        <v>OK</v>
      </c>
      <c r="N31" s="97" t="str">
        <f>INDEX('[7]PLANILLA ALEJANDRO'!G31:AO74,1,6)</f>
        <v>OK</v>
      </c>
      <c r="O31" s="97" t="str">
        <f>INDEX('[7]PLANILLA ALEJANDRO'!H31:AP74,1,6)</f>
        <v>OK</v>
      </c>
      <c r="P31" s="97" t="str">
        <f>INDEX('[7]PLANILLA ALEJANDRO'!I31:AQ74,1,6)</f>
        <v>OK</v>
      </c>
      <c r="Q31" s="97" t="str">
        <f>INDEX('[7]PLANILLA ALEJANDRO'!J31:AR74,1,6)</f>
        <v>OK</v>
      </c>
      <c r="R31" s="97" t="str">
        <f>INDEX('[7]PLANILLA ALEJANDRO'!K31:AS74,1,6)</f>
        <v>OK</v>
      </c>
      <c r="S31" s="97" t="str">
        <f>INDEX('[7]PLANILLA ALEJANDRO'!L31:AT74,1,6)</f>
        <v>OK</v>
      </c>
      <c r="T31" s="97" t="str">
        <f>INDEX('[7]PLANILLA ALEJANDRO'!M31:AU74,1,6)</f>
        <v>OK</v>
      </c>
      <c r="U31" s="97" t="str">
        <f>INDEX('[7]PLANILLA ALEJANDRO'!N31:AV74,1,6)</f>
        <v>OK</v>
      </c>
      <c r="V31" s="97" t="str">
        <f>INDEX('[7]PLANILLA ALEJANDRO'!O31:AW74,1,6)</f>
        <v>OK</v>
      </c>
      <c r="W31" s="97" t="str">
        <f>INDEX('[7]PLANILLA ALEJANDRO'!P31:AX74,1,6)</f>
        <v>OK</v>
      </c>
      <c r="X31" s="97" t="str">
        <f>INDEX('[7]PLANILLA ALEJANDRO'!Q31:AY74,1,6)</f>
        <v>OK</v>
      </c>
      <c r="Y31" s="97" t="str">
        <f>INDEX('[7]PLANILLA ALEJANDRO'!R31:AZ74,1,6)</f>
        <v>OK</v>
      </c>
      <c r="Z31" s="97" t="str">
        <f>INDEX('[7]PLANILLA ALEJANDRO'!S31:BA74,1,6)</f>
        <v>OK</v>
      </c>
      <c r="AA31" s="97" t="str">
        <f>INDEX('[7]PLANILLA ALEJANDRO'!T31:BB74,1,6)</f>
        <v>OK</v>
      </c>
      <c r="AB31" s="97" t="str">
        <f>INDEX('[7]PLANILLA ALEJANDRO'!U31:BC74,1,6)</f>
        <v>OK</v>
      </c>
      <c r="AC31" s="97" t="str">
        <f>INDEX('[7]PLANILLA ALEJANDRO'!V31:BD74,1,6)</f>
        <v>OK</v>
      </c>
      <c r="AD31" s="97" t="str">
        <f>INDEX('[7]PLANILLA ALEJANDRO'!W31:BE74,1,6)</f>
        <v>OK</v>
      </c>
      <c r="AE31" s="97" t="str">
        <f>INDEX('[7]PLANILLA ALEJANDRO'!X31:BF74,1,6)</f>
        <v>OK</v>
      </c>
      <c r="AF31" s="97">
        <f>INDEX('[7]PLANILLA ALEJANDRO'!Y31:BG74,1,6)</f>
        <v>0</v>
      </c>
      <c r="AG31" s="97">
        <f>INDEX('[7]PLANILLA ALEJANDRO'!Z31:BH74,1,6)</f>
        <v>0</v>
      </c>
      <c r="AH31" s="97">
        <f>INDEX('[7]PLANILLA ALEJANDRO'!AA31:BI74,1,6)</f>
        <v>0</v>
      </c>
      <c r="AI31" s="97">
        <f>INDEX('[7]PLANILLA ALEJANDRO'!AB31:BJ74,1,6)</f>
        <v>0</v>
      </c>
      <c r="AJ31" s="97">
        <f>INDEX('[7]PLANILLA ALEJANDRO'!AC31:BK74,1,6)</f>
        <v>0</v>
      </c>
      <c r="AK31" s="97">
        <f>INDEX('[7]PLANILLA ALEJANDRO'!AD31:BL74,1,6)</f>
        <v>0</v>
      </c>
      <c r="AL31" s="97">
        <f>INDEX('[7]PLANILLA ALEJANDRO'!AE31:BM74,1,6)</f>
        <v>0</v>
      </c>
      <c r="AM31" s="97">
        <f>INDEX('[7]PLANILLA ALEJANDRO'!AF31:BN74,1,6)</f>
        <v>0</v>
      </c>
      <c r="AO31" s="116">
        <f t="shared" si="5"/>
        <v>0</v>
      </c>
      <c r="AP31" s="116">
        <f t="shared" si="5"/>
        <v>0</v>
      </c>
      <c r="AQ31" s="116">
        <f t="shared" si="5"/>
        <v>0</v>
      </c>
      <c r="AR31" s="116">
        <f t="shared" si="5"/>
        <v>0</v>
      </c>
      <c r="AS31" s="116">
        <f t="shared" si="5"/>
        <v>0</v>
      </c>
      <c r="AT31" s="116">
        <f t="shared" si="5"/>
        <v>0</v>
      </c>
      <c r="AU31" s="116">
        <f t="shared" si="5"/>
        <v>0</v>
      </c>
      <c r="AV31" s="116">
        <f t="shared" si="5"/>
        <v>0</v>
      </c>
      <c r="AW31" s="116">
        <f t="shared" si="5"/>
        <v>0</v>
      </c>
      <c r="AX31" s="116">
        <f t="shared" si="5"/>
        <v>0</v>
      </c>
      <c r="AY31" s="116">
        <f t="shared" si="5"/>
        <v>0</v>
      </c>
      <c r="AZ31" s="116">
        <f t="shared" si="5"/>
        <v>0</v>
      </c>
      <c r="BA31" s="116">
        <f t="shared" si="5"/>
        <v>22</v>
      </c>
      <c r="BB31" s="117">
        <f t="shared" si="4"/>
        <v>22</v>
      </c>
    </row>
    <row r="32" spans="2:54" ht="18.600000000000001" customHeight="1">
      <c r="B32" s="112">
        <v>24</v>
      </c>
      <c r="C32" s="113">
        <f>+'[7]PLANILLA ALEJANDRO'!C32</f>
        <v>1024500166</v>
      </c>
      <c r="D32" s="114" t="str">
        <f>IFERROR(VLOOKUP($C32,'[7]PLANILLA ALEJANDRO'!$C$9:$F$57,2,0),"NO BD")</f>
        <v xml:space="preserve">BOTIA AVILA MARIA CONSUELO </v>
      </c>
      <c r="E32" s="115" t="s">
        <v>582</v>
      </c>
      <c r="F32" s="114" t="str">
        <f>IFERROR(VLOOKUP($C32,[7]BD!$B$3:$O$213,3,0),"")</f>
        <v>OPERARIA DE ASEO Y CAFETERIA</v>
      </c>
      <c r="G32" s="77" t="s">
        <v>478</v>
      </c>
      <c r="H32" s="114" t="str">
        <f>IFERROR(VLOOKUP($C32,[7]BD!$B$3:$O$203,14,0),"")</f>
        <v>3197541624</v>
      </c>
      <c r="I32" s="114" t="str">
        <f>IFERROR(VLOOKUP($C32,[7]BD!$B$3:$O$203,4,0),"")</f>
        <v>18/10/2025</v>
      </c>
      <c r="J32" s="97" t="str">
        <f>INDEX('[7]PLANILLA ALEJANDRO'!C32:AK75,1,6)</f>
        <v>OK</v>
      </c>
      <c r="K32" s="97" t="str">
        <f>INDEX('[7]PLANILLA ALEJANDRO'!D32:AL75,1,6)</f>
        <v>OK</v>
      </c>
      <c r="L32" s="97" t="str">
        <f>INDEX('[7]PLANILLA ALEJANDRO'!E32:AM75,1,6)</f>
        <v>OK</v>
      </c>
      <c r="M32" s="97" t="str">
        <f>INDEX('[7]PLANILLA ALEJANDRO'!F32:AN75,1,6)</f>
        <v>OK</v>
      </c>
      <c r="N32" s="97" t="str">
        <f>INDEX('[7]PLANILLA ALEJANDRO'!G32:AO75,1,6)</f>
        <v>OK</v>
      </c>
      <c r="O32" s="97" t="str">
        <f>INDEX('[7]PLANILLA ALEJANDRO'!H32:AP75,1,6)</f>
        <v>OK</v>
      </c>
      <c r="P32" s="97" t="str">
        <f>INDEX('[7]PLANILLA ALEJANDRO'!I32:AQ75,1,6)</f>
        <v>OK</v>
      </c>
      <c r="Q32" s="97" t="str">
        <f>INDEX('[7]PLANILLA ALEJANDRO'!J32:AR75,1,6)</f>
        <v>OK</v>
      </c>
      <c r="R32" s="97" t="str">
        <f>INDEX('[7]PLANILLA ALEJANDRO'!K32:AS75,1,6)</f>
        <v>OK</v>
      </c>
      <c r="S32" s="97" t="str">
        <f>INDEX('[7]PLANILLA ALEJANDRO'!L32:AT75,1,6)</f>
        <v>OK</v>
      </c>
      <c r="T32" s="97" t="str">
        <f>INDEX('[7]PLANILLA ALEJANDRO'!M32:AU75,1,6)</f>
        <v>OK</v>
      </c>
      <c r="U32" s="97" t="str">
        <f>INDEX('[7]PLANILLA ALEJANDRO'!N32:AV75,1,6)</f>
        <v>OK</v>
      </c>
      <c r="V32" s="97" t="str">
        <f>INDEX('[7]PLANILLA ALEJANDRO'!O32:AW75,1,6)</f>
        <v>OK</v>
      </c>
      <c r="W32" s="97" t="str">
        <f>INDEX('[7]PLANILLA ALEJANDRO'!P32:AX75,1,6)</f>
        <v>OK</v>
      </c>
      <c r="X32" s="97" t="str">
        <f>INDEX('[7]PLANILLA ALEJANDRO'!Q32:AY75,1,6)</f>
        <v>OK</v>
      </c>
      <c r="Y32" s="97" t="str">
        <f>INDEX('[7]PLANILLA ALEJANDRO'!R32:AZ75,1,6)</f>
        <v>OK</v>
      </c>
      <c r="Z32" s="97" t="str">
        <f>INDEX('[7]PLANILLA ALEJANDRO'!S32:BA75,1,6)</f>
        <v>OK</v>
      </c>
      <c r="AA32" s="97" t="str">
        <f>INDEX('[7]PLANILLA ALEJANDRO'!T32:BB75,1,6)</f>
        <v>OK</v>
      </c>
      <c r="AB32" s="97" t="str">
        <f>INDEX('[7]PLANILLA ALEJANDRO'!U32:BC75,1,6)</f>
        <v>OK</v>
      </c>
      <c r="AC32" s="97" t="str">
        <f>INDEX('[7]PLANILLA ALEJANDRO'!V32:BD75,1,6)</f>
        <v>OK</v>
      </c>
      <c r="AD32" s="97" t="str">
        <f>INDEX('[7]PLANILLA ALEJANDRO'!W32:BE75,1,6)</f>
        <v>OK</v>
      </c>
      <c r="AE32" s="97" t="str">
        <f>INDEX('[7]PLANILLA ALEJANDRO'!X32:BF75,1,6)</f>
        <v>OK</v>
      </c>
      <c r="AF32" s="97">
        <f>INDEX('[7]PLANILLA ALEJANDRO'!Y32:BG75,1,6)</f>
        <v>0</v>
      </c>
      <c r="AG32" s="97">
        <f>INDEX('[7]PLANILLA ALEJANDRO'!Z32:BH75,1,6)</f>
        <v>0</v>
      </c>
      <c r="AH32" s="97">
        <f>INDEX('[7]PLANILLA ALEJANDRO'!AA32:BI75,1,6)</f>
        <v>0</v>
      </c>
      <c r="AI32" s="97">
        <f>INDEX('[7]PLANILLA ALEJANDRO'!AB32:BJ75,1,6)</f>
        <v>0</v>
      </c>
      <c r="AJ32" s="97">
        <f>INDEX('[7]PLANILLA ALEJANDRO'!AC32:BK75,1,6)</f>
        <v>0</v>
      </c>
      <c r="AK32" s="97">
        <f>INDEX('[7]PLANILLA ALEJANDRO'!AD32:BL75,1,6)</f>
        <v>0</v>
      </c>
      <c r="AL32" s="97">
        <f>INDEX('[7]PLANILLA ALEJANDRO'!AE32:BM75,1,6)</f>
        <v>0</v>
      </c>
      <c r="AM32" s="97">
        <f>INDEX('[7]PLANILLA ALEJANDRO'!AF32:BN75,1,6)</f>
        <v>0</v>
      </c>
      <c r="AO32" s="116">
        <f t="shared" si="5"/>
        <v>0</v>
      </c>
      <c r="AP32" s="116">
        <f t="shared" si="5"/>
        <v>0</v>
      </c>
      <c r="AQ32" s="116">
        <f t="shared" si="5"/>
        <v>0</v>
      </c>
      <c r="AR32" s="116">
        <f t="shared" si="5"/>
        <v>0</v>
      </c>
      <c r="AS32" s="116">
        <f t="shared" si="5"/>
        <v>0</v>
      </c>
      <c r="AT32" s="116">
        <f t="shared" si="5"/>
        <v>0</v>
      </c>
      <c r="AU32" s="116">
        <f t="shared" si="5"/>
        <v>0</v>
      </c>
      <c r="AV32" s="116">
        <f t="shared" si="5"/>
        <v>0</v>
      </c>
      <c r="AW32" s="116">
        <f t="shared" si="5"/>
        <v>0</v>
      </c>
      <c r="AX32" s="116">
        <f t="shared" si="5"/>
        <v>0</v>
      </c>
      <c r="AY32" s="116">
        <f t="shared" si="5"/>
        <v>0</v>
      </c>
      <c r="AZ32" s="116">
        <f t="shared" si="5"/>
        <v>0</v>
      </c>
      <c r="BA32" s="116">
        <f t="shared" si="5"/>
        <v>22</v>
      </c>
      <c r="BB32" s="117">
        <f t="shared" si="4"/>
        <v>22</v>
      </c>
    </row>
    <row r="33" spans="1:54" ht="18.600000000000001" customHeight="1">
      <c r="B33" s="112">
        <v>25</v>
      </c>
      <c r="C33" s="113">
        <f>+'[7]PLANILLA ALEJANDRO'!C33</f>
        <v>1032438600</v>
      </c>
      <c r="D33" s="114" t="str">
        <f>IFERROR(VLOOKUP($C33,'[7]PLANILLA ALEJANDRO'!$C$9:$F$57,2,0),"NO BD")</f>
        <v xml:space="preserve">PATINO MONTANO ZULY MARCELA </v>
      </c>
      <c r="E33" s="115" t="s">
        <v>582</v>
      </c>
      <c r="F33" s="114" t="str">
        <f>IFERROR(VLOOKUP($C33,[7]BD!$B$3:$O$213,3,0),"")</f>
        <v>OPERARIA DE ASEO Y CAFETERIA</v>
      </c>
      <c r="G33" s="77" t="s">
        <v>478</v>
      </c>
      <c r="H33" s="114" t="str">
        <f>IFERROR(VLOOKUP($C33,[7]BD!$B$3:$O$203,14,0),"")</f>
        <v>3004963232</v>
      </c>
      <c r="I33" s="114" t="str">
        <f>IFERROR(VLOOKUP($C33,[7]BD!$B$3:$O$203,4,0),"")</f>
        <v>06/01/2026</v>
      </c>
      <c r="J33" s="97" t="str">
        <f>INDEX('[7]PLANILLA ALEJANDRO'!C33:AK76,1,6)</f>
        <v>OK</v>
      </c>
      <c r="K33" s="97" t="str">
        <f>INDEX('[7]PLANILLA ALEJANDRO'!D33:AL76,1,6)</f>
        <v>OK</v>
      </c>
      <c r="L33" s="97" t="str">
        <f>INDEX('[7]PLANILLA ALEJANDRO'!E33:AM76,1,6)</f>
        <v>OK</v>
      </c>
      <c r="M33" s="97" t="str">
        <f>INDEX('[7]PLANILLA ALEJANDRO'!F33:AN76,1,6)</f>
        <v>OK</v>
      </c>
      <c r="N33" s="97" t="str">
        <f>INDEX('[7]PLANILLA ALEJANDRO'!G33:AO76,1,6)</f>
        <v>OK</v>
      </c>
      <c r="O33" s="97" t="str">
        <f>INDEX('[7]PLANILLA ALEJANDRO'!H33:AP76,1,6)</f>
        <v>OK</v>
      </c>
      <c r="P33" s="97" t="str">
        <f>INDEX('[7]PLANILLA ALEJANDRO'!I33:AQ76,1,6)</f>
        <v>OK</v>
      </c>
      <c r="Q33" s="97" t="str">
        <f>INDEX('[7]PLANILLA ALEJANDRO'!J33:AR76,1,6)</f>
        <v>OK</v>
      </c>
      <c r="R33" s="97" t="str">
        <f>INDEX('[7]PLANILLA ALEJANDRO'!K33:AS76,1,6)</f>
        <v>OK</v>
      </c>
      <c r="S33" s="97" t="str">
        <f>INDEX('[7]PLANILLA ALEJANDRO'!L33:AT76,1,6)</f>
        <v>OK</v>
      </c>
      <c r="T33" s="97" t="str">
        <f>INDEX('[7]PLANILLA ALEJANDRO'!M33:AU76,1,6)</f>
        <v>OK</v>
      </c>
      <c r="U33" s="97" t="str">
        <f>INDEX('[7]PLANILLA ALEJANDRO'!N33:AV76,1,6)</f>
        <v>OK</v>
      </c>
      <c r="V33" s="97" t="str">
        <f>INDEX('[7]PLANILLA ALEJANDRO'!O33:AW76,1,6)</f>
        <v>OK</v>
      </c>
      <c r="W33" s="97" t="str">
        <f>INDEX('[7]PLANILLA ALEJANDRO'!P33:AX76,1,6)</f>
        <v>OK</v>
      </c>
      <c r="X33" s="97" t="str">
        <f>INDEX('[7]PLANILLA ALEJANDRO'!Q33:AY76,1,6)</f>
        <v>OK</v>
      </c>
      <c r="Y33" s="97" t="str">
        <f>INDEX('[7]PLANILLA ALEJANDRO'!R33:AZ76,1,6)</f>
        <v>OK</v>
      </c>
      <c r="Z33" s="97" t="str">
        <f>INDEX('[7]PLANILLA ALEJANDRO'!S33:BA76,1,6)</f>
        <v>OK</v>
      </c>
      <c r="AA33" s="97" t="str">
        <f>INDEX('[7]PLANILLA ALEJANDRO'!T33:BB76,1,6)</f>
        <v>OK</v>
      </c>
      <c r="AB33" s="97" t="str">
        <f>INDEX('[7]PLANILLA ALEJANDRO'!U33:BC76,1,6)</f>
        <v>OK</v>
      </c>
      <c r="AC33" s="97" t="str">
        <f>INDEX('[7]PLANILLA ALEJANDRO'!V33:BD76,1,6)</f>
        <v>OK</v>
      </c>
      <c r="AD33" s="97" t="str">
        <f>INDEX('[7]PLANILLA ALEJANDRO'!W33:BE76,1,6)</f>
        <v>OK</v>
      </c>
      <c r="AE33" s="97" t="str">
        <f>INDEX('[7]PLANILLA ALEJANDRO'!X33:BF76,1,6)</f>
        <v>OK</v>
      </c>
      <c r="AF33" s="97">
        <f>INDEX('[7]PLANILLA ALEJANDRO'!Y33:BG76,1,6)</f>
        <v>0</v>
      </c>
      <c r="AG33" s="97">
        <f>INDEX('[7]PLANILLA ALEJANDRO'!Z33:BH76,1,6)</f>
        <v>0</v>
      </c>
      <c r="AH33" s="97">
        <f>INDEX('[7]PLANILLA ALEJANDRO'!AA33:BI76,1,6)</f>
        <v>0</v>
      </c>
      <c r="AI33" s="97">
        <f>INDEX('[7]PLANILLA ALEJANDRO'!AB33:BJ76,1,6)</f>
        <v>0</v>
      </c>
      <c r="AJ33" s="97">
        <f>INDEX('[7]PLANILLA ALEJANDRO'!AC33:BK76,1,6)</f>
        <v>0</v>
      </c>
      <c r="AK33" s="97">
        <f>INDEX('[7]PLANILLA ALEJANDRO'!AD33:BL76,1,6)</f>
        <v>0</v>
      </c>
      <c r="AL33" s="97">
        <f>INDEX('[7]PLANILLA ALEJANDRO'!AE33:BM76,1,6)</f>
        <v>0</v>
      </c>
      <c r="AM33" s="97">
        <f>INDEX('[7]PLANILLA ALEJANDRO'!AF33:BN76,1,6)</f>
        <v>0</v>
      </c>
      <c r="AO33" s="116">
        <f t="shared" si="5"/>
        <v>0</v>
      </c>
      <c r="AP33" s="116">
        <f t="shared" si="5"/>
        <v>0</v>
      </c>
      <c r="AQ33" s="116">
        <f t="shared" si="5"/>
        <v>0</v>
      </c>
      <c r="AR33" s="116">
        <f t="shared" si="5"/>
        <v>0</v>
      </c>
      <c r="AS33" s="116">
        <f t="shared" si="5"/>
        <v>0</v>
      </c>
      <c r="AT33" s="116">
        <f t="shared" si="5"/>
        <v>0</v>
      </c>
      <c r="AU33" s="116">
        <f t="shared" si="5"/>
        <v>0</v>
      </c>
      <c r="AV33" s="116">
        <f t="shared" si="5"/>
        <v>0</v>
      </c>
      <c r="AW33" s="116">
        <f t="shared" si="5"/>
        <v>0</v>
      </c>
      <c r="AX33" s="116">
        <f t="shared" si="5"/>
        <v>0</v>
      </c>
      <c r="AY33" s="116">
        <f t="shared" si="5"/>
        <v>0</v>
      </c>
      <c r="AZ33" s="116">
        <f t="shared" si="5"/>
        <v>0</v>
      </c>
      <c r="BA33" s="116">
        <f t="shared" si="5"/>
        <v>22</v>
      </c>
      <c r="BB33" s="117">
        <f t="shared" si="4"/>
        <v>22</v>
      </c>
    </row>
    <row r="34" spans="1:54" ht="18.600000000000001" customHeight="1">
      <c r="B34" s="112">
        <v>26</v>
      </c>
      <c r="C34" s="113">
        <f>+'[7]PLANILLA ALEJANDRO'!C34</f>
        <v>52309477</v>
      </c>
      <c r="D34" s="114" t="str">
        <f>IFERROR(VLOOKUP($C34,'[7]PLANILLA ALEJANDRO'!$C$9:$F$57,2,0),"NO BD")</f>
        <v xml:space="preserve">PINEDA MOYA MARIA VIRGINIA </v>
      </c>
      <c r="E34" s="115" t="s">
        <v>582</v>
      </c>
      <c r="F34" s="114" t="str">
        <f>IFERROR(VLOOKUP($C34,[7]BD!$B$3:$O$213,3,0),"")</f>
        <v>OPERARIA DE ASEO Y CAFETERIA</v>
      </c>
      <c r="G34" s="77" t="s">
        <v>478</v>
      </c>
      <c r="H34" s="114" t="str">
        <f>IFERROR(VLOOKUP($C34,[7]BD!$B$3:$O$203,14,0),"")</f>
        <v>3208707869</v>
      </c>
      <c r="I34" s="114" t="str">
        <f>IFERROR(VLOOKUP($C34,[7]BD!$B$3:$O$203,4,0),"")</f>
        <v>21/10/2025</v>
      </c>
      <c r="J34" s="97" t="str">
        <f>INDEX('[7]PLANILLA ALEJANDRO'!C34:AK77,1,6)</f>
        <v>OK</v>
      </c>
      <c r="K34" s="97" t="str">
        <f>INDEX('[7]PLANILLA ALEJANDRO'!D34:AL77,1,6)</f>
        <v>OK</v>
      </c>
      <c r="L34" s="97" t="str">
        <f>INDEX('[7]PLANILLA ALEJANDRO'!E34:AM77,1,6)</f>
        <v>OK</v>
      </c>
      <c r="M34" s="97" t="str">
        <f>INDEX('[7]PLANILLA ALEJANDRO'!F34:AN77,1,6)</f>
        <v>OK</v>
      </c>
      <c r="N34" s="97" t="str">
        <f>INDEX('[7]PLANILLA ALEJANDRO'!G34:AO77,1,6)</f>
        <v>OK</v>
      </c>
      <c r="O34" s="97" t="str">
        <f>INDEX('[7]PLANILLA ALEJANDRO'!H34:AP77,1,6)</f>
        <v>OK</v>
      </c>
      <c r="P34" s="97" t="str">
        <f>INDEX('[7]PLANILLA ALEJANDRO'!I34:AQ77,1,6)</f>
        <v>OK</v>
      </c>
      <c r="Q34" s="97" t="str">
        <f>INDEX('[7]PLANILLA ALEJANDRO'!J34:AR77,1,6)</f>
        <v>OK</v>
      </c>
      <c r="R34" s="97" t="str">
        <f>INDEX('[7]PLANILLA ALEJANDRO'!K34:AS77,1,6)</f>
        <v>OK</v>
      </c>
      <c r="S34" s="97" t="str">
        <f>INDEX('[7]PLANILLA ALEJANDRO'!L34:AT77,1,6)</f>
        <v>OK</v>
      </c>
      <c r="T34" s="97" t="str">
        <f>INDEX('[7]PLANILLA ALEJANDRO'!M34:AU77,1,6)</f>
        <v>OK</v>
      </c>
      <c r="U34" s="97" t="str">
        <f>INDEX('[7]PLANILLA ALEJANDRO'!N34:AV77,1,6)</f>
        <v>OK</v>
      </c>
      <c r="V34" s="97" t="str">
        <f>INDEX('[7]PLANILLA ALEJANDRO'!O34:AW77,1,6)</f>
        <v>OK</v>
      </c>
      <c r="W34" s="97" t="str">
        <f>INDEX('[7]PLANILLA ALEJANDRO'!P34:AX77,1,6)</f>
        <v>OK</v>
      </c>
      <c r="X34" s="97" t="str">
        <f>INDEX('[7]PLANILLA ALEJANDRO'!Q34:AY77,1,6)</f>
        <v>OK</v>
      </c>
      <c r="Y34" s="97" t="str">
        <f>INDEX('[7]PLANILLA ALEJANDRO'!R34:AZ77,1,6)</f>
        <v>OK</v>
      </c>
      <c r="Z34" s="97" t="str">
        <f>INDEX('[7]PLANILLA ALEJANDRO'!S34:BA77,1,6)</f>
        <v>OK</v>
      </c>
      <c r="AA34" s="97" t="str">
        <f>INDEX('[7]PLANILLA ALEJANDRO'!T34:BB77,1,6)</f>
        <v>OK</v>
      </c>
      <c r="AB34" s="97" t="str">
        <f>INDEX('[7]PLANILLA ALEJANDRO'!U34:BC77,1,6)</f>
        <v>OK</v>
      </c>
      <c r="AC34" s="97" t="str">
        <f>INDEX('[7]PLANILLA ALEJANDRO'!V34:BD77,1,6)</f>
        <v>OK</v>
      </c>
      <c r="AD34" s="97" t="str">
        <f>INDEX('[7]PLANILLA ALEJANDRO'!W34:BE77,1,6)</f>
        <v>OK</v>
      </c>
      <c r="AE34" s="97" t="str">
        <f>INDEX('[7]PLANILLA ALEJANDRO'!X34:BF77,1,6)</f>
        <v>OK</v>
      </c>
      <c r="AF34" s="97">
        <f>INDEX('[7]PLANILLA ALEJANDRO'!Y34:BG77,1,6)</f>
        <v>0</v>
      </c>
      <c r="AG34" s="97">
        <f>INDEX('[7]PLANILLA ALEJANDRO'!Z34:BH77,1,6)</f>
        <v>0</v>
      </c>
      <c r="AH34" s="97">
        <f>INDEX('[7]PLANILLA ALEJANDRO'!AA34:BI77,1,6)</f>
        <v>0</v>
      </c>
      <c r="AI34" s="97">
        <f>INDEX('[7]PLANILLA ALEJANDRO'!AB34:BJ77,1,6)</f>
        <v>0</v>
      </c>
      <c r="AJ34" s="97">
        <f>INDEX('[7]PLANILLA ALEJANDRO'!AC34:BK77,1,6)</f>
        <v>0</v>
      </c>
      <c r="AK34" s="97">
        <f>INDEX('[7]PLANILLA ALEJANDRO'!AD34:BL77,1,6)</f>
        <v>0</v>
      </c>
      <c r="AL34" s="97">
        <f>INDEX('[7]PLANILLA ALEJANDRO'!AE34:BM77,1,6)</f>
        <v>0</v>
      </c>
      <c r="AM34" s="97">
        <f>INDEX('[7]PLANILLA ALEJANDRO'!AF34:BN77,1,6)</f>
        <v>0</v>
      </c>
      <c r="AO34" s="116">
        <f t="shared" si="5"/>
        <v>0</v>
      </c>
      <c r="AP34" s="116">
        <f t="shared" si="5"/>
        <v>0</v>
      </c>
      <c r="AQ34" s="116">
        <f t="shared" si="5"/>
        <v>0</v>
      </c>
      <c r="AR34" s="116">
        <f t="shared" si="5"/>
        <v>0</v>
      </c>
      <c r="AS34" s="116">
        <f t="shared" si="5"/>
        <v>0</v>
      </c>
      <c r="AT34" s="116">
        <f t="shared" si="5"/>
        <v>0</v>
      </c>
      <c r="AU34" s="116">
        <f t="shared" si="5"/>
        <v>0</v>
      </c>
      <c r="AV34" s="116">
        <f t="shared" si="5"/>
        <v>0</v>
      </c>
      <c r="AW34" s="116">
        <f t="shared" si="5"/>
        <v>0</v>
      </c>
      <c r="AX34" s="116">
        <f t="shared" si="5"/>
        <v>0</v>
      </c>
      <c r="AY34" s="116">
        <f t="shared" si="5"/>
        <v>0</v>
      </c>
      <c r="AZ34" s="116">
        <f t="shared" si="5"/>
        <v>0</v>
      </c>
      <c r="BA34" s="116">
        <f t="shared" si="5"/>
        <v>22</v>
      </c>
      <c r="BB34" s="117">
        <f t="shared" si="4"/>
        <v>22</v>
      </c>
    </row>
    <row r="35" spans="1:54" ht="18.600000000000001" customHeight="1">
      <c r="B35" s="112">
        <v>27</v>
      </c>
      <c r="C35" s="113">
        <f>+'[7]PLANILLA ALEJANDRO'!C35</f>
        <v>52064334</v>
      </c>
      <c r="D35" s="114" t="str">
        <f>IFERROR(VLOOKUP($C35,'[7]PLANILLA ALEJANDRO'!$C$9:$F$57,2,0),"NO BD")</f>
        <v xml:space="preserve">BELTRAN BELTRAN OLGA PATRICIA </v>
      </c>
      <c r="E35" s="115" t="s">
        <v>582</v>
      </c>
      <c r="F35" s="114" t="str">
        <f>IFERROR(VLOOKUP($C35,[7]BD!$B$3:$O$213,3,0),"")</f>
        <v>OPERARIA DE ASEO Y CAFETERIA</v>
      </c>
      <c r="G35" s="77" t="s">
        <v>478</v>
      </c>
      <c r="H35" s="114" t="str">
        <f>IFERROR(VLOOKUP($C35,[7]BD!$B$3:$O$203,14,0),"")</f>
        <v>3162337947</v>
      </c>
      <c r="I35" s="114" t="str">
        <f>IFERROR(VLOOKUP($C35,[7]BD!$B$3:$O$203,4,0),"")</f>
        <v>18/10/2025</v>
      </c>
      <c r="J35" s="97" t="str">
        <f>INDEX('[7]PLANILLA ALEJANDRO'!C35:AK78,1,6)</f>
        <v>OK</v>
      </c>
      <c r="K35" s="97" t="str">
        <f>INDEX('[7]PLANILLA ALEJANDRO'!D35:AL78,1,6)</f>
        <v>OK</v>
      </c>
      <c r="L35" s="97" t="str">
        <f>INDEX('[7]PLANILLA ALEJANDRO'!E35:AM78,1,6)</f>
        <v>OK</v>
      </c>
      <c r="M35" s="97" t="str">
        <f>INDEX('[7]PLANILLA ALEJANDRO'!F35:AN78,1,6)</f>
        <v>OK</v>
      </c>
      <c r="N35" s="97" t="str">
        <f>INDEX('[7]PLANILLA ALEJANDRO'!G35:AO78,1,6)</f>
        <v>OK</v>
      </c>
      <c r="O35" s="97" t="str">
        <f>INDEX('[7]PLANILLA ALEJANDRO'!H35:AP78,1,6)</f>
        <v>OK</v>
      </c>
      <c r="P35" s="97" t="str">
        <f>INDEX('[7]PLANILLA ALEJANDRO'!I35:AQ78,1,6)</f>
        <v>OK</v>
      </c>
      <c r="Q35" s="97" t="str">
        <f>INDEX('[7]PLANILLA ALEJANDRO'!J35:AR78,1,6)</f>
        <v>OK</v>
      </c>
      <c r="R35" s="97" t="str">
        <f>INDEX('[7]PLANILLA ALEJANDRO'!K35:AS78,1,6)</f>
        <v>OK</v>
      </c>
      <c r="S35" s="97" t="str">
        <f>INDEX('[7]PLANILLA ALEJANDRO'!L35:AT78,1,6)</f>
        <v>OK</v>
      </c>
      <c r="T35" s="97" t="str">
        <f>INDEX('[7]PLANILLA ALEJANDRO'!M35:AU78,1,6)</f>
        <v>OK</v>
      </c>
      <c r="U35" s="97" t="str">
        <f>INDEX('[7]PLANILLA ALEJANDRO'!N35:AV78,1,6)</f>
        <v>OK</v>
      </c>
      <c r="V35" s="97" t="str">
        <f>INDEX('[7]PLANILLA ALEJANDRO'!O35:AW78,1,6)</f>
        <v>OK</v>
      </c>
      <c r="W35" s="97" t="str">
        <f>INDEX('[7]PLANILLA ALEJANDRO'!P35:AX78,1,6)</f>
        <v>OK</v>
      </c>
      <c r="X35" s="97" t="str">
        <f>INDEX('[7]PLANILLA ALEJANDRO'!Q35:AY78,1,6)</f>
        <v>OK</v>
      </c>
      <c r="Y35" s="97" t="str">
        <f>INDEX('[7]PLANILLA ALEJANDRO'!R35:AZ78,1,6)</f>
        <v>OK</v>
      </c>
      <c r="Z35" s="97" t="str">
        <f>INDEX('[7]PLANILLA ALEJANDRO'!S35:BA78,1,6)</f>
        <v>OK</v>
      </c>
      <c r="AA35" s="97" t="str">
        <f>INDEX('[7]PLANILLA ALEJANDRO'!T35:BB78,1,6)</f>
        <v>OK</v>
      </c>
      <c r="AB35" s="97" t="str">
        <f>INDEX('[7]PLANILLA ALEJANDRO'!U35:BC78,1,6)</f>
        <v>OK</v>
      </c>
      <c r="AC35" s="97" t="str">
        <f>INDEX('[7]PLANILLA ALEJANDRO'!V35:BD78,1,6)</f>
        <v>OK</v>
      </c>
      <c r="AD35" s="97" t="str">
        <f>INDEX('[7]PLANILLA ALEJANDRO'!W35:BE78,1,6)</f>
        <v>OK</v>
      </c>
      <c r="AE35" s="97" t="str">
        <f>INDEX('[7]PLANILLA ALEJANDRO'!X35:BF78,1,6)</f>
        <v>OK</v>
      </c>
      <c r="AF35" s="97">
        <f>INDEX('[7]PLANILLA ALEJANDRO'!Y35:BG78,1,6)</f>
        <v>0</v>
      </c>
      <c r="AG35" s="97">
        <f>INDEX('[7]PLANILLA ALEJANDRO'!Z35:BH78,1,6)</f>
        <v>0</v>
      </c>
      <c r="AH35" s="97">
        <f>INDEX('[7]PLANILLA ALEJANDRO'!AA35:BI78,1,6)</f>
        <v>0</v>
      </c>
      <c r="AI35" s="97">
        <f>INDEX('[7]PLANILLA ALEJANDRO'!AB35:BJ78,1,6)</f>
        <v>0</v>
      </c>
      <c r="AJ35" s="97">
        <f>INDEX('[7]PLANILLA ALEJANDRO'!AC35:BK78,1,6)</f>
        <v>0</v>
      </c>
      <c r="AK35" s="97">
        <f>INDEX('[7]PLANILLA ALEJANDRO'!AD35:BL78,1,6)</f>
        <v>0</v>
      </c>
      <c r="AL35" s="97">
        <f>INDEX('[7]PLANILLA ALEJANDRO'!AE35:BM78,1,6)</f>
        <v>0</v>
      </c>
      <c r="AM35" s="97">
        <f>INDEX('[7]PLANILLA ALEJANDRO'!AF35:BN78,1,6)</f>
        <v>0</v>
      </c>
      <c r="AO35" s="116">
        <f t="shared" si="5"/>
        <v>0</v>
      </c>
      <c r="AP35" s="116">
        <f t="shared" si="5"/>
        <v>0</v>
      </c>
      <c r="AQ35" s="116">
        <f t="shared" si="5"/>
        <v>0</v>
      </c>
      <c r="AR35" s="116">
        <f t="shared" si="5"/>
        <v>0</v>
      </c>
      <c r="AS35" s="116">
        <f t="shared" si="5"/>
        <v>0</v>
      </c>
      <c r="AT35" s="116">
        <f t="shared" si="5"/>
        <v>0</v>
      </c>
      <c r="AU35" s="116">
        <f t="shared" si="5"/>
        <v>0</v>
      </c>
      <c r="AV35" s="116">
        <f t="shared" si="5"/>
        <v>0</v>
      </c>
      <c r="AW35" s="116">
        <f t="shared" si="5"/>
        <v>0</v>
      </c>
      <c r="AX35" s="116">
        <f t="shared" si="5"/>
        <v>0</v>
      </c>
      <c r="AY35" s="116">
        <f t="shared" si="5"/>
        <v>0</v>
      </c>
      <c r="AZ35" s="116">
        <f t="shared" si="5"/>
        <v>0</v>
      </c>
      <c r="BA35" s="116">
        <f t="shared" si="5"/>
        <v>22</v>
      </c>
      <c r="BB35" s="117">
        <f t="shared" si="4"/>
        <v>22</v>
      </c>
    </row>
    <row r="36" spans="1:54" ht="18.600000000000001" customHeight="1">
      <c r="A36" s="118" t="s">
        <v>580</v>
      </c>
      <c r="B36" s="112">
        <v>28</v>
      </c>
      <c r="C36" s="113">
        <f>+'[7]PLANILLA ALEJANDRO'!C36</f>
        <v>52231175</v>
      </c>
      <c r="D36" s="114" t="str">
        <f>IFERROR(VLOOKUP($C36,'[7]PLANILLA ALEJANDRO'!$C$9:$F$57,2,0),"NO BD")</f>
        <v xml:space="preserve">ABDO CORTES YANNA ZORAYA </v>
      </c>
      <c r="E36" s="115" t="s">
        <v>582</v>
      </c>
      <c r="F36" s="114" t="str">
        <f>IFERROR(VLOOKUP($C36,[7]BD!$B$3:$O$213,3,0),"")</f>
        <v>OPERARIO DE ASEO Y CAFETERIA</v>
      </c>
      <c r="G36" s="77" t="s">
        <v>478</v>
      </c>
      <c r="H36" s="114" t="str">
        <f>IFERROR(VLOOKUP($C36,[7]BD!$B$3:$O$203,14,0),"")</f>
        <v>3136280582</v>
      </c>
      <c r="I36" s="114" t="str">
        <f>IFERROR(VLOOKUP($C36,[7]BD!$B$3:$O$203,4,0),"")</f>
        <v>15/12/2025</v>
      </c>
      <c r="J36" s="97" t="str">
        <f>INDEX('[7]PLANILLA ALEJANDRO'!C36:AK79,1,6)</f>
        <v>OK</v>
      </c>
      <c r="K36" s="97" t="str">
        <f>INDEX('[7]PLANILLA ALEJANDRO'!D36:AL79,1,6)</f>
        <v>OK</v>
      </c>
      <c r="L36" s="97" t="str">
        <f>INDEX('[7]PLANILLA ALEJANDRO'!E36:AM79,1,6)</f>
        <v>OK</v>
      </c>
      <c r="M36" s="97" t="str">
        <f>INDEX('[7]PLANILLA ALEJANDRO'!F36:AN79,1,6)</f>
        <v>OK</v>
      </c>
      <c r="N36" s="97" t="str">
        <f>INDEX('[7]PLANILLA ALEJANDRO'!G36:AO79,1,6)</f>
        <v>OK</v>
      </c>
      <c r="O36" s="97" t="str">
        <f>INDEX('[7]PLANILLA ALEJANDRO'!H36:AP79,1,6)</f>
        <v>OK</v>
      </c>
      <c r="P36" s="97" t="str">
        <f>INDEX('[7]PLANILLA ALEJANDRO'!I36:AQ79,1,6)</f>
        <v>OK</v>
      </c>
      <c r="Q36" s="97" t="str">
        <f>INDEX('[7]PLANILLA ALEJANDRO'!J36:AR79,1,6)</f>
        <v>OK</v>
      </c>
      <c r="R36" s="97" t="str">
        <f>INDEX('[7]PLANILLA ALEJANDRO'!K36:AS79,1,6)</f>
        <v>OK</v>
      </c>
      <c r="S36" s="97" t="str">
        <f>INDEX('[7]PLANILLA ALEJANDRO'!L36:AT79,1,6)</f>
        <v>OK</v>
      </c>
      <c r="T36" s="97" t="str">
        <f>INDEX('[7]PLANILLA ALEJANDRO'!M36:AU79,1,6)</f>
        <v>OK</v>
      </c>
      <c r="U36" s="97" t="str">
        <f>INDEX('[7]PLANILLA ALEJANDRO'!N36:AV79,1,6)</f>
        <v>OK</v>
      </c>
      <c r="V36" s="97" t="str">
        <f>INDEX('[7]PLANILLA ALEJANDRO'!O36:AW79,1,6)</f>
        <v>OK</v>
      </c>
      <c r="W36" s="97" t="str">
        <f>INDEX('[7]PLANILLA ALEJANDRO'!P36:AX79,1,6)</f>
        <v>OK</v>
      </c>
      <c r="X36" s="97" t="str">
        <f>INDEX('[7]PLANILLA ALEJANDRO'!Q36:AY79,1,6)</f>
        <v>OK</v>
      </c>
      <c r="Y36" s="97" t="str">
        <f>INDEX('[7]PLANILLA ALEJANDRO'!R36:AZ79,1,6)</f>
        <v>OK</v>
      </c>
      <c r="Z36" s="97" t="str">
        <f>INDEX('[7]PLANILLA ALEJANDRO'!S36:BA79,1,6)</f>
        <v>OK</v>
      </c>
      <c r="AA36" s="97" t="str">
        <f>INDEX('[7]PLANILLA ALEJANDRO'!T36:BB79,1,6)</f>
        <v>OK</v>
      </c>
      <c r="AB36" s="97" t="str">
        <f>INDEX('[7]PLANILLA ALEJANDRO'!U36:BC79,1,6)</f>
        <v>OK</v>
      </c>
      <c r="AC36" s="97" t="str">
        <f>INDEX('[7]PLANILLA ALEJANDRO'!V36:BD79,1,6)</f>
        <v>OK</v>
      </c>
      <c r="AD36" s="97" t="str">
        <f>INDEX('[7]PLANILLA ALEJANDRO'!W36:BE79,1,6)</f>
        <v>OK</v>
      </c>
      <c r="AE36" s="97" t="str">
        <f>INDEX('[7]PLANILLA ALEJANDRO'!X36:BF79,1,6)</f>
        <v>OK</v>
      </c>
      <c r="AF36" s="97">
        <f>INDEX('[7]PLANILLA ALEJANDRO'!Y36:BG79,1,6)</f>
        <v>0</v>
      </c>
      <c r="AG36" s="97">
        <f>INDEX('[7]PLANILLA ALEJANDRO'!Z36:BH79,1,6)</f>
        <v>0</v>
      </c>
      <c r="AH36" s="97">
        <f>INDEX('[7]PLANILLA ALEJANDRO'!AA36:BI79,1,6)</f>
        <v>0</v>
      </c>
      <c r="AI36" s="97">
        <f>INDEX('[7]PLANILLA ALEJANDRO'!AB36:BJ79,1,6)</f>
        <v>0</v>
      </c>
      <c r="AJ36" s="97">
        <f>INDEX('[7]PLANILLA ALEJANDRO'!AC36:BK79,1,6)</f>
        <v>0</v>
      </c>
      <c r="AK36" s="97">
        <f>INDEX('[7]PLANILLA ALEJANDRO'!AD36:BL79,1,6)</f>
        <v>0</v>
      </c>
      <c r="AL36" s="97">
        <f>INDEX('[7]PLANILLA ALEJANDRO'!AE36:BM79,1,6)</f>
        <v>0</v>
      </c>
      <c r="AM36" s="97">
        <f>INDEX('[7]PLANILLA ALEJANDRO'!AF36:BN79,1,6)</f>
        <v>0</v>
      </c>
      <c r="AO36" s="116">
        <f t="shared" si="5"/>
        <v>0</v>
      </c>
      <c r="AP36" s="116">
        <f t="shared" si="5"/>
        <v>0</v>
      </c>
      <c r="AQ36" s="116">
        <f t="shared" si="5"/>
        <v>0</v>
      </c>
      <c r="AR36" s="116">
        <f t="shared" si="5"/>
        <v>0</v>
      </c>
      <c r="AS36" s="116">
        <f t="shared" si="5"/>
        <v>0</v>
      </c>
      <c r="AT36" s="116">
        <f t="shared" si="5"/>
        <v>0</v>
      </c>
      <c r="AU36" s="116">
        <f t="shared" si="5"/>
        <v>0</v>
      </c>
      <c r="AV36" s="116">
        <f t="shared" si="5"/>
        <v>0</v>
      </c>
      <c r="AW36" s="116">
        <f t="shared" si="5"/>
        <v>0</v>
      </c>
      <c r="AX36" s="116">
        <f t="shared" si="5"/>
        <v>0</v>
      </c>
      <c r="AY36" s="116">
        <f t="shared" si="5"/>
        <v>0</v>
      </c>
      <c r="AZ36" s="116">
        <f t="shared" si="5"/>
        <v>0</v>
      </c>
      <c r="BA36" s="116">
        <f t="shared" si="5"/>
        <v>22</v>
      </c>
      <c r="BB36" s="117">
        <f t="shared" si="4"/>
        <v>22</v>
      </c>
    </row>
    <row r="37" spans="1:54" ht="18.600000000000001" customHeight="1">
      <c r="B37" s="112">
        <v>29</v>
      </c>
      <c r="C37" s="113">
        <f>+'[7]PLANILLA ALEJANDRO'!C37</f>
        <v>52886419</v>
      </c>
      <c r="D37" s="114" t="str">
        <f>IFERROR(VLOOKUP($C37,'[7]PLANILLA ALEJANDRO'!$C$9:$F$57,2,0),"NO BD")</f>
        <v xml:space="preserve">MONTEJO  LINA MARIA </v>
      </c>
      <c r="E37" s="115" t="s">
        <v>582</v>
      </c>
      <c r="F37" s="114" t="str">
        <f>IFERROR(VLOOKUP($C37,[7]BD!$B$3:$O$213,3,0),"")</f>
        <v>OPERARIA DE ASEO Y CAFETERIA</v>
      </c>
      <c r="G37" s="77" t="s">
        <v>478</v>
      </c>
      <c r="H37" s="114" t="str">
        <f>IFERROR(VLOOKUP($C37,[7]BD!$B$3:$O$203,14,0),"")</f>
        <v>3216148373</v>
      </c>
      <c r="I37" s="114" t="str">
        <f>IFERROR(VLOOKUP($C37,[7]BD!$B$3:$O$203,4,0),"")</f>
        <v>18/10/2025</v>
      </c>
      <c r="J37" s="97" t="str">
        <f>INDEX('[7]PLANILLA ALEJANDRO'!C37:AK80,1,6)</f>
        <v>OK</v>
      </c>
      <c r="K37" s="97" t="str">
        <f>INDEX('[7]PLANILLA ALEJANDRO'!D37:AL80,1,6)</f>
        <v>OK</v>
      </c>
      <c r="L37" s="97" t="str">
        <f>INDEX('[7]PLANILLA ALEJANDRO'!E37:AM80,1,6)</f>
        <v>OK</v>
      </c>
      <c r="M37" s="97" t="str">
        <f>INDEX('[7]PLANILLA ALEJANDRO'!F37:AN80,1,6)</f>
        <v>OK</v>
      </c>
      <c r="N37" s="97" t="str">
        <f>INDEX('[7]PLANILLA ALEJANDRO'!G37:AO80,1,6)</f>
        <v>OK</v>
      </c>
      <c r="O37" s="97" t="str">
        <f>INDEX('[7]PLANILLA ALEJANDRO'!H37:AP80,1,6)</f>
        <v>OK</v>
      </c>
      <c r="P37" s="97" t="str">
        <f>INDEX('[7]PLANILLA ALEJANDRO'!I37:AQ80,1,6)</f>
        <v>OK</v>
      </c>
      <c r="Q37" s="97" t="str">
        <f>INDEX('[7]PLANILLA ALEJANDRO'!J37:AR80,1,6)</f>
        <v>OK</v>
      </c>
      <c r="R37" s="97" t="str">
        <f>INDEX('[7]PLANILLA ALEJANDRO'!K37:AS80,1,6)</f>
        <v>OK</v>
      </c>
      <c r="S37" s="97" t="str">
        <f>INDEX('[7]PLANILLA ALEJANDRO'!L37:AT80,1,6)</f>
        <v>OK</v>
      </c>
      <c r="T37" s="97" t="str">
        <f>INDEX('[7]PLANILLA ALEJANDRO'!M37:AU80,1,6)</f>
        <v>OK</v>
      </c>
      <c r="U37" s="97" t="str">
        <f>INDEX('[7]PLANILLA ALEJANDRO'!N37:AV80,1,6)</f>
        <v>OK</v>
      </c>
      <c r="V37" s="97" t="str">
        <f>INDEX('[7]PLANILLA ALEJANDRO'!O37:AW80,1,6)</f>
        <v>OK</v>
      </c>
      <c r="W37" s="97" t="str">
        <f>INDEX('[7]PLANILLA ALEJANDRO'!P37:AX80,1,6)</f>
        <v>OK</v>
      </c>
      <c r="X37" s="97" t="str">
        <f>INDEX('[7]PLANILLA ALEJANDRO'!Q37:AY80,1,6)</f>
        <v>OK</v>
      </c>
      <c r="Y37" s="97" t="str">
        <f>INDEX('[7]PLANILLA ALEJANDRO'!R37:AZ80,1,6)</f>
        <v>OK</v>
      </c>
      <c r="Z37" s="97" t="str">
        <f>INDEX('[7]PLANILLA ALEJANDRO'!S37:BA80,1,6)</f>
        <v>OK</v>
      </c>
      <c r="AA37" s="97" t="str">
        <f>INDEX('[7]PLANILLA ALEJANDRO'!T37:BB80,1,6)</f>
        <v>OK</v>
      </c>
      <c r="AB37" s="97" t="str">
        <f>INDEX('[7]PLANILLA ALEJANDRO'!U37:BC80,1,6)</f>
        <v>OK</v>
      </c>
      <c r="AC37" s="97" t="str">
        <f>INDEX('[7]PLANILLA ALEJANDRO'!V37:BD80,1,6)</f>
        <v>OK</v>
      </c>
      <c r="AD37" s="97" t="str">
        <f>INDEX('[7]PLANILLA ALEJANDRO'!W37:BE80,1,6)</f>
        <v>OK</v>
      </c>
      <c r="AE37" s="97" t="str">
        <f>INDEX('[7]PLANILLA ALEJANDRO'!X37:BF80,1,6)</f>
        <v>OK</v>
      </c>
      <c r="AF37" s="97">
        <f>INDEX('[7]PLANILLA ALEJANDRO'!Y37:BG80,1,6)</f>
        <v>0</v>
      </c>
      <c r="AG37" s="97">
        <f>INDEX('[7]PLANILLA ALEJANDRO'!Z37:BH80,1,6)</f>
        <v>0</v>
      </c>
      <c r="AH37" s="97">
        <f>INDEX('[7]PLANILLA ALEJANDRO'!AA37:BI80,1,6)</f>
        <v>0</v>
      </c>
      <c r="AI37" s="97">
        <f>INDEX('[7]PLANILLA ALEJANDRO'!AB37:BJ80,1,6)</f>
        <v>0</v>
      </c>
      <c r="AJ37" s="97">
        <f>INDEX('[7]PLANILLA ALEJANDRO'!AC37:BK80,1,6)</f>
        <v>0</v>
      </c>
      <c r="AK37" s="97">
        <f>INDEX('[7]PLANILLA ALEJANDRO'!AD37:BL80,1,6)</f>
        <v>0</v>
      </c>
      <c r="AL37" s="97">
        <f>INDEX('[7]PLANILLA ALEJANDRO'!AE37:BM80,1,6)</f>
        <v>0</v>
      </c>
      <c r="AM37" s="97">
        <f>INDEX('[7]PLANILLA ALEJANDRO'!AF37:BN80,1,6)</f>
        <v>0</v>
      </c>
      <c r="AO37" s="116">
        <f t="shared" si="5"/>
        <v>0</v>
      </c>
      <c r="AP37" s="116">
        <f t="shared" si="5"/>
        <v>0</v>
      </c>
      <c r="AQ37" s="116">
        <f t="shared" si="5"/>
        <v>0</v>
      </c>
      <c r="AR37" s="116">
        <f t="shared" si="5"/>
        <v>0</v>
      </c>
      <c r="AS37" s="116">
        <f t="shared" si="5"/>
        <v>0</v>
      </c>
      <c r="AT37" s="116">
        <f t="shared" si="5"/>
        <v>0</v>
      </c>
      <c r="AU37" s="116">
        <f t="shared" si="5"/>
        <v>0</v>
      </c>
      <c r="AV37" s="116">
        <f t="shared" si="5"/>
        <v>0</v>
      </c>
      <c r="AW37" s="116">
        <f t="shared" si="5"/>
        <v>0</v>
      </c>
      <c r="AX37" s="116">
        <f t="shared" si="5"/>
        <v>0</v>
      </c>
      <c r="AY37" s="116">
        <f t="shared" si="5"/>
        <v>0</v>
      </c>
      <c r="AZ37" s="116">
        <f t="shared" si="5"/>
        <v>0</v>
      </c>
      <c r="BA37" s="116">
        <f t="shared" si="5"/>
        <v>22</v>
      </c>
      <c r="BB37" s="117">
        <f t="shared" si="4"/>
        <v>22</v>
      </c>
    </row>
    <row r="38" spans="1:54" ht="18.600000000000001" customHeight="1">
      <c r="B38" s="112">
        <v>30</v>
      </c>
      <c r="C38" s="113">
        <f>+'[7]PLANILLA ALEJANDRO'!C38</f>
        <v>79697226</v>
      </c>
      <c r="D38" s="114" t="str">
        <f>IFERROR(VLOOKUP($C38,'[7]PLANILLA ALEJANDRO'!$C$9:$F$57,2,0),"NO BD")</f>
        <v xml:space="preserve">RIOS FRANCO HECTOR ALONSO </v>
      </c>
      <c r="E38" s="115" t="s">
        <v>582</v>
      </c>
      <c r="F38" s="114" t="str">
        <f>IFERROR(VLOOKUP($C38,[7]BD!$B$3:$O$213,3,0),"")</f>
        <v>OPERARIO DE MANTENIMIENTO</v>
      </c>
      <c r="G38" s="77" t="s">
        <v>478</v>
      </c>
      <c r="H38" s="114" t="str">
        <f>IFERROR(VLOOKUP($C38,[7]BD!$B$3:$O$203,14,0),"")</f>
        <v>3162682712</v>
      </c>
      <c r="I38" s="114" t="str">
        <f>IFERROR(VLOOKUP($C38,[7]BD!$B$3:$O$203,4,0),"")</f>
        <v>10/12/2025</v>
      </c>
      <c r="J38" s="97" t="str">
        <f>INDEX('[7]PLANILLA ALEJANDRO'!C38:AK81,1,6)</f>
        <v>OK</v>
      </c>
      <c r="K38" s="97" t="str">
        <f>INDEX('[7]PLANILLA ALEJANDRO'!D38:AL81,1,6)</f>
        <v>OK</v>
      </c>
      <c r="L38" s="97" t="str">
        <f>INDEX('[7]PLANILLA ALEJANDRO'!E38:AM81,1,6)</f>
        <v>OK</v>
      </c>
      <c r="M38" s="97" t="str">
        <f>INDEX('[7]PLANILLA ALEJANDRO'!F38:AN81,1,6)</f>
        <v>OK</v>
      </c>
      <c r="N38" s="97" t="str">
        <f>INDEX('[7]PLANILLA ALEJANDRO'!G38:AO81,1,6)</f>
        <v>OK</v>
      </c>
      <c r="O38" s="97" t="str">
        <f>INDEX('[7]PLANILLA ALEJANDRO'!H38:AP81,1,6)</f>
        <v>OK</v>
      </c>
      <c r="P38" s="97" t="str">
        <f>INDEX('[7]PLANILLA ALEJANDRO'!I38:AQ81,1,6)</f>
        <v>OK</v>
      </c>
      <c r="Q38" s="97" t="str">
        <f>INDEX('[7]PLANILLA ALEJANDRO'!J38:AR81,1,6)</f>
        <v>OK</v>
      </c>
      <c r="R38" s="97" t="str">
        <f>INDEX('[7]PLANILLA ALEJANDRO'!K38:AS81,1,6)</f>
        <v>OK</v>
      </c>
      <c r="S38" s="97" t="str">
        <f>INDEX('[7]PLANILLA ALEJANDRO'!L38:AT81,1,6)</f>
        <v>OK</v>
      </c>
      <c r="T38" s="97" t="str">
        <f>INDEX('[7]PLANILLA ALEJANDRO'!M38:AU81,1,6)</f>
        <v>OK</v>
      </c>
      <c r="U38" s="97" t="str">
        <f>INDEX('[7]PLANILLA ALEJANDRO'!N38:AV81,1,6)</f>
        <v>OK</v>
      </c>
      <c r="V38" s="97" t="str">
        <f>INDEX('[7]PLANILLA ALEJANDRO'!O38:AW81,1,6)</f>
        <v>OK</v>
      </c>
      <c r="W38" s="97" t="str">
        <f>INDEX('[7]PLANILLA ALEJANDRO'!P38:AX81,1,6)</f>
        <v>OK</v>
      </c>
      <c r="X38" s="97" t="str">
        <f>INDEX('[7]PLANILLA ALEJANDRO'!Q38:AY81,1,6)</f>
        <v>OK</v>
      </c>
      <c r="Y38" s="97" t="str">
        <f>INDEX('[7]PLANILLA ALEJANDRO'!R38:AZ81,1,6)</f>
        <v>OK</v>
      </c>
      <c r="Z38" s="97" t="str">
        <f>INDEX('[7]PLANILLA ALEJANDRO'!S38:BA81,1,6)</f>
        <v>OK</v>
      </c>
      <c r="AA38" s="97" t="str">
        <f>INDEX('[7]PLANILLA ALEJANDRO'!T38:BB81,1,6)</f>
        <v>OK</v>
      </c>
      <c r="AB38" s="97" t="str">
        <f>INDEX('[7]PLANILLA ALEJANDRO'!U38:BC81,1,6)</f>
        <v>OK</v>
      </c>
      <c r="AC38" s="97" t="str">
        <f>INDEX('[7]PLANILLA ALEJANDRO'!V38:BD81,1,6)</f>
        <v>OK</v>
      </c>
      <c r="AD38" s="97" t="str">
        <f>INDEX('[7]PLANILLA ALEJANDRO'!W38:BE81,1,6)</f>
        <v>OK</v>
      </c>
      <c r="AE38" s="97" t="str">
        <f>INDEX('[7]PLANILLA ALEJANDRO'!X38:BF81,1,6)</f>
        <v>OK</v>
      </c>
      <c r="AF38" s="97">
        <f>INDEX('[7]PLANILLA ALEJANDRO'!Y38:BG81,1,6)</f>
        <v>0</v>
      </c>
      <c r="AG38" s="97">
        <f>INDEX('[7]PLANILLA ALEJANDRO'!Z38:BH81,1,6)</f>
        <v>0</v>
      </c>
      <c r="AH38" s="97">
        <f>INDEX('[7]PLANILLA ALEJANDRO'!AA38:BI81,1,6)</f>
        <v>0</v>
      </c>
      <c r="AI38" s="97">
        <f>INDEX('[7]PLANILLA ALEJANDRO'!AB38:BJ81,1,6)</f>
        <v>0</v>
      </c>
      <c r="AJ38" s="97">
        <f>INDEX('[7]PLANILLA ALEJANDRO'!AC38:BK81,1,6)</f>
        <v>0</v>
      </c>
      <c r="AK38" s="97">
        <f>INDEX('[7]PLANILLA ALEJANDRO'!AD38:BL81,1,6)</f>
        <v>0</v>
      </c>
      <c r="AL38" s="97">
        <f>INDEX('[7]PLANILLA ALEJANDRO'!AE38:BM81,1,6)</f>
        <v>0</v>
      </c>
      <c r="AM38" s="97">
        <f>INDEX('[7]PLANILLA ALEJANDRO'!AF38:BN81,1,6)</f>
        <v>0</v>
      </c>
      <c r="AO38" s="116">
        <f t="shared" si="5"/>
        <v>0</v>
      </c>
      <c r="AP38" s="116">
        <f t="shared" si="5"/>
        <v>0</v>
      </c>
      <c r="AQ38" s="116">
        <f t="shared" si="5"/>
        <v>0</v>
      </c>
      <c r="AR38" s="116">
        <f t="shared" si="5"/>
        <v>0</v>
      </c>
      <c r="AS38" s="116">
        <f t="shared" si="5"/>
        <v>0</v>
      </c>
      <c r="AT38" s="116">
        <f t="shared" si="5"/>
        <v>0</v>
      </c>
      <c r="AU38" s="116">
        <f t="shared" si="5"/>
        <v>0</v>
      </c>
      <c r="AV38" s="116">
        <f t="shared" si="5"/>
        <v>0</v>
      </c>
      <c r="AW38" s="116">
        <f t="shared" si="5"/>
        <v>0</v>
      </c>
      <c r="AX38" s="116">
        <f t="shared" si="5"/>
        <v>0</v>
      </c>
      <c r="AY38" s="116">
        <f t="shared" si="5"/>
        <v>0</v>
      </c>
      <c r="AZ38" s="116">
        <f t="shared" si="5"/>
        <v>0</v>
      </c>
      <c r="BA38" s="116">
        <f t="shared" si="5"/>
        <v>22</v>
      </c>
      <c r="BB38" s="117">
        <f t="shared" si="4"/>
        <v>22</v>
      </c>
    </row>
    <row r="39" spans="1:54" ht="18.600000000000001" customHeight="1">
      <c r="A39" s="119" t="s">
        <v>583</v>
      </c>
      <c r="B39" s="112">
        <v>31</v>
      </c>
      <c r="C39" s="113">
        <f>+'[7]PLANILLA ALEJANDRO'!C39</f>
        <v>1028860401</v>
      </c>
      <c r="D39" s="114" t="str">
        <f>IFERROR(VLOOKUP($C39,'[7]PLANILLA ALEJANDRO'!$C$9:$F$57,2,0),"NO BD")</f>
        <v xml:space="preserve">VEGA MANFULA YEYSON YOTSUA </v>
      </c>
      <c r="E39" s="115" t="s">
        <v>582</v>
      </c>
      <c r="F39" s="114" t="str">
        <f>IFERROR(VLOOKUP($C39,[7]BD!$B$3:$O$213,3,0),"")</f>
        <v>JARDINERO</v>
      </c>
      <c r="G39" s="77" t="s">
        <v>490</v>
      </c>
      <c r="H39" s="114" t="str">
        <f>IFERROR(VLOOKUP($C39,[7]BD!$B$3:$O$203,14,0),"")</f>
        <v>3115389988</v>
      </c>
      <c r="I39" s="114" t="str">
        <f>IFERROR(VLOOKUP($C39,[7]BD!$B$3:$O$203,4,0),"")</f>
        <v>18/10/2025</v>
      </c>
      <c r="J39" s="97" t="str">
        <f>INDEX('[7]PLANILLA ALEJANDRO'!C39:AK82,1,6)</f>
        <v>OK</v>
      </c>
      <c r="K39" s="97" t="str">
        <f>INDEX('[7]PLANILLA ALEJANDRO'!D39:AL82,1,6)</f>
        <v>OK</v>
      </c>
      <c r="L39" s="97" t="str">
        <f>INDEX('[7]PLANILLA ALEJANDRO'!E39:AM82,1,6)</f>
        <v>OK</v>
      </c>
      <c r="M39" s="97" t="str">
        <f>INDEX('[7]PLANILLA ALEJANDRO'!F39:AN82,1,6)</f>
        <v>OK</v>
      </c>
      <c r="N39" s="97" t="str">
        <f>INDEX('[7]PLANILLA ALEJANDRO'!G39:AO82,1,6)</f>
        <v>OK</v>
      </c>
      <c r="O39" s="97" t="str">
        <f>INDEX('[7]PLANILLA ALEJANDRO'!H39:AP82,1,6)</f>
        <v>OK</v>
      </c>
      <c r="P39" s="97" t="str">
        <f>INDEX('[7]PLANILLA ALEJANDRO'!I39:AQ82,1,6)</f>
        <v>OK</v>
      </c>
      <c r="Q39" s="97" t="str">
        <f>INDEX('[7]PLANILLA ALEJANDRO'!J39:AR82,1,6)</f>
        <v>OK</v>
      </c>
      <c r="R39" s="97" t="str">
        <f>INDEX('[7]PLANILLA ALEJANDRO'!K39:AS82,1,6)</f>
        <v>OK</v>
      </c>
      <c r="S39" s="97" t="str">
        <f>INDEX('[7]PLANILLA ALEJANDRO'!L39:AT82,1,6)</f>
        <v>OK</v>
      </c>
      <c r="T39" s="97" t="str">
        <f>INDEX('[7]PLANILLA ALEJANDRO'!M39:AU82,1,6)</f>
        <v>OK</v>
      </c>
      <c r="U39" s="97" t="str">
        <f>INDEX('[7]PLANILLA ALEJANDRO'!N39:AV82,1,6)</f>
        <v>OK</v>
      </c>
      <c r="V39" s="97" t="str">
        <f>INDEX('[7]PLANILLA ALEJANDRO'!O39:AW82,1,6)</f>
        <v>OK</v>
      </c>
      <c r="W39" s="97" t="str">
        <f>INDEX('[7]PLANILLA ALEJANDRO'!P39:AX82,1,6)</f>
        <v>OK</v>
      </c>
      <c r="X39" s="97" t="str">
        <f>INDEX('[7]PLANILLA ALEJANDRO'!Q39:AY82,1,6)</f>
        <v>OK</v>
      </c>
      <c r="Y39" s="97" t="str">
        <f>INDEX('[7]PLANILLA ALEJANDRO'!R39:AZ82,1,6)</f>
        <v>OK</v>
      </c>
      <c r="Z39" s="97" t="str">
        <f>INDEX('[7]PLANILLA ALEJANDRO'!S39:BA82,1,6)</f>
        <v>OK</v>
      </c>
      <c r="AA39" s="97" t="str">
        <f>INDEX('[7]PLANILLA ALEJANDRO'!T39:BB82,1,6)</f>
        <v>OK</v>
      </c>
      <c r="AB39" s="97" t="str">
        <f>INDEX('[7]PLANILLA ALEJANDRO'!U39:BC82,1,6)</f>
        <v>OK</v>
      </c>
      <c r="AC39" s="97" t="str">
        <f>INDEX('[7]PLANILLA ALEJANDRO'!V39:BD82,1,6)</f>
        <v>OK</v>
      </c>
      <c r="AD39" s="97" t="str">
        <f>INDEX('[7]PLANILLA ALEJANDRO'!W39:BE82,1,6)</f>
        <v>OK</v>
      </c>
      <c r="AE39" s="97" t="str">
        <f>INDEX('[7]PLANILLA ALEJANDRO'!X39:BF82,1,6)</f>
        <v>OK</v>
      </c>
      <c r="AF39" s="97">
        <f>INDEX('[7]PLANILLA ALEJANDRO'!Y39:BG82,1,6)</f>
        <v>0</v>
      </c>
      <c r="AG39" s="97">
        <f>INDEX('[7]PLANILLA ALEJANDRO'!Z39:BH82,1,6)</f>
        <v>0</v>
      </c>
      <c r="AH39" s="97">
        <f>INDEX('[7]PLANILLA ALEJANDRO'!AA39:BI82,1,6)</f>
        <v>0</v>
      </c>
      <c r="AI39" s="97">
        <f>INDEX('[7]PLANILLA ALEJANDRO'!AB39:BJ82,1,6)</f>
        <v>0</v>
      </c>
      <c r="AJ39" s="97">
        <f>INDEX('[7]PLANILLA ALEJANDRO'!AC39:BK82,1,6)</f>
        <v>0</v>
      </c>
      <c r="AK39" s="97">
        <f>INDEX('[7]PLANILLA ALEJANDRO'!AD39:BL82,1,6)</f>
        <v>0</v>
      </c>
      <c r="AL39" s="97">
        <f>INDEX('[7]PLANILLA ALEJANDRO'!AE39:BM82,1,6)</f>
        <v>0</v>
      </c>
      <c r="AM39" s="97">
        <f>INDEX('[7]PLANILLA ALEJANDRO'!AF39:BN82,1,6)</f>
        <v>0</v>
      </c>
      <c r="AO39" s="116">
        <f t="shared" si="5"/>
        <v>0</v>
      </c>
      <c r="AP39" s="116">
        <f t="shared" si="5"/>
        <v>0</v>
      </c>
      <c r="AQ39" s="116">
        <f t="shared" si="5"/>
        <v>0</v>
      </c>
      <c r="AR39" s="116">
        <f t="shared" si="5"/>
        <v>0</v>
      </c>
      <c r="AS39" s="116">
        <f t="shared" si="5"/>
        <v>0</v>
      </c>
      <c r="AT39" s="116">
        <f t="shared" si="5"/>
        <v>0</v>
      </c>
      <c r="AU39" s="116">
        <f t="shared" si="5"/>
        <v>0</v>
      </c>
      <c r="AV39" s="116">
        <f t="shared" si="5"/>
        <v>0</v>
      </c>
      <c r="AW39" s="116">
        <f t="shared" si="5"/>
        <v>0</v>
      </c>
      <c r="AX39" s="116">
        <f t="shared" si="5"/>
        <v>0</v>
      </c>
      <c r="AY39" s="116">
        <f t="shared" si="5"/>
        <v>0</v>
      </c>
      <c r="AZ39" s="116">
        <f t="shared" si="5"/>
        <v>0</v>
      </c>
      <c r="BA39" s="116">
        <f t="shared" si="5"/>
        <v>22</v>
      </c>
      <c r="BB39" s="117">
        <f t="shared" si="4"/>
        <v>22</v>
      </c>
    </row>
    <row r="40" spans="1:54" ht="18.600000000000001" customHeight="1">
      <c r="B40" s="112">
        <v>32</v>
      </c>
      <c r="C40" s="113">
        <f>+'[7]PLANILLA ALEJANDRO'!C40</f>
        <v>52348638</v>
      </c>
      <c r="D40" s="114" t="str">
        <f>IFERROR(VLOOKUP($C40,'[7]PLANILLA ALEJANDRO'!$C$9:$F$57,2,0),"NO BD")</f>
        <v xml:space="preserve">CASTRO GUTIERREZ RUTH MARINELA </v>
      </c>
      <c r="E40" s="115" t="s">
        <v>582</v>
      </c>
      <c r="F40" s="114" t="str">
        <f>IFERROR(VLOOKUP($C40,[7]BD!$B$3:$O$213,3,0),"")</f>
        <v>OPERARIA DE ASEO Y CAFETERIA</v>
      </c>
      <c r="G40" s="77" t="s">
        <v>490</v>
      </c>
      <c r="H40" s="114" t="str">
        <f>IFERROR(VLOOKUP($C40,[7]BD!$B$3:$O$203,14,0),"")</f>
        <v>3214480481</v>
      </c>
      <c r="I40" s="114" t="str">
        <f>IFERROR(VLOOKUP($C40,[7]BD!$B$3:$O$203,4,0),"")</f>
        <v>18/10/2025</v>
      </c>
      <c r="J40" s="97" t="str">
        <f>INDEX('[7]PLANILLA ALEJANDRO'!C40:AK83,1,6)</f>
        <v>OK</v>
      </c>
      <c r="K40" s="97" t="str">
        <f>INDEX('[7]PLANILLA ALEJANDRO'!D40:AL83,1,6)</f>
        <v>OK</v>
      </c>
      <c r="L40" s="97" t="str">
        <f>INDEX('[7]PLANILLA ALEJANDRO'!E40:AM83,1,6)</f>
        <v>OK</v>
      </c>
      <c r="M40" s="97" t="str">
        <f>INDEX('[7]PLANILLA ALEJANDRO'!F40:AN83,1,6)</f>
        <v>OK</v>
      </c>
      <c r="N40" s="97" t="str">
        <f>INDEX('[7]PLANILLA ALEJANDRO'!G40:AO83,1,6)</f>
        <v>OK</v>
      </c>
      <c r="O40" s="97" t="str">
        <f>INDEX('[7]PLANILLA ALEJANDRO'!H40:AP83,1,6)</f>
        <v>OK</v>
      </c>
      <c r="P40" s="97" t="str">
        <f>INDEX('[7]PLANILLA ALEJANDRO'!I40:AQ83,1,6)</f>
        <v>OK</v>
      </c>
      <c r="Q40" s="97" t="str">
        <f>INDEX('[7]PLANILLA ALEJANDRO'!J40:AR83,1,6)</f>
        <v>OK</v>
      </c>
      <c r="R40" s="97" t="str">
        <f>INDEX('[7]PLANILLA ALEJANDRO'!K40:AS83,1,6)</f>
        <v>OK</v>
      </c>
      <c r="S40" s="97" t="str">
        <f>INDEX('[7]PLANILLA ALEJANDRO'!L40:AT83,1,6)</f>
        <v>OK</v>
      </c>
      <c r="T40" s="97" t="str">
        <f>INDEX('[7]PLANILLA ALEJANDRO'!M40:AU83,1,6)</f>
        <v>OK</v>
      </c>
      <c r="U40" s="97" t="str">
        <f>INDEX('[7]PLANILLA ALEJANDRO'!N40:AV83,1,6)</f>
        <v>OK</v>
      </c>
      <c r="V40" s="97" t="str">
        <f>INDEX('[7]PLANILLA ALEJANDRO'!O40:AW83,1,6)</f>
        <v>OK</v>
      </c>
      <c r="W40" s="97" t="str">
        <f>INDEX('[7]PLANILLA ALEJANDRO'!P40:AX83,1,6)</f>
        <v>OK</v>
      </c>
      <c r="X40" s="97" t="str">
        <f>INDEX('[7]PLANILLA ALEJANDRO'!Q40:AY83,1,6)</f>
        <v>OK</v>
      </c>
      <c r="Y40" s="97" t="str">
        <f>INDEX('[7]PLANILLA ALEJANDRO'!R40:AZ83,1,6)</f>
        <v>OK</v>
      </c>
      <c r="Z40" s="97" t="str">
        <f>INDEX('[7]PLANILLA ALEJANDRO'!S40:BA83,1,6)</f>
        <v>OK</v>
      </c>
      <c r="AA40" s="97" t="str">
        <f>INDEX('[7]PLANILLA ALEJANDRO'!T40:BB83,1,6)</f>
        <v>OK</v>
      </c>
      <c r="AB40" s="97" t="str">
        <f>INDEX('[7]PLANILLA ALEJANDRO'!U40:BC83,1,6)</f>
        <v>OK</v>
      </c>
      <c r="AC40" s="97" t="str">
        <f>INDEX('[7]PLANILLA ALEJANDRO'!V40:BD83,1,6)</f>
        <v>OK</v>
      </c>
      <c r="AD40" s="97" t="str">
        <f>INDEX('[7]PLANILLA ALEJANDRO'!W40:BE83,1,6)</f>
        <v>OK</v>
      </c>
      <c r="AE40" s="97" t="str">
        <f>INDEX('[7]PLANILLA ALEJANDRO'!X40:BF83,1,6)</f>
        <v>OK</v>
      </c>
      <c r="AF40" s="97">
        <f>INDEX('[7]PLANILLA ALEJANDRO'!Y40:BG83,1,6)</f>
        <v>0</v>
      </c>
      <c r="AG40" s="97">
        <f>INDEX('[7]PLANILLA ALEJANDRO'!Z40:BH83,1,6)</f>
        <v>0</v>
      </c>
      <c r="AH40" s="97">
        <f>INDEX('[7]PLANILLA ALEJANDRO'!AA40:BI83,1,6)</f>
        <v>0</v>
      </c>
      <c r="AI40" s="97">
        <f>INDEX('[7]PLANILLA ALEJANDRO'!AB40:BJ83,1,6)</f>
        <v>0</v>
      </c>
      <c r="AJ40" s="97">
        <f>INDEX('[7]PLANILLA ALEJANDRO'!AC40:BK83,1,6)</f>
        <v>0</v>
      </c>
      <c r="AK40" s="97">
        <f>INDEX('[7]PLANILLA ALEJANDRO'!AD40:BL83,1,6)</f>
        <v>0</v>
      </c>
      <c r="AL40" s="97">
        <f>INDEX('[7]PLANILLA ALEJANDRO'!AE40:BM83,1,6)</f>
        <v>0</v>
      </c>
      <c r="AM40" s="97">
        <f>INDEX('[7]PLANILLA ALEJANDRO'!AF40:BN83,1,6)</f>
        <v>0</v>
      </c>
      <c r="AO40" s="116">
        <f t="shared" si="5"/>
        <v>0</v>
      </c>
      <c r="AP40" s="116">
        <f t="shared" si="5"/>
        <v>0</v>
      </c>
      <c r="AQ40" s="116">
        <f t="shared" si="5"/>
        <v>0</v>
      </c>
      <c r="AR40" s="116">
        <f t="shared" si="5"/>
        <v>0</v>
      </c>
      <c r="AS40" s="116">
        <f t="shared" si="5"/>
        <v>0</v>
      </c>
      <c r="AT40" s="116">
        <f t="shared" si="5"/>
        <v>0</v>
      </c>
      <c r="AU40" s="116">
        <f t="shared" si="5"/>
        <v>0</v>
      </c>
      <c r="AV40" s="116">
        <f t="shared" si="5"/>
        <v>0</v>
      </c>
      <c r="AW40" s="116">
        <f t="shared" si="5"/>
        <v>0</v>
      </c>
      <c r="AX40" s="116">
        <f t="shared" si="5"/>
        <v>0</v>
      </c>
      <c r="AY40" s="116">
        <f t="shared" si="5"/>
        <v>0</v>
      </c>
      <c r="AZ40" s="116">
        <f t="shared" si="5"/>
        <v>0</v>
      </c>
      <c r="BA40" s="116">
        <f t="shared" si="5"/>
        <v>22</v>
      </c>
      <c r="BB40" s="117">
        <f t="shared" si="4"/>
        <v>22</v>
      </c>
    </row>
    <row r="41" spans="1:54" ht="18.600000000000001" customHeight="1">
      <c r="B41" s="112">
        <v>33</v>
      </c>
      <c r="C41" s="113">
        <f>+'[7]PLANILLA ALEJANDRO'!C41</f>
        <v>1023031155</v>
      </c>
      <c r="D41" s="114" t="str">
        <f>IFERROR(VLOOKUP($C41,'[7]PLANILLA ALEJANDRO'!$C$9:$F$57,2,0),"NO BD")</f>
        <v xml:space="preserve">CAMARGO HERNANDEZ LUISA FERNANDA </v>
      </c>
      <c r="E41" s="115" t="s">
        <v>582</v>
      </c>
      <c r="F41" s="114" t="str">
        <f>IFERROR(VLOOKUP($C41,[7]BD!$B$3:$O$213,3,0),"")</f>
        <v>OPERARIA DE ASEO Y CAFETERIA</v>
      </c>
      <c r="G41" s="77" t="s">
        <v>490</v>
      </c>
      <c r="H41" s="114" t="str">
        <f>IFERROR(VLOOKUP($C41,[7]BD!$B$3:$O$203,14,0),"")</f>
        <v>3229227877</v>
      </c>
      <c r="I41" s="114" t="str">
        <f>IFERROR(VLOOKUP($C41,[7]BD!$B$3:$O$203,4,0),"")</f>
        <v>18/10/2025</v>
      </c>
      <c r="J41" s="97" t="str">
        <f>INDEX('[7]PLANILLA ALEJANDRO'!C41:AK84,1,6)</f>
        <v>OK</v>
      </c>
      <c r="K41" s="97" t="str">
        <f>INDEX('[7]PLANILLA ALEJANDRO'!D41:AL84,1,6)</f>
        <v>OK</v>
      </c>
      <c r="L41" s="97" t="str">
        <f>INDEX('[7]PLANILLA ALEJANDRO'!E41:AM84,1,6)</f>
        <v>OK</v>
      </c>
      <c r="M41" s="97" t="str">
        <f>INDEX('[7]PLANILLA ALEJANDRO'!F41:AN84,1,6)</f>
        <v>OK</v>
      </c>
      <c r="N41" s="97" t="str">
        <f>INDEX('[7]PLANILLA ALEJANDRO'!G41:AO84,1,6)</f>
        <v>OK</v>
      </c>
      <c r="O41" s="97" t="str">
        <f>INDEX('[7]PLANILLA ALEJANDRO'!H41:AP84,1,6)</f>
        <v>OK</v>
      </c>
      <c r="P41" s="97" t="str">
        <f>INDEX('[7]PLANILLA ALEJANDRO'!I41:AQ84,1,6)</f>
        <v>OK</v>
      </c>
      <c r="Q41" s="97" t="str">
        <f>INDEX('[7]PLANILLA ALEJANDRO'!J41:AR84,1,6)</f>
        <v>OK</v>
      </c>
      <c r="R41" s="97" t="str">
        <f>INDEX('[7]PLANILLA ALEJANDRO'!K41:AS84,1,6)</f>
        <v>OK</v>
      </c>
      <c r="S41" s="97" t="str">
        <f>INDEX('[7]PLANILLA ALEJANDRO'!L41:AT84,1,6)</f>
        <v>OK</v>
      </c>
      <c r="T41" s="97" t="str">
        <f>INDEX('[7]PLANILLA ALEJANDRO'!M41:AU84,1,6)</f>
        <v>OK</v>
      </c>
      <c r="U41" s="97" t="str">
        <f>INDEX('[7]PLANILLA ALEJANDRO'!N41:AV84,1,6)</f>
        <v>OK</v>
      </c>
      <c r="V41" s="97" t="str">
        <f>INDEX('[7]PLANILLA ALEJANDRO'!O41:AW84,1,6)</f>
        <v>OK</v>
      </c>
      <c r="W41" s="97" t="str">
        <f>INDEX('[7]PLANILLA ALEJANDRO'!P41:AX84,1,6)</f>
        <v>OK</v>
      </c>
      <c r="X41" s="97" t="str">
        <f>INDEX('[7]PLANILLA ALEJANDRO'!Q41:AY84,1,6)</f>
        <v>OK</v>
      </c>
      <c r="Y41" s="97" t="str">
        <f>INDEX('[7]PLANILLA ALEJANDRO'!R41:AZ84,1,6)</f>
        <v>OK</v>
      </c>
      <c r="Z41" s="97" t="str">
        <f>INDEX('[7]PLANILLA ALEJANDRO'!S41:BA84,1,6)</f>
        <v>OK</v>
      </c>
      <c r="AA41" s="97" t="str">
        <f>INDEX('[7]PLANILLA ALEJANDRO'!T41:BB84,1,6)</f>
        <v>OK</v>
      </c>
      <c r="AB41" s="97" t="str">
        <f>INDEX('[7]PLANILLA ALEJANDRO'!U41:BC84,1,6)</f>
        <v>OK</v>
      </c>
      <c r="AC41" s="97" t="str">
        <f>INDEX('[7]PLANILLA ALEJANDRO'!V41:BD84,1,6)</f>
        <v>OK</v>
      </c>
      <c r="AD41" s="97" t="str">
        <f>INDEX('[7]PLANILLA ALEJANDRO'!W41:BE84,1,6)</f>
        <v>OK</v>
      </c>
      <c r="AE41" s="97" t="str">
        <f>INDEX('[7]PLANILLA ALEJANDRO'!X41:BF84,1,6)</f>
        <v>OK</v>
      </c>
      <c r="AF41" s="97">
        <f>INDEX('[7]PLANILLA ALEJANDRO'!Y41:BG84,1,6)</f>
        <v>0</v>
      </c>
      <c r="AG41" s="97">
        <f>INDEX('[7]PLANILLA ALEJANDRO'!Z41:BH84,1,6)</f>
        <v>0</v>
      </c>
      <c r="AH41" s="97">
        <f>INDEX('[7]PLANILLA ALEJANDRO'!AA41:BI84,1,6)</f>
        <v>0</v>
      </c>
      <c r="AI41" s="97">
        <f>INDEX('[7]PLANILLA ALEJANDRO'!AB41:BJ84,1,6)</f>
        <v>0</v>
      </c>
      <c r="AJ41" s="97">
        <f>INDEX('[7]PLANILLA ALEJANDRO'!AC41:BK84,1,6)</f>
        <v>0</v>
      </c>
      <c r="AK41" s="97">
        <f>INDEX('[7]PLANILLA ALEJANDRO'!AD41:BL84,1,6)</f>
        <v>0</v>
      </c>
      <c r="AL41" s="97">
        <f>INDEX('[7]PLANILLA ALEJANDRO'!AE41:BM84,1,6)</f>
        <v>0</v>
      </c>
      <c r="AM41" s="97">
        <f>INDEX('[7]PLANILLA ALEJANDRO'!AF41:BN84,1,6)</f>
        <v>0</v>
      </c>
      <c r="AO41" s="116">
        <f t="shared" si="5"/>
        <v>0</v>
      </c>
      <c r="AP41" s="116">
        <f t="shared" si="5"/>
        <v>0</v>
      </c>
      <c r="AQ41" s="116">
        <f t="shared" si="5"/>
        <v>0</v>
      </c>
      <c r="AR41" s="116">
        <f t="shared" si="5"/>
        <v>0</v>
      </c>
      <c r="AS41" s="116">
        <f t="shared" si="5"/>
        <v>0</v>
      </c>
      <c r="AT41" s="116">
        <f t="shared" si="5"/>
        <v>0</v>
      </c>
      <c r="AU41" s="116">
        <f t="shared" si="5"/>
        <v>0</v>
      </c>
      <c r="AV41" s="116">
        <f t="shared" si="5"/>
        <v>0</v>
      </c>
      <c r="AW41" s="116">
        <f t="shared" si="5"/>
        <v>0</v>
      </c>
      <c r="AX41" s="116">
        <f t="shared" si="5"/>
        <v>0</v>
      </c>
      <c r="AY41" s="116">
        <f t="shared" si="5"/>
        <v>0</v>
      </c>
      <c r="AZ41" s="116">
        <f t="shared" si="5"/>
        <v>0</v>
      </c>
      <c r="BA41" s="116">
        <f t="shared" si="5"/>
        <v>22</v>
      </c>
      <c r="BB41" s="117">
        <f t="shared" si="4"/>
        <v>22</v>
      </c>
    </row>
    <row r="42" spans="1:54" ht="18.600000000000001" customHeight="1">
      <c r="B42" s="112">
        <v>34</v>
      </c>
      <c r="C42" s="113">
        <f>+'[7]PLANILLA ALEJANDRO'!C42</f>
        <v>52704600</v>
      </c>
      <c r="D42" s="114" t="str">
        <f>IFERROR(VLOOKUP($C42,'[7]PLANILLA ALEJANDRO'!$C$9:$F$57,2,0),"NO BD")</f>
        <v xml:space="preserve">TRIVINO SUAREZ LURY HEYDE </v>
      </c>
      <c r="E42" s="115" t="s">
        <v>582</v>
      </c>
      <c r="F42" s="114" t="str">
        <f>IFERROR(VLOOKUP($C42,[7]BD!$B$3:$O$213,3,0),"")</f>
        <v>OPERARIA DE ASEO Y CAFETERIA</v>
      </c>
      <c r="G42" s="77" t="s">
        <v>490</v>
      </c>
      <c r="H42" s="114" t="str">
        <f>IFERROR(VLOOKUP($C42,[7]BD!$B$3:$O$203,14,0),"")</f>
        <v>3112814259</v>
      </c>
      <c r="I42" s="114" t="str">
        <f>IFERROR(VLOOKUP($C42,[7]BD!$B$3:$O$203,4,0),"")</f>
        <v>18/10/2025</v>
      </c>
      <c r="J42" s="97" t="str">
        <f>INDEX('[7]PLANILLA ALEJANDRO'!C42:AK85,1,6)</f>
        <v>OK</v>
      </c>
      <c r="K42" s="97" t="str">
        <f>INDEX('[7]PLANILLA ALEJANDRO'!D42:AL85,1,6)</f>
        <v>OK</v>
      </c>
      <c r="L42" s="97" t="str">
        <f>INDEX('[7]PLANILLA ALEJANDRO'!E42:AM85,1,6)</f>
        <v>OK</v>
      </c>
      <c r="M42" s="97" t="str">
        <f>INDEX('[7]PLANILLA ALEJANDRO'!F42:AN85,1,6)</f>
        <v>OK</v>
      </c>
      <c r="N42" s="97" t="str">
        <f>INDEX('[7]PLANILLA ALEJANDRO'!G42:AO85,1,6)</f>
        <v>OK</v>
      </c>
      <c r="O42" s="97" t="str">
        <f>INDEX('[7]PLANILLA ALEJANDRO'!H42:AP85,1,6)</f>
        <v>OK</v>
      </c>
      <c r="P42" s="97" t="str">
        <f>INDEX('[7]PLANILLA ALEJANDRO'!I42:AQ85,1,6)</f>
        <v>OK</v>
      </c>
      <c r="Q42" s="97" t="str">
        <f>INDEX('[7]PLANILLA ALEJANDRO'!J42:AR85,1,6)</f>
        <v>OK</v>
      </c>
      <c r="R42" s="97" t="str">
        <f>INDEX('[7]PLANILLA ALEJANDRO'!K42:AS85,1,6)</f>
        <v>OK</v>
      </c>
      <c r="S42" s="97" t="str">
        <f>INDEX('[7]PLANILLA ALEJANDRO'!L42:AT85,1,6)</f>
        <v>OK</v>
      </c>
      <c r="T42" s="97" t="str">
        <f>INDEX('[7]PLANILLA ALEJANDRO'!M42:AU85,1,6)</f>
        <v>OK</v>
      </c>
      <c r="U42" s="97" t="str">
        <f>INDEX('[7]PLANILLA ALEJANDRO'!N42:AV85,1,6)</f>
        <v>OK</v>
      </c>
      <c r="V42" s="97" t="str">
        <f>INDEX('[7]PLANILLA ALEJANDRO'!O42:AW85,1,6)</f>
        <v>OK</v>
      </c>
      <c r="W42" s="97" t="str">
        <f>INDEX('[7]PLANILLA ALEJANDRO'!P42:AX85,1,6)</f>
        <v>INC</v>
      </c>
      <c r="X42" s="97" t="str">
        <f>INDEX('[7]PLANILLA ALEJANDRO'!Q42:AY85,1,6)</f>
        <v>INC</v>
      </c>
      <c r="Y42" s="97" t="str">
        <f>INDEX('[7]PLANILLA ALEJANDRO'!R42:AZ85,1,6)</f>
        <v>OK</v>
      </c>
      <c r="Z42" s="97" t="str">
        <f>INDEX('[7]PLANILLA ALEJANDRO'!S42:BA85,1,6)</f>
        <v>OK</v>
      </c>
      <c r="AA42" s="97" t="str">
        <f>INDEX('[7]PLANILLA ALEJANDRO'!T42:BB85,1,6)</f>
        <v>OK</v>
      </c>
      <c r="AB42" s="97" t="str">
        <f>INDEX('[7]PLANILLA ALEJANDRO'!U42:BC85,1,6)</f>
        <v>OK</v>
      </c>
      <c r="AC42" s="97" t="str">
        <f>INDEX('[7]PLANILLA ALEJANDRO'!V42:BD85,1,6)</f>
        <v>OK</v>
      </c>
      <c r="AD42" s="97" t="str">
        <f>INDEX('[7]PLANILLA ALEJANDRO'!W42:BE85,1,6)</f>
        <v>TS</v>
      </c>
      <c r="AE42" s="97" t="str">
        <f>INDEX('[7]PLANILLA ALEJANDRO'!X42:BF85,1,6)</f>
        <v>TS</v>
      </c>
      <c r="AF42" s="97" t="str">
        <f>INDEX('[7]PLANILLA ALEJANDRO'!Y42:BG85,1,6)</f>
        <v>TS</v>
      </c>
      <c r="AG42" s="97" t="str">
        <f>INDEX('[7]PLANILLA ALEJANDRO'!Z42:BH85,1,6)</f>
        <v>TS</v>
      </c>
      <c r="AH42" s="97" t="str">
        <f>INDEX('[7]PLANILLA ALEJANDRO'!AA42:BI85,1,6)</f>
        <v>TS</v>
      </c>
      <c r="AI42" s="97" t="str">
        <f>INDEX('[7]PLANILLA ALEJANDRO'!AB42:BJ85,1,6)</f>
        <v>TS</v>
      </c>
      <c r="AJ42" s="97" t="str">
        <f>INDEX('[7]PLANILLA ALEJANDRO'!AC42:BK85,1,6)</f>
        <v>TS</v>
      </c>
      <c r="AK42" s="97" t="str">
        <f>INDEX('[7]PLANILLA ALEJANDRO'!AD42:BL85,1,6)</f>
        <v>TS</v>
      </c>
      <c r="AL42" s="97" t="str">
        <f>INDEX('[7]PLANILLA ALEJANDRO'!AE42:BM85,1,6)</f>
        <v>TS</v>
      </c>
      <c r="AM42" s="97" t="str">
        <f>INDEX('[7]PLANILLA ALEJANDRO'!AF42:BN85,1,6)</f>
        <v>TS</v>
      </c>
      <c r="AO42" s="116">
        <f t="shared" si="5"/>
        <v>0</v>
      </c>
      <c r="AP42" s="116">
        <f t="shared" si="5"/>
        <v>0</v>
      </c>
      <c r="AQ42" s="116">
        <f t="shared" si="5"/>
        <v>0</v>
      </c>
      <c r="AR42" s="116">
        <f t="shared" si="5"/>
        <v>2</v>
      </c>
      <c r="AS42" s="116">
        <f t="shared" si="5"/>
        <v>0</v>
      </c>
      <c r="AT42" s="116">
        <f t="shared" si="5"/>
        <v>0</v>
      </c>
      <c r="AU42" s="116">
        <f t="shared" si="5"/>
        <v>0</v>
      </c>
      <c r="AV42" s="116">
        <f t="shared" si="5"/>
        <v>0</v>
      </c>
      <c r="AW42" s="116">
        <f t="shared" si="5"/>
        <v>0</v>
      </c>
      <c r="AX42" s="116">
        <f t="shared" si="5"/>
        <v>0</v>
      </c>
      <c r="AY42" s="116">
        <f t="shared" si="5"/>
        <v>0</v>
      </c>
      <c r="AZ42" s="116">
        <f t="shared" si="5"/>
        <v>10</v>
      </c>
      <c r="BA42" s="116">
        <f t="shared" si="5"/>
        <v>18</v>
      </c>
      <c r="BB42" s="117">
        <f t="shared" si="4"/>
        <v>18</v>
      </c>
    </row>
    <row r="43" spans="1:54" ht="18.600000000000001" customHeight="1">
      <c r="A43" s="119" t="s">
        <v>583</v>
      </c>
      <c r="B43" s="112">
        <v>35</v>
      </c>
      <c r="C43" s="113">
        <f>+'[7]PLANILLA ALEJANDRO'!C43</f>
        <v>1016049175</v>
      </c>
      <c r="D43" s="114" t="str">
        <f>IFERROR(VLOOKUP($C43,'[7]PLANILLA ALEJANDRO'!$C$9:$F$57,2,0),"NO BD")</f>
        <v xml:space="preserve">TAO ULTENGO CESAR MAURICIO </v>
      </c>
      <c r="E43" s="115" t="s">
        <v>582</v>
      </c>
      <c r="F43" s="114" t="str">
        <f>IFERROR(VLOOKUP($C43,[7]BD!$B$3:$O$213,3,0),"")</f>
        <v>OPERARIO DE MANTENIMIENTO</v>
      </c>
      <c r="G43" s="77" t="s">
        <v>490</v>
      </c>
      <c r="H43" s="114" t="str">
        <f>IFERROR(VLOOKUP($C43,[7]BD!$B$3:$O$203,14,0),"")</f>
        <v>3138228706</v>
      </c>
      <c r="I43" s="114" t="str">
        <f>IFERROR(VLOOKUP($C43,[7]BD!$B$3:$O$203,4,0),"")</f>
        <v>18/10/2025</v>
      </c>
      <c r="J43" s="97" t="str">
        <f>INDEX('[7]PLANILLA ALEJANDRO'!C43:AK86,1,6)</f>
        <v>OK</v>
      </c>
      <c r="K43" s="97" t="str">
        <f>INDEX('[7]PLANILLA ALEJANDRO'!D43:AL86,1,6)</f>
        <v>OK</v>
      </c>
      <c r="L43" s="97" t="str">
        <f>INDEX('[7]PLANILLA ALEJANDRO'!E43:AM86,1,6)</f>
        <v>OK</v>
      </c>
      <c r="M43" s="97" t="str">
        <f>INDEX('[7]PLANILLA ALEJANDRO'!F43:AN86,1,6)</f>
        <v>OK</v>
      </c>
      <c r="N43" s="97" t="str">
        <f>INDEX('[7]PLANILLA ALEJANDRO'!G43:AO86,1,6)</f>
        <v>OK</v>
      </c>
      <c r="O43" s="97" t="str">
        <f>INDEX('[7]PLANILLA ALEJANDRO'!H43:AP86,1,6)</f>
        <v>OK</v>
      </c>
      <c r="P43" s="97" t="str">
        <f>INDEX('[7]PLANILLA ALEJANDRO'!I43:AQ86,1,6)</f>
        <v>OK</v>
      </c>
      <c r="Q43" s="97" t="str">
        <f>INDEX('[7]PLANILLA ALEJANDRO'!J43:AR86,1,6)</f>
        <v>OK</v>
      </c>
      <c r="R43" s="97" t="str">
        <f>INDEX('[7]PLANILLA ALEJANDRO'!K43:AS86,1,6)</f>
        <v>OK</v>
      </c>
      <c r="S43" s="97" t="str">
        <f>INDEX('[7]PLANILLA ALEJANDRO'!L43:AT86,1,6)</f>
        <v>OK</v>
      </c>
      <c r="T43" s="97" t="str">
        <f>INDEX('[7]PLANILLA ALEJANDRO'!M43:AU86,1,6)</f>
        <v>OK</v>
      </c>
      <c r="U43" s="97" t="str">
        <f>INDEX('[7]PLANILLA ALEJANDRO'!N43:AV86,1,6)</f>
        <v>OK</v>
      </c>
      <c r="V43" s="97" t="str">
        <f>INDEX('[7]PLANILLA ALEJANDRO'!O43:AW86,1,6)</f>
        <v>OK</v>
      </c>
      <c r="W43" s="97" t="str">
        <f>INDEX('[7]PLANILLA ALEJANDRO'!P43:AX86,1,6)</f>
        <v>OK</v>
      </c>
      <c r="X43" s="97" t="str">
        <f>INDEX('[7]PLANILLA ALEJANDRO'!Q43:AY86,1,6)</f>
        <v>OK</v>
      </c>
      <c r="Y43" s="97" t="str">
        <f>INDEX('[7]PLANILLA ALEJANDRO'!R43:AZ86,1,6)</f>
        <v>OK</v>
      </c>
      <c r="Z43" s="97" t="str">
        <f>INDEX('[7]PLANILLA ALEJANDRO'!S43:BA86,1,6)</f>
        <v>OK</v>
      </c>
      <c r="AA43" s="97" t="str">
        <f>INDEX('[7]PLANILLA ALEJANDRO'!T43:BB86,1,6)</f>
        <v>TS</v>
      </c>
      <c r="AB43" s="97" t="str">
        <f>INDEX('[7]PLANILLA ALEJANDRO'!U43:BC86,1,6)</f>
        <v>TS</v>
      </c>
      <c r="AC43" s="97" t="str">
        <f>INDEX('[7]PLANILLA ALEJANDRO'!V43:BD86,1,6)</f>
        <v>TS</v>
      </c>
      <c r="AD43" s="97" t="str">
        <f>INDEX('[7]PLANILLA ALEJANDRO'!W43:BE86,1,6)</f>
        <v>TS</v>
      </c>
      <c r="AE43" s="97" t="str">
        <f>INDEX('[7]PLANILLA ALEJANDRO'!X43:BF86,1,6)</f>
        <v>TS</v>
      </c>
      <c r="AF43" s="97" t="str">
        <f>INDEX('[7]PLANILLA ALEJANDRO'!Y43:BG86,1,6)</f>
        <v>TS</v>
      </c>
      <c r="AG43" s="97" t="str">
        <f>INDEX('[7]PLANILLA ALEJANDRO'!Z43:BH86,1,6)</f>
        <v>TS</v>
      </c>
      <c r="AH43" s="97" t="str">
        <f>INDEX('[7]PLANILLA ALEJANDRO'!AA43:BI86,1,6)</f>
        <v>TS</v>
      </c>
      <c r="AI43" s="97" t="str">
        <f>INDEX('[7]PLANILLA ALEJANDRO'!AB43:BJ86,1,6)</f>
        <v>TS</v>
      </c>
      <c r="AJ43" s="97" t="str">
        <f>INDEX('[7]PLANILLA ALEJANDRO'!AC43:BK86,1,6)</f>
        <v>TS</v>
      </c>
      <c r="AK43" s="97" t="str">
        <f>INDEX('[7]PLANILLA ALEJANDRO'!AD43:BL86,1,6)</f>
        <v>TS</v>
      </c>
      <c r="AL43" s="97" t="str">
        <f>INDEX('[7]PLANILLA ALEJANDRO'!AE43:BM86,1,6)</f>
        <v>TS</v>
      </c>
      <c r="AM43" s="97" t="str">
        <f>INDEX('[7]PLANILLA ALEJANDRO'!AF43:BN86,1,6)</f>
        <v>TS</v>
      </c>
      <c r="AO43" s="116">
        <f t="shared" si="5"/>
        <v>0</v>
      </c>
      <c r="AP43" s="116">
        <f t="shared" si="5"/>
        <v>0</v>
      </c>
      <c r="AQ43" s="116">
        <f t="shared" si="5"/>
        <v>0</v>
      </c>
      <c r="AR43" s="116">
        <f t="shared" si="5"/>
        <v>0</v>
      </c>
      <c r="AS43" s="116">
        <f t="shared" si="5"/>
        <v>0</v>
      </c>
      <c r="AT43" s="116">
        <f t="shared" si="5"/>
        <v>0</v>
      </c>
      <c r="AU43" s="116">
        <f t="shared" ref="AU43:BA43" si="6">COUNTIF($J43:$AM43,AU$7)</f>
        <v>0</v>
      </c>
      <c r="AV43" s="116">
        <f t="shared" si="6"/>
        <v>0</v>
      </c>
      <c r="AW43" s="116">
        <f t="shared" si="6"/>
        <v>0</v>
      </c>
      <c r="AX43" s="116">
        <f t="shared" si="6"/>
        <v>0</v>
      </c>
      <c r="AY43" s="116">
        <f t="shared" si="6"/>
        <v>0</v>
      </c>
      <c r="AZ43" s="116">
        <f t="shared" si="6"/>
        <v>13</v>
      </c>
      <c r="BA43" s="116">
        <f t="shared" si="6"/>
        <v>17</v>
      </c>
      <c r="BB43" s="117">
        <f t="shared" si="4"/>
        <v>17</v>
      </c>
    </row>
    <row r="44" spans="1:54" ht="18.600000000000001" customHeight="1">
      <c r="B44" s="112">
        <v>36</v>
      </c>
      <c r="C44" s="113">
        <f>+'[7]PLANILLA ALEJANDRO'!C44</f>
        <v>1193109715</v>
      </c>
      <c r="D44" s="114" t="str">
        <f>IFERROR(VLOOKUP($C44,'[7]PLANILLA ALEJANDRO'!$C$9:$F$57,2,0),"NO BD")</f>
        <v xml:space="preserve">RAMOS TORRES ARMANDO LUIS </v>
      </c>
      <c r="E44" s="115" t="s">
        <v>582</v>
      </c>
      <c r="F44" s="114" t="str">
        <f>IFERROR(VLOOKUP($C44,[7]BD!$B$3:$O$213,3,0),"")</f>
        <v>OPERARIO DE MANTENIMIENTO</v>
      </c>
      <c r="G44" s="77" t="s">
        <v>490</v>
      </c>
      <c r="H44" s="114" t="str">
        <f>IFERROR(VLOOKUP($C44,[7]BD!$B$3:$O$203,14,0),"")</f>
        <v>3224789225</v>
      </c>
      <c r="I44" s="114" t="str">
        <f>IFERROR(VLOOKUP($C44,[7]BD!$B$3:$O$203,4,0),"")</f>
        <v>18/10/2025</v>
      </c>
      <c r="J44" s="97" t="str">
        <f>INDEX('[7]PLANILLA ALEJANDRO'!C44:AK87,1,6)</f>
        <v>OK</v>
      </c>
      <c r="K44" s="97" t="str">
        <f>INDEX('[7]PLANILLA ALEJANDRO'!D44:AL87,1,6)</f>
        <v>OK</v>
      </c>
      <c r="L44" s="97" t="str">
        <f>INDEX('[7]PLANILLA ALEJANDRO'!E44:AM87,1,6)</f>
        <v>OK</v>
      </c>
      <c r="M44" s="97" t="str">
        <f>INDEX('[7]PLANILLA ALEJANDRO'!F44:AN87,1,6)</f>
        <v>OK</v>
      </c>
      <c r="N44" s="97" t="str">
        <f>INDEX('[7]PLANILLA ALEJANDRO'!G44:AO87,1,6)</f>
        <v>OK</v>
      </c>
      <c r="O44" s="97" t="str">
        <f>INDEX('[7]PLANILLA ALEJANDRO'!H44:AP87,1,6)</f>
        <v>OK</v>
      </c>
      <c r="P44" s="97" t="str">
        <f>INDEX('[7]PLANILLA ALEJANDRO'!I44:AQ87,1,6)</f>
        <v>OK</v>
      </c>
      <c r="Q44" s="97" t="str">
        <f>INDEX('[7]PLANILLA ALEJANDRO'!J44:AR87,1,6)</f>
        <v>OK</v>
      </c>
      <c r="R44" s="97" t="str">
        <f>INDEX('[7]PLANILLA ALEJANDRO'!K44:AS87,1,6)</f>
        <v>OK</v>
      </c>
      <c r="S44" s="97" t="str">
        <f>INDEX('[7]PLANILLA ALEJANDRO'!L44:AT87,1,6)</f>
        <v>OK</v>
      </c>
      <c r="T44" s="97" t="str">
        <f>INDEX('[7]PLANILLA ALEJANDRO'!M44:AU87,1,6)</f>
        <v>OK</v>
      </c>
      <c r="U44" s="97" t="str">
        <f>INDEX('[7]PLANILLA ALEJANDRO'!N44:AV87,1,6)</f>
        <v>OK</v>
      </c>
      <c r="V44" s="97" t="str">
        <f>INDEX('[7]PLANILLA ALEJANDRO'!O44:AW87,1,6)</f>
        <v>OK</v>
      </c>
      <c r="W44" s="97" t="str">
        <f>INDEX('[7]PLANILLA ALEJANDRO'!P44:AX87,1,6)</f>
        <v>OK</v>
      </c>
      <c r="X44" s="97" t="str">
        <f>INDEX('[7]PLANILLA ALEJANDRO'!Q44:AY87,1,6)</f>
        <v>OK</v>
      </c>
      <c r="Y44" s="97" t="str">
        <f>INDEX('[7]PLANILLA ALEJANDRO'!R44:AZ87,1,6)</f>
        <v>OK</v>
      </c>
      <c r="Z44" s="97" t="str">
        <f>INDEX('[7]PLANILLA ALEJANDRO'!S44:BA87,1,6)</f>
        <v>OK</v>
      </c>
      <c r="AA44" s="97" t="str">
        <f>INDEX('[7]PLANILLA ALEJANDRO'!T44:BB87,1,6)</f>
        <v>OK</v>
      </c>
      <c r="AB44" s="97" t="str">
        <f>INDEX('[7]PLANILLA ALEJANDRO'!U44:BC87,1,6)</f>
        <v>OK</v>
      </c>
      <c r="AC44" s="97" t="str">
        <f>INDEX('[7]PLANILLA ALEJANDRO'!V44:BD87,1,6)</f>
        <v>OK</v>
      </c>
      <c r="AD44" s="97" t="str">
        <f>INDEX('[7]PLANILLA ALEJANDRO'!W44:BE87,1,6)</f>
        <v>OK</v>
      </c>
      <c r="AE44" s="97" t="str">
        <f>INDEX('[7]PLANILLA ALEJANDRO'!X44:BF87,1,6)</f>
        <v>OK</v>
      </c>
      <c r="AF44" s="97">
        <f>INDEX('[7]PLANILLA ALEJANDRO'!Y44:BG87,1,6)</f>
        <v>0</v>
      </c>
      <c r="AG44" s="97">
        <f>INDEX('[7]PLANILLA ALEJANDRO'!Z44:BH87,1,6)</f>
        <v>0</v>
      </c>
      <c r="AH44" s="97">
        <f>INDEX('[7]PLANILLA ALEJANDRO'!AA44:BI87,1,6)</f>
        <v>0</v>
      </c>
      <c r="AI44" s="97">
        <f>INDEX('[7]PLANILLA ALEJANDRO'!AB44:BJ87,1,6)</f>
        <v>0</v>
      </c>
      <c r="AJ44" s="97">
        <f>INDEX('[7]PLANILLA ALEJANDRO'!AC44:BK87,1,6)</f>
        <v>0</v>
      </c>
      <c r="AK44" s="97">
        <f>INDEX('[7]PLANILLA ALEJANDRO'!AD44:BL87,1,6)</f>
        <v>0</v>
      </c>
      <c r="AL44" s="97">
        <f>INDEX('[7]PLANILLA ALEJANDRO'!AE44:BM87,1,6)</f>
        <v>0</v>
      </c>
      <c r="AM44" s="97">
        <f>INDEX('[7]PLANILLA ALEJANDRO'!AF44:BN87,1,6)</f>
        <v>0</v>
      </c>
      <c r="AO44" s="116">
        <f t="shared" ref="AO44:BA63" si="7">COUNTIF($J44:$AM44,AO$7)</f>
        <v>0</v>
      </c>
      <c r="AP44" s="116">
        <f t="shared" si="7"/>
        <v>0</v>
      </c>
      <c r="AQ44" s="116">
        <f t="shared" si="7"/>
        <v>0</v>
      </c>
      <c r="AR44" s="116">
        <f t="shared" si="7"/>
        <v>0</v>
      </c>
      <c r="AS44" s="116">
        <f t="shared" si="7"/>
        <v>0</v>
      </c>
      <c r="AT44" s="116">
        <f t="shared" si="7"/>
        <v>0</v>
      </c>
      <c r="AU44" s="116">
        <f t="shared" si="7"/>
        <v>0</v>
      </c>
      <c r="AV44" s="116">
        <f t="shared" si="7"/>
        <v>0</v>
      </c>
      <c r="AW44" s="116">
        <f t="shared" si="7"/>
        <v>0</v>
      </c>
      <c r="AX44" s="116">
        <f t="shared" si="7"/>
        <v>0</v>
      </c>
      <c r="AY44" s="116">
        <f t="shared" si="7"/>
        <v>0</v>
      </c>
      <c r="AZ44" s="116">
        <f t="shared" si="7"/>
        <v>0</v>
      </c>
      <c r="BA44" s="116">
        <f t="shared" si="7"/>
        <v>22</v>
      </c>
      <c r="BB44" s="117">
        <f t="shared" si="4"/>
        <v>22</v>
      </c>
    </row>
    <row r="45" spans="1:54" ht="18.600000000000001" customHeight="1">
      <c r="B45" s="112">
        <v>37</v>
      </c>
      <c r="C45" s="113">
        <f>+'[7]PLANILLA ALEJANDRO'!C45</f>
        <v>53128765</v>
      </c>
      <c r="D45" s="114" t="str">
        <f>IFERROR(VLOOKUP($C45,'[7]PLANILLA ALEJANDRO'!$C$9:$F$57,2,0),"NO BD")</f>
        <v xml:space="preserve">PULIDO PULIDO HEIDY ANDREA </v>
      </c>
      <c r="E45" s="115" t="s">
        <v>582</v>
      </c>
      <c r="F45" s="114" t="str">
        <f>IFERROR(VLOOKUP($C45,[7]BD!$B$3:$O$213,3,0),"")</f>
        <v>OPERARIA DE ASEO Y CAFETERIA</v>
      </c>
      <c r="G45" s="77" t="s">
        <v>490</v>
      </c>
      <c r="H45" s="114" t="str">
        <f>IFERROR(VLOOKUP($C45,[7]BD!$B$3:$O$203,14,0),"")</f>
        <v>3114769963</v>
      </c>
      <c r="I45" s="114" t="str">
        <f>IFERROR(VLOOKUP($C45,[7]BD!$B$3:$O$203,4,0),"")</f>
        <v>25/03/2026</v>
      </c>
      <c r="J45" s="97" t="str">
        <f>INDEX('[7]PLANILLA ALEJANDRO'!C45:AK88,1,6)</f>
        <v>OK</v>
      </c>
      <c r="K45" s="97" t="str">
        <f>INDEX('[7]PLANILLA ALEJANDRO'!D45:AL88,1,6)</f>
        <v>OK</v>
      </c>
      <c r="L45" s="97" t="str">
        <f>INDEX('[7]PLANILLA ALEJANDRO'!E45:AM88,1,6)</f>
        <v>OK</v>
      </c>
      <c r="M45" s="97" t="str">
        <f>INDEX('[7]PLANILLA ALEJANDRO'!F45:AN88,1,6)</f>
        <v>OK</v>
      </c>
      <c r="N45" s="97" t="str">
        <f>INDEX('[7]PLANILLA ALEJANDRO'!G45:AO88,1,6)</f>
        <v>OK</v>
      </c>
      <c r="O45" s="97" t="str">
        <f>INDEX('[7]PLANILLA ALEJANDRO'!H45:AP88,1,6)</f>
        <v>OK</v>
      </c>
      <c r="P45" s="97" t="str">
        <f>INDEX('[7]PLANILLA ALEJANDRO'!I45:AQ88,1,6)</f>
        <v>OK</v>
      </c>
      <c r="Q45" s="97" t="str">
        <f>INDEX('[7]PLANILLA ALEJANDRO'!J45:AR88,1,6)</f>
        <v>OK</v>
      </c>
      <c r="R45" s="97" t="str">
        <f>INDEX('[7]PLANILLA ALEJANDRO'!K45:AS88,1,6)</f>
        <v>OK</v>
      </c>
      <c r="S45" s="97" t="str">
        <f>INDEX('[7]PLANILLA ALEJANDRO'!L45:AT88,1,6)</f>
        <v>OK</v>
      </c>
      <c r="T45" s="97" t="str">
        <f>INDEX('[7]PLANILLA ALEJANDRO'!M45:AU88,1,6)</f>
        <v>OK</v>
      </c>
      <c r="U45" s="97" t="str">
        <f>INDEX('[7]PLANILLA ALEJANDRO'!N45:AV88,1,6)</f>
        <v>OK</v>
      </c>
      <c r="V45" s="97" t="str">
        <f>INDEX('[7]PLANILLA ALEJANDRO'!O45:AW88,1,6)</f>
        <v>OK</v>
      </c>
      <c r="W45" s="97" t="str">
        <f>INDEX('[7]PLANILLA ALEJANDRO'!P45:AX88,1,6)</f>
        <v>OK</v>
      </c>
      <c r="X45" s="97" t="str">
        <f>INDEX('[7]PLANILLA ALEJANDRO'!Q45:AY88,1,6)</f>
        <v>OK</v>
      </c>
      <c r="Y45" s="97" t="str">
        <f>INDEX('[7]PLANILLA ALEJANDRO'!R45:AZ88,1,6)</f>
        <v>OK</v>
      </c>
      <c r="Z45" s="97" t="str">
        <f>INDEX('[7]PLANILLA ALEJANDRO'!S45:BA88,1,6)</f>
        <v>OK</v>
      </c>
      <c r="AA45" s="97" t="str">
        <f>INDEX('[7]PLANILLA ALEJANDRO'!T45:BB88,1,6)</f>
        <v>OK</v>
      </c>
      <c r="AB45" s="97" t="str">
        <f>INDEX('[7]PLANILLA ALEJANDRO'!U45:BC88,1,6)</f>
        <v>OK</v>
      </c>
      <c r="AC45" s="97" t="str">
        <f>INDEX('[7]PLANILLA ALEJANDRO'!V45:BD88,1,6)</f>
        <v>OK</v>
      </c>
      <c r="AD45" s="97" t="str">
        <f>INDEX('[7]PLANILLA ALEJANDRO'!W45:BE88,1,6)</f>
        <v>OK</v>
      </c>
      <c r="AE45" s="97" t="str">
        <f>INDEX('[7]PLANILLA ALEJANDRO'!X45:BF88,1,6)</f>
        <v>OK</v>
      </c>
      <c r="AF45" s="97">
        <f>INDEX('[7]PLANILLA ALEJANDRO'!Y45:BG88,1,6)</f>
        <v>0</v>
      </c>
      <c r="AG45" s="97">
        <f>INDEX('[7]PLANILLA ALEJANDRO'!Z45:BH88,1,6)</f>
        <v>0</v>
      </c>
      <c r="AH45" s="97">
        <f>INDEX('[7]PLANILLA ALEJANDRO'!AA45:BI88,1,6)</f>
        <v>0</v>
      </c>
      <c r="AI45" s="97">
        <f>INDEX('[7]PLANILLA ALEJANDRO'!AB45:BJ88,1,6)</f>
        <v>0</v>
      </c>
      <c r="AJ45" s="97">
        <f>INDEX('[7]PLANILLA ALEJANDRO'!AC45:BK88,1,6)</f>
        <v>0</v>
      </c>
      <c r="AK45" s="97">
        <f>INDEX('[7]PLANILLA ALEJANDRO'!AD45:BL88,1,6)</f>
        <v>0</v>
      </c>
      <c r="AL45" s="97">
        <f>INDEX('[7]PLANILLA ALEJANDRO'!AE45:BM88,1,6)</f>
        <v>0</v>
      </c>
      <c r="AM45" s="97">
        <f>INDEX('[7]PLANILLA ALEJANDRO'!AF45:BN88,1,6)</f>
        <v>0</v>
      </c>
      <c r="AO45" s="116">
        <f t="shared" si="7"/>
        <v>0</v>
      </c>
      <c r="AP45" s="116">
        <f t="shared" si="7"/>
        <v>0</v>
      </c>
      <c r="AQ45" s="116">
        <f t="shared" si="7"/>
        <v>0</v>
      </c>
      <c r="AR45" s="116">
        <f t="shared" si="7"/>
        <v>0</v>
      </c>
      <c r="AS45" s="116">
        <f t="shared" si="7"/>
        <v>0</v>
      </c>
      <c r="AT45" s="116">
        <f t="shared" si="7"/>
        <v>0</v>
      </c>
      <c r="AU45" s="116">
        <f t="shared" si="7"/>
        <v>0</v>
      </c>
      <c r="AV45" s="116">
        <f t="shared" si="7"/>
        <v>0</v>
      </c>
      <c r="AW45" s="116">
        <f t="shared" si="7"/>
        <v>0</v>
      </c>
      <c r="AX45" s="116">
        <f t="shared" si="7"/>
        <v>0</v>
      </c>
      <c r="AY45" s="116">
        <f t="shared" si="7"/>
        <v>0</v>
      </c>
      <c r="AZ45" s="116">
        <f t="shared" si="7"/>
        <v>0</v>
      </c>
      <c r="BA45" s="116">
        <f t="shared" si="7"/>
        <v>22</v>
      </c>
      <c r="BB45" s="117">
        <f t="shared" si="4"/>
        <v>22</v>
      </c>
    </row>
    <row r="46" spans="1:54" ht="18.600000000000001" customHeight="1">
      <c r="B46" s="112">
        <v>38</v>
      </c>
      <c r="C46" s="113">
        <f>+'[7]PLANILLA ALEJANDRO'!C46</f>
        <v>1010176179</v>
      </c>
      <c r="D46" s="114" t="str">
        <f>IFERROR(VLOOKUP($C46,'[7]PLANILLA ALEJANDRO'!$C$9:$F$57,2,0),"NO BD")</f>
        <v xml:space="preserve">HERNANDEZ  CINDY LORENA </v>
      </c>
      <c r="E46" s="115" t="s">
        <v>582</v>
      </c>
      <c r="F46" s="114" t="str">
        <f>IFERROR(VLOOKUP($C46,[7]BD!$B$3:$O$213,3,0),"")</f>
        <v>SUPERNUMERARIA ASEO Y CAFETERIA</v>
      </c>
      <c r="G46" s="120" t="s">
        <v>584</v>
      </c>
      <c r="H46" s="114" t="str">
        <f>IFERROR(VLOOKUP($C46,[7]BD!$B$3:$O$203,14,0),"")</f>
        <v>3151006455</v>
      </c>
      <c r="I46" s="114" t="str">
        <f>IFERROR(VLOOKUP($C46,[7]BD!$B$3:$O$203,4,0),"")</f>
        <v>01/12/2025</v>
      </c>
      <c r="J46" s="97" t="str">
        <f>INDEX('[7]PLANILLA ALEJANDRO'!C46:AK89,1,6)</f>
        <v>OK</v>
      </c>
      <c r="K46" s="97" t="str">
        <f>INDEX('[7]PLANILLA ALEJANDRO'!D46:AL89,1,6)</f>
        <v>OK</v>
      </c>
      <c r="L46" s="97" t="str">
        <f>INDEX('[7]PLANILLA ALEJANDRO'!E46:AM89,1,6)</f>
        <v>OK</v>
      </c>
      <c r="M46" s="97" t="str">
        <f>INDEX('[7]PLANILLA ALEJANDRO'!F46:AN89,1,6)</f>
        <v>OK</v>
      </c>
      <c r="N46" s="97" t="str">
        <f>INDEX('[7]PLANILLA ALEJANDRO'!G46:AO89,1,6)</f>
        <v>OK</v>
      </c>
      <c r="O46" s="97" t="str">
        <f>INDEX('[7]PLANILLA ALEJANDRO'!H46:AP89,1,6)</f>
        <v>OK</v>
      </c>
      <c r="P46" s="97" t="str">
        <f>INDEX('[7]PLANILLA ALEJANDRO'!I46:AQ89,1,6)</f>
        <v>OK</v>
      </c>
      <c r="Q46" s="97" t="str">
        <f>INDEX('[7]PLANILLA ALEJANDRO'!J46:AR89,1,6)</f>
        <v>OK</v>
      </c>
      <c r="R46" s="97" t="str">
        <f>INDEX('[7]PLANILLA ALEJANDRO'!K46:AS89,1,6)</f>
        <v>OK</v>
      </c>
      <c r="S46" s="97" t="str">
        <f>INDEX('[7]PLANILLA ALEJANDRO'!L46:AT89,1,6)</f>
        <v xml:space="preserve">INC </v>
      </c>
      <c r="T46" s="97" t="str">
        <f>INDEX('[7]PLANILLA ALEJANDRO'!M46:AU89,1,6)</f>
        <v>INC</v>
      </c>
      <c r="U46" s="97" t="str">
        <f>INDEX('[7]PLANILLA ALEJANDRO'!N46:AV89,1,6)</f>
        <v>OK</v>
      </c>
      <c r="V46" s="97" t="str">
        <f>INDEX('[7]PLANILLA ALEJANDRO'!O46:AW89,1,6)</f>
        <v>OK</v>
      </c>
      <c r="W46" s="97" t="str">
        <f>INDEX('[7]PLANILLA ALEJANDRO'!P46:AX89,1,6)</f>
        <v>OK</v>
      </c>
      <c r="X46" s="97" t="str">
        <f>INDEX('[7]PLANILLA ALEJANDRO'!Q46:AY89,1,6)</f>
        <v>OK</v>
      </c>
      <c r="Y46" s="97" t="str">
        <f>INDEX('[7]PLANILLA ALEJANDRO'!R46:AZ89,1,6)</f>
        <v>OK</v>
      </c>
      <c r="Z46" s="97" t="str">
        <f>INDEX('[7]PLANILLA ALEJANDRO'!S46:BA89,1,6)</f>
        <v>OK</v>
      </c>
      <c r="AA46" s="97" t="str">
        <f>INDEX('[7]PLANILLA ALEJANDRO'!T46:BB89,1,6)</f>
        <v>OK</v>
      </c>
      <c r="AB46" s="97" t="str">
        <f>INDEX('[7]PLANILLA ALEJANDRO'!U46:BC89,1,6)</f>
        <v>OK</v>
      </c>
      <c r="AC46" s="97" t="str">
        <f>INDEX('[7]PLANILLA ALEJANDRO'!V46:BD89,1,6)</f>
        <v>OK</v>
      </c>
      <c r="AD46" s="97" t="str">
        <f>INDEX('[7]PLANILLA ALEJANDRO'!W46:BE89,1,6)</f>
        <v>OK</v>
      </c>
      <c r="AE46" s="97" t="str">
        <f>INDEX('[7]PLANILLA ALEJANDRO'!X46:BF89,1,6)</f>
        <v>OK</v>
      </c>
      <c r="AF46" s="97">
        <f>INDEX('[7]PLANILLA ALEJANDRO'!Y46:BG89,1,6)</f>
        <v>0</v>
      </c>
      <c r="AG46" s="97">
        <f>INDEX('[7]PLANILLA ALEJANDRO'!Z46:BH89,1,6)</f>
        <v>0</v>
      </c>
      <c r="AH46" s="97">
        <f>INDEX('[7]PLANILLA ALEJANDRO'!AA46:BI89,1,6)</f>
        <v>0</v>
      </c>
      <c r="AI46" s="97">
        <f>INDEX('[7]PLANILLA ALEJANDRO'!AB46:BJ89,1,6)</f>
        <v>0</v>
      </c>
      <c r="AJ46" s="97">
        <f>INDEX('[7]PLANILLA ALEJANDRO'!AC46:BK89,1,6)</f>
        <v>0</v>
      </c>
      <c r="AK46" s="97">
        <f>INDEX('[7]PLANILLA ALEJANDRO'!AD46:BL89,1,6)</f>
        <v>0</v>
      </c>
      <c r="AL46" s="97">
        <f>INDEX('[7]PLANILLA ALEJANDRO'!AE46:BM89,1,6)</f>
        <v>0</v>
      </c>
      <c r="AM46" s="97">
        <f>INDEX('[7]PLANILLA ALEJANDRO'!AF46:BN89,1,6)</f>
        <v>0</v>
      </c>
      <c r="AO46" s="116">
        <f t="shared" si="7"/>
        <v>0</v>
      </c>
      <c r="AP46" s="116">
        <f t="shared" si="7"/>
        <v>0</v>
      </c>
      <c r="AQ46" s="116">
        <f t="shared" si="7"/>
        <v>0</v>
      </c>
      <c r="AR46" s="116">
        <f t="shared" si="7"/>
        <v>1</v>
      </c>
      <c r="AS46" s="116">
        <f t="shared" si="7"/>
        <v>0</v>
      </c>
      <c r="AT46" s="116">
        <f t="shared" si="7"/>
        <v>0</v>
      </c>
      <c r="AU46" s="116">
        <f t="shared" si="7"/>
        <v>0</v>
      </c>
      <c r="AV46" s="116">
        <f t="shared" si="7"/>
        <v>0</v>
      </c>
      <c r="AW46" s="116">
        <f t="shared" si="7"/>
        <v>0</v>
      </c>
      <c r="AX46" s="116">
        <f t="shared" si="7"/>
        <v>0</v>
      </c>
      <c r="AY46" s="116">
        <f t="shared" si="7"/>
        <v>0</v>
      </c>
      <c r="AZ46" s="116">
        <f t="shared" si="7"/>
        <v>0</v>
      </c>
      <c r="BA46" s="116">
        <f t="shared" si="7"/>
        <v>20</v>
      </c>
      <c r="BB46" s="117">
        <f t="shared" si="4"/>
        <v>20</v>
      </c>
    </row>
    <row r="47" spans="1:54" ht="18.600000000000001" customHeight="1">
      <c r="B47" s="112">
        <v>39</v>
      </c>
      <c r="C47" s="113">
        <f>+'[7]PLANILLA ALEJANDRO'!C47</f>
        <v>1022936063</v>
      </c>
      <c r="D47" s="114" t="str">
        <f>IFERROR(VLOOKUP($C47,'[7]PLANILLA ALEJANDRO'!$C$9:$F$57,2,0),"NO BD")</f>
        <v xml:space="preserve">FAGUA ROMERO JUAN ALEJANDRO </v>
      </c>
      <c r="E47" s="115" t="s">
        <v>582</v>
      </c>
      <c r="F47" s="114" t="str">
        <f>IFERROR(VLOOKUP($C47,[7]BD!$B$3:$O$213,3,0),"")</f>
        <v>SUPERVISOR</v>
      </c>
      <c r="G47" s="77" t="s">
        <v>490</v>
      </c>
      <c r="H47" s="114" t="str">
        <f>IFERROR(VLOOKUP($C47,[7]BD!$B$3:$O$203,14,0),"")</f>
        <v>3057277346</v>
      </c>
      <c r="I47" s="114" t="str">
        <f>IFERROR(VLOOKUP($C47,[7]BD!$B$3:$O$203,4,0),"")</f>
        <v>18/10/2025</v>
      </c>
      <c r="J47" s="97" t="str">
        <f>INDEX('[7]PLANILLA ALEJANDRO'!C47:AK90,1,6)</f>
        <v>OK</v>
      </c>
      <c r="K47" s="97" t="str">
        <f>INDEX('[7]PLANILLA ALEJANDRO'!D47:AL90,1,6)</f>
        <v>OK</v>
      </c>
      <c r="L47" s="97" t="str">
        <f>INDEX('[7]PLANILLA ALEJANDRO'!E47:AM90,1,6)</f>
        <v>OK</v>
      </c>
      <c r="M47" s="97" t="str">
        <f>INDEX('[7]PLANILLA ALEJANDRO'!F47:AN90,1,6)</f>
        <v>OK</v>
      </c>
      <c r="N47" s="97" t="str">
        <f>INDEX('[7]PLANILLA ALEJANDRO'!G47:AO90,1,6)</f>
        <v>OK</v>
      </c>
      <c r="O47" s="97" t="str">
        <f>INDEX('[7]PLANILLA ALEJANDRO'!H47:AP90,1,6)</f>
        <v>OK</v>
      </c>
      <c r="P47" s="97" t="str">
        <f>INDEX('[7]PLANILLA ALEJANDRO'!I47:AQ90,1,6)</f>
        <v>OK</v>
      </c>
      <c r="Q47" s="97" t="str">
        <f>INDEX('[7]PLANILLA ALEJANDRO'!J47:AR90,1,6)</f>
        <v>OK</v>
      </c>
      <c r="R47" s="97" t="str">
        <f>INDEX('[7]PLANILLA ALEJANDRO'!K47:AS90,1,6)</f>
        <v>OK</v>
      </c>
      <c r="S47" s="97" t="str">
        <f>INDEX('[7]PLANILLA ALEJANDRO'!L47:AT90,1,6)</f>
        <v>OK</v>
      </c>
      <c r="T47" s="97" t="str">
        <f>INDEX('[7]PLANILLA ALEJANDRO'!M47:AU90,1,6)</f>
        <v>OK</v>
      </c>
      <c r="U47" s="97" t="str">
        <f>INDEX('[7]PLANILLA ALEJANDRO'!N47:AV90,1,6)</f>
        <v>OK</v>
      </c>
      <c r="V47" s="97" t="str">
        <f>INDEX('[7]PLANILLA ALEJANDRO'!O47:AW90,1,6)</f>
        <v>OK</v>
      </c>
      <c r="W47" s="97" t="str">
        <f>INDEX('[7]PLANILLA ALEJANDRO'!P47:AX90,1,6)</f>
        <v>OK</v>
      </c>
      <c r="X47" s="97" t="str">
        <f>INDEX('[7]PLANILLA ALEJANDRO'!Q47:AY90,1,6)</f>
        <v>OK</v>
      </c>
      <c r="Y47" s="97" t="str">
        <f>INDEX('[7]PLANILLA ALEJANDRO'!R47:AZ90,1,6)</f>
        <v>OK</v>
      </c>
      <c r="Z47" s="97" t="str">
        <f>INDEX('[7]PLANILLA ALEJANDRO'!S47:BA90,1,6)</f>
        <v>OK</v>
      </c>
      <c r="AA47" s="97" t="str">
        <f>INDEX('[7]PLANILLA ALEJANDRO'!T47:BB90,1,6)</f>
        <v>OK</v>
      </c>
      <c r="AB47" s="97" t="str">
        <f>INDEX('[7]PLANILLA ALEJANDRO'!U47:BC90,1,6)</f>
        <v>OK</v>
      </c>
      <c r="AC47" s="97" t="str">
        <f>INDEX('[7]PLANILLA ALEJANDRO'!V47:BD90,1,6)</f>
        <v>OK</v>
      </c>
      <c r="AD47" s="97" t="str">
        <f>INDEX('[7]PLANILLA ALEJANDRO'!W47:BE90,1,6)</f>
        <v>OK</v>
      </c>
      <c r="AE47" s="97" t="str">
        <f>INDEX('[7]PLANILLA ALEJANDRO'!X47:BF90,1,6)</f>
        <v>OK</v>
      </c>
      <c r="AF47" s="97">
        <f>INDEX('[7]PLANILLA ALEJANDRO'!Y47:BG90,1,6)</f>
        <v>0</v>
      </c>
      <c r="AG47" s="97">
        <f>INDEX('[7]PLANILLA ALEJANDRO'!Z47:BH90,1,6)</f>
        <v>0</v>
      </c>
      <c r="AH47" s="97">
        <f>INDEX('[7]PLANILLA ALEJANDRO'!AA47:BI90,1,6)</f>
        <v>0</v>
      </c>
      <c r="AI47" s="97">
        <f>INDEX('[7]PLANILLA ALEJANDRO'!AB47:BJ90,1,6)</f>
        <v>0</v>
      </c>
      <c r="AJ47" s="97">
        <f>INDEX('[7]PLANILLA ALEJANDRO'!AC47:BK90,1,6)</f>
        <v>0</v>
      </c>
      <c r="AK47" s="97">
        <f>INDEX('[7]PLANILLA ALEJANDRO'!AD47:BL90,1,6)</f>
        <v>0</v>
      </c>
      <c r="AL47" s="97">
        <f>INDEX('[7]PLANILLA ALEJANDRO'!AE47:BM90,1,6)</f>
        <v>0</v>
      </c>
      <c r="AM47" s="97">
        <f>INDEX('[7]PLANILLA ALEJANDRO'!AF47:BN90,1,6)</f>
        <v>0</v>
      </c>
      <c r="AO47" s="116">
        <f t="shared" si="7"/>
        <v>0</v>
      </c>
      <c r="AP47" s="116">
        <f t="shared" si="7"/>
        <v>0</v>
      </c>
      <c r="AQ47" s="116">
        <f t="shared" si="7"/>
        <v>0</v>
      </c>
      <c r="AR47" s="116">
        <f t="shared" si="7"/>
        <v>0</v>
      </c>
      <c r="AS47" s="116">
        <f t="shared" si="7"/>
        <v>0</v>
      </c>
      <c r="AT47" s="116">
        <f t="shared" si="7"/>
        <v>0</v>
      </c>
      <c r="AU47" s="116">
        <f t="shared" si="7"/>
        <v>0</v>
      </c>
      <c r="AV47" s="116">
        <f t="shared" si="7"/>
        <v>0</v>
      </c>
      <c r="AW47" s="116">
        <f t="shared" si="7"/>
        <v>0</v>
      </c>
      <c r="AX47" s="116">
        <f t="shared" si="7"/>
        <v>0</v>
      </c>
      <c r="AY47" s="116">
        <f t="shared" si="7"/>
        <v>0</v>
      </c>
      <c r="AZ47" s="116">
        <f t="shared" si="7"/>
        <v>0</v>
      </c>
      <c r="BA47" s="116">
        <f t="shared" si="7"/>
        <v>22</v>
      </c>
      <c r="BB47" s="117">
        <f t="shared" si="4"/>
        <v>22</v>
      </c>
    </row>
    <row r="48" spans="1:54" ht="18.600000000000001" customHeight="1">
      <c r="A48" s="119" t="s">
        <v>583</v>
      </c>
      <c r="B48" s="112">
        <v>40</v>
      </c>
      <c r="C48" s="113">
        <f>+'[7]PLANILLA ALEJANDRO'!C48</f>
        <v>80443614</v>
      </c>
      <c r="D48" s="114" t="str">
        <f>IFERROR(VLOOKUP($C48,'[7]PLANILLA ALEJANDRO'!$C$9:$F$57,2,0),"NO BD")</f>
        <v xml:space="preserve">LARA TELLEZ YESID  </v>
      </c>
      <c r="E48" s="115" t="s">
        <v>582</v>
      </c>
      <c r="F48" s="114" t="str">
        <f>IFERROR(VLOOKUP($C48,[7]BD!$B$3:$O$213,3,0),"")</f>
        <v>OPERARIO DE MANTENIMIENTO</v>
      </c>
      <c r="G48" s="77" t="s">
        <v>490</v>
      </c>
      <c r="H48" s="114" t="str">
        <f>IFERROR(VLOOKUP($C48,[7]BD!$B$3:$O$203,14,0),"")</f>
        <v>3042009163</v>
      </c>
      <c r="I48" s="114" t="str">
        <f>IFERROR(VLOOKUP($C48,[7]BD!$B$3:$O$203,4,0),"")</f>
        <v>22/10/2025</v>
      </c>
      <c r="J48" s="97" t="str">
        <f>INDEX('[7]PLANILLA ALEJANDRO'!C48:AK91,1,6)</f>
        <v>TS</v>
      </c>
      <c r="K48" s="97" t="str">
        <f>INDEX('[7]PLANILLA ALEJANDRO'!D48:AL91,1,6)</f>
        <v>TS</v>
      </c>
      <c r="L48" s="97" t="str">
        <f>INDEX('[7]PLANILLA ALEJANDRO'!E48:AM91,1,6)</f>
        <v>TS</v>
      </c>
      <c r="M48" s="97" t="str">
        <f>INDEX('[7]PLANILLA ALEJANDRO'!F48:AN91,1,6)</f>
        <v>TS</v>
      </c>
      <c r="N48" s="97" t="str">
        <f>INDEX('[7]PLANILLA ALEJANDRO'!G48:AO91,1,6)</f>
        <v>TS</v>
      </c>
      <c r="O48" s="97" t="str">
        <f>INDEX('[7]PLANILLA ALEJANDRO'!H48:AP91,1,6)</f>
        <v>TS</v>
      </c>
      <c r="P48" s="97" t="str">
        <f>INDEX('[7]PLANILLA ALEJANDRO'!I48:AQ91,1,6)</f>
        <v>TS</v>
      </c>
      <c r="Q48" s="97" t="str">
        <f>INDEX('[7]PLANILLA ALEJANDRO'!J48:AR91,1,6)</f>
        <v>TS</v>
      </c>
      <c r="R48" s="97" t="str">
        <f>INDEX('[7]PLANILLA ALEJANDRO'!K48:AS91,1,6)</f>
        <v>TS</v>
      </c>
      <c r="S48" s="97" t="str">
        <f>INDEX('[7]PLANILLA ALEJANDRO'!L48:AT91,1,6)</f>
        <v>TS</v>
      </c>
      <c r="T48" s="97" t="str">
        <f>INDEX('[7]PLANILLA ALEJANDRO'!M48:AU91,1,6)</f>
        <v>TS</v>
      </c>
      <c r="U48" s="97" t="str">
        <f>INDEX('[7]PLANILLA ALEJANDRO'!N48:AV91,1,6)</f>
        <v>TS</v>
      </c>
      <c r="V48" s="97" t="str">
        <f>INDEX('[7]PLANILLA ALEJANDRO'!O48:AW91,1,6)</f>
        <v>TS</v>
      </c>
      <c r="W48" s="97" t="str">
        <f>INDEX('[7]PLANILLA ALEJANDRO'!P48:AX91,1,6)</f>
        <v>TS</v>
      </c>
      <c r="X48" s="97" t="str">
        <f>INDEX('[7]PLANILLA ALEJANDRO'!Q48:AY91,1,6)</f>
        <v>TS</v>
      </c>
      <c r="Y48" s="97" t="str">
        <f>INDEX('[7]PLANILLA ALEJANDRO'!R48:AZ91,1,6)</f>
        <v>TS</v>
      </c>
      <c r="Z48" s="97" t="str">
        <f>INDEX('[7]PLANILLA ALEJANDRO'!S48:BA91,1,6)</f>
        <v>TS</v>
      </c>
      <c r="AA48" s="97" t="str">
        <f>INDEX('[7]PLANILLA ALEJANDRO'!T48:BB91,1,6)</f>
        <v>OK</v>
      </c>
      <c r="AB48" s="97" t="str">
        <f>INDEX('[7]PLANILLA ALEJANDRO'!U48:BC91,1,6)</f>
        <v>OK</v>
      </c>
      <c r="AC48" s="97" t="str">
        <f>INDEX('[7]PLANILLA ALEJANDRO'!V48:BD91,1,6)</f>
        <v>OK</v>
      </c>
      <c r="AD48" s="97" t="str">
        <f>INDEX('[7]PLANILLA ALEJANDRO'!W48:BE91,1,6)</f>
        <v>OK</v>
      </c>
      <c r="AE48" s="97" t="str">
        <f>INDEX('[7]PLANILLA ALEJANDRO'!X48:BF91,1,6)</f>
        <v>OK</v>
      </c>
      <c r="AF48" s="97">
        <f>INDEX('[7]PLANILLA ALEJANDRO'!Y48:BG91,1,6)</f>
        <v>0</v>
      </c>
      <c r="AG48" s="97">
        <f>INDEX('[7]PLANILLA ALEJANDRO'!Z48:BH91,1,6)</f>
        <v>0</v>
      </c>
      <c r="AH48" s="97">
        <f>INDEX('[7]PLANILLA ALEJANDRO'!AA48:BI91,1,6)</f>
        <v>0</v>
      </c>
      <c r="AI48" s="97">
        <f>INDEX('[7]PLANILLA ALEJANDRO'!AB48:BJ91,1,6)</f>
        <v>0</v>
      </c>
      <c r="AJ48" s="97">
        <f>INDEX('[7]PLANILLA ALEJANDRO'!AC48:BK91,1,6)</f>
        <v>0</v>
      </c>
      <c r="AK48" s="97">
        <f>INDEX('[7]PLANILLA ALEJANDRO'!AD48:BL91,1,6)</f>
        <v>0</v>
      </c>
      <c r="AL48" s="97">
        <f>INDEX('[7]PLANILLA ALEJANDRO'!AE48:BM91,1,6)</f>
        <v>0</v>
      </c>
      <c r="AM48" s="97">
        <f>INDEX('[7]PLANILLA ALEJANDRO'!AF48:BN91,1,6)</f>
        <v>0</v>
      </c>
      <c r="AO48" s="116">
        <f t="shared" si="7"/>
        <v>0</v>
      </c>
      <c r="AP48" s="116">
        <f t="shared" si="7"/>
        <v>0</v>
      </c>
      <c r="AQ48" s="116">
        <f t="shared" si="7"/>
        <v>0</v>
      </c>
      <c r="AR48" s="116">
        <f t="shared" si="7"/>
        <v>0</v>
      </c>
      <c r="AS48" s="116">
        <f t="shared" si="7"/>
        <v>0</v>
      </c>
      <c r="AT48" s="116">
        <f t="shared" si="7"/>
        <v>0</v>
      </c>
      <c r="AU48" s="116">
        <f t="shared" si="7"/>
        <v>0</v>
      </c>
      <c r="AV48" s="116">
        <f t="shared" si="7"/>
        <v>0</v>
      </c>
      <c r="AW48" s="116">
        <f t="shared" si="7"/>
        <v>0</v>
      </c>
      <c r="AX48" s="116">
        <f t="shared" si="7"/>
        <v>0</v>
      </c>
      <c r="AY48" s="116">
        <f t="shared" si="7"/>
        <v>0</v>
      </c>
      <c r="AZ48" s="116">
        <f t="shared" si="7"/>
        <v>17</v>
      </c>
      <c r="BA48" s="116">
        <f t="shared" si="7"/>
        <v>5</v>
      </c>
      <c r="BB48" s="117">
        <f t="shared" si="4"/>
        <v>5</v>
      </c>
    </row>
    <row r="49" spans="1:54" ht="18.600000000000001" customHeight="1">
      <c r="A49" s="119" t="s">
        <v>583</v>
      </c>
      <c r="B49" s="112">
        <v>41</v>
      </c>
      <c r="C49" s="113">
        <f>+'[7]PLANILLA ALEJANDRO'!C49</f>
        <v>1024583299</v>
      </c>
      <c r="D49" s="114" t="str">
        <f>IFERROR(VLOOKUP($C49,'[7]PLANILLA ALEJANDRO'!$C$9:$F$57,2,0),"NO BD")</f>
        <v xml:space="preserve">SIERRA BOTERO JENNIFER  </v>
      </c>
      <c r="E49" s="115" t="s">
        <v>582</v>
      </c>
      <c r="F49" s="114" t="str">
        <f>IFERROR(VLOOKUP($C49,[7]BD!$B$3:$O$213,3,0),"")</f>
        <v>OPERARIO DE ASEO</v>
      </c>
      <c r="G49" s="77" t="s">
        <v>490</v>
      </c>
      <c r="H49" s="114" t="str">
        <f>IFERROR(VLOOKUP($C49,[7]BD!$B$3:$O$203,14,0),"")</f>
        <v>3204997455</v>
      </c>
      <c r="I49" s="114" t="str">
        <f>IFERROR(VLOOKUP($C49,[7]BD!$B$3:$O$203,4,0),"")</f>
        <v>18/10/2025</v>
      </c>
      <c r="J49" s="97" t="str">
        <f>INDEX('[7]PLANILLA ALEJANDRO'!C49:AK92,1,6)</f>
        <v>TS</v>
      </c>
      <c r="K49" s="97" t="str">
        <f>INDEX('[7]PLANILLA ALEJANDRO'!D49:AL92,1,6)</f>
        <v>TS</v>
      </c>
      <c r="L49" s="97" t="str">
        <f>INDEX('[7]PLANILLA ALEJANDRO'!E49:AM92,1,6)</f>
        <v>TS</v>
      </c>
      <c r="M49" s="97" t="str">
        <f>INDEX('[7]PLANILLA ALEJANDRO'!F49:AN92,1,6)</f>
        <v>TS</v>
      </c>
      <c r="N49" s="97" t="str">
        <f>INDEX('[7]PLANILLA ALEJANDRO'!G49:AO92,1,6)</f>
        <v>TS</v>
      </c>
      <c r="O49" s="97" t="str">
        <f>INDEX('[7]PLANILLA ALEJANDRO'!H49:AP92,1,6)</f>
        <v>TS</v>
      </c>
      <c r="P49" s="97" t="str">
        <f>INDEX('[7]PLANILLA ALEJANDRO'!I49:AQ92,1,6)</f>
        <v>TS</v>
      </c>
      <c r="Q49" s="97" t="str">
        <f>INDEX('[7]PLANILLA ALEJANDRO'!J49:AR92,1,6)</f>
        <v>TS</v>
      </c>
      <c r="R49" s="97" t="str">
        <f>INDEX('[7]PLANILLA ALEJANDRO'!K49:AS92,1,6)</f>
        <v>TS</v>
      </c>
      <c r="S49" s="97" t="str">
        <f>INDEX('[7]PLANILLA ALEJANDRO'!L49:AT92,1,6)</f>
        <v>TS</v>
      </c>
      <c r="T49" s="97" t="str">
        <f>INDEX('[7]PLANILLA ALEJANDRO'!M49:AU92,1,6)</f>
        <v>TS</v>
      </c>
      <c r="U49" s="97" t="str">
        <f>INDEX('[7]PLANILLA ALEJANDRO'!N49:AV92,1,6)</f>
        <v>TS</v>
      </c>
      <c r="V49" s="97" t="str">
        <f>INDEX('[7]PLANILLA ALEJANDRO'!O49:AW92,1,6)</f>
        <v>TS</v>
      </c>
      <c r="W49" s="97" t="str">
        <f>INDEX('[7]PLANILLA ALEJANDRO'!P49:AX92,1,6)</f>
        <v>TS</v>
      </c>
      <c r="X49" s="97" t="str">
        <f>INDEX('[7]PLANILLA ALEJANDRO'!Q49:AY92,1,6)</f>
        <v>TS</v>
      </c>
      <c r="Y49" s="97" t="str">
        <f>INDEX('[7]PLANILLA ALEJANDRO'!R49:AZ92,1,6)</f>
        <v>TS</v>
      </c>
      <c r="Z49" s="97" t="str">
        <f>INDEX('[7]PLANILLA ALEJANDRO'!S49:BA92,1,6)</f>
        <v>TS</v>
      </c>
      <c r="AA49" s="97" t="str">
        <f>INDEX('[7]PLANILLA ALEJANDRO'!T49:BB92,1,6)</f>
        <v>TS</v>
      </c>
      <c r="AB49" s="97" t="str">
        <f>INDEX('[7]PLANILLA ALEJANDRO'!U49:BC92,1,6)</f>
        <v>TS</v>
      </c>
      <c r="AC49" s="97" t="str">
        <f>INDEX('[7]PLANILLA ALEJANDRO'!V49:BD92,1,6)</f>
        <v>TS</v>
      </c>
      <c r="AD49" s="97" t="str">
        <f>INDEX('[7]PLANILLA ALEJANDRO'!W49:BE92,1,6)</f>
        <v>AUS</v>
      </c>
      <c r="AE49" s="97" t="str">
        <f>INDEX('[7]PLANILLA ALEJANDRO'!X49:BF92,1,6)</f>
        <v>OK</v>
      </c>
      <c r="AF49" s="97">
        <f>INDEX('[7]PLANILLA ALEJANDRO'!Y49:BG92,1,6)</f>
        <v>0</v>
      </c>
      <c r="AG49" s="97">
        <f>INDEX('[7]PLANILLA ALEJANDRO'!Z49:BH92,1,6)</f>
        <v>0</v>
      </c>
      <c r="AH49" s="97">
        <f>INDEX('[7]PLANILLA ALEJANDRO'!AA49:BI92,1,6)</f>
        <v>0</v>
      </c>
      <c r="AI49" s="97">
        <f>INDEX('[7]PLANILLA ALEJANDRO'!AB49:BJ92,1,6)</f>
        <v>0</v>
      </c>
      <c r="AJ49" s="97">
        <f>INDEX('[7]PLANILLA ALEJANDRO'!AC49:BK92,1,6)</f>
        <v>0</v>
      </c>
      <c r="AK49" s="97">
        <f>INDEX('[7]PLANILLA ALEJANDRO'!AD49:BL92,1,6)</f>
        <v>0</v>
      </c>
      <c r="AL49" s="97">
        <f>INDEX('[7]PLANILLA ALEJANDRO'!AE49:BM92,1,6)</f>
        <v>0</v>
      </c>
      <c r="AM49" s="97">
        <f>INDEX('[7]PLANILLA ALEJANDRO'!AF49:BN92,1,6)</f>
        <v>0</v>
      </c>
      <c r="AO49" s="116">
        <f t="shared" si="7"/>
        <v>1</v>
      </c>
      <c r="AP49" s="116">
        <f t="shared" si="7"/>
        <v>0</v>
      </c>
      <c r="AQ49" s="116">
        <f t="shared" si="7"/>
        <v>0</v>
      </c>
      <c r="AR49" s="116">
        <f t="shared" si="7"/>
        <v>0</v>
      </c>
      <c r="AS49" s="116">
        <f t="shared" si="7"/>
        <v>0</v>
      </c>
      <c r="AT49" s="116">
        <f t="shared" si="7"/>
        <v>0</v>
      </c>
      <c r="AU49" s="116">
        <f t="shared" si="7"/>
        <v>0</v>
      </c>
      <c r="AV49" s="116">
        <f t="shared" si="7"/>
        <v>0</v>
      </c>
      <c r="AW49" s="116">
        <f t="shared" si="7"/>
        <v>0</v>
      </c>
      <c r="AX49" s="116">
        <f t="shared" si="7"/>
        <v>0</v>
      </c>
      <c r="AY49" s="116">
        <f t="shared" si="7"/>
        <v>0</v>
      </c>
      <c r="AZ49" s="116">
        <f t="shared" si="7"/>
        <v>20</v>
      </c>
      <c r="BA49" s="116">
        <f t="shared" si="7"/>
        <v>1</v>
      </c>
      <c r="BB49" s="117">
        <f t="shared" si="4"/>
        <v>1</v>
      </c>
    </row>
    <row r="50" spans="1:54" ht="18.600000000000001" customHeight="1">
      <c r="A50" s="119" t="s">
        <v>583</v>
      </c>
      <c r="B50" s="112">
        <v>42</v>
      </c>
      <c r="C50" s="121">
        <f>+'[7]PLANILLA YEMI '!C9</f>
        <v>1007186042</v>
      </c>
      <c r="D50" s="122" t="str">
        <f>IFERROR(VLOOKUP($C50,'[7]PLANILLA YEMI '!$C$9:$F$60,2,0),"NO BD")</f>
        <v xml:space="preserve">ALARCON HERNANDEZ YENNY MARCELA </v>
      </c>
      <c r="E50" s="123" t="s">
        <v>585</v>
      </c>
      <c r="F50" s="114" t="str">
        <f>IFERROR(VLOOKUP($C50,[7]BD!$B$3:$O$213,3,0),"")</f>
        <v>OPERARIA DE ASEO Y CAFETERIA</v>
      </c>
      <c r="G50" s="124" t="s">
        <v>483</v>
      </c>
      <c r="H50" s="114" t="str">
        <f>IFERROR(VLOOKUP($C50,[7]BD!$B$3:$O$203,14,0),"")</f>
        <v>3222575884</v>
      </c>
      <c r="I50" s="114" t="str">
        <f>IFERROR(VLOOKUP($C50,[7]BD!$B$3:$O$203,4,0),"")</f>
        <v>18/10/2025</v>
      </c>
      <c r="J50" s="97" t="str">
        <f>INDEX('[7]PLANILLA YEMI '!C9:AK63,1,6)</f>
        <v>TS</v>
      </c>
      <c r="K50" s="97" t="str">
        <f>INDEX('[7]PLANILLA YEMI '!D9:AL63,1,6)</f>
        <v>TS</v>
      </c>
      <c r="L50" s="97" t="str">
        <f>INDEX('[7]PLANILLA YEMI '!E9:AM63,1,6)</f>
        <v>TS</v>
      </c>
      <c r="M50" s="97" t="str">
        <f>INDEX('[7]PLANILLA YEMI '!F9:AN63,1,6)</f>
        <v>TS</v>
      </c>
      <c r="N50" s="97" t="str">
        <f>INDEX('[7]PLANILLA YEMI '!G9:AO63,1,6)</f>
        <v>TS</v>
      </c>
      <c r="O50" s="97" t="str">
        <f>INDEX('[7]PLANILLA YEMI '!H9:AP63,1,6)</f>
        <v>TS</v>
      </c>
      <c r="P50" s="97" t="str">
        <f>INDEX('[7]PLANILLA YEMI '!I9:AQ63,1,6)</f>
        <v>TS</v>
      </c>
      <c r="Q50" s="97" t="str">
        <f>INDEX('[7]PLANILLA YEMI '!J9:AR63,1,6)</f>
        <v>TS</v>
      </c>
      <c r="R50" s="97" t="str">
        <f>INDEX('[7]PLANILLA YEMI '!K9:AS63,1,6)</f>
        <v>TS</v>
      </c>
      <c r="S50" s="97" t="str">
        <f>INDEX('[7]PLANILLA YEMI '!L9:AT63,1,6)</f>
        <v>TS</v>
      </c>
      <c r="T50" s="97" t="str">
        <f>INDEX('[7]PLANILLA YEMI '!M9:AU63,1,6)</f>
        <v>TS</v>
      </c>
      <c r="U50" s="97" t="str">
        <f>INDEX('[7]PLANILLA YEMI '!N9:AV63,1,6)</f>
        <v>TS</v>
      </c>
      <c r="V50" s="97" t="str">
        <f>INDEX('[7]PLANILLA YEMI '!O9:AW63,1,6)</f>
        <v>TS</v>
      </c>
      <c r="W50" s="97" t="str">
        <f>INDEX('[7]PLANILLA YEMI '!P9:AX63,1,6)</f>
        <v>TS</v>
      </c>
      <c r="X50" s="97" t="str">
        <f>INDEX('[7]PLANILLA YEMI '!Q9:AY63,1,6)</f>
        <v>TS</v>
      </c>
      <c r="Y50" s="97" t="str">
        <f>INDEX('[7]PLANILLA YEMI '!R9:AZ63,1,6)</f>
        <v>TS</v>
      </c>
      <c r="Z50" s="97" t="str">
        <f>INDEX('[7]PLANILLA YEMI '!S9:BA63,1,6)</f>
        <v>OK</v>
      </c>
      <c r="AA50" s="97" t="str">
        <f>INDEX('[7]PLANILLA YEMI '!T9:BB63,1,6)</f>
        <v>OK</v>
      </c>
      <c r="AB50" s="97" t="str">
        <f>INDEX('[7]PLANILLA YEMI '!U9:BC63,1,6)</f>
        <v>OK</v>
      </c>
      <c r="AC50" s="97" t="str">
        <f>INDEX('[7]PLANILLA YEMI '!V9:BD63,1,6)</f>
        <v>OK</v>
      </c>
      <c r="AD50" s="97" t="str">
        <f>INDEX('[7]PLANILLA YEMI '!W9:BE63,1,6)</f>
        <v>OK</v>
      </c>
      <c r="AE50" s="97">
        <f>INDEX('[7]PLANILLA YEMI '!X9:BF63,1,6)</f>
        <v>0</v>
      </c>
      <c r="AF50" s="97">
        <f>INDEX('[7]PLANILLA YEMI '!Y9:BG63,1,6)</f>
        <v>0</v>
      </c>
      <c r="AG50" s="97">
        <f>INDEX('[7]PLANILLA YEMI '!Z9:BH63,1,6)</f>
        <v>0</v>
      </c>
      <c r="AH50" s="97">
        <f>INDEX('[7]PLANILLA YEMI '!AA9:BI63,1,6)</f>
        <v>0</v>
      </c>
      <c r="AI50" s="97">
        <f>INDEX('[7]PLANILLA YEMI '!AB9:BJ63,1,6)</f>
        <v>0</v>
      </c>
      <c r="AJ50" s="97">
        <f>INDEX('[7]PLANILLA YEMI '!AC9:BK63,1,6)</f>
        <v>0</v>
      </c>
      <c r="AK50" s="97">
        <f>INDEX('[7]PLANILLA YEMI '!AD9:BL63,1,6)</f>
        <v>0</v>
      </c>
      <c r="AL50" s="97">
        <f>INDEX('[7]PLANILLA YEMI '!AE9:BM63,1,6)</f>
        <v>0</v>
      </c>
      <c r="AM50" s="97">
        <f>INDEX('[7]PLANILLA YEMI '!AF9:BN63,1,6)</f>
        <v>0</v>
      </c>
      <c r="AO50" s="116">
        <f t="shared" si="7"/>
        <v>0</v>
      </c>
      <c r="AP50" s="116">
        <f t="shared" si="7"/>
        <v>0</v>
      </c>
      <c r="AQ50" s="116">
        <f t="shared" si="7"/>
        <v>0</v>
      </c>
      <c r="AR50" s="116">
        <f t="shared" si="7"/>
        <v>0</v>
      </c>
      <c r="AS50" s="116">
        <f t="shared" si="7"/>
        <v>0</v>
      </c>
      <c r="AT50" s="116">
        <f t="shared" si="7"/>
        <v>0</v>
      </c>
      <c r="AU50" s="116">
        <f t="shared" si="7"/>
        <v>0</v>
      </c>
      <c r="AV50" s="116">
        <f t="shared" si="7"/>
        <v>0</v>
      </c>
      <c r="AW50" s="116">
        <f t="shared" si="7"/>
        <v>0</v>
      </c>
      <c r="AX50" s="116">
        <f t="shared" si="7"/>
        <v>0</v>
      </c>
      <c r="AY50" s="116">
        <f t="shared" si="7"/>
        <v>0</v>
      </c>
      <c r="AZ50" s="116">
        <f t="shared" si="7"/>
        <v>16</v>
      </c>
      <c r="BA50" s="116">
        <f t="shared" si="7"/>
        <v>5</v>
      </c>
      <c r="BB50" s="117">
        <f t="shared" si="4"/>
        <v>5</v>
      </c>
    </row>
    <row r="51" spans="1:54" ht="18.600000000000001" customHeight="1">
      <c r="B51" s="112">
        <v>43</v>
      </c>
      <c r="C51" s="121">
        <f>+'[7]PLANILLA YEMI '!C10</f>
        <v>80369946</v>
      </c>
      <c r="D51" s="122" t="str">
        <f>IFERROR(VLOOKUP($C51,'[7]PLANILLA YEMI '!$C$9:$F$60,2,0),"NO BD")</f>
        <v xml:space="preserve">MEDINA CASTRO PEDRO ANTONIO </v>
      </c>
      <c r="E51" s="123" t="s">
        <v>585</v>
      </c>
      <c r="F51" s="114" t="str">
        <f>IFERROR(VLOOKUP($C51,[7]BD!$B$3:$O$213,3,0),"")</f>
        <v>OPERARIO DE MANTENIMIENTO</v>
      </c>
      <c r="G51" s="124" t="s">
        <v>483</v>
      </c>
      <c r="H51" s="114" t="str">
        <f>IFERROR(VLOOKUP($C51,[7]BD!$B$3:$O$203,14,0),"")</f>
        <v>3114917055</v>
      </c>
      <c r="I51" s="114" t="str">
        <f>IFERROR(VLOOKUP($C51,[7]BD!$B$3:$O$203,4,0),"")</f>
        <v>18/10/2025</v>
      </c>
      <c r="J51" s="97" t="str">
        <f>INDEX('[7]PLANILLA YEMI '!C10:AK64,1,6)</f>
        <v>OK</v>
      </c>
      <c r="K51" s="97" t="str">
        <f>INDEX('[7]PLANILLA YEMI '!D10:AL64,1,6)</f>
        <v>OK</v>
      </c>
      <c r="L51" s="97" t="str">
        <f>INDEX('[7]PLANILLA YEMI '!E10:AM64,1,6)</f>
        <v>OK</v>
      </c>
      <c r="M51" s="97" t="str">
        <f>INDEX('[7]PLANILLA YEMI '!F10:AN64,1,6)</f>
        <v>OK</v>
      </c>
      <c r="N51" s="97" t="str">
        <f>INDEX('[7]PLANILLA YEMI '!G10:AO64,1,6)</f>
        <v>OK</v>
      </c>
      <c r="O51" s="97" t="str">
        <f>INDEX('[7]PLANILLA YEMI '!H10:AP64,1,6)</f>
        <v>OK</v>
      </c>
      <c r="P51" s="97" t="str">
        <f>INDEX('[7]PLANILLA YEMI '!I10:AQ64,1,6)</f>
        <v>OK</v>
      </c>
      <c r="Q51" s="97" t="str">
        <f>INDEX('[7]PLANILLA YEMI '!J10:AR64,1,6)</f>
        <v>OK</v>
      </c>
      <c r="R51" s="97" t="str">
        <f>INDEX('[7]PLANILLA YEMI '!K10:AS64,1,6)</f>
        <v>OK</v>
      </c>
      <c r="S51" s="97" t="str">
        <f>INDEX('[7]PLANILLA YEMI '!L10:AT64,1,6)</f>
        <v>OK</v>
      </c>
      <c r="T51" s="97" t="str">
        <f>INDEX('[7]PLANILLA YEMI '!M10:AU64,1,6)</f>
        <v>OK</v>
      </c>
      <c r="U51" s="97" t="str">
        <f>INDEX('[7]PLANILLA YEMI '!N10:AV64,1,6)</f>
        <v>OK</v>
      </c>
      <c r="V51" s="97" t="str">
        <f>INDEX('[7]PLANILLA YEMI '!O10:AW64,1,6)</f>
        <v>OK</v>
      </c>
      <c r="W51" s="97" t="str">
        <f>INDEX('[7]PLANILLA YEMI '!P10:AX64,1,6)</f>
        <v>OK</v>
      </c>
      <c r="X51" s="97" t="str">
        <f>INDEX('[7]PLANILLA YEMI '!Q10:AY64,1,6)</f>
        <v>OK</v>
      </c>
      <c r="Y51" s="97" t="str">
        <f>INDEX('[7]PLANILLA YEMI '!R10:AZ64,1,6)</f>
        <v>OK</v>
      </c>
      <c r="Z51" s="97" t="str">
        <f>INDEX('[7]PLANILLA YEMI '!S10:BA64,1,6)</f>
        <v>OK</v>
      </c>
      <c r="AA51" s="97" t="str">
        <f>INDEX('[7]PLANILLA YEMI '!T10:BB64,1,6)</f>
        <v>OK</v>
      </c>
      <c r="AB51" s="97" t="str">
        <f>INDEX('[7]PLANILLA YEMI '!U10:BC64,1,6)</f>
        <v>OK</v>
      </c>
      <c r="AC51" s="97" t="str">
        <f>INDEX('[7]PLANILLA YEMI '!V10:BD64,1,6)</f>
        <v>OK</v>
      </c>
      <c r="AD51" s="97" t="str">
        <f>INDEX('[7]PLANILLA YEMI '!W10:BE64,1,6)</f>
        <v>OK</v>
      </c>
      <c r="AE51" s="97">
        <f>INDEX('[7]PLANILLA YEMI '!X10:BF64,1,6)</f>
        <v>0</v>
      </c>
      <c r="AF51" s="97">
        <f>INDEX('[7]PLANILLA YEMI '!Y10:BG64,1,6)</f>
        <v>0</v>
      </c>
      <c r="AG51" s="97">
        <f>INDEX('[7]PLANILLA YEMI '!Z10:BH64,1,6)</f>
        <v>0</v>
      </c>
      <c r="AH51" s="97">
        <f>INDEX('[7]PLANILLA YEMI '!AA10:BI64,1,6)</f>
        <v>0</v>
      </c>
      <c r="AI51" s="97">
        <f>INDEX('[7]PLANILLA YEMI '!AB10:BJ64,1,6)</f>
        <v>0</v>
      </c>
      <c r="AJ51" s="97">
        <f>INDEX('[7]PLANILLA YEMI '!AC10:BK64,1,6)</f>
        <v>0</v>
      </c>
      <c r="AK51" s="97">
        <f>INDEX('[7]PLANILLA YEMI '!AD10:BL64,1,6)</f>
        <v>0</v>
      </c>
      <c r="AL51" s="97">
        <f>INDEX('[7]PLANILLA YEMI '!AE10:BM64,1,6)</f>
        <v>0</v>
      </c>
      <c r="AM51" s="97">
        <f>INDEX('[7]PLANILLA YEMI '!AF10:BN64,1,6)</f>
        <v>0</v>
      </c>
      <c r="AO51" s="116">
        <f t="shared" si="7"/>
        <v>0</v>
      </c>
      <c r="AP51" s="116">
        <f t="shared" si="7"/>
        <v>0</v>
      </c>
      <c r="AQ51" s="116">
        <f t="shared" si="7"/>
        <v>0</v>
      </c>
      <c r="AR51" s="116">
        <f t="shared" si="7"/>
        <v>0</v>
      </c>
      <c r="AS51" s="116">
        <f t="shared" si="7"/>
        <v>0</v>
      </c>
      <c r="AT51" s="116">
        <f t="shared" si="7"/>
        <v>0</v>
      </c>
      <c r="AU51" s="116">
        <f t="shared" si="7"/>
        <v>0</v>
      </c>
      <c r="AV51" s="116">
        <f t="shared" si="7"/>
        <v>0</v>
      </c>
      <c r="AW51" s="116">
        <f t="shared" si="7"/>
        <v>0</v>
      </c>
      <c r="AX51" s="116">
        <f t="shared" si="7"/>
        <v>0</v>
      </c>
      <c r="AY51" s="116">
        <f t="shared" si="7"/>
        <v>0</v>
      </c>
      <c r="AZ51" s="116">
        <f t="shared" si="7"/>
        <v>0</v>
      </c>
      <c r="BA51" s="116">
        <f t="shared" si="7"/>
        <v>21</v>
      </c>
      <c r="BB51" s="117">
        <f t="shared" si="4"/>
        <v>21</v>
      </c>
    </row>
    <row r="52" spans="1:54" ht="18.600000000000001" customHeight="1">
      <c r="B52" s="112">
        <v>44</v>
      </c>
      <c r="C52" s="121">
        <f>+'[7]PLANILLA YEMI '!C11</f>
        <v>55305195</v>
      </c>
      <c r="D52" s="122" t="str">
        <f>IFERROR(VLOOKUP($C52,'[7]PLANILLA YEMI '!$C$9:$F$60,2,0),"NO BD")</f>
        <v xml:space="preserve">RUDA GONZALEZ YADIRA MILAGROS </v>
      </c>
      <c r="E52" s="123" t="s">
        <v>585</v>
      </c>
      <c r="F52" s="114" t="str">
        <f>IFERROR(VLOOKUP($C52,[7]BD!$B$3:$O$213,3,0),"")</f>
        <v>OPERARIA DE ASEO Y CAFETERIA</v>
      </c>
      <c r="G52" s="124" t="s">
        <v>483</v>
      </c>
      <c r="H52" s="114" t="str">
        <f>IFERROR(VLOOKUP($C52,[7]BD!$B$3:$O$203,14,0),"")</f>
        <v>3223827570</v>
      </c>
      <c r="I52" s="114" t="str">
        <f>IFERROR(VLOOKUP($C52,[7]BD!$B$3:$O$203,4,0),"")</f>
        <v>23/10/2025</v>
      </c>
      <c r="J52" s="97" t="str">
        <f>INDEX('[7]PLANILLA YEMI '!C11:AK65,1,6)</f>
        <v>OK</v>
      </c>
      <c r="K52" s="97" t="str">
        <f>INDEX('[7]PLANILLA YEMI '!D11:AL65,1,6)</f>
        <v>OK</v>
      </c>
      <c r="L52" s="97" t="str">
        <f>INDEX('[7]PLANILLA YEMI '!E11:AM65,1,6)</f>
        <v>OK</v>
      </c>
      <c r="M52" s="97" t="str">
        <f>INDEX('[7]PLANILLA YEMI '!F11:AN65,1,6)</f>
        <v>OK</v>
      </c>
      <c r="N52" s="97" t="str">
        <f>INDEX('[7]PLANILLA YEMI '!G11:AO65,1,6)</f>
        <v>OK</v>
      </c>
      <c r="O52" s="97" t="str">
        <f>INDEX('[7]PLANILLA YEMI '!H11:AP65,1,6)</f>
        <v>OK</v>
      </c>
      <c r="P52" s="97" t="str">
        <f>INDEX('[7]PLANILLA YEMI '!I11:AQ65,1,6)</f>
        <v>OK</v>
      </c>
      <c r="Q52" s="97" t="str">
        <f>INDEX('[7]PLANILLA YEMI '!J11:AR65,1,6)</f>
        <v>OK</v>
      </c>
      <c r="R52" s="97" t="str">
        <f>INDEX('[7]PLANILLA YEMI '!K11:AS65,1,6)</f>
        <v>OK</v>
      </c>
      <c r="S52" s="97" t="str">
        <f>INDEX('[7]PLANILLA YEMI '!L11:AT65,1,6)</f>
        <v>OK</v>
      </c>
      <c r="T52" s="97" t="str">
        <f>INDEX('[7]PLANILLA YEMI '!M11:AU65,1,6)</f>
        <v>OK</v>
      </c>
      <c r="U52" s="97" t="str">
        <f>INDEX('[7]PLANILLA YEMI '!N11:AV65,1,6)</f>
        <v>OK</v>
      </c>
      <c r="V52" s="97" t="str">
        <f>INDEX('[7]PLANILLA YEMI '!O11:AW65,1,6)</f>
        <v>OK</v>
      </c>
      <c r="W52" s="97" t="str">
        <f>INDEX('[7]PLANILLA YEMI '!P11:AX65,1,6)</f>
        <v>OK</v>
      </c>
      <c r="X52" s="97" t="str">
        <f>INDEX('[7]PLANILLA YEMI '!Q11:AY65,1,6)</f>
        <v>OK</v>
      </c>
      <c r="Y52" s="97" t="str">
        <f>INDEX('[7]PLANILLA YEMI '!R11:AZ65,1,6)</f>
        <v>OK</v>
      </c>
      <c r="Z52" s="97" t="str">
        <f>INDEX('[7]PLANILLA YEMI '!S11:BA65,1,6)</f>
        <v>OK</v>
      </c>
      <c r="AA52" s="97" t="str">
        <f>INDEX('[7]PLANILLA YEMI '!T11:BB65,1,6)</f>
        <v>OK</v>
      </c>
      <c r="AB52" s="97" t="str">
        <f>INDEX('[7]PLANILLA YEMI '!U11:BC65,1,6)</f>
        <v>OK</v>
      </c>
      <c r="AC52" s="97" t="str">
        <f>INDEX('[7]PLANILLA YEMI '!V11:BD65,1,6)</f>
        <v>OK</v>
      </c>
      <c r="AD52" s="97" t="str">
        <f>INDEX('[7]PLANILLA YEMI '!W11:BE65,1,6)</f>
        <v>OK</v>
      </c>
      <c r="AE52" s="97">
        <f>INDEX('[7]PLANILLA YEMI '!X11:BF65,1,6)</f>
        <v>0</v>
      </c>
      <c r="AF52" s="97">
        <f>INDEX('[7]PLANILLA YEMI '!Y11:BG65,1,6)</f>
        <v>0</v>
      </c>
      <c r="AG52" s="97">
        <f>INDEX('[7]PLANILLA YEMI '!Z11:BH65,1,6)</f>
        <v>0</v>
      </c>
      <c r="AH52" s="97">
        <f>INDEX('[7]PLANILLA YEMI '!AA11:BI65,1,6)</f>
        <v>0</v>
      </c>
      <c r="AI52" s="97">
        <f>INDEX('[7]PLANILLA YEMI '!AB11:BJ65,1,6)</f>
        <v>0</v>
      </c>
      <c r="AJ52" s="97">
        <f>INDEX('[7]PLANILLA YEMI '!AC11:BK65,1,6)</f>
        <v>0</v>
      </c>
      <c r="AK52" s="97">
        <f>INDEX('[7]PLANILLA YEMI '!AD11:BL65,1,6)</f>
        <v>0</v>
      </c>
      <c r="AL52" s="97">
        <f>INDEX('[7]PLANILLA YEMI '!AE11:BM65,1,6)</f>
        <v>0</v>
      </c>
      <c r="AM52" s="97">
        <f>INDEX('[7]PLANILLA YEMI '!AF11:BN65,1,6)</f>
        <v>0</v>
      </c>
      <c r="AO52" s="116">
        <f t="shared" si="7"/>
        <v>0</v>
      </c>
      <c r="AP52" s="116">
        <f t="shared" si="7"/>
        <v>0</v>
      </c>
      <c r="AQ52" s="116">
        <f t="shared" si="7"/>
        <v>0</v>
      </c>
      <c r="AR52" s="116">
        <f t="shared" si="7"/>
        <v>0</v>
      </c>
      <c r="AS52" s="116">
        <f t="shared" si="7"/>
        <v>0</v>
      </c>
      <c r="AT52" s="116">
        <f t="shared" si="7"/>
        <v>0</v>
      </c>
      <c r="AU52" s="116">
        <f t="shared" si="7"/>
        <v>0</v>
      </c>
      <c r="AV52" s="116">
        <f t="shared" si="7"/>
        <v>0</v>
      </c>
      <c r="AW52" s="116">
        <f t="shared" si="7"/>
        <v>0</v>
      </c>
      <c r="AX52" s="116">
        <f t="shared" si="7"/>
        <v>0</v>
      </c>
      <c r="AY52" s="116">
        <f t="shared" si="7"/>
        <v>0</v>
      </c>
      <c r="AZ52" s="116">
        <f t="shared" si="7"/>
        <v>0</v>
      </c>
      <c r="BA52" s="116">
        <f t="shared" si="7"/>
        <v>21</v>
      </c>
      <c r="BB52" s="117">
        <f t="shared" si="4"/>
        <v>21</v>
      </c>
    </row>
    <row r="53" spans="1:54" ht="18.600000000000001" customHeight="1">
      <c r="B53" s="112">
        <v>45</v>
      </c>
      <c r="C53" s="121">
        <f>+'[7]PLANILLA YEMI '!C12</f>
        <v>1010217314</v>
      </c>
      <c r="D53" s="122" t="str">
        <f>IFERROR(VLOOKUP($C53,'[7]PLANILLA YEMI '!$C$9:$F$60,2,0),"NO BD")</f>
        <v xml:space="preserve">SUAREZ SANCHEZ JOSE PARMENIO </v>
      </c>
      <c r="E53" s="123" t="s">
        <v>585</v>
      </c>
      <c r="F53" s="114" t="str">
        <f>IFERROR(VLOOKUP($C53,[7]BD!$B$3:$O$213,3,0),"")</f>
        <v>OPERARIO DE MANTENIMIENTO</v>
      </c>
      <c r="G53" s="124" t="s">
        <v>483</v>
      </c>
      <c r="H53" s="114" t="str">
        <f>IFERROR(VLOOKUP($C53,[7]BD!$B$3:$O$203,14,0),"")</f>
        <v>3213585385</v>
      </c>
      <c r="I53" s="114" t="str">
        <f>IFERROR(VLOOKUP($C53,[7]BD!$B$3:$O$203,4,0),"")</f>
        <v>18/10/2025</v>
      </c>
      <c r="J53" s="97" t="str">
        <f>INDEX('[7]PLANILLA YEMI '!C12:AK66,1,6)</f>
        <v>OK</v>
      </c>
      <c r="K53" s="97" t="str">
        <f>INDEX('[7]PLANILLA YEMI '!D12:AL66,1,6)</f>
        <v>OK</v>
      </c>
      <c r="L53" s="97" t="str">
        <f>INDEX('[7]PLANILLA YEMI '!E12:AM66,1,6)</f>
        <v>OK</v>
      </c>
      <c r="M53" s="97" t="str">
        <f>INDEX('[7]PLANILLA YEMI '!F12:AN66,1,6)</f>
        <v>OK</v>
      </c>
      <c r="N53" s="97" t="str">
        <f>INDEX('[7]PLANILLA YEMI '!G12:AO66,1,6)</f>
        <v>OK</v>
      </c>
      <c r="O53" s="97" t="str">
        <f>INDEX('[7]PLANILLA YEMI '!H12:AP66,1,6)</f>
        <v>OK</v>
      </c>
      <c r="P53" s="97" t="str">
        <f>INDEX('[7]PLANILLA YEMI '!I12:AQ66,1,6)</f>
        <v>OK</v>
      </c>
      <c r="Q53" s="97" t="str">
        <f>INDEX('[7]PLANILLA YEMI '!J12:AR66,1,6)</f>
        <v>OK</v>
      </c>
      <c r="R53" s="97" t="str">
        <f>INDEX('[7]PLANILLA YEMI '!K12:AS66,1,6)</f>
        <v>AUS</v>
      </c>
      <c r="S53" s="97" t="str">
        <f>INDEX('[7]PLANILLA YEMI '!L12:AT66,1,6)</f>
        <v>OK</v>
      </c>
      <c r="T53" s="97" t="str">
        <f>INDEX('[7]PLANILLA YEMI '!M12:AU66,1,6)</f>
        <v>OK</v>
      </c>
      <c r="U53" s="97" t="str">
        <f>INDEX('[7]PLANILLA YEMI '!N12:AV66,1,6)</f>
        <v>OK</v>
      </c>
      <c r="V53" s="97" t="str">
        <f>INDEX('[7]PLANILLA YEMI '!O12:AW66,1,6)</f>
        <v>OK</v>
      </c>
      <c r="W53" s="97" t="str">
        <f>INDEX('[7]PLANILLA YEMI '!P12:AX66,1,6)</f>
        <v>OK</v>
      </c>
      <c r="X53" s="97" t="str">
        <f>INDEX('[7]PLANILLA YEMI '!Q12:AY66,1,6)</f>
        <v>OK</v>
      </c>
      <c r="Y53" s="97" t="str">
        <f>INDEX('[7]PLANILLA YEMI '!R12:AZ66,1,6)</f>
        <v>OK</v>
      </c>
      <c r="Z53" s="97" t="str">
        <f>INDEX('[7]PLANILLA YEMI '!S12:BA66,1,6)</f>
        <v>OK</v>
      </c>
      <c r="AA53" s="97" t="str">
        <f>INDEX('[7]PLANILLA YEMI '!T12:BB66,1,6)</f>
        <v>OK</v>
      </c>
      <c r="AB53" s="97" t="str">
        <f>INDEX('[7]PLANILLA YEMI '!U12:BC66,1,6)</f>
        <v>OK</v>
      </c>
      <c r="AC53" s="97" t="str">
        <f>INDEX('[7]PLANILLA YEMI '!V12:BD66,1,6)</f>
        <v>OK</v>
      </c>
      <c r="AD53" s="97" t="str">
        <f>INDEX('[7]PLANILLA YEMI '!W12:BE66,1,6)</f>
        <v>OK</v>
      </c>
      <c r="AE53" s="97">
        <f>INDEX('[7]PLANILLA YEMI '!X12:BF66,1,6)</f>
        <v>0</v>
      </c>
      <c r="AF53" s="97">
        <f>INDEX('[7]PLANILLA YEMI '!Y12:BG66,1,6)</f>
        <v>0</v>
      </c>
      <c r="AG53" s="97">
        <f>INDEX('[7]PLANILLA YEMI '!Z12:BH66,1,6)</f>
        <v>0</v>
      </c>
      <c r="AH53" s="97">
        <f>INDEX('[7]PLANILLA YEMI '!AA12:BI66,1,6)</f>
        <v>0</v>
      </c>
      <c r="AI53" s="97">
        <f>INDEX('[7]PLANILLA YEMI '!AB12:BJ66,1,6)</f>
        <v>0</v>
      </c>
      <c r="AJ53" s="97">
        <f>INDEX('[7]PLANILLA YEMI '!AC12:BK66,1,6)</f>
        <v>0</v>
      </c>
      <c r="AK53" s="97">
        <f>INDEX('[7]PLANILLA YEMI '!AD12:BL66,1,6)</f>
        <v>0</v>
      </c>
      <c r="AL53" s="97">
        <f>INDEX('[7]PLANILLA YEMI '!AE12:BM66,1,6)</f>
        <v>0</v>
      </c>
      <c r="AM53" s="97">
        <f>INDEX('[7]PLANILLA YEMI '!AF12:BN66,1,6)</f>
        <v>0</v>
      </c>
      <c r="AO53" s="116">
        <f t="shared" si="7"/>
        <v>1</v>
      </c>
      <c r="AP53" s="116">
        <f t="shared" si="7"/>
        <v>0</v>
      </c>
      <c r="AQ53" s="116">
        <f t="shared" si="7"/>
        <v>0</v>
      </c>
      <c r="AR53" s="116">
        <f t="shared" si="7"/>
        <v>0</v>
      </c>
      <c r="AS53" s="116">
        <f t="shared" si="7"/>
        <v>0</v>
      </c>
      <c r="AT53" s="116">
        <f t="shared" si="7"/>
        <v>0</v>
      </c>
      <c r="AU53" s="116">
        <f t="shared" si="7"/>
        <v>0</v>
      </c>
      <c r="AV53" s="116">
        <f t="shared" si="7"/>
        <v>0</v>
      </c>
      <c r="AW53" s="116">
        <f t="shared" si="7"/>
        <v>0</v>
      </c>
      <c r="AX53" s="116">
        <f t="shared" si="7"/>
        <v>0</v>
      </c>
      <c r="AY53" s="116">
        <f t="shared" si="7"/>
        <v>0</v>
      </c>
      <c r="AZ53" s="116">
        <f t="shared" si="7"/>
        <v>0</v>
      </c>
      <c r="BA53" s="116">
        <f t="shared" si="7"/>
        <v>20</v>
      </c>
      <c r="BB53" s="117">
        <f t="shared" si="4"/>
        <v>20</v>
      </c>
    </row>
    <row r="54" spans="1:54" ht="18.600000000000001" customHeight="1">
      <c r="B54" s="112">
        <v>46</v>
      </c>
      <c r="C54" s="121">
        <f>+'[7]PLANILLA YEMI '!C13</f>
        <v>1007105867</v>
      </c>
      <c r="D54" s="122" t="str">
        <f>IFERROR(VLOOKUP($C54,'[7]PLANILLA YEMI '!$C$9:$F$60,2,0),"NO BD")</f>
        <v xml:space="preserve">GACHA SANCHEZ NATALIA SILBINA </v>
      </c>
      <c r="E54" s="123" t="s">
        <v>585</v>
      </c>
      <c r="F54" s="114" t="str">
        <f>IFERROR(VLOOKUP($C54,[7]BD!$B$3:$O$213,3,0),"")</f>
        <v>OPERARIA DE ASEO Y CAFETERIA</v>
      </c>
      <c r="G54" s="124" t="s">
        <v>483</v>
      </c>
      <c r="H54" s="114" t="str">
        <f>IFERROR(VLOOKUP($C54,[7]BD!$B$3:$O$203,14,0),"")</f>
        <v>3209552545</v>
      </c>
      <c r="I54" s="114" t="str">
        <f>IFERROR(VLOOKUP($C54,[7]BD!$B$3:$O$203,4,0),"")</f>
        <v>18/10/2025</v>
      </c>
      <c r="J54" s="97" t="str">
        <f>INDEX('[7]PLANILLA YEMI '!C13:AK67,1,6)</f>
        <v>OK</v>
      </c>
      <c r="K54" s="97" t="str">
        <f>INDEX('[7]PLANILLA YEMI '!D13:AL67,1,6)</f>
        <v>OK</v>
      </c>
      <c r="L54" s="97" t="str">
        <f>INDEX('[7]PLANILLA YEMI '!E13:AM67,1,6)</f>
        <v>OK</v>
      </c>
      <c r="M54" s="97" t="str">
        <f>INDEX('[7]PLANILLA YEMI '!F13:AN67,1,6)</f>
        <v>OK</v>
      </c>
      <c r="N54" s="97" t="str">
        <f>INDEX('[7]PLANILLA YEMI '!G13:AO67,1,6)</f>
        <v>OK</v>
      </c>
      <c r="O54" s="97" t="str">
        <f>INDEX('[7]PLANILLA YEMI '!H13:AP67,1,6)</f>
        <v>OK</v>
      </c>
      <c r="P54" s="97" t="str">
        <f>INDEX('[7]PLANILLA YEMI '!I13:AQ67,1,6)</f>
        <v>OK</v>
      </c>
      <c r="Q54" s="97" t="str">
        <f>INDEX('[7]PLANILLA YEMI '!J13:AR67,1,6)</f>
        <v>OK</v>
      </c>
      <c r="R54" s="97" t="str">
        <f>INDEX('[7]PLANILLA YEMI '!K13:AS67,1,6)</f>
        <v>OK</v>
      </c>
      <c r="S54" s="97" t="str">
        <f>INDEX('[7]PLANILLA YEMI '!L13:AT67,1,6)</f>
        <v>OK</v>
      </c>
      <c r="T54" s="97" t="str">
        <f>INDEX('[7]PLANILLA YEMI '!M13:AU67,1,6)</f>
        <v>OK</v>
      </c>
      <c r="U54" s="97" t="str">
        <f>INDEX('[7]PLANILLA YEMI '!N13:AV67,1,6)</f>
        <v>OK</v>
      </c>
      <c r="V54" s="97" t="str">
        <f>INDEX('[7]PLANILLA YEMI '!O13:AW67,1,6)</f>
        <v>OK</v>
      </c>
      <c r="W54" s="97" t="str">
        <f>INDEX('[7]PLANILLA YEMI '!P13:AX67,1,6)</f>
        <v>OK</v>
      </c>
      <c r="X54" s="97" t="str">
        <f>INDEX('[7]PLANILLA YEMI '!Q13:AY67,1,6)</f>
        <v>OK</v>
      </c>
      <c r="Y54" s="97" t="str">
        <f>INDEX('[7]PLANILLA YEMI '!R13:AZ67,1,6)</f>
        <v>OK</v>
      </c>
      <c r="Z54" s="97" t="str">
        <f>INDEX('[7]PLANILLA YEMI '!S13:BA67,1,6)</f>
        <v>OK</v>
      </c>
      <c r="AA54" s="97" t="str">
        <f>INDEX('[7]PLANILLA YEMI '!T13:BB67,1,6)</f>
        <v>OK</v>
      </c>
      <c r="AB54" s="97" t="str">
        <f>INDEX('[7]PLANILLA YEMI '!U13:BC67,1,6)</f>
        <v>OK</v>
      </c>
      <c r="AC54" s="97" t="str">
        <f>INDEX('[7]PLANILLA YEMI '!V13:BD67,1,6)</f>
        <v>OK</v>
      </c>
      <c r="AD54" s="97" t="str">
        <f>INDEX('[7]PLANILLA YEMI '!W13:BE67,1,6)</f>
        <v>OK</v>
      </c>
      <c r="AE54" s="97">
        <f>INDEX('[7]PLANILLA YEMI '!X13:BF67,1,6)</f>
        <v>0</v>
      </c>
      <c r="AF54" s="97">
        <f>INDEX('[7]PLANILLA YEMI '!Y13:BG67,1,6)</f>
        <v>0</v>
      </c>
      <c r="AG54" s="97">
        <f>INDEX('[7]PLANILLA YEMI '!Z13:BH67,1,6)</f>
        <v>0</v>
      </c>
      <c r="AH54" s="97">
        <f>INDEX('[7]PLANILLA YEMI '!AA13:BI67,1,6)</f>
        <v>0</v>
      </c>
      <c r="AI54" s="97">
        <f>INDEX('[7]PLANILLA YEMI '!AB13:BJ67,1,6)</f>
        <v>0</v>
      </c>
      <c r="AJ54" s="97">
        <f>INDEX('[7]PLANILLA YEMI '!AC13:BK67,1,6)</f>
        <v>0</v>
      </c>
      <c r="AK54" s="97">
        <f>INDEX('[7]PLANILLA YEMI '!AD13:BL67,1,6)</f>
        <v>0</v>
      </c>
      <c r="AL54" s="97">
        <f>INDEX('[7]PLANILLA YEMI '!AE13:BM67,1,6)</f>
        <v>0</v>
      </c>
      <c r="AM54" s="97">
        <f>INDEX('[7]PLANILLA YEMI '!AF13:BN67,1,6)</f>
        <v>0</v>
      </c>
      <c r="AO54" s="116">
        <f t="shared" si="7"/>
        <v>0</v>
      </c>
      <c r="AP54" s="116">
        <f t="shared" si="7"/>
        <v>0</v>
      </c>
      <c r="AQ54" s="116">
        <f t="shared" si="7"/>
        <v>0</v>
      </c>
      <c r="AR54" s="116">
        <f t="shared" si="7"/>
        <v>0</v>
      </c>
      <c r="AS54" s="116">
        <f t="shared" si="7"/>
        <v>0</v>
      </c>
      <c r="AT54" s="116">
        <f t="shared" si="7"/>
        <v>0</v>
      </c>
      <c r="AU54" s="116">
        <f t="shared" si="7"/>
        <v>0</v>
      </c>
      <c r="AV54" s="116">
        <f t="shared" si="7"/>
        <v>0</v>
      </c>
      <c r="AW54" s="116">
        <f t="shared" si="7"/>
        <v>0</v>
      </c>
      <c r="AX54" s="116">
        <f t="shared" si="7"/>
        <v>0</v>
      </c>
      <c r="AY54" s="116">
        <f t="shared" si="7"/>
        <v>0</v>
      </c>
      <c r="AZ54" s="116">
        <f t="shared" si="7"/>
        <v>0</v>
      </c>
      <c r="BA54" s="116">
        <f t="shared" si="7"/>
        <v>21</v>
      </c>
      <c r="BB54" s="117">
        <f t="shared" si="4"/>
        <v>21</v>
      </c>
    </row>
    <row r="55" spans="1:54" ht="18.600000000000001" customHeight="1">
      <c r="B55" s="112">
        <v>47</v>
      </c>
      <c r="C55" s="121">
        <f>+'[7]PLANILLA YEMI '!C14</f>
        <v>51990667</v>
      </c>
      <c r="D55" s="122" t="str">
        <f>IFERROR(VLOOKUP($C55,'[7]PLANILLA YEMI '!$C$9:$F$60,2,0),"NO BD")</f>
        <v xml:space="preserve">MARTINEZ ROMERO MIRIAM  </v>
      </c>
      <c r="E55" s="123" t="s">
        <v>585</v>
      </c>
      <c r="F55" s="114" t="str">
        <f>IFERROR(VLOOKUP($C55,[7]BD!$B$3:$O$213,3,0),"")</f>
        <v>OPERARIA DE ASEO Y CAFETERIA</v>
      </c>
      <c r="G55" s="124" t="s">
        <v>483</v>
      </c>
      <c r="H55" s="114" t="str">
        <f>IFERROR(VLOOKUP($C55,[7]BD!$B$3:$O$203,14,0),"")</f>
        <v>3103180180</v>
      </c>
      <c r="I55" s="114" t="str">
        <f>IFERROR(VLOOKUP($C55,[7]BD!$B$3:$O$203,4,0),"")</f>
        <v>22/10/2025</v>
      </c>
      <c r="J55" s="97" t="str">
        <f>INDEX('[7]PLANILLA YEMI '!C14:AK68,1,6)</f>
        <v>OK</v>
      </c>
      <c r="K55" s="97" t="str">
        <f>INDEX('[7]PLANILLA YEMI '!D14:AL68,1,6)</f>
        <v>OK</v>
      </c>
      <c r="L55" s="97" t="str">
        <f>INDEX('[7]PLANILLA YEMI '!E14:AM68,1,6)</f>
        <v>OK</v>
      </c>
      <c r="M55" s="97" t="str">
        <f>INDEX('[7]PLANILLA YEMI '!F14:AN68,1,6)</f>
        <v>OK</v>
      </c>
      <c r="N55" s="97" t="str">
        <f>INDEX('[7]PLANILLA YEMI '!G14:AO68,1,6)</f>
        <v>OK</v>
      </c>
      <c r="O55" s="97" t="str">
        <f>INDEX('[7]PLANILLA YEMI '!H14:AP68,1,6)</f>
        <v>OK</v>
      </c>
      <c r="P55" s="97" t="str">
        <f>INDEX('[7]PLANILLA YEMI '!I14:AQ68,1,6)</f>
        <v>INC</v>
      </c>
      <c r="Q55" s="97" t="str">
        <f>INDEX('[7]PLANILLA YEMI '!J14:AR68,1,6)</f>
        <v>INC</v>
      </c>
      <c r="R55" s="97" t="str">
        <f>INDEX('[7]PLANILLA YEMI '!K14:AS68,1,6)</f>
        <v>OK</v>
      </c>
      <c r="S55" s="97" t="str">
        <f>INDEX('[7]PLANILLA YEMI '!L14:AT68,1,6)</f>
        <v>OK</v>
      </c>
      <c r="T55" s="97" t="str">
        <f>INDEX('[7]PLANILLA YEMI '!M14:AU68,1,6)</f>
        <v>OK</v>
      </c>
      <c r="U55" s="97" t="str">
        <f>INDEX('[7]PLANILLA YEMI '!N14:AV68,1,6)</f>
        <v>OK</v>
      </c>
      <c r="V55" s="97" t="str">
        <f>INDEX('[7]PLANILLA YEMI '!O14:AW68,1,6)</f>
        <v>OK</v>
      </c>
      <c r="W55" s="97" t="str">
        <f>INDEX('[7]PLANILLA YEMI '!P14:AX68,1,6)</f>
        <v>OK</v>
      </c>
      <c r="X55" s="97" t="str">
        <f>INDEX('[7]PLANILLA YEMI '!Q14:AY68,1,6)</f>
        <v>OK</v>
      </c>
      <c r="Y55" s="97" t="str">
        <f>INDEX('[7]PLANILLA YEMI '!R14:AZ68,1,6)</f>
        <v>OK</v>
      </c>
      <c r="Z55" s="97" t="str">
        <f>INDEX('[7]PLANILLA YEMI '!S14:BA68,1,6)</f>
        <v>OK</v>
      </c>
      <c r="AA55" s="97" t="str">
        <f>INDEX('[7]PLANILLA YEMI '!T14:BB68,1,6)</f>
        <v>OK</v>
      </c>
      <c r="AB55" s="97" t="str">
        <f>INDEX('[7]PLANILLA YEMI '!U14:BC68,1,6)</f>
        <v>OK</v>
      </c>
      <c r="AC55" s="97" t="str">
        <f>INDEX('[7]PLANILLA YEMI '!V14:BD68,1,6)</f>
        <v>OK</v>
      </c>
      <c r="AD55" s="97" t="str">
        <f>INDEX('[7]PLANILLA YEMI '!W14:BE68,1,6)</f>
        <v>OK</v>
      </c>
      <c r="AE55" s="97">
        <f>INDEX('[7]PLANILLA YEMI '!X14:BF68,1,6)</f>
        <v>0</v>
      </c>
      <c r="AF55" s="97">
        <f>INDEX('[7]PLANILLA YEMI '!Y14:BG68,1,6)</f>
        <v>0</v>
      </c>
      <c r="AG55" s="97">
        <f>INDEX('[7]PLANILLA YEMI '!Z14:BH68,1,6)</f>
        <v>0</v>
      </c>
      <c r="AH55" s="97">
        <f>INDEX('[7]PLANILLA YEMI '!AA14:BI68,1,6)</f>
        <v>0</v>
      </c>
      <c r="AI55" s="97">
        <f>INDEX('[7]PLANILLA YEMI '!AB14:BJ68,1,6)</f>
        <v>0</v>
      </c>
      <c r="AJ55" s="97">
        <f>INDEX('[7]PLANILLA YEMI '!AC14:BK68,1,6)</f>
        <v>0</v>
      </c>
      <c r="AK55" s="97">
        <f>INDEX('[7]PLANILLA YEMI '!AD14:BL68,1,6)</f>
        <v>0</v>
      </c>
      <c r="AL55" s="97">
        <f>INDEX('[7]PLANILLA YEMI '!AE14:BM68,1,6)</f>
        <v>0</v>
      </c>
      <c r="AM55" s="97">
        <f>INDEX('[7]PLANILLA YEMI '!AF14:BN68,1,6)</f>
        <v>0</v>
      </c>
      <c r="AO55" s="116">
        <f t="shared" si="7"/>
        <v>0</v>
      </c>
      <c r="AP55" s="116">
        <f t="shared" si="7"/>
        <v>0</v>
      </c>
      <c r="AQ55" s="116">
        <f t="shared" si="7"/>
        <v>0</v>
      </c>
      <c r="AR55" s="116">
        <f t="shared" si="7"/>
        <v>2</v>
      </c>
      <c r="AS55" s="116">
        <f t="shared" si="7"/>
        <v>0</v>
      </c>
      <c r="AT55" s="116">
        <f t="shared" si="7"/>
        <v>0</v>
      </c>
      <c r="AU55" s="116">
        <f t="shared" si="7"/>
        <v>0</v>
      </c>
      <c r="AV55" s="116">
        <f t="shared" si="7"/>
        <v>0</v>
      </c>
      <c r="AW55" s="116">
        <f t="shared" si="7"/>
        <v>0</v>
      </c>
      <c r="AX55" s="116">
        <f t="shared" si="7"/>
        <v>0</v>
      </c>
      <c r="AY55" s="116">
        <f t="shared" si="7"/>
        <v>0</v>
      </c>
      <c r="AZ55" s="116">
        <f t="shared" si="7"/>
        <v>0</v>
      </c>
      <c r="BA55" s="116">
        <f t="shared" si="7"/>
        <v>19</v>
      </c>
      <c r="BB55" s="117">
        <f t="shared" si="4"/>
        <v>19</v>
      </c>
    </row>
    <row r="56" spans="1:54" ht="18.600000000000001" customHeight="1">
      <c r="B56" s="112">
        <v>48</v>
      </c>
      <c r="C56" s="121">
        <f>+'[7]PLANILLA YEMI '!C15</f>
        <v>39655719</v>
      </c>
      <c r="D56" s="122" t="str">
        <f>IFERROR(VLOOKUP($C56,'[7]PLANILLA YEMI '!$C$9:$F$60,2,0),"NO BD")</f>
        <v xml:space="preserve">REAL  ESPERANZA  </v>
      </c>
      <c r="E56" s="123" t="s">
        <v>585</v>
      </c>
      <c r="F56" s="114" t="str">
        <f>IFERROR(VLOOKUP($C56,[7]BD!$B$3:$O$213,3,0),"")</f>
        <v>OPERARIA DE ASEO Y CAFETERIA</v>
      </c>
      <c r="G56" s="124" t="s">
        <v>483</v>
      </c>
      <c r="H56" s="114" t="str">
        <f>IFERROR(VLOOKUP($C56,[7]BD!$B$3:$O$203,14,0),"")</f>
        <v>3107617116</v>
      </c>
      <c r="I56" s="114" t="str">
        <f>IFERROR(VLOOKUP($C56,[7]BD!$B$3:$O$203,4,0),"")</f>
        <v>18/10/2025</v>
      </c>
      <c r="J56" s="97" t="str">
        <f>INDEX('[7]PLANILLA YEMI '!C15:AK69,1,6)</f>
        <v>OK</v>
      </c>
      <c r="K56" s="97" t="str">
        <f>INDEX('[7]PLANILLA YEMI '!D15:AL69,1,6)</f>
        <v>OK</v>
      </c>
      <c r="L56" s="97" t="str">
        <f>INDEX('[7]PLANILLA YEMI '!E15:AM69,1,6)</f>
        <v>OK</v>
      </c>
      <c r="M56" s="97" t="str">
        <f>INDEX('[7]PLANILLA YEMI '!F15:AN69,1,6)</f>
        <v>OK</v>
      </c>
      <c r="N56" s="97" t="str">
        <f>INDEX('[7]PLANILLA YEMI '!G15:AO69,1,6)</f>
        <v>OK</v>
      </c>
      <c r="O56" s="97" t="str">
        <f>INDEX('[7]PLANILLA YEMI '!H15:AP69,1,6)</f>
        <v>OK</v>
      </c>
      <c r="P56" s="97" t="str">
        <f>INDEX('[7]PLANILLA YEMI '!I15:AQ69,1,6)</f>
        <v>OK</v>
      </c>
      <c r="Q56" s="97" t="str">
        <f>INDEX('[7]PLANILLA YEMI '!J15:AR69,1,6)</f>
        <v>OK</v>
      </c>
      <c r="R56" s="97" t="str">
        <f>INDEX('[7]PLANILLA YEMI '!K15:AS69,1,6)</f>
        <v>OK</v>
      </c>
      <c r="S56" s="97" t="str">
        <f>INDEX('[7]PLANILLA YEMI '!L15:AT69,1,6)</f>
        <v>OK</v>
      </c>
      <c r="T56" s="97" t="str">
        <f>INDEX('[7]PLANILLA YEMI '!M15:AU69,1,6)</f>
        <v>OK</v>
      </c>
      <c r="U56" s="97" t="str">
        <f>INDEX('[7]PLANILLA YEMI '!N15:AV69,1,6)</f>
        <v>OK</v>
      </c>
      <c r="V56" s="97" t="str">
        <f>INDEX('[7]PLANILLA YEMI '!O15:AW69,1,6)</f>
        <v>OK</v>
      </c>
      <c r="W56" s="97" t="str">
        <f>INDEX('[7]PLANILLA YEMI '!P15:AX69,1,6)</f>
        <v>OK</v>
      </c>
      <c r="X56" s="97" t="str">
        <f>INDEX('[7]PLANILLA YEMI '!Q15:AY69,1,6)</f>
        <v>OK</v>
      </c>
      <c r="Y56" s="97" t="str">
        <f>INDEX('[7]PLANILLA YEMI '!R15:AZ69,1,6)</f>
        <v>OK</v>
      </c>
      <c r="Z56" s="97" t="str">
        <f>INDEX('[7]PLANILLA YEMI '!S15:BA69,1,6)</f>
        <v>OK</v>
      </c>
      <c r="AA56" s="97" t="str">
        <f>INDEX('[7]PLANILLA YEMI '!T15:BB69,1,6)</f>
        <v>OK</v>
      </c>
      <c r="AB56" s="97" t="str">
        <f>INDEX('[7]PLANILLA YEMI '!U15:BC69,1,6)</f>
        <v>OK</v>
      </c>
      <c r="AC56" s="97" t="str">
        <f>INDEX('[7]PLANILLA YEMI '!V15:BD69,1,6)</f>
        <v>OK</v>
      </c>
      <c r="AD56" s="97" t="str">
        <f>INDEX('[7]PLANILLA YEMI '!W15:BE69,1,6)</f>
        <v>OK</v>
      </c>
      <c r="AE56" s="97">
        <f>INDEX('[7]PLANILLA YEMI '!X15:BF69,1,6)</f>
        <v>0</v>
      </c>
      <c r="AF56" s="97">
        <f>INDEX('[7]PLANILLA YEMI '!Y15:BG69,1,6)</f>
        <v>0</v>
      </c>
      <c r="AG56" s="97">
        <f>INDEX('[7]PLANILLA YEMI '!Z15:BH69,1,6)</f>
        <v>0</v>
      </c>
      <c r="AH56" s="97">
        <f>INDEX('[7]PLANILLA YEMI '!AA15:BI69,1,6)</f>
        <v>0</v>
      </c>
      <c r="AI56" s="97">
        <f>INDEX('[7]PLANILLA YEMI '!AB15:BJ69,1,6)</f>
        <v>0</v>
      </c>
      <c r="AJ56" s="97">
        <f>INDEX('[7]PLANILLA YEMI '!AC15:BK69,1,6)</f>
        <v>0</v>
      </c>
      <c r="AK56" s="97">
        <f>INDEX('[7]PLANILLA YEMI '!AD15:BL69,1,6)</f>
        <v>0</v>
      </c>
      <c r="AL56" s="97">
        <f>INDEX('[7]PLANILLA YEMI '!AE15:BM69,1,6)</f>
        <v>0</v>
      </c>
      <c r="AM56" s="97">
        <f>INDEX('[7]PLANILLA YEMI '!AF15:BN69,1,6)</f>
        <v>0</v>
      </c>
      <c r="AO56" s="116">
        <f t="shared" si="7"/>
        <v>0</v>
      </c>
      <c r="AP56" s="116">
        <f t="shared" si="7"/>
        <v>0</v>
      </c>
      <c r="AQ56" s="116">
        <f t="shared" si="7"/>
        <v>0</v>
      </c>
      <c r="AR56" s="116">
        <f t="shared" si="7"/>
        <v>0</v>
      </c>
      <c r="AS56" s="116">
        <f t="shared" si="7"/>
        <v>0</v>
      </c>
      <c r="AT56" s="116">
        <f t="shared" si="7"/>
        <v>0</v>
      </c>
      <c r="AU56" s="116">
        <f t="shared" si="7"/>
        <v>0</v>
      </c>
      <c r="AV56" s="116">
        <f t="shared" si="7"/>
        <v>0</v>
      </c>
      <c r="AW56" s="116">
        <f t="shared" si="7"/>
        <v>0</v>
      </c>
      <c r="AX56" s="116">
        <f t="shared" si="7"/>
        <v>0</v>
      </c>
      <c r="AY56" s="116">
        <f t="shared" si="7"/>
        <v>0</v>
      </c>
      <c r="AZ56" s="116">
        <f t="shared" si="7"/>
        <v>0</v>
      </c>
      <c r="BA56" s="116">
        <f t="shared" si="7"/>
        <v>21</v>
      </c>
      <c r="BB56" s="117">
        <f t="shared" si="4"/>
        <v>21</v>
      </c>
    </row>
    <row r="57" spans="1:54" ht="18.600000000000001" customHeight="1">
      <c r="B57" s="112">
        <v>49</v>
      </c>
      <c r="C57" s="121">
        <f>+'[7]PLANILLA YEMI '!C16</f>
        <v>52751251</v>
      </c>
      <c r="D57" s="122" t="str">
        <f>IFERROR(VLOOKUP($C57,'[7]PLANILLA YEMI '!$C$9:$F$60,2,0),"NO BD")</f>
        <v xml:space="preserve">BERNAL MUNOZ DEISY JOHANNA </v>
      </c>
      <c r="E57" s="123" t="s">
        <v>585</v>
      </c>
      <c r="F57" s="114" t="str">
        <f>IFERROR(VLOOKUP($C57,[7]BD!$B$3:$O$213,3,0),"")</f>
        <v>OPERARIO DE ASEO Y CAFETERIA</v>
      </c>
      <c r="G57" s="124" t="s">
        <v>483</v>
      </c>
      <c r="H57" s="114" t="str">
        <f>IFERROR(VLOOKUP($C57,[7]BD!$B$3:$O$203,14,0),"")</f>
        <v>3008721363</v>
      </c>
      <c r="I57" s="114" t="str">
        <f>IFERROR(VLOOKUP($C57,[7]BD!$B$3:$O$203,4,0),"")</f>
        <v>23/09/2025</v>
      </c>
      <c r="J57" s="97" t="str">
        <f>INDEX('[7]PLANILLA YEMI '!C16:AK70,1,6)</f>
        <v>INC</v>
      </c>
      <c r="K57" s="97" t="str">
        <f>INDEX('[7]PLANILLA YEMI '!D16:AL70,1,6)</f>
        <v>INC</v>
      </c>
      <c r="L57" s="97" t="str">
        <f>INDEX('[7]PLANILLA YEMI '!E16:AM70,1,6)</f>
        <v>INC</v>
      </c>
      <c r="M57" s="97" t="str">
        <f>INDEX('[7]PLANILLA YEMI '!F16:AN70,1,6)</f>
        <v>INC</v>
      </c>
      <c r="N57" s="97" t="str">
        <f>INDEX('[7]PLANILLA YEMI '!G16:AO70,1,6)</f>
        <v>INC</v>
      </c>
      <c r="O57" s="97" t="str">
        <f>INDEX('[7]PLANILLA YEMI '!H16:AP70,1,6)</f>
        <v>INC</v>
      </c>
      <c r="P57" s="97" t="str">
        <f>INDEX('[7]PLANILLA YEMI '!I16:AQ70,1,6)</f>
        <v>INC</v>
      </c>
      <c r="Q57" s="97" t="str">
        <f>INDEX('[7]PLANILLA YEMI '!J16:AR70,1,6)</f>
        <v>INC</v>
      </c>
      <c r="R57" s="97" t="str">
        <f>INDEX('[7]PLANILLA YEMI '!K16:AS70,1,6)</f>
        <v>INC</v>
      </c>
      <c r="S57" s="97" t="str">
        <f>INDEX('[7]PLANILLA YEMI '!L16:AT70,1,6)</f>
        <v>INC</v>
      </c>
      <c r="T57" s="97" t="str">
        <f>INDEX('[7]PLANILLA YEMI '!M16:AU70,1,6)</f>
        <v>INC</v>
      </c>
      <c r="U57" s="97" t="str">
        <f>INDEX('[7]PLANILLA YEMI '!N16:AV70,1,6)</f>
        <v>INC</v>
      </c>
      <c r="V57" s="97" t="str">
        <f>INDEX('[7]PLANILLA YEMI '!O16:AW70,1,6)</f>
        <v>INC</v>
      </c>
      <c r="W57" s="97" t="str">
        <f>INDEX('[7]PLANILLA YEMI '!P16:AX70,1,6)</f>
        <v>INC</v>
      </c>
      <c r="X57" s="97" t="str">
        <f>INDEX('[7]PLANILLA YEMI '!Q16:AY70,1,6)</f>
        <v>INC</v>
      </c>
      <c r="Y57" s="97" t="str">
        <f>INDEX('[7]PLANILLA YEMI '!R16:AZ70,1,6)</f>
        <v>INC</v>
      </c>
      <c r="Z57" s="97" t="str">
        <f>INDEX('[7]PLANILLA YEMI '!S16:BA70,1,6)</f>
        <v>INC</v>
      </c>
      <c r="AA57" s="97" t="str">
        <f>INDEX('[7]PLANILLA YEMI '!T16:BB70,1,6)</f>
        <v>INC</v>
      </c>
      <c r="AB57" s="97" t="str">
        <f>INDEX('[7]PLANILLA YEMI '!U16:BC70,1,6)</f>
        <v>INC</v>
      </c>
      <c r="AC57" s="97" t="str">
        <f>INDEX('[7]PLANILLA YEMI '!V16:BD70,1,6)</f>
        <v>INC</v>
      </c>
      <c r="AD57" s="97" t="str">
        <f>INDEX('[7]PLANILLA YEMI '!W16:BE70,1,6)</f>
        <v>INC</v>
      </c>
      <c r="AE57" s="97">
        <f>INDEX('[7]PLANILLA YEMI '!X16:BF70,1,6)</f>
        <v>0</v>
      </c>
      <c r="AF57" s="97">
        <f>INDEX('[7]PLANILLA YEMI '!Y16:BG70,1,6)</f>
        <v>0</v>
      </c>
      <c r="AG57" s="97">
        <f>INDEX('[7]PLANILLA YEMI '!Z16:BH70,1,6)</f>
        <v>0</v>
      </c>
      <c r="AH57" s="97">
        <f>INDEX('[7]PLANILLA YEMI '!AA16:BI70,1,6)</f>
        <v>0</v>
      </c>
      <c r="AI57" s="97">
        <f>INDEX('[7]PLANILLA YEMI '!AB16:BJ70,1,6)</f>
        <v>0</v>
      </c>
      <c r="AJ57" s="97">
        <f>INDEX('[7]PLANILLA YEMI '!AC16:BK70,1,6)</f>
        <v>0</v>
      </c>
      <c r="AK57" s="97">
        <f>INDEX('[7]PLANILLA YEMI '!AD16:BL70,1,6)</f>
        <v>0</v>
      </c>
      <c r="AL57" s="97">
        <f>INDEX('[7]PLANILLA YEMI '!AE16:BM70,1,6)</f>
        <v>0</v>
      </c>
      <c r="AM57" s="97">
        <f>INDEX('[7]PLANILLA YEMI '!AF16:BN70,1,6)</f>
        <v>0</v>
      </c>
      <c r="AO57" s="116">
        <f t="shared" si="7"/>
        <v>0</v>
      </c>
      <c r="AP57" s="116">
        <f t="shared" si="7"/>
        <v>0</v>
      </c>
      <c r="AQ57" s="116">
        <f t="shared" si="7"/>
        <v>0</v>
      </c>
      <c r="AR57" s="116">
        <f t="shared" si="7"/>
        <v>21</v>
      </c>
      <c r="AS57" s="116">
        <f t="shared" si="7"/>
        <v>0</v>
      </c>
      <c r="AT57" s="116">
        <f t="shared" si="7"/>
        <v>0</v>
      </c>
      <c r="AU57" s="116">
        <f t="shared" si="7"/>
        <v>0</v>
      </c>
      <c r="AV57" s="116">
        <f t="shared" si="7"/>
        <v>0</v>
      </c>
      <c r="AW57" s="116">
        <f t="shared" si="7"/>
        <v>0</v>
      </c>
      <c r="AX57" s="116">
        <f t="shared" si="7"/>
        <v>0</v>
      </c>
      <c r="AY57" s="116">
        <f t="shared" si="7"/>
        <v>0</v>
      </c>
      <c r="AZ57" s="116">
        <f t="shared" si="7"/>
        <v>0</v>
      </c>
      <c r="BA57" s="116">
        <f t="shared" si="7"/>
        <v>0</v>
      </c>
      <c r="BB57" s="117">
        <f t="shared" si="4"/>
        <v>0</v>
      </c>
    </row>
    <row r="58" spans="1:54" ht="18.600000000000001" customHeight="1">
      <c r="A58" s="125" t="s">
        <v>586</v>
      </c>
      <c r="B58" s="112">
        <v>50</v>
      </c>
      <c r="C58" s="126">
        <f>+'[7]PLANILLA YEMI '!C17</f>
        <v>52747002</v>
      </c>
      <c r="D58" s="127" t="str">
        <f>IFERROR(VLOOKUP($C58,'[7]PLANILLA YEMI '!$C$9:$F$60,2,0),"NO BD")</f>
        <v>GUERRA RODRIGUEZ YEIMY JOHANNA</v>
      </c>
      <c r="E58" s="128" t="s">
        <v>585</v>
      </c>
      <c r="F58" s="114" t="str">
        <f>IFERROR(VLOOKUP($C58,[7]BD!$B$3:$O$213,3,0),"")</f>
        <v>OPERARIO DE ASEO Y CAFETERIA</v>
      </c>
      <c r="G58" s="129" t="s">
        <v>483</v>
      </c>
      <c r="H58" s="130">
        <f>IFERROR(VLOOKUP($C58,[7]BD!$B$3:$O$203,14,0),"")</f>
        <v>0</v>
      </c>
      <c r="I58" s="130" t="str">
        <f>IFERROR(VLOOKUP($C58,[7]BD!$B$3:$O$203,4,0),"")</f>
        <v>UNIDAD ADMINISTRATIVA ESPECIAL DE LA JUSTICIA PENAL MILITAR Y POLICIAL</v>
      </c>
      <c r="J58" s="97" t="str">
        <f>INDEX('[7]PLANILLA YEMI '!C17:AK71,1,6)</f>
        <v>OK</v>
      </c>
      <c r="K58" s="97" t="str">
        <f>INDEX('[7]PLANILLA YEMI '!D17:AL71,1,6)</f>
        <v>OK</v>
      </c>
      <c r="L58" s="97" t="str">
        <f>INDEX('[7]PLANILLA YEMI '!E17:AM71,1,6)</f>
        <v>OK</v>
      </c>
      <c r="M58" s="97" t="str">
        <f>INDEX('[7]PLANILLA YEMI '!F17:AN71,1,6)</f>
        <v>OK</v>
      </c>
      <c r="N58" s="97" t="str">
        <f>INDEX('[7]PLANILLA YEMI '!G17:AO71,1,6)</f>
        <v>OK</v>
      </c>
      <c r="O58" s="97" t="str">
        <f>INDEX('[7]PLANILLA YEMI '!H17:AP71,1,6)</f>
        <v>OK</v>
      </c>
      <c r="P58" s="97" t="str">
        <f>INDEX('[7]PLANILLA YEMI '!I17:AQ71,1,6)</f>
        <v>OK</v>
      </c>
      <c r="Q58" s="97" t="str">
        <f>INDEX('[7]PLANILLA YEMI '!J17:AR71,1,6)</f>
        <v>OK</v>
      </c>
      <c r="R58" s="97" t="str">
        <f>INDEX('[7]PLANILLA YEMI '!K17:AS71,1,6)</f>
        <v>OK</v>
      </c>
      <c r="S58" s="97" t="str">
        <f>INDEX('[7]PLANILLA YEMI '!L17:AT71,1,6)</f>
        <v>OK</v>
      </c>
      <c r="T58" s="97" t="str">
        <f>INDEX('[7]PLANILLA YEMI '!M17:AU71,1,6)</f>
        <v>OK</v>
      </c>
      <c r="U58" s="97" t="str">
        <f>INDEX('[7]PLANILLA YEMI '!N17:AV71,1,6)</f>
        <v>OK</v>
      </c>
      <c r="V58" s="97" t="str">
        <f>INDEX('[7]PLANILLA YEMI '!O17:AW71,1,6)</f>
        <v>OK</v>
      </c>
      <c r="W58" s="97" t="str">
        <f>INDEX('[7]PLANILLA YEMI '!P17:AX71,1,6)</f>
        <v>OK</v>
      </c>
      <c r="X58" s="97" t="str">
        <f>INDEX('[7]PLANILLA YEMI '!Q17:AY71,1,6)</f>
        <v>OK</v>
      </c>
      <c r="Y58" s="97" t="str">
        <f>INDEX('[7]PLANILLA YEMI '!R17:AZ71,1,6)</f>
        <v>OK</v>
      </c>
      <c r="Z58" s="97" t="str">
        <f>INDEX('[7]PLANILLA YEMI '!S17:BA71,1,6)</f>
        <v>OK</v>
      </c>
      <c r="AA58" s="97" t="str">
        <f>INDEX('[7]PLANILLA YEMI '!T17:BB71,1,6)</f>
        <v>OK</v>
      </c>
      <c r="AB58" s="97" t="str">
        <f>INDEX('[7]PLANILLA YEMI '!U17:BC71,1,6)</f>
        <v>OK</v>
      </c>
      <c r="AC58" s="97" t="str">
        <f>INDEX('[7]PLANILLA YEMI '!V17:BD71,1,6)</f>
        <v>OK</v>
      </c>
      <c r="AD58" s="97" t="str">
        <f>INDEX('[7]PLANILLA YEMI '!W17:BE71,1,6)</f>
        <v>OK</v>
      </c>
      <c r="AE58" s="97">
        <f>INDEX('[7]PLANILLA YEMI '!X17:BF71,1,6)</f>
        <v>0</v>
      </c>
      <c r="AF58" s="97">
        <f>INDEX('[7]PLANILLA YEMI '!Y17:BG71,1,6)</f>
        <v>0</v>
      </c>
      <c r="AG58" s="97">
        <f>INDEX('[7]PLANILLA YEMI '!Z17:BH71,1,6)</f>
        <v>0</v>
      </c>
      <c r="AH58" s="97">
        <f>INDEX('[7]PLANILLA YEMI '!AA17:BI71,1,6)</f>
        <v>0</v>
      </c>
      <c r="AI58" s="97">
        <f>INDEX('[7]PLANILLA YEMI '!AB17:BJ71,1,6)</f>
        <v>0</v>
      </c>
      <c r="AJ58" s="97">
        <f>INDEX('[7]PLANILLA YEMI '!AC17:BK71,1,6)</f>
        <v>0</v>
      </c>
      <c r="AK58" s="97">
        <f>INDEX('[7]PLANILLA YEMI '!AD17:BL71,1,6)</f>
        <v>0</v>
      </c>
      <c r="AL58" s="97">
        <f>INDEX('[7]PLANILLA YEMI '!AE17:BM71,1,6)</f>
        <v>0</v>
      </c>
      <c r="AM58" s="97">
        <f>INDEX('[7]PLANILLA YEMI '!AF17:BN71,1,6)</f>
        <v>0</v>
      </c>
      <c r="AO58" s="116">
        <f t="shared" si="7"/>
        <v>0</v>
      </c>
      <c r="AP58" s="116">
        <f t="shared" si="7"/>
        <v>0</v>
      </c>
      <c r="AQ58" s="116">
        <f t="shared" si="7"/>
        <v>0</v>
      </c>
      <c r="AR58" s="116">
        <f t="shared" si="7"/>
        <v>0</v>
      </c>
      <c r="AS58" s="116">
        <f t="shared" si="7"/>
        <v>0</v>
      </c>
      <c r="AT58" s="116">
        <f t="shared" si="7"/>
        <v>0</v>
      </c>
      <c r="AU58" s="116">
        <f t="shared" si="7"/>
        <v>0</v>
      </c>
      <c r="AV58" s="116">
        <f t="shared" si="7"/>
        <v>0</v>
      </c>
      <c r="AW58" s="116">
        <f t="shared" si="7"/>
        <v>0</v>
      </c>
      <c r="AX58" s="116">
        <f t="shared" si="7"/>
        <v>0</v>
      </c>
      <c r="AY58" s="116">
        <f t="shared" si="7"/>
        <v>0</v>
      </c>
      <c r="AZ58" s="116">
        <f t="shared" si="7"/>
        <v>0</v>
      </c>
      <c r="BA58" s="116">
        <f t="shared" si="7"/>
        <v>21</v>
      </c>
      <c r="BB58" s="117">
        <f t="shared" si="4"/>
        <v>21</v>
      </c>
    </row>
    <row r="59" spans="1:54" ht="18.600000000000001" customHeight="1">
      <c r="A59" s="125" t="s">
        <v>587</v>
      </c>
      <c r="B59" s="112">
        <v>51</v>
      </c>
      <c r="C59" s="126">
        <f>+'[7]PLANILLA YEMI '!C18</f>
        <v>20989375</v>
      </c>
      <c r="D59" s="127" t="str">
        <f>IFERROR(VLOOKUP($C59,'[7]PLANILLA YEMI '!$C$9:$F$60,2,0),"NO BD")</f>
        <v>CALDERON RODRIGUEZ GLORIA</v>
      </c>
      <c r="E59" s="128" t="s">
        <v>585</v>
      </c>
      <c r="F59" s="114" t="str">
        <f>IFERROR(VLOOKUP($C59,[7]BD!$B$3:$O$213,3,0),"")</f>
        <v>OPERARIO DE ASEO Y CAFETERIA</v>
      </c>
      <c r="G59" s="129" t="s">
        <v>483</v>
      </c>
      <c r="H59" s="130">
        <f>IFERROR(VLOOKUP($C59,[7]BD!$B$3:$O$203,14,0),"")</f>
        <v>0</v>
      </c>
      <c r="I59" s="130" t="str">
        <f>IFERROR(VLOOKUP($C59,[7]BD!$B$3:$O$203,4,0),"")</f>
        <v>DIRECCION SECCIONAL DE ADMINISTRACION JUDICIAL DE CUNDINAMARCA -AMAZONA</v>
      </c>
      <c r="J59" s="97" t="str">
        <f>INDEX('[7]PLANILLA YEMI '!C18:AK72,1,6)</f>
        <v>OK</v>
      </c>
      <c r="K59" s="97" t="str">
        <f>INDEX('[7]PLANILLA YEMI '!D18:AL72,1,6)</f>
        <v>OK</v>
      </c>
      <c r="L59" s="97" t="str">
        <f>INDEX('[7]PLANILLA YEMI '!E18:AM72,1,6)</f>
        <v>OK</v>
      </c>
      <c r="M59" s="97" t="str">
        <f>INDEX('[7]PLANILLA YEMI '!F18:AN72,1,6)</f>
        <v>OK</v>
      </c>
      <c r="N59" s="97" t="str">
        <f>INDEX('[7]PLANILLA YEMI '!G18:AO72,1,6)</f>
        <v>OK</v>
      </c>
      <c r="O59" s="97" t="str">
        <f>INDEX('[7]PLANILLA YEMI '!H18:AP72,1,6)</f>
        <v>OK</v>
      </c>
      <c r="P59" s="97" t="str">
        <f>INDEX('[7]PLANILLA YEMI '!I18:AQ72,1,6)</f>
        <v>OK</v>
      </c>
      <c r="Q59" s="97" t="str">
        <f>INDEX('[7]PLANILLA YEMI '!J18:AR72,1,6)</f>
        <v>OK</v>
      </c>
      <c r="R59" s="97" t="str">
        <f>INDEX('[7]PLANILLA YEMI '!K18:AS72,1,6)</f>
        <v>OK</v>
      </c>
      <c r="S59" s="97" t="str">
        <f>INDEX('[7]PLANILLA YEMI '!L18:AT72,1,6)</f>
        <v>OK</v>
      </c>
      <c r="T59" s="97" t="str">
        <f>INDEX('[7]PLANILLA YEMI '!M18:AU72,1,6)</f>
        <v>OK</v>
      </c>
      <c r="U59" s="97" t="str">
        <f>INDEX('[7]PLANILLA YEMI '!N18:AV72,1,6)</f>
        <v>OK</v>
      </c>
      <c r="V59" s="97" t="str">
        <f>INDEX('[7]PLANILLA YEMI '!O18:AW72,1,6)</f>
        <v>OK</v>
      </c>
      <c r="W59" s="97" t="str">
        <f>INDEX('[7]PLANILLA YEMI '!P18:AX72,1,6)</f>
        <v>OK</v>
      </c>
      <c r="X59" s="97" t="str">
        <f>INDEX('[7]PLANILLA YEMI '!Q18:AY72,1,6)</f>
        <v>OK</v>
      </c>
      <c r="Y59" s="97" t="str">
        <f>INDEX('[7]PLANILLA YEMI '!R18:AZ72,1,6)</f>
        <v>OK</v>
      </c>
      <c r="Z59" s="97" t="str">
        <f>INDEX('[7]PLANILLA YEMI '!S18:BA72,1,6)</f>
        <v>OK</v>
      </c>
      <c r="AA59" s="97" t="str">
        <f>INDEX('[7]PLANILLA YEMI '!T18:BB72,1,6)</f>
        <v>OK</v>
      </c>
      <c r="AB59" s="97" t="str">
        <f>INDEX('[7]PLANILLA YEMI '!U18:BC72,1,6)</f>
        <v>OK</v>
      </c>
      <c r="AC59" s="97" t="str">
        <f>INDEX('[7]PLANILLA YEMI '!V18:BD72,1,6)</f>
        <v>OK</v>
      </c>
      <c r="AD59" s="97" t="str">
        <f>INDEX('[7]PLANILLA YEMI '!W18:BE72,1,6)</f>
        <v>OK</v>
      </c>
      <c r="AE59" s="97">
        <f>INDEX('[7]PLANILLA YEMI '!X18:BF72,1,6)</f>
        <v>0</v>
      </c>
      <c r="AF59" s="97">
        <f>INDEX('[7]PLANILLA YEMI '!Y18:BG72,1,6)</f>
        <v>0</v>
      </c>
      <c r="AG59" s="97">
        <f>INDEX('[7]PLANILLA YEMI '!Z18:BH72,1,6)</f>
        <v>0</v>
      </c>
      <c r="AH59" s="97">
        <f>INDEX('[7]PLANILLA YEMI '!AA18:BI72,1,6)</f>
        <v>0</v>
      </c>
      <c r="AI59" s="97">
        <f>INDEX('[7]PLANILLA YEMI '!AB18:BJ72,1,6)</f>
        <v>0</v>
      </c>
      <c r="AJ59" s="97">
        <f>INDEX('[7]PLANILLA YEMI '!AC18:BK72,1,6)</f>
        <v>0</v>
      </c>
      <c r="AK59" s="97">
        <f>INDEX('[7]PLANILLA YEMI '!AD18:BL72,1,6)</f>
        <v>0</v>
      </c>
      <c r="AL59" s="97">
        <f>INDEX('[7]PLANILLA YEMI '!AE18:BM72,1,6)</f>
        <v>0</v>
      </c>
      <c r="AM59" s="97">
        <f>INDEX('[7]PLANILLA YEMI '!AF18:BN72,1,6)</f>
        <v>0</v>
      </c>
      <c r="AO59" s="116">
        <f t="shared" si="7"/>
        <v>0</v>
      </c>
      <c r="AP59" s="116">
        <f t="shared" si="7"/>
        <v>0</v>
      </c>
      <c r="AQ59" s="116">
        <f t="shared" si="7"/>
        <v>0</v>
      </c>
      <c r="AR59" s="116">
        <f t="shared" si="7"/>
        <v>0</v>
      </c>
      <c r="AS59" s="116">
        <f t="shared" si="7"/>
        <v>0</v>
      </c>
      <c r="AT59" s="116">
        <f t="shared" si="7"/>
        <v>0</v>
      </c>
      <c r="AU59" s="116">
        <f t="shared" si="7"/>
        <v>0</v>
      </c>
      <c r="AV59" s="116">
        <f t="shared" si="7"/>
        <v>0</v>
      </c>
      <c r="AW59" s="116">
        <f t="shared" si="7"/>
        <v>0</v>
      </c>
      <c r="AX59" s="116">
        <f t="shared" si="7"/>
        <v>0</v>
      </c>
      <c r="AY59" s="116">
        <f t="shared" si="7"/>
        <v>0</v>
      </c>
      <c r="AZ59" s="116">
        <f t="shared" si="7"/>
        <v>0</v>
      </c>
      <c r="BA59" s="116">
        <f t="shared" si="7"/>
        <v>21</v>
      </c>
      <c r="BB59" s="117">
        <f t="shared" si="4"/>
        <v>21</v>
      </c>
    </row>
    <row r="60" spans="1:54" ht="18.600000000000001" customHeight="1">
      <c r="A60" s="119" t="s">
        <v>583</v>
      </c>
      <c r="B60" s="112">
        <v>52</v>
      </c>
      <c r="C60" s="121">
        <f>+'[7]PLANILLA YEMI '!C19</f>
        <v>1024583299</v>
      </c>
      <c r="D60" s="122" t="str">
        <f>IFERROR(VLOOKUP($C60,'[7]PLANILLA YEMI '!$C$9:$F$60,2,0),"NO BD")</f>
        <v xml:space="preserve">SIERRA BOTERO JENNIFER  </v>
      </c>
      <c r="E60" s="123" t="s">
        <v>585</v>
      </c>
      <c r="F60" s="114" t="str">
        <f>IFERROR(VLOOKUP($C60,[7]BD!$B$3:$O$213,3,0),"")</f>
        <v>OPERARIO DE ASEO</v>
      </c>
      <c r="G60" s="124" t="s">
        <v>483</v>
      </c>
      <c r="H60" s="114" t="str">
        <f>IFERROR(VLOOKUP($C60,[7]BD!$B$3:$O$203,14,0),"")</f>
        <v>3204997455</v>
      </c>
      <c r="I60" s="114" t="str">
        <f>IFERROR(VLOOKUP($C60,[7]BD!$B$3:$O$203,4,0),"")</f>
        <v>18/10/2025</v>
      </c>
      <c r="J60" s="97" t="str">
        <f>INDEX('[7]PLANILLA YEMI '!C19:AK73,1,6)</f>
        <v>OK</v>
      </c>
      <c r="K60" s="97" t="str">
        <f>INDEX('[7]PLANILLA YEMI '!D19:AL73,1,6)</f>
        <v>OK</v>
      </c>
      <c r="L60" s="97" t="str">
        <f>INDEX('[7]PLANILLA YEMI '!E19:AM73,1,6)</f>
        <v>OK</v>
      </c>
      <c r="M60" s="97" t="str">
        <f>INDEX('[7]PLANILLA YEMI '!F19:AN73,1,6)</f>
        <v>OK</v>
      </c>
      <c r="N60" s="97" t="str">
        <f>INDEX('[7]PLANILLA YEMI '!G19:AO73,1,6)</f>
        <v>OK</v>
      </c>
      <c r="O60" s="97" t="str">
        <f>INDEX('[7]PLANILLA YEMI '!H19:AP73,1,6)</f>
        <v>OK</v>
      </c>
      <c r="P60" s="97" t="str">
        <f>INDEX('[7]PLANILLA YEMI '!I19:AQ73,1,6)</f>
        <v>OK</v>
      </c>
      <c r="Q60" s="97" t="str">
        <f>INDEX('[7]PLANILLA YEMI '!J19:AR73,1,6)</f>
        <v>OK</v>
      </c>
      <c r="R60" s="97" t="str">
        <f>INDEX('[7]PLANILLA YEMI '!K19:AS73,1,6)</f>
        <v>OK</v>
      </c>
      <c r="S60" s="97" t="str">
        <f>INDEX('[7]PLANILLA YEMI '!L19:AT73,1,6)</f>
        <v>OK</v>
      </c>
      <c r="T60" s="97" t="str">
        <f>INDEX('[7]PLANILLA YEMI '!M19:AU73,1,6)</f>
        <v>OK</v>
      </c>
      <c r="U60" s="97" t="str">
        <f>INDEX('[7]PLANILLA YEMI '!N19:AV73,1,6)</f>
        <v>OK</v>
      </c>
      <c r="V60" s="97" t="str">
        <f>INDEX('[7]PLANILLA YEMI '!O19:AW73,1,6)</f>
        <v>OK</v>
      </c>
      <c r="W60" s="97" t="str">
        <f>INDEX('[7]PLANILLA YEMI '!P19:AX73,1,6)</f>
        <v>OK</v>
      </c>
      <c r="X60" s="97" t="str">
        <f>INDEX('[7]PLANILLA YEMI '!Q19:AY73,1,6)</f>
        <v>OK</v>
      </c>
      <c r="Y60" s="97" t="str">
        <f>INDEX('[7]PLANILLA YEMI '!R19:AZ73,1,6)</f>
        <v>OK</v>
      </c>
      <c r="Z60" s="97" t="str">
        <f>INDEX('[7]PLANILLA YEMI '!S19:BA73,1,6)</f>
        <v>OK</v>
      </c>
      <c r="AA60" s="97" t="str">
        <f>INDEX('[7]PLANILLA YEMI '!T19:BB73,1,6)</f>
        <v>OK</v>
      </c>
      <c r="AB60" s="97" t="str">
        <f>INDEX('[7]PLANILLA YEMI '!U19:BC73,1,6)</f>
        <v>OK</v>
      </c>
      <c r="AC60" s="97" t="str">
        <f>INDEX('[7]PLANILLA YEMI '!V19:BD73,1,6)</f>
        <v>OK</v>
      </c>
      <c r="AD60" s="97" t="str">
        <f>INDEX('[7]PLANILLA YEMI '!W19:BE73,1,6)</f>
        <v>TS</v>
      </c>
      <c r="AE60" s="97">
        <f>INDEX('[7]PLANILLA YEMI '!X19:BF73,1,6)</f>
        <v>0</v>
      </c>
      <c r="AF60" s="97">
        <f>INDEX('[7]PLANILLA YEMI '!Y19:BG73,1,6)</f>
        <v>0</v>
      </c>
      <c r="AG60" s="97">
        <f>INDEX('[7]PLANILLA YEMI '!Z19:BH73,1,6)</f>
        <v>0</v>
      </c>
      <c r="AH60" s="97">
        <f>INDEX('[7]PLANILLA YEMI '!AA19:BI73,1,6)</f>
        <v>0</v>
      </c>
      <c r="AI60" s="97">
        <f>INDEX('[7]PLANILLA YEMI '!AB19:BJ73,1,6)</f>
        <v>0</v>
      </c>
      <c r="AJ60" s="97">
        <f>INDEX('[7]PLANILLA YEMI '!AC19:BK73,1,6)</f>
        <v>0</v>
      </c>
      <c r="AK60" s="97">
        <f>INDEX('[7]PLANILLA YEMI '!AD19:BL73,1,6)</f>
        <v>0</v>
      </c>
      <c r="AL60" s="97">
        <f>INDEX('[7]PLANILLA YEMI '!AE19:BM73,1,6)</f>
        <v>0</v>
      </c>
      <c r="AM60" s="97">
        <f>INDEX('[7]PLANILLA YEMI '!AF19:BN73,1,6)</f>
        <v>0</v>
      </c>
      <c r="AO60" s="116">
        <f t="shared" si="7"/>
        <v>0</v>
      </c>
      <c r="AP60" s="116">
        <f t="shared" si="7"/>
        <v>0</v>
      </c>
      <c r="AQ60" s="116">
        <f t="shared" si="7"/>
        <v>0</v>
      </c>
      <c r="AR60" s="116">
        <f t="shared" si="7"/>
        <v>0</v>
      </c>
      <c r="AS60" s="116">
        <f t="shared" si="7"/>
        <v>0</v>
      </c>
      <c r="AT60" s="116">
        <f t="shared" si="7"/>
        <v>0</v>
      </c>
      <c r="AU60" s="116">
        <f t="shared" si="7"/>
        <v>0</v>
      </c>
      <c r="AV60" s="116">
        <f t="shared" si="7"/>
        <v>0</v>
      </c>
      <c r="AW60" s="116">
        <f t="shared" si="7"/>
        <v>0</v>
      </c>
      <c r="AX60" s="116">
        <f t="shared" si="7"/>
        <v>0</v>
      </c>
      <c r="AY60" s="116">
        <f t="shared" si="7"/>
        <v>0</v>
      </c>
      <c r="AZ60" s="116">
        <f t="shared" si="7"/>
        <v>1</v>
      </c>
      <c r="BA60" s="116">
        <f t="shared" si="7"/>
        <v>20</v>
      </c>
      <c r="BB60" s="117">
        <f t="shared" si="4"/>
        <v>20</v>
      </c>
    </row>
    <row r="61" spans="1:54" ht="18.600000000000001" customHeight="1">
      <c r="B61" s="112">
        <v>53</v>
      </c>
      <c r="C61" s="121">
        <f>+'[7]PLANILLA YEMI '!C20</f>
        <v>39802794</v>
      </c>
      <c r="D61" s="122" t="str">
        <f>IFERROR(VLOOKUP($C61,'[7]PLANILLA YEMI '!$C$9:$F$60,2,0),"NO BD")</f>
        <v xml:space="preserve">ZAPATA CAMACHO NUBIA AMPARO </v>
      </c>
      <c r="E61" s="123" t="s">
        <v>585</v>
      </c>
      <c r="F61" s="114" t="str">
        <f>IFERROR(VLOOKUP($C61,[7]BD!$B$3:$O$213,3,0),"")</f>
        <v>OPERARIA DE ASEO Y CAFETERIA</v>
      </c>
      <c r="G61" s="124" t="s">
        <v>480</v>
      </c>
      <c r="H61" s="114" t="str">
        <f>IFERROR(VLOOKUP($C61,[7]BD!$B$3:$O$203,14,0),"")</f>
        <v>3202892554</v>
      </c>
      <c r="I61" s="114" t="str">
        <f>IFERROR(VLOOKUP($C61,[7]BD!$B$3:$O$203,4,0),"")</f>
        <v>18/10/2025</v>
      </c>
      <c r="J61" s="97" t="str">
        <f>INDEX('[7]PLANILLA YEMI '!C20:AK74,1,6)</f>
        <v>INC</v>
      </c>
      <c r="K61" s="97" t="str">
        <f>INDEX('[7]PLANILLA YEMI '!D20:AL74,1,6)</f>
        <v>INC</v>
      </c>
      <c r="L61" s="97" t="str">
        <f>INDEX('[7]PLANILLA YEMI '!E20:AM74,1,6)</f>
        <v>INC</v>
      </c>
      <c r="M61" s="97" t="str">
        <f>INDEX('[7]PLANILLA YEMI '!F20:AN74,1,6)</f>
        <v>INC</v>
      </c>
      <c r="N61" s="97" t="str">
        <f>INDEX('[7]PLANILLA YEMI '!G20:AO74,1,6)</f>
        <v>INC</v>
      </c>
      <c r="O61" s="97" t="str">
        <f>INDEX('[7]PLANILLA YEMI '!H20:AP74,1,6)</f>
        <v>INC</v>
      </c>
      <c r="P61" s="97" t="str">
        <f>INDEX('[7]PLANILLA YEMI '!I20:AQ74,1,6)</f>
        <v>INC</v>
      </c>
      <c r="Q61" s="97" t="str">
        <f>INDEX('[7]PLANILLA YEMI '!J20:AR74,1,6)</f>
        <v>INC</v>
      </c>
      <c r="R61" s="97" t="str">
        <f>INDEX('[7]PLANILLA YEMI '!K20:AS74,1,6)</f>
        <v>INC</v>
      </c>
      <c r="S61" s="97" t="str">
        <f>INDEX('[7]PLANILLA YEMI '!L20:AT74,1,6)</f>
        <v>INC</v>
      </c>
      <c r="T61" s="97" t="str">
        <f>INDEX('[7]PLANILLA YEMI '!M20:AU74,1,6)</f>
        <v>INC</v>
      </c>
      <c r="U61" s="97" t="str">
        <f>INDEX('[7]PLANILLA YEMI '!N20:AV74,1,6)</f>
        <v>INC</v>
      </c>
      <c r="V61" s="97" t="str">
        <f>INDEX('[7]PLANILLA YEMI '!O20:AW74,1,6)</f>
        <v>INC</v>
      </c>
      <c r="W61" s="97" t="str">
        <f>INDEX('[7]PLANILLA YEMI '!P20:AX74,1,6)</f>
        <v>INC</v>
      </c>
      <c r="X61" s="97" t="str">
        <f>INDEX('[7]PLANILLA YEMI '!Q20:AY74,1,6)</f>
        <v>INC</v>
      </c>
      <c r="Y61" s="97" t="str">
        <f>INDEX('[7]PLANILLA YEMI '!R20:AZ74,1,6)</f>
        <v>OK</v>
      </c>
      <c r="Z61" s="97" t="str">
        <f>INDEX('[7]PLANILLA YEMI '!S20:BA74,1,6)</f>
        <v>OK</v>
      </c>
      <c r="AA61" s="97" t="str">
        <f>INDEX('[7]PLANILLA YEMI '!T20:BB74,1,6)</f>
        <v>OK</v>
      </c>
      <c r="AB61" s="97" t="str">
        <f>INDEX('[7]PLANILLA YEMI '!U20:BC74,1,6)</f>
        <v>OK</v>
      </c>
      <c r="AC61" s="97" t="str">
        <f>INDEX('[7]PLANILLA YEMI '!V20:BD74,1,6)</f>
        <v>OK</v>
      </c>
      <c r="AD61" s="97" t="str">
        <f>INDEX('[7]PLANILLA YEMI '!W20:BE74,1,6)</f>
        <v>OK</v>
      </c>
      <c r="AE61" s="97">
        <f>INDEX('[7]PLANILLA YEMI '!X20:BF74,1,6)</f>
        <v>0</v>
      </c>
      <c r="AF61" s="97">
        <f>INDEX('[7]PLANILLA YEMI '!Y20:BG74,1,6)</f>
        <v>0</v>
      </c>
      <c r="AG61" s="97">
        <f>INDEX('[7]PLANILLA YEMI '!Z20:BH74,1,6)</f>
        <v>0</v>
      </c>
      <c r="AH61" s="97">
        <f>INDEX('[7]PLANILLA YEMI '!AA20:BI74,1,6)</f>
        <v>0</v>
      </c>
      <c r="AI61" s="97">
        <f>INDEX('[7]PLANILLA YEMI '!AB20:BJ74,1,6)</f>
        <v>0</v>
      </c>
      <c r="AJ61" s="97">
        <f>INDEX('[7]PLANILLA YEMI '!AC20:BK74,1,6)</f>
        <v>0</v>
      </c>
      <c r="AK61" s="97">
        <f>INDEX('[7]PLANILLA YEMI '!AD20:BL74,1,6)</f>
        <v>0</v>
      </c>
      <c r="AL61" s="97">
        <f>INDEX('[7]PLANILLA YEMI '!AE20:BM74,1,6)</f>
        <v>0</v>
      </c>
      <c r="AM61" s="97">
        <f>INDEX('[7]PLANILLA YEMI '!AF20:BN74,1,6)</f>
        <v>0</v>
      </c>
      <c r="AO61" s="116">
        <f t="shared" si="7"/>
        <v>0</v>
      </c>
      <c r="AP61" s="116">
        <f t="shared" si="7"/>
        <v>0</v>
      </c>
      <c r="AQ61" s="116">
        <f t="shared" si="7"/>
        <v>0</v>
      </c>
      <c r="AR61" s="116">
        <f t="shared" si="7"/>
        <v>15</v>
      </c>
      <c r="AS61" s="116">
        <f t="shared" si="7"/>
        <v>0</v>
      </c>
      <c r="AT61" s="116">
        <f t="shared" si="7"/>
        <v>0</v>
      </c>
      <c r="AU61" s="116">
        <f t="shared" si="7"/>
        <v>0</v>
      </c>
      <c r="AV61" s="116">
        <f t="shared" si="7"/>
        <v>0</v>
      </c>
      <c r="AW61" s="116">
        <f t="shared" si="7"/>
        <v>0</v>
      </c>
      <c r="AX61" s="116">
        <f t="shared" si="7"/>
        <v>0</v>
      </c>
      <c r="AY61" s="116">
        <f t="shared" si="7"/>
        <v>0</v>
      </c>
      <c r="AZ61" s="116">
        <f t="shared" si="7"/>
        <v>0</v>
      </c>
      <c r="BA61" s="116">
        <f t="shared" si="7"/>
        <v>6</v>
      </c>
      <c r="BB61" s="117">
        <f t="shared" si="4"/>
        <v>6</v>
      </c>
    </row>
    <row r="62" spans="1:54" ht="18.600000000000001" customHeight="1">
      <c r="B62" s="112">
        <v>54</v>
      </c>
      <c r="C62" s="121">
        <f>+'[7]PLANILLA YEMI '!C21</f>
        <v>52742012</v>
      </c>
      <c r="D62" s="122" t="str">
        <f>IFERROR(VLOOKUP($C62,'[7]PLANILLA YEMI '!$C$9:$F$60,2,0),"NO BD")</f>
        <v xml:space="preserve">RAMIREZ TORRES PAOLA ANDREA </v>
      </c>
      <c r="E62" s="123" t="s">
        <v>585</v>
      </c>
      <c r="F62" s="114" t="str">
        <f>IFERROR(VLOOKUP($C62,[7]BD!$B$3:$O$213,3,0),"")</f>
        <v>OPERARIA DE ASEO Y CAFETERIA</v>
      </c>
      <c r="G62" s="124" t="s">
        <v>480</v>
      </c>
      <c r="H62" s="114" t="str">
        <f>IFERROR(VLOOKUP($C62,[7]BD!$B$3:$O$203,14,0),"")</f>
        <v>3132204307</v>
      </c>
      <c r="I62" s="114" t="str">
        <f>IFERROR(VLOOKUP($C62,[7]BD!$B$3:$O$203,4,0),"")</f>
        <v>18/10/2025</v>
      </c>
      <c r="J62" s="97" t="str">
        <f>INDEX('[7]PLANILLA YEMI '!C21:AK75,1,6)</f>
        <v>OK</v>
      </c>
      <c r="K62" s="97" t="str">
        <f>INDEX('[7]PLANILLA YEMI '!D21:AL75,1,6)</f>
        <v>OK</v>
      </c>
      <c r="L62" s="97" t="str">
        <f>INDEX('[7]PLANILLA YEMI '!E21:AM75,1,6)</f>
        <v>OK</v>
      </c>
      <c r="M62" s="97" t="str">
        <f>INDEX('[7]PLANILLA YEMI '!F21:AN75,1,6)</f>
        <v>OK</v>
      </c>
      <c r="N62" s="97" t="str">
        <f>INDEX('[7]PLANILLA YEMI '!G21:AO75,1,6)</f>
        <v>OK</v>
      </c>
      <c r="O62" s="97" t="str">
        <f>INDEX('[7]PLANILLA YEMI '!H21:AP75,1,6)</f>
        <v>OK</v>
      </c>
      <c r="P62" s="97" t="str">
        <f>INDEX('[7]PLANILLA YEMI '!I21:AQ75,1,6)</f>
        <v>OK</v>
      </c>
      <c r="Q62" s="97" t="str">
        <f>INDEX('[7]PLANILLA YEMI '!J21:AR75,1,6)</f>
        <v>OK</v>
      </c>
      <c r="R62" s="97" t="str">
        <f>INDEX('[7]PLANILLA YEMI '!K21:AS75,1,6)</f>
        <v>OK</v>
      </c>
      <c r="S62" s="97" t="str">
        <f>INDEX('[7]PLANILLA YEMI '!L21:AT75,1,6)</f>
        <v>OK</v>
      </c>
      <c r="T62" s="97" t="str">
        <f>INDEX('[7]PLANILLA YEMI '!M21:AU75,1,6)</f>
        <v>OK</v>
      </c>
      <c r="U62" s="97" t="str">
        <f>INDEX('[7]PLANILLA YEMI '!N21:AV75,1,6)</f>
        <v>OK</v>
      </c>
      <c r="V62" s="97" t="str">
        <f>INDEX('[7]PLANILLA YEMI '!O21:AW75,1,6)</f>
        <v>OK</v>
      </c>
      <c r="W62" s="97" t="str">
        <f>INDEX('[7]PLANILLA YEMI '!P21:AX75,1,6)</f>
        <v>OK</v>
      </c>
      <c r="X62" s="97" t="str">
        <f>INDEX('[7]PLANILLA YEMI '!Q21:AY75,1,6)</f>
        <v>OK</v>
      </c>
      <c r="Y62" s="97" t="str">
        <f>INDEX('[7]PLANILLA YEMI '!R21:AZ75,1,6)</f>
        <v>OK</v>
      </c>
      <c r="Z62" s="97" t="str">
        <f>INDEX('[7]PLANILLA YEMI '!S21:BA75,1,6)</f>
        <v>OK</v>
      </c>
      <c r="AA62" s="97" t="str">
        <f>INDEX('[7]PLANILLA YEMI '!T21:BB75,1,6)</f>
        <v>OK</v>
      </c>
      <c r="AB62" s="97" t="str">
        <f>INDEX('[7]PLANILLA YEMI '!U21:BC75,1,6)</f>
        <v>OK</v>
      </c>
      <c r="AC62" s="97" t="str">
        <f>INDEX('[7]PLANILLA YEMI '!V21:BD75,1,6)</f>
        <v>OK</v>
      </c>
      <c r="AD62" s="97" t="str">
        <f>INDEX('[7]PLANILLA YEMI '!W21:BE75,1,6)</f>
        <v>OK</v>
      </c>
      <c r="AE62" s="97">
        <f>INDEX('[7]PLANILLA YEMI '!X21:BF75,1,6)</f>
        <v>0</v>
      </c>
      <c r="AF62" s="97">
        <f>INDEX('[7]PLANILLA YEMI '!Y21:BG75,1,6)</f>
        <v>0</v>
      </c>
      <c r="AG62" s="97">
        <f>INDEX('[7]PLANILLA YEMI '!Z21:BH75,1,6)</f>
        <v>0</v>
      </c>
      <c r="AH62" s="97">
        <f>INDEX('[7]PLANILLA YEMI '!AA21:BI75,1,6)</f>
        <v>0</v>
      </c>
      <c r="AI62" s="97">
        <f>INDEX('[7]PLANILLA YEMI '!AB21:BJ75,1,6)</f>
        <v>0</v>
      </c>
      <c r="AJ62" s="97">
        <f>INDEX('[7]PLANILLA YEMI '!AC21:BK75,1,6)</f>
        <v>0</v>
      </c>
      <c r="AK62" s="97">
        <f>INDEX('[7]PLANILLA YEMI '!AD21:BL75,1,6)</f>
        <v>0</v>
      </c>
      <c r="AL62" s="97">
        <f>INDEX('[7]PLANILLA YEMI '!AE21:BM75,1,6)</f>
        <v>0</v>
      </c>
      <c r="AM62" s="97">
        <f>INDEX('[7]PLANILLA YEMI '!AF21:BN75,1,6)</f>
        <v>0</v>
      </c>
      <c r="AO62" s="116">
        <f t="shared" si="7"/>
        <v>0</v>
      </c>
      <c r="AP62" s="116">
        <f t="shared" si="7"/>
        <v>0</v>
      </c>
      <c r="AQ62" s="116">
        <f t="shared" si="7"/>
        <v>0</v>
      </c>
      <c r="AR62" s="116">
        <f t="shared" si="7"/>
        <v>0</v>
      </c>
      <c r="AS62" s="116">
        <f t="shared" si="7"/>
        <v>0</v>
      </c>
      <c r="AT62" s="116">
        <f t="shared" si="7"/>
        <v>0</v>
      </c>
      <c r="AU62" s="116">
        <f t="shared" si="7"/>
        <v>0</v>
      </c>
      <c r="AV62" s="116">
        <f t="shared" si="7"/>
        <v>0</v>
      </c>
      <c r="AW62" s="116">
        <f t="shared" si="7"/>
        <v>0</v>
      </c>
      <c r="AX62" s="116">
        <f t="shared" si="7"/>
        <v>0</v>
      </c>
      <c r="AY62" s="116">
        <f t="shared" si="7"/>
        <v>0</v>
      </c>
      <c r="AZ62" s="116">
        <f t="shared" si="7"/>
        <v>0</v>
      </c>
      <c r="BA62" s="116">
        <f t="shared" si="7"/>
        <v>21</v>
      </c>
      <c r="BB62" s="117">
        <f t="shared" si="4"/>
        <v>21</v>
      </c>
    </row>
    <row r="63" spans="1:54" ht="18.600000000000001" customHeight="1">
      <c r="B63" s="112">
        <v>55</v>
      </c>
      <c r="C63" s="121">
        <f>+'[7]PLANILLA YEMI '!C22</f>
        <v>52017874</v>
      </c>
      <c r="D63" s="122" t="str">
        <f>IFERROR(VLOOKUP($C63,'[7]PLANILLA YEMI '!$C$9:$F$60,2,0),"NO BD")</f>
        <v xml:space="preserve">MATEUS PIRACOA MARTHA JANETH </v>
      </c>
      <c r="E63" s="123" t="s">
        <v>585</v>
      </c>
      <c r="F63" s="114" t="str">
        <f>IFERROR(VLOOKUP($C63,[7]BD!$B$3:$O$213,3,0),"")</f>
        <v>OPERARIA DE ASEO Y CAFETERIA</v>
      </c>
      <c r="G63" s="124" t="s">
        <v>480</v>
      </c>
      <c r="H63" s="114" t="str">
        <f>IFERROR(VLOOKUP($C63,[7]BD!$B$3:$O$203,14,0),"")</f>
        <v>3193602960</v>
      </c>
      <c r="I63" s="114" t="str">
        <f>IFERROR(VLOOKUP($C63,[7]BD!$B$3:$O$203,4,0),"")</f>
        <v>18/10/2025</v>
      </c>
      <c r="J63" s="97" t="str">
        <f>INDEX('[7]PLANILLA YEMI '!C22:AK76,1,6)</f>
        <v>OK</v>
      </c>
      <c r="K63" s="97" t="str">
        <f>INDEX('[7]PLANILLA YEMI '!D22:AL76,1,6)</f>
        <v>OK</v>
      </c>
      <c r="L63" s="97" t="str">
        <f>INDEX('[7]PLANILLA YEMI '!E22:AM76,1,6)</f>
        <v>OK</v>
      </c>
      <c r="M63" s="97" t="str">
        <f>INDEX('[7]PLANILLA YEMI '!F22:AN76,1,6)</f>
        <v>OK</v>
      </c>
      <c r="N63" s="97" t="str">
        <f>INDEX('[7]PLANILLA YEMI '!G22:AO76,1,6)</f>
        <v>OK</v>
      </c>
      <c r="O63" s="97" t="str">
        <f>INDEX('[7]PLANILLA YEMI '!H22:AP76,1,6)</f>
        <v>OK</v>
      </c>
      <c r="P63" s="97" t="str">
        <f>INDEX('[7]PLANILLA YEMI '!I22:AQ76,1,6)</f>
        <v>OK</v>
      </c>
      <c r="Q63" s="97" t="str">
        <f>INDEX('[7]PLANILLA YEMI '!J22:AR76,1,6)</f>
        <v>OK</v>
      </c>
      <c r="R63" s="97" t="str">
        <f>INDEX('[7]PLANILLA YEMI '!K22:AS76,1,6)</f>
        <v>OK</v>
      </c>
      <c r="S63" s="97" t="str">
        <f>INDEX('[7]PLANILLA YEMI '!L22:AT76,1,6)</f>
        <v>INC</v>
      </c>
      <c r="T63" s="97" t="str">
        <f>INDEX('[7]PLANILLA YEMI '!M22:AU76,1,6)</f>
        <v>INC</v>
      </c>
      <c r="U63" s="97" t="str">
        <f>INDEX('[7]PLANILLA YEMI '!N22:AV76,1,6)</f>
        <v>OK</v>
      </c>
      <c r="V63" s="97" t="str">
        <f>INDEX('[7]PLANILLA YEMI '!O22:AW76,1,6)</f>
        <v>OK</v>
      </c>
      <c r="W63" s="97" t="str">
        <f>INDEX('[7]PLANILLA YEMI '!P22:AX76,1,6)</f>
        <v>OK</v>
      </c>
      <c r="X63" s="97" t="str">
        <f>INDEX('[7]PLANILLA YEMI '!Q22:AY76,1,6)</f>
        <v>OK</v>
      </c>
      <c r="Y63" s="97" t="str">
        <f>INDEX('[7]PLANILLA YEMI '!R22:AZ76,1,6)</f>
        <v>OK</v>
      </c>
      <c r="Z63" s="97" t="str">
        <f>INDEX('[7]PLANILLA YEMI '!S22:BA76,1,6)</f>
        <v>OK</v>
      </c>
      <c r="AA63" s="97" t="str">
        <f>INDEX('[7]PLANILLA YEMI '!T22:BB76,1,6)</f>
        <v>OK</v>
      </c>
      <c r="AB63" s="97" t="str">
        <f>INDEX('[7]PLANILLA YEMI '!U22:BC76,1,6)</f>
        <v>OK</v>
      </c>
      <c r="AC63" s="97" t="str">
        <f>INDEX('[7]PLANILLA YEMI '!V22:BD76,1,6)</f>
        <v>OK</v>
      </c>
      <c r="AD63" s="97" t="str">
        <f>INDEX('[7]PLANILLA YEMI '!W22:BE76,1,6)</f>
        <v>OK</v>
      </c>
      <c r="AE63" s="97">
        <f>INDEX('[7]PLANILLA YEMI '!X22:BF76,1,6)</f>
        <v>0</v>
      </c>
      <c r="AF63" s="97">
        <f>INDEX('[7]PLANILLA YEMI '!Y22:BG76,1,6)</f>
        <v>0</v>
      </c>
      <c r="AG63" s="97">
        <f>INDEX('[7]PLANILLA YEMI '!Z22:BH76,1,6)</f>
        <v>0</v>
      </c>
      <c r="AH63" s="97">
        <f>INDEX('[7]PLANILLA YEMI '!AA22:BI76,1,6)</f>
        <v>0</v>
      </c>
      <c r="AI63" s="97">
        <f>INDEX('[7]PLANILLA YEMI '!AB22:BJ76,1,6)</f>
        <v>0</v>
      </c>
      <c r="AJ63" s="97">
        <f>INDEX('[7]PLANILLA YEMI '!AC22:BK76,1,6)</f>
        <v>0</v>
      </c>
      <c r="AK63" s="97">
        <f>INDEX('[7]PLANILLA YEMI '!AD22:BL76,1,6)</f>
        <v>0</v>
      </c>
      <c r="AL63" s="97">
        <f>INDEX('[7]PLANILLA YEMI '!AE22:BM76,1,6)</f>
        <v>0</v>
      </c>
      <c r="AM63" s="97">
        <f>INDEX('[7]PLANILLA YEMI '!AF22:BN76,1,6)</f>
        <v>0</v>
      </c>
      <c r="AO63" s="116">
        <f t="shared" si="7"/>
        <v>0</v>
      </c>
      <c r="AP63" s="116">
        <f t="shared" si="7"/>
        <v>0</v>
      </c>
      <c r="AQ63" s="116">
        <f t="shared" si="7"/>
        <v>0</v>
      </c>
      <c r="AR63" s="116">
        <f t="shared" si="7"/>
        <v>2</v>
      </c>
      <c r="AS63" s="116">
        <f t="shared" si="7"/>
        <v>0</v>
      </c>
      <c r="AT63" s="116">
        <f t="shared" si="7"/>
        <v>0</v>
      </c>
      <c r="AU63" s="116">
        <f t="shared" si="7"/>
        <v>0</v>
      </c>
      <c r="AV63" s="116">
        <f t="shared" si="7"/>
        <v>0</v>
      </c>
      <c r="AW63" s="116">
        <f t="shared" ref="AW63:BA64" si="8">COUNTIF($J63:$AM63,AW$7)</f>
        <v>0</v>
      </c>
      <c r="AX63" s="116">
        <f t="shared" si="8"/>
        <v>0</v>
      </c>
      <c r="AY63" s="116">
        <f t="shared" si="8"/>
        <v>0</v>
      </c>
      <c r="AZ63" s="116">
        <f t="shared" si="8"/>
        <v>0</v>
      </c>
      <c r="BA63" s="116">
        <f t="shared" si="8"/>
        <v>19</v>
      </c>
      <c r="BB63" s="117">
        <f t="shared" si="4"/>
        <v>19</v>
      </c>
    </row>
    <row r="64" spans="1:54" ht="18.600000000000001" customHeight="1">
      <c r="B64" s="112">
        <v>56</v>
      </c>
      <c r="C64" s="121">
        <f>+'[7]PLANILLA YEMI '!C23</f>
        <v>5483580</v>
      </c>
      <c r="D64" s="122" t="str">
        <f>IFERROR(VLOOKUP($C64,'[7]PLANILLA YEMI '!$C$9:$F$60,2,0),"NO BD")</f>
        <v xml:space="preserve">DELGADO GUEVARA NELLYS ALEJANDRA </v>
      </c>
      <c r="E64" s="123" t="s">
        <v>585</v>
      </c>
      <c r="F64" s="114" t="str">
        <f>IFERROR(VLOOKUP($C64,[7]BD!$B$3:$O$213,3,0),"")</f>
        <v>OPERARIA DE ASEO Y CAFETERIA</v>
      </c>
      <c r="G64" s="124" t="s">
        <v>480</v>
      </c>
      <c r="H64" s="114" t="str">
        <f>IFERROR(VLOOKUP($C64,[7]BD!$B$3:$O$203,14,0),"")</f>
        <v>3243453295</v>
      </c>
      <c r="I64" s="114" t="str">
        <f>IFERROR(VLOOKUP($C64,[7]BD!$B$3:$O$203,4,0),"")</f>
        <v>18/10/2025</v>
      </c>
      <c r="J64" s="97" t="str">
        <f>INDEX('[7]PLANILLA YEMI '!C23:AK77,1,6)</f>
        <v>OK</v>
      </c>
      <c r="K64" s="97" t="str">
        <f>INDEX('[7]PLANILLA YEMI '!D23:AL77,1,6)</f>
        <v>OK</v>
      </c>
      <c r="L64" s="97" t="str">
        <f>INDEX('[7]PLANILLA YEMI '!E23:AM77,1,6)</f>
        <v>OK</v>
      </c>
      <c r="M64" s="97" t="str">
        <f>INDEX('[7]PLANILLA YEMI '!F23:AN77,1,6)</f>
        <v>OK</v>
      </c>
      <c r="N64" s="97" t="str">
        <f>INDEX('[7]PLANILLA YEMI '!G23:AO77,1,6)</f>
        <v>OK</v>
      </c>
      <c r="O64" s="97" t="str">
        <f>INDEX('[7]PLANILLA YEMI '!H23:AP77,1,6)</f>
        <v>OK</v>
      </c>
      <c r="P64" s="97" t="str">
        <f>INDEX('[7]PLANILLA YEMI '!I23:AQ77,1,6)</f>
        <v>OK</v>
      </c>
      <c r="Q64" s="97" t="str">
        <f>INDEX('[7]PLANILLA YEMI '!J23:AR77,1,6)</f>
        <v>OK</v>
      </c>
      <c r="R64" s="97" t="str">
        <f>INDEX('[7]PLANILLA YEMI '!K23:AS77,1,6)</f>
        <v>OK</v>
      </c>
      <c r="S64" s="97" t="str">
        <f>INDEX('[7]PLANILLA YEMI '!L23:AT77,1,6)</f>
        <v>OK</v>
      </c>
      <c r="T64" s="97" t="str">
        <f>INDEX('[7]PLANILLA YEMI '!M23:AU77,1,6)</f>
        <v>OK</v>
      </c>
      <c r="U64" s="97" t="str">
        <f>INDEX('[7]PLANILLA YEMI '!N23:AV77,1,6)</f>
        <v>OK</v>
      </c>
      <c r="V64" s="97" t="str">
        <f>INDEX('[7]PLANILLA YEMI '!O23:AW77,1,6)</f>
        <v>OK</v>
      </c>
      <c r="W64" s="97" t="str">
        <f>INDEX('[7]PLANILLA YEMI '!P23:AX77,1,6)</f>
        <v>OK</v>
      </c>
      <c r="X64" s="97" t="str">
        <f>INDEX('[7]PLANILLA YEMI '!Q23:AY77,1,6)</f>
        <v>OK</v>
      </c>
      <c r="Y64" s="97" t="str">
        <f>INDEX('[7]PLANILLA YEMI '!R23:AZ77,1,6)</f>
        <v>OK</v>
      </c>
      <c r="Z64" s="97" t="str">
        <f>INDEX('[7]PLANILLA YEMI '!S23:BA77,1,6)</f>
        <v>OK</v>
      </c>
      <c r="AA64" s="97" t="str">
        <f>INDEX('[7]PLANILLA YEMI '!T23:BB77,1,6)</f>
        <v>OK</v>
      </c>
      <c r="AB64" s="97" t="str">
        <f>INDEX('[7]PLANILLA YEMI '!U23:BC77,1,6)</f>
        <v>OK</v>
      </c>
      <c r="AC64" s="97" t="str">
        <f>INDEX('[7]PLANILLA YEMI '!V23:BD77,1,6)</f>
        <v>OK</v>
      </c>
      <c r="AD64" s="97" t="str">
        <f>INDEX('[7]PLANILLA YEMI '!W23:BE77,1,6)</f>
        <v>OK</v>
      </c>
      <c r="AE64" s="97">
        <f>INDEX('[7]PLANILLA YEMI '!X23:BF77,1,6)</f>
        <v>0</v>
      </c>
      <c r="AF64" s="97">
        <f>INDEX('[7]PLANILLA YEMI '!Y23:BG77,1,6)</f>
        <v>0</v>
      </c>
      <c r="AG64" s="97">
        <f>INDEX('[7]PLANILLA YEMI '!Z23:BH77,1,6)</f>
        <v>0</v>
      </c>
      <c r="AH64" s="97">
        <f>INDEX('[7]PLANILLA YEMI '!AA23:BI77,1,6)</f>
        <v>0</v>
      </c>
      <c r="AI64" s="97">
        <f>INDEX('[7]PLANILLA YEMI '!AB23:BJ77,1,6)</f>
        <v>0</v>
      </c>
      <c r="AJ64" s="97">
        <f>INDEX('[7]PLANILLA YEMI '!AC23:BK77,1,6)</f>
        <v>0</v>
      </c>
      <c r="AK64" s="97">
        <f>INDEX('[7]PLANILLA YEMI '!AD23:BL77,1,6)</f>
        <v>0</v>
      </c>
      <c r="AL64" s="97">
        <f>INDEX('[7]PLANILLA YEMI '!AE23:BM77,1,6)</f>
        <v>0</v>
      </c>
      <c r="AM64" s="97">
        <f>INDEX('[7]PLANILLA YEMI '!AF23:BN77,1,6)</f>
        <v>0</v>
      </c>
      <c r="AO64" s="116">
        <f t="shared" ref="AO64:BA83" si="9">COUNTIF($J64:$AM64,AO$7)</f>
        <v>0</v>
      </c>
      <c r="AP64" s="116">
        <f t="shared" si="9"/>
        <v>0</v>
      </c>
      <c r="AQ64" s="116">
        <f t="shared" si="9"/>
        <v>0</v>
      </c>
      <c r="AR64" s="116">
        <f t="shared" si="9"/>
        <v>0</v>
      </c>
      <c r="AS64" s="116">
        <f t="shared" si="9"/>
        <v>0</v>
      </c>
      <c r="AT64" s="116">
        <f t="shared" si="9"/>
        <v>0</v>
      </c>
      <c r="AU64" s="116">
        <f t="shared" si="9"/>
        <v>0</v>
      </c>
      <c r="AV64" s="116">
        <f t="shared" si="9"/>
        <v>0</v>
      </c>
      <c r="AW64" s="116">
        <f t="shared" si="9"/>
        <v>0</v>
      </c>
      <c r="AX64" s="116">
        <f t="shared" si="8"/>
        <v>0</v>
      </c>
      <c r="AY64" s="116">
        <f t="shared" si="8"/>
        <v>0</v>
      </c>
      <c r="AZ64" s="116">
        <f t="shared" si="8"/>
        <v>0</v>
      </c>
      <c r="BA64" s="116">
        <f t="shared" si="8"/>
        <v>21</v>
      </c>
      <c r="BB64" s="117">
        <f t="shared" si="4"/>
        <v>21</v>
      </c>
    </row>
    <row r="65" spans="1:54" ht="18.600000000000001" customHeight="1">
      <c r="B65" s="112">
        <v>57</v>
      </c>
      <c r="C65" s="121">
        <f>+'[7]PLANILLA YEMI '!C24</f>
        <v>79612751</v>
      </c>
      <c r="D65" s="122" t="str">
        <f>IFERROR(VLOOKUP($C65,'[7]PLANILLA YEMI '!$C$9:$F$60,2,0),"NO BD")</f>
        <v xml:space="preserve">RAMIREZ WILCHES FABIO  </v>
      </c>
      <c r="E65" s="123" t="s">
        <v>585</v>
      </c>
      <c r="F65" s="114" t="str">
        <f>IFERROR(VLOOKUP($C65,[7]BD!$B$3:$O$213,3,0),"")</f>
        <v>OPERARIO DE MANTENIMIENTO</v>
      </c>
      <c r="G65" s="124" t="s">
        <v>480</v>
      </c>
      <c r="H65" s="114" t="str">
        <f>IFERROR(VLOOKUP($C65,[7]BD!$B$3:$O$203,14,0),"")</f>
        <v>3107679676</v>
      </c>
      <c r="I65" s="114" t="str">
        <f>IFERROR(VLOOKUP($C65,[7]BD!$B$3:$O$203,4,0),"")</f>
        <v>18/11/2025</v>
      </c>
      <c r="J65" s="97" t="str">
        <f>INDEX('[7]PLANILLA YEMI '!C24:AK78,1,6)</f>
        <v>OK</v>
      </c>
      <c r="K65" s="97" t="str">
        <f>INDEX('[7]PLANILLA YEMI '!D24:AL78,1,6)</f>
        <v>OK</v>
      </c>
      <c r="L65" s="97" t="str">
        <f>INDEX('[7]PLANILLA YEMI '!E24:AM78,1,6)</f>
        <v>OK</v>
      </c>
      <c r="M65" s="97" t="str">
        <f>INDEX('[7]PLANILLA YEMI '!F24:AN78,1,6)</f>
        <v>OK</v>
      </c>
      <c r="N65" s="97" t="str">
        <f>INDEX('[7]PLANILLA YEMI '!G24:AO78,1,6)</f>
        <v>OK</v>
      </c>
      <c r="O65" s="97" t="str">
        <f>INDEX('[7]PLANILLA YEMI '!H24:AP78,1,6)</f>
        <v>OK</v>
      </c>
      <c r="P65" s="97" t="str">
        <f>INDEX('[7]PLANILLA YEMI '!I24:AQ78,1,6)</f>
        <v>OK</v>
      </c>
      <c r="Q65" s="97" t="str">
        <f>INDEX('[7]PLANILLA YEMI '!J24:AR78,1,6)</f>
        <v>OK</v>
      </c>
      <c r="R65" s="97" t="str">
        <f>INDEX('[7]PLANILLA YEMI '!K24:AS78,1,6)</f>
        <v>OK</v>
      </c>
      <c r="S65" s="97" t="str">
        <f>INDEX('[7]PLANILLA YEMI '!L24:AT78,1,6)</f>
        <v>OK</v>
      </c>
      <c r="T65" s="97" t="str">
        <f>INDEX('[7]PLANILLA YEMI '!M24:AU78,1,6)</f>
        <v>OK</v>
      </c>
      <c r="U65" s="97" t="str">
        <f>INDEX('[7]PLANILLA YEMI '!N24:AV78,1,6)</f>
        <v>OK</v>
      </c>
      <c r="V65" s="97" t="str">
        <f>INDEX('[7]PLANILLA YEMI '!O24:AW78,1,6)</f>
        <v>OK</v>
      </c>
      <c r="W65" s="97" t="str">
        <f>INDEX('[7]PLANILLA YEMI '!P24:AX78,1,6)</f>
        <v>OK</v>
      </c>
      <c r="X65" s="97" t="str">
        <f>INDEX('[7]PLANILLA YEMI '!Q24:AY78,1,6)</f>
        <v>OK</v>
      </c>
      <c r="Y65" s="97" t="str">
        <f>INDEX('[7]PLANILLA YEMI '!R24:AZ78,1,6)</f>
        <v>OK</v>
      </c>
      <c r="Z65" s="97" t="str">
        <f>INDEX('[7]PLANILLA YEMI '!S24:BA78,1,6)</f>
        <v>OK</v>
      </c>
      <c r="AA65" s="97" t="str">
        <f>INDEX('[7]PLANILLA YEMI '!T24:BB78,1,6)</f>
        <v>OK</v>
      </c>
      <c r="AB65" s="97" t="str">
        <f>INDEX('[7]PLANILLA YEMI '!U24:BC78,1,6)</f>
        <v>OK</v>
      </c>
      <c r="AC65" s="97" t="str">
        <f>INDEX('[7]PLANILLA YEMI '!V24:BD78,1,6)</f>
        <v>OK</v>
      </c>
      <c r="AD65" s="97" t="str">
        <f>INDEX('[7]PLANILLA YEMI '!W24:BE78,1,6)</f>
        <v>OK</v>
      </c>
      <c r="AE65" s="97">
        <f>INDEX('[7]PLANILLA YEMI '!X24:BF78,1,6)</f>
        <v>0</v>
      </c>
      <c r="AF65" s="97">
        <f>INDEX('[7]PLANILLA YEMI '!Y24:BG78,1,6)</f>
        <v>0</v>
      </c>
      <c r="AG65" s="97">
        <f>INDEX('[7]PLANILLA YEMI '!Z24:BH78,1,6)</f>
        <v>0</v>
      </c>
      <c r="AH65" s="97">
        <f>INDEX('[7]PLANILLA YEMI '!AA24:BI78,1,6)</f>
        <v>0</v>
      </c>
      <c r="AI65" s="97">
        <f>INDEX('[7]PLANILLA YEMI '!AB24:BJ78,1,6)</f>
        <v>0</v>
      </c>
      <c r="AJ65" s="97">
        <f>INDEX('[7]PLANILLA YEMI '!AC24:BK78,1,6)</f>
        <v>0</v>
      </c>
      <c r="AK65" s="97">
        <f>INDEX('[7]PLANILLA YEMI '!AD24:BL78,1,6)</f>
        <v>0</v>
      </c>
      <c r="AL65" s="97">
        <f>INDEX('[7]PLANILLA YEMI '!AE24:BM78,1,6)</f>
        <v>0</v>
      </c>
      <c r="AM65" s="97">
        <f>INDEX('[7]PLANILLA YEMI '!AF24:BN78,1,6)</f>
        <v>0</v>
      </c>
      <c r="AO65" s="116">
        <f t="shared" si="9"/>
        <v>0</v>
      </c>
      <c r="AP65" s="116">
        <f t="shared" si="9"/>
        <v>0</v>
      </c>
      <c r="AQ65" s="116">
        <f t="shared" si="9"/>
        <v>0</v>
      </c>
      <c r="AR65" s="116">
        <f t="shared" si="9"/>
        <v>0</v>
      </c>
      <c r="AS65" s="116">
        <f t="shared" si="9"/>
        <v>0</v>
      </c>
      <c r="AT65" s="116">
        <f t="shared" si="9"/>
        <v>0</v>
      </c>
      <c r="AU65" s="116">
        <f t="shared" si="9"/>
        <v>0</v>
      </c>
      <c r="AV65" s="116">
        <f t="shared" si="9"/>
        <v>0</v>
      </c>
      <c r="AW65" s="116">
        <f t="shared" si="9"/>
        <v>0</v>
      </c>
      <c r="AX65" s="116">
        <f t="shared" si="9"/>
        <v>0</v>
      </c>
      <c r="AY65" s="116">
        <f t="shared" si="9"/>
        <v>0</v>
      </c>
      <c r="AZ65" s="116">
        <f t="shared" si="9"/>
        <v>0</v>
      </c>
      <c r="BA65" s="116">
        <f t="shared" si="9"/>
        <v>21</v>
      </c>
      <c r="BB65" s="117">
        <f t="shared" si="4"/>
        <v>21</v>
      </c>
    </row>
    <row r="66" spans="1:54" ht="18.600000000000001" customHeight="1">
      <c r="B66" s="112">
        <v>58</v>
      </c>
      <c r="C66" s="121">
        <f>+'[7]PLANILLA YEMI '!C25</f>
        <v>5090615</v>
      </c>
      <c r="D66" s="122" t="str">
        <f>IFERROR(VLOOKUP($C66,'[7]PLANILLA YEMI '!$C$9:$F$60,2,0),"NO BD")</f>
        <v xml:space="preserve">BERMUDEZ RANGEL RONALD DAVID </v>
      </c>
      <c r="E66" s="123" t="s">
        <v>585</v>
      </c>
      <c r="F66" s="114" t="str">
        <f>IFERROR(VLOOKUP($C66,[7]BD!$B$3:$O$213,3,0),"")</f>
        <v>OPERARIO DE MANTENIMIENTO</v>
      </c>
      <c r="G66" s="124" t="s">
        <v>480</v>
      </c>
      <c r="H66" s="114" t="str">
        <f>IFERROR(VLOOKUP($C66,[7]BD!$B$3:$O$203,14,0),"")</f>
        <v>3136802598</v>
      </c>
      <c r="I66" s="114" t="str">
        <f>IFERROR(VLOOKUP($C66,[7]BD!$B$3:$O$203,4,0),"")</f>
        <v>22/10/2025</v>
      </c>
      <c r="J66" s="97" t="str">
        <f>INDEX('[7]PLANILLA YEMI '!C25:AK79,1,6)</f>
        <v>OK</v>
      </c>
      <c r="K66" s="97" t="str">
        <f>INDEX('[7]PLANILLA YEMI '!D25:AL79,1,6)</f>
        <v>OK</v>
      </c>
      <c r="L66" s="97" t="str">
        <f>INDEX('[7]PLANILLA YEMI '!E25:AM79,1,6)</f>
        <v>OK</v>
      </c>
      <c r="M66" s="97" t="str">
        <f>INDEX('[7]PLANILLA YEMI '!F25:AN79,1,6)</f>
        <v>OK</v>
      </c>
      <c r="N66" s="97" t="str">
        <f>INDEX('[7]PLANILLA YEMI '!G25:AO79,1,6)</f>
        <v>OK</v>
      </c>
      <c r="O66" s="97" t="str">
        <f>INDEX('[7]PLANILLA YEMI '!H25:AP79,1,6)</f>
        <v>OK</v>
      </c>
      <c r="P66" s="97" t="str">
        <f>INDEX('[7]PLANILLA YEMI '!I25:AQ79,1,6)</f>
        <v>OK</v>
      </c>
      <c r="Q66" s="97" t="str">
        <f>INDEX('[7]PLANILLA YEMI '!J25:AR79,1,6)</f>
        <v>OK</v>
      </c>
      <c r="R66" s="97" t="str">
        <f>INDEX('[7]PLANILLA YEMI '!K25:AS79,1,6)</f>
        <v>OK</v>
      </c>
      <c r="S66" s="97" t="str">
        <f>INDEX('[7]PLANILLA YEMI '!L25:AT79,1,6)</f>
        <v>OK</v>
      </c>
      <c r="T66" s="97" t="str">
        <f>INDEX('[7]PLANILLA YEMI '!M25:AU79,1,6)</f>
        <v>OK</v>
      </c>
      <c r="U66" s="97" t="str">
        <f>INDEX('[7]PLANILLA YEMI '!N25:AV79,1,6)</f>
        <v>OK</v>
      </c>
      <c r="V66" s="97" t="str">
        <f>INDEX('[7]PLANILLA YEMI '!O25:AW79,1,6)</f>
        <v>OK</v>
      </c>
      <c r="W66" s="97" t="str">
        <f>INDEX('[7]PLANILLA YEMI '!P25:AX79,1,6)</f>
        <v>OK</v>
      </c>
      <c r="X66" s="97" t="str">
        <f>INDEX('[7]PLANILLA YEMI '!Q25:AY79,1,6)</f>
        <v>OK</v>
      </c>
      <c r="Y66" s="97" t="str">
        <f>INDEX('[7]PLANILLA YEMI '!R25:AZ79,1,6)</f>
        <v>OK</v>
      </c>
      <c r="Z66" s="97" t="str">
        <f>INDEX('[7]PLANILLA YEMI '!S25:BA79,1,6)</f>
        <v>OK</v>
      </c>
      <c r="AA66" s="97" t="str">
        <f>INDEX('[7]PLANILLA YEMI '!T25:BB79,1,6)</f>
        <v>OK</v>
      </c>
      <c r="AB66" s="97" t="str">
        <f>INDEX('[7]PLANILLA YEMI '!U25:BC79,1,6)</f>
        <v>OK</v>
      </c>
      <c r="AC66" s="97" t="str">
        <f>INDEX('[7]PLANILLA YEMI '!V25:BD79,1,6)</f>
        <v>OK</v>
      </c>
      <c r="AD66" s="97" t="str">
        <f>INDEX('[7]PLANILLA YEMI '!W25:BE79,1,6)</f>
        <v>OK</v>
      </c>
      <c r="AE66" s="97">
        <f>INDEX('[7]PLANILLA YEMI '!X25:BF79,1,6)</f>
        <v>0</v>
      </c>
      <c r="AF66" s="97">
        <f>INDEX('[7]PLANILLA YEMI '!Y25:BG79,1,6)</f>
        <v>0</v>
      </c>
      <c r="AG66" s="97">
        <f>INDEX('[7]PLANILLA YEMI '!Z25:BH79,1,6)</f>
        <v>0</v>
      </c>
      <c r="AH66" s="97">
        <f>INDEX('[7]PLANILLA YEMI '!AA25:BI79,1,6)</f>
        <v>0</v>
      </c>
      <c r="AI66" s="97">
        <f>INDEX('[7]PLANILLA YEMI '!AB25:BJ79,1,6)</f>
        <v>0</v>
      </c>
      <c r="AJ66" s="97">
        <f>INDEX('[7]PLANILLA YEMI '!AC25:BK79,1,6)</f>
        <v>0</v>
      </c>
      <c r="AK66" s="97">
        <f>INDEX('[7]PLANILLA YEMI '!AD25:BL79,1,6)</f>
        <v>0</v>
      </c>
      <c r="AL66" s="97">
        <f>INDEX('[7]PLANILLA YEMI '!AE25:BM79,1,6)</f>
        <v>0</v>
      </c>
      <c r="AM66" s="97">
        <f>INDEX('[7]PLANILLA YEMI '!AF25:BN79,1,6)</f>
        <v>0</v>
      </c>
      <c r="AO66" s="116">
        <f t="shared" si="9"/>
        <v>0</v>
      </c>
      <c r="AP66" s="116">
        <f t="shared" si="9"/>
        <v>0</v>
      </c>
      <c r="AQ66" s="116">
        <f t="shared" si="9"/>
        <v>0</v>
      </c>
      <c r="AR66" s="116">
        <f t="shared" si="9"/>
        <v>0</v>
      </c>
      <c r="AS66" s="116">
        <f t="shared" si="9"/>
        <v>0</v>
      </c>
      <c r="AT66" s="116">
        <f t="shared" si="9"/>
        <v>0</v>
      </c>
      <c r="AU66" s="116">
        <f t="shared" si="9"/>
        <v>0</v>
      </c>
      <c r="AV66" s="116">
        <f t="shared" si="9"/>
        <v>0</v>
      </c>
      <c r="AW66" s="116">
        <f t="shared" si="9"/>
        <v>0</v>
      </c>
      <c r="AX66" s="116">
        <f t="shared" si="9"/>
        <v>0</v>
      </c>
      <c r="AY66" s="116">
        <f t="shared" si="9"/>
        <v>0</v>
      </c>
      <c r="AZ66" s="116">
        <f t="shared" si="9"/>
        <v>0</v>
      </c>
      <c r="BA66" s="116">
        <f t="shared" si="9"/>
        <v>21</v>
      </c>
      <c r="BB66" s="117">
        <f t="shared" si="4"/>
        <v>21</v>
      </c>
    </row>
    <row r="67" spans="1:54" ht="18.600000000000001" customHeight="1">
      <c r="B67" s="112">
        <v>59</v>
      </c>
      <c r="C67" s="121">
        <f>+'[7]PLANILLA YEMI '!C26</f>
        <v>1004536224</v>
      </c>
      <c r="D67" s="122" t="str">
        <f>IFERROR(VLOOKUP($C67,'[7]PLANILLA YEMI '!$C$9:$F$60,2,0),"NO BD")</f>
        <v xml:space="preserve">YESQUEN SINISTERRA XIMENA  </v>
      </c>
      <c r="E67" s="123" t="s">
        <v>585</v>
      </c>
      <c r="F67" s="114" t="str">
        <f>IFERROR(VLOOKUP($C67,[7]BD!$B$3:$O$213,3,0),"")</f>
        <v>OPERARIA DE ASEO Y CAFETERIA</v>
      </c>
      <c r="G67" s="124" t="s">
        <v>480</v>
      </c>
      <c r="H67" s="114" t="str">
        <f>IFERROR(VLOOKUP($C67,[7]BD!$B$3:$O$203,14,0),"")</f>
        <v>3232931329</v>
      </c>
      <c r="I67" s="114" t="str">
        <f>IFERROR(VLOOKUP($C67,[7]BD!$B$3:$O$203,4,0),"")</f>
        <v>06/01/2026</v>
      </c>
      <c r="J67" s="97" t="str">
        <f>INDEX('[7]PLANILLA YEMI '!C26:AK80,1,6)</f>
        <v>OK</v>
      </c>
      <c r="K67" s="97" t="str">
        <f>INDEX('[7]PLANILLA YEMI '!D26:AL80,1,6)</f>
        <v>OK</v>
      </c>
      <c r="L67" s="97" t="str">
        <f>INDEX('[7]PLANILLA YEMI '!E26:AM80,1,6)</f>
        <v>OK</v>
      </c>
      <c r="M67" s="97" t="str">
        <f>INDEX('[7]PLANILLA YEMI '!F26:AN80,1,6)</f>
        <v>OK</v>
      </c>
      <c r="N67" s="97" t="str">
        <f>INDEX('[7]PLANILLA YEMI '!G26:AO80,1,6)</f>
        <v>OK</v>
      </c>
      <c r="O67" s="97" t="str">
        <f>INDEX('[7]PLANILLA YEMI '!H26:AP80,1,6)</f>
        <v>OK</v>
      </c>
      <c r="P67" s="97" t="str">
        <f>INDEX('[7]PLANILLA YEMI '!I26:AQ80,1,6)</f>
        <v>OK</v>
      </c>
      <c r="Q67" s="97" t="str">
        <f>INDEX('[7]PLANILLA YEMI '!J26:AR80,1,6)</f>
        <v>OK</v>
      </c>
      <c r="R67" s="97" t="str">
        <f>INDEX('[7]PLANILLA YEMI '!K26:AS80,1,6)</f>
        <v>OK</v>
      </c>
      <c r="S67" s="97" t="str">
        <f>INDEX('[7]PLANILLA YEMI '!L26:AT80,1,6)</f>
        <v>OK</v>
      </c>
      <c r="T67" s="97" t="str">
        <f>INDEX('[7]PLANILLA YEMI '!M26:AU80,1,6)</f>
        <v>OK</v>
      </c>
      <c r="U67" s="97" t="str">
        <f>INDEX('[7]PLANILLA YEMI '!N26:AV80,1,6)</f>
        <v>OK</v>
      </c>
      <c r="V67" s="97" t="str">
        <f>INDEX('[7]PLANILLA YEMI '!O26:AW80,1,6)</f>
        <v>OK</v>
      </c>
      <c r="W67" s="97" t="str">
        <f>INDEX('[7]PLANILLA YEMI '!P26:AX80,1,6)</f>
        <v>OK</v>
      </c>
      <c r="X67" s="97" t="str">
        <f>INDEX('[7]PLANILLA YEMI '!Q26:AY80,1,6)</f>
        <v>OK</v>
      </c>
      <c r="Y67" s="97" t="str">
        <f>INDEX('[7]PLANILLA YEMI '!R26:AZ80,1,6)</f>
        <v>OK</v>
      </c>
      <c r="Z67" s="97" t="str">
        <f>INDEX('[7]PLANILLA YEMI '!S26:BA80,1,6)</f>
        <v>OK</v>
      </c>
      <c r="AA67" s="97" t="str">
        <f>INDEX('[7]PLANILLA YEMI '!T26:BB80,1,6)</f>
        <v>OK</v>
      </c>
      <c r="AB67" s="97" t="str">
        <f>INDEX('[7]PLANILLA YEMI '!U26:BC80,1,6)</f>
        <v>OK</v>
      </c>
      <c r="AC67" s="97" t="str">
        <f>INDEX('[7]PLANILLA YEMI '!V26:BD80,1,6)</f>
        <v>OK</v>
      </c>
      <c r="AD67" s="97" t="str">
        <f>INDEX('[7]PLANILLA YEMI '!W26:BE80,1,6)</f>
        <v>OK</v>
      </c>
      <c r="AE67" s="97">
        <f>INDEX('[7]PLANILLA YEMI '!X26:BF80,1,6)</f>
        <v>0</v>
      </c>
      <c r="AF67" s="97">
        <f>INDEX('[7]PLANILLA YEMI '!Y26:BG80,1,6)</f>
        <v>0</v>
      </c>
      <c r="AG67" s="97">
        <f>INDEX('[7]PLANILLA YEMI '!Z26:BH80,1,6)</f>
        <v>0</v>
      </c>
      <c r="AH67" s="97">
        <f>INDEX('[7]PLANILLA YEMI '!AA26:BI80,1,6)</f>
        <v>0</v>
      </c>
      <c r="AI67" s="97">
        <f>INDEX('[7]PLANILLA YEMI '!AB26:BJ80,1,6)</f>
        <v>0</v>
      </c>
      <c r="AJ67" s="97">
        <f>INDEX('[7]PLANILLA YEMI '!AC26:BK80,1,6)</f>
        <v>0</v>
      </c>
      <c r="AK67" s="97">
        <f>INDEX('[7]PLANILLA YEMI '!AD26:BL80,1,6)</f>
        <v>0</v>
      </c>
      <c r="AL67" s="97">
        <f>INDEX('[7]PLANILLA YEMI '!AE26:BM80,1,6)</f>
        <v>0</v>
      </c>
      <c r="AM67" s="97">
        <f>INDEX('[7]PLANILLA YEMI '!AF26:BN80,1,6)</f>
        <v>0</v>
      </c>
      <c r="AO67" s="116">
        <f t="shared" si="9"/>
        <v>0</v>
      </c>
      <c r="AP67" s="116">
        <f t="shared" si="9"/>
        <v>0</v>
      </c>
      <c r="AQ67" s="116">
        <f t="shared" si="9"/>
        <v>0</v>
      </c>
      <c r="AR67" s="116">
        <f t="shared" si="9"/>
        <v>0</v>
      </c>
      <c r="AS67" s="116">
        <f t="shared" si="9"/>
        <v>0</v>
      </c>
      <c r="AT67" s="116">
        <f t="shared" si="9"/>
        <v>0</v>
      </c>
      <c r="AU67" s="116">
        <f t="shared" si="9"/>
        <v>0</v>
      </c>
      <c r="AV67" s="116">
        <f t="shared" si="9"/>
        <v>0</v>
      </c>
      <c r="AW67" s="116">
        <f t="shared" si="9"/>
        <v>0</v>
      </c>
      <c r="AX67" s="116">
        <f t="shared" si="9"/>
        <v>0</v>
      </c>
      <c r="AY67" s="116">
        <f t="shared" si="9"/>
        <v>0</v>
      </c>
      <c r="AZ67" s="116">
        <f t="shared" si="9"/>
        <v>0</v>
      </c>
      <c r="BA67" s="116">
        <f t="shared" si="9"/>
        <v>21</v>
      </c>
      <c r="BB67" s="117">
        <f t="shared" si="4"/>
        <v>21</v>
      </c>
    </row>
    <row r="68" spans="1:54" ht="18.600000000000001" customHeight="1">
      <c r="B68" s="112">
        <v>60</v>
      </c>
      <c r="C68" s="121">
        <f>+'[7]PLANILLA YEMI '!C27</f>
        <v>52164364</v>
      </c>
      <c r="D68" s="122" t="str">
        <f>IFERROR(VLOOKUP($C68,'[7]PLANILLA YEMI '!$C$9:$F$60,2,0),"NO BD")</f>
        <v xml:space="preserve">AREVALO MEDINA MARIA GLADYS </v>
      </c>
      <c r="E68" s="123" t="s">
        <v>585</v>
      </c>
      <c r="F68" s="114" t="str">
        <f>IFERROR(VLOOKUP($C68,[7]BD!$B$3:$O$213,3,0),"")</f>
        <v>OPERARIA DE ASEO Y CAFETERIA</v>
      </c>
      <c r="G68" s="124" t="s">
        <v>480</v>
      </c>
      <c r="H68" s="114" t="str">
        <f>IFERROR(VLOOKUP($C68,[7]BD!$B$3:$O$203,14,0),"")</f>
        <v>3174516626</v>
      </c>
      <c r="I68" s="114" t="str">
        <f>IFERROR(VLOOKUP($C68,[7]BD!$B$3:$O$203,4,0),"")</f>
        <v>18/10/2025</v>
      </c>
      <c r="J68" s="97" t="str">
        <f>INDEX('[7]PLANILLA YEMI '!C27:AK81,1,6)</f>
        <v>OK</v>
      </c>
      <c r="K68" s="97" t="str">
        <f>INDEX('[7]PLANILLA YEMI '!D27:AL81,1,6)</f>
        <v>OK</v>
      </c>
      <c r="L68" s="97" t="str">
        <f>INDEX('[7]PLANILLA YEMI '!E27:AM81,1,6)</f>
        <v>OK</v>
      </c>
      <c r="M68" s="97" t="str">
        <f>INDEX('[7]PLANILLA YEMI '!F27:AN81,1,6)</f>
        <v>OK</v>
      </c>
      <c r="N68" s="97" t="str">
        <f>INDEX('[7]PLANILLA YEMI '!G27:AO81,1,6)</f>
        <v>OK</v>
      </c>
      <c r="O68" s="97" t="str">
        <f>INDEX('[7]PLANILLA YEMI '!H27:AP81,1,6)</f>
        <v>OK</v>
      </c>
      <c r="P68" s="97" t="str">
        <f>INDEX('[7]PLANILLA YEMI '!I27:AQ81,1,6)</f>
        <v>OK</v>
      </c>
      <c r="Q68" s="97" t="str">
        <f>INDEX('[7]PLANILLA YEMI '!J27:AR81,1,6)</f>
        <v>OK</v>
      </c>
      <c r="R68" s="97" t="str">
        <f>INDEX('[7]PLANILLA YEMI '!K27:AS81,1,6)</f>
        <v>OK</v>
      </c>
      <c r="S68" s="97" t="str">
        <f>INDEX('[7]PLANILLA YEMI '!L27:AT81,1,6)</f>
        <v>OK</v>
      </c>
      <c r="T68" s="97" t="str">
        <f>INDEX('[7]PLANILLA YEMI '!M27:AU81,1,6)</f>
        <v>OK</v>
      </c>
      <c r="U68" s="97" t="str">
        <f>INDEX('[7]PLANILLA YEMI '!N27:AV81,1,6)</f>
        <v>OK</v>
      </c>
      <c r="V68" s="97" t="str">
        <f>INDEX('[7]PLANILLA YEMI '!O27:AW81,1,6)</f>
        <v>OK</v>
      </c>
      <c r="W68" s="97" t="str">
        <f>INDEX('[7]PLANILLA YEMI '!P27:AX81,1,6)</f>
        <v>OK</v>
      </c>
      <c r="X68" s="97" t="str">
        <f>INDEX('[7]PLANILLA YEMI '!Q27:AY81,1,6)</f>
        <v>INC</v>
      </c>
      <c r="Y68" s="97" t="str">
        <f>INDEX('[7]PLANILLA YEMI '!R27:AZ81,1,6)</f>
        <v>INC</v>
      </c>
      <c r="Z68" s="97" t="str">
        <f>INDEX('[7]PLANILLA YEMI '!S27:BA81,1,6)</f>
        <v>OK</v>
      </c>
      <c r="AA68" s="97" t="str">
        <f>INDEX('[7]PLANILLA YEMI '!T27:BB81,1,6)</f>
        <v>OK</v>
      </c>
      <c r="AB68" s="97" t="str">
        <f>INDEX('[7]PLANILLA YEMI '!U27:BC81,1,6)</f>
        <v>OK</v>
      </c>
      <c r="AC68" s="97" t="str">
        <f>INDEX('[7]PLANILLA YEMI '!V27:BD81,1,6)</f>
        <v>OK</v>
      </c>
      <c r="AD68" s="97" t="str">
        <f>INDEX('[7]PLANILLA YEMI '!W27:BE81,1,6)</f>
        <v>OK</v>
      </c>
      <c r="AE68" s="97">
        <f>INDEX('[7]PLANILLA YEMI '!X27:BF81,1,6)</f>
        <v>0</v>
      </c>
      <c r="AF68" s="97">
        <f>INDEX('[7]PLANILLA YEMI '!Y27:BG81,1,6)</f>
        <v>0</v>
      </c>
      <c r="AG68" s="97">
        <f>INDEX('[7]PLANILLA YEMI '!Z27:BH81,1,6)</f>
        <v>0</v>
      </c>
      <c r="AH68" s="97">
        <f>INDEX('[7]PLANILLA YEMI '!AA27:BI81,1,6)</f>
        <v>0</v>
      </c>
      <c r="AI68" s="97">
        <f>INDEX('[7]PLANILLA YEMI '!AB27:BJ81,1,6)</f>
        <v>0</v>
      </c>
      <c r="AJ68" s="97">
        <f>INDEX('[7]PLANILLA YEMI '!AC27:BK81,1,6)</f>
        <v>0</v>
      </c>
      <c r="AK68" s="97">
        <f>INDEX('[7]PLANILLA YEMI '!AD27:BL81,1,6)</f>
        <v>0</v>
      </c>
      <c r="AL68" s="97">
        <f>INDEX('[7]PLANILLA YEMI '!AE27:BM81,1,6)</f>
        <v>0</v>
      </c>
      <c r="AM68" s="97">
        <f>INDEX('[7]PLANILLA YEMI '!AF27:BN81,1,6)</f>
        <v>0</v>
      </c>
      <c r="AO68" s="116">
        <f t="shared" si="9"/>
        <v>0</v>
      </c>
      <c r="AP68" s="116">
        <f t="shared" si="9"/>
        <v>0</v>
      </c>
      <c r="AQ68" s="116">
        <f t="shared" si="9"/>
        <v>0</v>
      </c>
      <c r="AR68" s="116">
        <f t="shared" si="9"/>
        <v>2</v>
      </c>
      <c r="AS68" s="116">
        <f t="shared" si="9"/>
        <v>0</v>
      </c>
      <c r="AT68" s="116">
        <f t="shared" si="9"/>
        <v>0</v>
      </c>
      <c r="AU68" s="116">
        <f t="shared" si="9"/>
        <v>0</v>
      </c>
      <c r="AV68" s="116">
        <f t="shared" si="9"/>
        <v>0</v>
      </c>
      <c r="AW68" s="116">
        <f t="shared" si="9"/>
        <v>0</v>
      </c>
      <c r="AX68" s="116">
        <f t="shared" si="9"/>
        <v>0</v>
      </c>
      <c r="AY68" s="116">
        <f t="shared" si="9"/>
        <v>0</v>
      </c>
      <c r="AZ68" s="116">
        <f t="shared" si="9"/>
        <v>0</v>
      </c>
      <c r="BA68" s="116">
        <f t="shared" si="9"/>
        <v>19</v>
      </c>
      <c r="BB68" s="117">
        <f t="shared" si="4"/>
        <v>19</v>
      </c>
    </row>
    <row r="69" spans="1:54" ht="18.600000000000001" customHeight="1">
      <c r="B69" s="112">
        <v>61</v>
      </c>
      <c r="C69" s="121">
        <f>+'[7]PLANILLA YEMI '!C28</f>
        <v>39629193</v>
      </c>
      <c r="D69" s="122" t="str">
        <f>IFERROR(VLOOKUP($C69,'[7]PLANILLA YEMI '!$C$9:$F$60,2,0),"NO BD")</f>
        <v xml:space="preserve">QUINTIN BAQUERO ELIDA KATERINE </v>
      </c>
      <c r="E69" s="123" t="s">
        <v>585</v>
      </c>
      <c r="F69" s="114" t="str">
        <f>IFERROR(VLOOKUP($C69,[7]BD!$B$3:$O$213,3,0),"")</f>
        <v>OPERARIA DE ASEO Y CAFETERIA</v>
      </c>
      <c r="G69" s="124" t="s">
        <v>480</v>
      </c>
      <c r="H69" s="114" t="str">
        <f>IFERROR(VLOOKUP($C69,[7]BD!$B$3:$O$203,14,0),"")</f>
        <v>3144909914</v>
      </c>
      <c r="I69" s="114" t="str">
        <f>IFERROR(VLOOKUP($C69,[7]BD!$B$3:$O$203,4,0),"")</f>
        <v>09/12/2025</v>
      </c>
      <c r="J69" s="97" t="str">
        <f>INDEX('[7]PLANILLA YEMI '!C28:AK82,1,6)</f>
        <v>OK</v>
      </c>
      <c r="K69" s="97" t="str">
        <f>INDEX('[7]PLANILLA YEMI '!D28:AL82,1,6)</f>
        <v>OK</v>
      </c>
      <c r="L69" s="97" t="str">
        <f>INDEX('[7]PLANILLA YEMI '!E28:AM82,1,6)</f>
        <v>OK</v>
      </c>
      <c r="M69" s="97" t="str">
        <f>INDEX('[7]PLANILLA YEMI '!F28:AN82,1,6)</f>
        <v>OK</v>
      </c>
      <c r="N69" s="97" t="str">
        <f>INDEX('[7]PLANILLA YEMI '!G28:AO82,1,6)</f>
        <v>OK</v>
      </c>
      <c r="O69" s="97" t="str">
        <f>INDEX('[7]PLANILLA YEMI '!H28:AP82,1,6)</f>
        <v>OK</v>
      </c>
      <c r="P69" s="97" t="str">
        <f>INDEX('[7]PLANILLA YEMI '!I28:AQ82,1,6)</f>
        <v>OK</v>
      </c>
      <c r="Q69" s="97" t="str">
        <f>INDEX('[7]PLANILLA YEMI '!J28:AR82,1,6)</f>
        <v>OK</v>
      </c>
      <c r="R69" s="97" t="str">
        <f>INDEX('[7]PLANILLA YEMI '!K28:AS82,1,6)</f>
        <v>OK</v>
      </c>
      <c r="S69" s="97" t="str">
        <f>INDEX('[7]PLANILLA YEMI '!L28:AT82,1,6)</f>
        <v>OK</v>
      </c>
      <c r="T69" s="97" t="str">
        <f>INDEX('[7]PLANILLA YEMI '!M28:AU82,1,6)</f>
        <v>OK</v>
      </c>
      <c r="U69" s="97" t="str">
        <f>INDEX('[7]PLANILLA YEMI '!N28:AV82,1,6)</f>
        <v>OK</v>
      </c>
      <c r="V69" s="97" t="str">
        <f>INDEX('[7]PLANILLA YEMI '!O28:AW82,1,6)</f>
        <v>OK</v>
      </c>
      <c r="W69" s="97" t="str">
        <f>INDEX('[7]PLANILLA YEMI '!P28:AX82,1,6)</f>
        <v>OK</v>
      </c>
      <c r="X69" s="97" t="str">
        <f>INDEX('[7]PLANILLA YEMI '!Q28:AY82,1,6)</f>
        <v>OK</v>
      </c>
      <c r="Y69" s="97" t="str">
        <f>INDEX('[7]PLANILLA YEMI '!R28:AZ82,1,6)</f>
        <v>OK</v>
      </c>
      <c r="Z69" s="97" t="str">
        <f>INDEX('[7]PLANILLA YEMI '!S28:BA82,1,6)</f>
        <v>OK</v>
      </c>
      <c r="AA69" s="97" t="str">
        <f>INDEX('[7]PLANILLA YEMI '!T28:BB82,1,6)</f>
        <v>OK</v>
      </c>
      <c r="AB69" s="97" t="str">
        <f>INDEX('[7]PLANILLA YEMI '!U28:BC82,1,6)</f>
        <v>OK</v>
      </c>
      <c r="AC69" s="97" t="str">
        <f>INDEX('[7]PLANILLA YEMI '!V28:BD82,1,6)</f>
        <v>OK</v>
      </c>
      <c r="AD69" s="97" t="str">
        <f>INDEX('[7]PLANILLA YEMI '!W28:BE82,1,6)</f>
        <v>OK</v>
      </c>
      <c r="AE69" s="97">
        <f>INDEX('[7]PLANILLA YEMI '!X28:BF82,1,6)</f>
        <v>0</v>
      </c>
      <c r="AF69" s="97">
        <f>INDEX('[7]PLANILLA YEMI '!Y28:BG82,1,6)</f>
        <v>0</v>
      </c>
      <c r="AG69" s="97">
        <f>INDEX('[7]PLANILLA YEMI '!Z28:BH82,1,6)</f>
        <v>0</v>
      </c>
      <c r="AH69" s="97">
        <f>INDEX('[7]PLANILLA YEMI '!AA28:BI82,1,6)</f>
        <v>0</v>
      </c>
      <c r="AI69" s="97">
        <f>INDEX('[7]PLANILLA YEMI '!AB28:BJ82,1,6)</f>
        <v>0</v>
      </c>
      <c r="AJ69" s="97">
        <f>INDEX('[7]PLANILLA YEMI '!AC28:BK82,1,6)</f>
        <v>0</v>
      </c>
      <c r="AK69" s="97">
        <f>INDEX('[7]PLANILLA YEMI '!AD28:BL82,1,6)</f>
        <v>0</v>
      </c>
      <c r="AL69" s="97">
        <f>INDEX('[7]PLANILLA YEMI '!AE28:BM82,1,6)</f>
        <v>0</v>
      </c>
      <c r="AM69" s="97">
        <f>INDEX('[7]PLANILLA YEMI '!AF28:BN82,1,6)</f>
        <v>0</v>
      </c>
      <c r="AO69" s="116">
        <f t="shared" si="9"/>
        <v>0</v>
      </c>
      <c r="AP69" s="116">
        <f t="shared" si="9"/>
        <v>0</v>
      </c>
      <c r="AQ69" s="116">
        <f t="shared" si="9"/>
        <v>0</v>
      </c>
      <c r="AR69" s="116">
        <f t="shared" si="9"/>
        <v>0</v>
      </c>
      <c r="AS69" s="116">
        <f t="shared" si="9"/>
        <v>0</v>
      </c>
      <c r="AT69" s="116">
        <f t="shared" si="9"/>
        <v>0</v>
      </c>
      <c r="AU69" s="116">
        <f t="shared" si="9"/>
        <v>0</v>
      </c>
      <c r="AV69" s="116">
        <f t="shared" si="9"/>
        <v>0</v>
      </c>
      <c r="AW69" s="116">
        <f t="shared" si="9"/>
        <v>0</v>
      </c>
      <c r="AX69" s="116">
        <f t="shared" si="9"/>
        <v>0</v>
      </c>
      <c r="AY69" s="116">
        <f t="shared" si="9"/>
        <v>0</v>
      </c>
      <c r="AZ69" s="116">
        <f t="shared" si="9"/>
        <v>0</v>
      </c>
      <c r="BA69" s="116">
        <f t="shared" si="9"/>
        <v>21</v>
      </c>
      <c r="BB69" s="117">
        <f t="shared" si="4"/>
        <v>21</v>
      </c>
    </row>
    <row r="70" spans="1:54" ht="18.600000000000001" customHeight="1">
      <c r="B70" s="112">
        <v>62</v>
      </c>
      <c r="C70" s="121">
        <f>+'[7]PLANILLA YEMI '!C29</f>
        <v>1045227589</v>
      </c>
      <c r="D70" s="122" t="str">
        <f>IFERROR(VLOOKUP($C70,'[7]PLANILLA YEMI '!$C$9:$F$60,2,0),"NO BD")</f>
        <v xml:space="preserve">JIMENEZ POLO ANA LUCIA </v>
      </c>
      <c r="E70" s="123" t="s">
        <v>585</v>
      </c>
      <c r="F70" s="114" t="str">
        <f>IFERROR(VLOOKUP($C70,[7]BD!$B$3:$O$213,3,0),"")</f>
        <v>OPERARIA DE ASEO Y CAFETERIA</v>
      </c>
      <c r="G70" s="124" t="s">
        <v>480</v>
      </c>
      <c r="H70" s="114" t="str">
        <f>IFERROR(VLOOKUP($C70,[7]BD!$B$3:$O$203,14,0),"")</f>
        <v>3245191705</v>
      </c>
      <c r="I70" s="114" t="str">
        <f>IFERROR(VLOOKUP($C70,[7]BD!$B$3:$O$203,4,0),"")</f>
        <v>18/10/2025</v>
      </c>
      <c r="J70" s="97" t="str">
        <f>INDEX('[7]PLANILLA YEMI '!C29:AK83,1,6)</f>
        <v>OK</v>
      </c>
      <c r="K70" s="97" t="str">
        <f>INDEX('[7]PLANILLA YEMI '!D29:AL83,1,6)</f>
        <v>OK</v>
      </c>
      <c r="L70" s="97" t="str">
        <f>INDEX('[7]PLANILLA YEMI '!E29:AM83,1,6)</f>
        <v>OK</v>
      </c>
      <c r="M70" s="97" t="str">
        <f>INDEX('[7]PLANILLA YEMI '!F29:AN83,1,6)</f>
        <v>OK</v>
      </c>
      <c r="N70" s="97" t="str">
        <f>INDEX('[7]PLANILLA YEMI '!G29:AO83,1,6)</f>
        <v>OK</v>
      </c>
      <c r="O70" s="97" t="str">
        <f>INDEX('[7]PLANILLA YEMI '!H29:AP83,1,6)</f>
        <v>OK</v>
      </c>
      <c r="P70" s="97" t="str">
        <f>INDEX('[7]PLANILLA YEMI '!I29:AQ83,1,6)</f>
        <v>OK</v>
      </c>
      <c r="Q70" s="97" t="str">
        <f>INDEX('[7]PLANILLA YEMI '!J29:AR83,1,6)</f>
        <v>OK</v>
      </c>
      <c r="R70" s="97" t="str">
        <f>INDEX('[7]PLANILLA YEMI '!K29:AS83,1,6)</f>
        <v>OK</v>
      </c>
      <c r="S70" s="97" t="str">
        <f>INDEX('[7]PLANILLA YEMI '!L29:AT83,1,6)</f>
        <v>OK</v>
      </c>
      <c r="T70" s="97" t="str">
        <f>INDEX('[7]PLANILLA YEMI '!M29:AU83,1,6)</f>
        <v>OK</v>
      </c>
      <c r="U70" s="97" t="str">
        <f>INDEX('[7]PLANILLA YEMI '!N29:AV83,1,6)</f>
        <v>OK</v>
      </c>
      <c r="V70" s="97" t="str">
        <f>INDEX('[7]PLANILLA YEMI '!O29:AW83,1,6)</f>
        <v>OK</v>
      </c>
      <c r="W70" s="97" t="str">
        <f>INDEX('[7]PLANILLA YEMI '!P29:AX83,1,6)</f>
        <v>OK</v>
      </c>
      <c r="X70" s="97" t="str">
        <f>INDEX('[7]PLANILLA YEMI '!Q29:AY83,1,6)</f>
        <v>OK</v>
      </c>
      <c r="Y70" s="97" t="str">
        <f>INDEX('[7]PLANILLA YEMI '!R29:AZ83,1,6)</f>
        <v>OK</v>
      </c>
      <c r="Z70" s="97" t="str">
        <f>INDEX('[7]PLANILLA YEMI '!S29:BA83,1,6)</f>
        <v>OK</v>
      </c>
      <c r="AA70" s="97" t="str">
        <f>INDEX('[7]PLANILLA YEMI '!T29:BB83,1,6)</f>
        <v>OK</v>
      </c>
      <c r="AB70" s="97" t="str">
        <f>INDEX('[7]PLANILLA YEMI '!U29:BC83,1,6)</f>
        <v>OK</v>
      </c>
      <c r="AC70" s="97" t="str">
        <f>INDEX('[7]PLANILLA YEMI '!V29:BD83,1,6)</f>
        <v>OK</v>
      </c>
      <c r="AD70" s="97" t="str">
        <f>INDEX('[7]PLANILLA YEMI '!W29:BE83,1,6)</f>
        <v>OK</v>
      </c>
      <c r="AE70" s="97">
        <f>INDEX('[7]PLANILLA YEMI '!X29:BF83,1,6)</f>
        <v>0</v>
      </c>
      <c r="AF70" s="97">
        <f>INDEX('[7]PLANILLA YEMI '!Y29:BG83,1,6)</f>
        <v>0</v>
      </c>
      <c r="AG70" s="97">
        <f>INDEX('[7]PLANILLA YEMI '!Z29:BH83,1,6)</f>
        <v>0</v>
      </c>
      <c r="AH70" s="97">
        <f>INDEX('[7]PLANILLA YEMI '!AA29:BI83,1,6)</f>
        <v>0</v>
      </c>
      <c r="AI70" s="97">
        <f>INDEX('[7]PLANILLA YEMI '!AB29:BJ83,1,6)</f>
        <v>0</v>
      </c>
      <c r="AJ70" s="97">
        <f>INDEX('[7]PLANILLA YEMI '!AC29:BK83,1,6)</f>
        <v>0</v>
      </c>
      <c r="AK70" s="97">
        <f>INDEX('[7]PLANILLA YEMI '!AD29:BL83,1,6)</f>
        <v>0</v>
      </c>
      <c r="AL70" s="97">
        <f>INDEX('[7]PLANILLA YEMI '!AE29:BM83,1,6)</f>
        <v>0</v>
      </c>
      <c r="AM70" s="97">
        <f>INDEX('[7]PLANILLA YEMI '!AF29:BN83,1,6)</f>
        <v>0</v>
      </c>
      <c r="AO70" s="116">
        <f t="shared" si="9"/>
        <v>0</v>
      </c>
      <c r="AP70" s="116">
        <f t="shared" si="9"/>
        <v>0</v>
      </c>
      <c r="AQ70" s="116">
        <f t="shared" si="9"/>
        <v>0</v>
      </c>
      <c r="AR70" s="116">
        <f t="shared" si="9"/>
        <v>0</v>
      </c>
      <c r="AS70" s="116">
        <f t="shared" si="9"/>
        <v>0</v>
      </c>
      <c r="AT70" s="116">
        <f t="shared" si="9"/>
        <v>0</v>
      </c>
      <c r="AU70" s="116">
        <f t="shared" si="9"/>
        <v>0</v>
      </c>
      <c r="AV70" s="116">
        <f t="shared" si="9"/>
        <v>0</v>
      </c>
      <c r="AW70" s="116">
        <f t="shared" si="9"/>
        <v>0</v>
      </c>
      <c r="AX70" s="116">
        <f t="shared" si="9"/>
        <v>0</v>
      </c>
      <c r="AY70" s="116">
        <f t="shared" si="9"/>
        <v>0</v>
      </c>
      <c r="AZ70" s="116">
        <f t="shared" si="9"/>
        <v>0</v>
      </c>
      <c r="BA70" s="116">
        <f t="shared" si="9"/>
        <v>21</v>
      </c>
      <c r="BB70" s="117">
        <f t="shared" si="4"/>
        <v>21</v>
      </c>
    </row>
    <row r="71" spans="1:54" s="131" customFormat="1" ht="18.600000000000001" customHeight="1">
      <c r="A71" s="90"/>
      <c r="B71" s="112">
        <v>63</v>
      </c>
      <c r="C71" s="121">
        <f>+'[7]PLANILLA YEMI '!C30</f>
        <v>52442600</v>
      </c>
      <c r="D71" s="122" t="str">
        <f>IFERROR(VLOOKUP($C71,'[7]PLANILLA YEMI '!$C$9:$F$60,2,0),"NO BD")</f>
        <v xml:space="preserve">TORO CAMARGO BLANCA AYDEE </v>
      </c>
      <c r="E71" s="123" t="s">
        <v>585</v>
      </c>
      <c r="F71" s="114" t="str">
        <f>IFERROR(VLOOKUP($C71,[7]BD!$B$3:$O$213,3,0),"")</f>
        <v>OPERARIA DE ASEO Y CAFETERIA</v>
      </c>
      <c r="G71" s="124" t="s">
        <v>479</v>
      </c>
      <c r="H71" s="114" t="str">
        <f>IFERROR(VLOOKUP($C71,[7]BD!$B$3:$O$203,14,0),"")</f>
        <v>3224117250</v>
      </c>
      <c r="I71" s="114" t="str">
        <f>IFERROR(VLOOKUP($C71,[7]BD!$B$3:$O$203,4,0),"")</f>
        <v>18/10/2025</v>
      </c>
      <c r="J71" s="97" t="str">
        <f>INDEX('[7]PLANILLA YEMI '!C30:AK84,1,6)</f>
        <v>OK</v>
      </c>
      <c r="K71" s="97" t="str">
        <f>INDEX('[7]PLANILLA YEMI '!D30:AL84,1,6)</f>
        <v>OK</v>
      </c>
      <c r="L71" s="97" t="str">
        <f>INDEX('[7]PLANILLA YEMI '!E30:AM84,1,6)</f>
        <v>OK</v>
      </c>
      <c r="M71" s="97" t="str">
        <f>INDEX('[7]PLANILLA YEMI '!F30:AN84,1,6)</f>
        <v>OK</v>
      </c>
      <c r="N71" s="97" t="str">
        <f>INDEX('[7]PLANILLA YEMI '!G30:AO84,1,6)</f>
        <v>OK</v>
      </c>
      <c r="O71" s="97" t="str">
        <f>INDEX('[7]PLANILLA YEMI '!H30:AP84,1,6)</f>
        <v>OK</v>
      </c>
      <c r="P71" s="97" t="str">
        <f>INDEX('[7]PLANILLA YEMI '!I30:AQ84,1,6)</f>
        <v>OK</v>
      </c>
      <c r="Q71" s="97" t="str">
        <f>INDEX('[7]PLANILLA YEMI '!J30:AR84,1,6)</f>
        <v>OK</v>
      </c>
      <c r="R71" s="97" t="str">
        <f>INDEX('[7]PLANILLA YEMI '!K30:AS84,1,6)</f>
        <v>OK</v>
      </c>
      <c r="S71" s="97" t="str">
        <f>INDEX('[7]PLANILLA YEMI '!L30:AT84,1,6)</f>
        <v>OK</v>
      </c>
      <c r="T71" s="97" t="str">
        <f>INDEX('[7]PLANILLA YEMI '!M30:AU84,1,6)</f>
        <v>OK</v>
      </c>
      <c r="U71" s="97" t="str">
        <f>INDEX('[7]PLANILLA YEMI '!N30:AV84,1,6)</f>
        <v>OK</v>
      </c>
      <c r="V71" s="97" t="str">
        <f>INDEX('[7]PLANILLA YEMI '!O30:AW84,1,6)</f>
        <v>OK</v>
      </c>
      <c r="W71" s="97" t="str">
        <f>INDEX('[7]PLANILLA YEMI '!P30:AX84,1,6)</f>
        <v>OK</v>
      </c>
      <c r="X71" s="97" t="str">
        <f>INDEX('[7]PLANILLA YEMI '!Q30:AY84,1,6)</f>
        <v>OK</v>
      </c>
      <c r="Y71" s="97" t="str">
        <f>INDEX('[7]PLANILLA YEMI '!R30:AZ84,1,6)</f>
        <v>OK</v>
      </c>
      <c r="Z71" s="97" t="str">
        <f>INDEX('[7]PLANILLA YEMI '!S30:BA84,1,6)</f>
        <v>OK</v>
      </c>
      <c r="AA71" s="97" t="str">
        <f>INDEX('[7]PLANILLA YEMI '!T30:BB84,1,6)</f>
        <v>OK</v>
      </c>
      <c r="AB71" s="97" t="str">
        <f>INDEX('[7]PLANILLA YEMI '!U30:BC84,1,6)</f>
        <v>OK</v>
      </c>
      <c r="AC71" s="97" t="str">
        <f>INDEX('[7]PLANILLA YEMI '!V30:BD84,1,6)</f>
        <v>OK</v>
      </c>
      <c r="AD71" s="97" t="str">
        <f>INDEX('[7]PLANILLA YEMI '!W30:BE84,1,6)</f>
        <v>OK</v>
      </c>
      <c r="AE71" s="97">
        <f>INDEX('[7]PLANILLA YEMI '!X30:BF84,1,6)</f>
        <v>0</v>
      </c>
      <c r="AF71" s="97">
        <f>INDEX('[7]PLANILLA YEMI '!Y30:BG84,1,6)</f>
        <v>0</v>
      </c>
      <c r="AG71" s="97">
        <f>INDEX('[7]PLANILLA YEMI '!Z30:BH84,1,6)</f>
        <v>0</v>
      </c>
      <c r="AH71" s="97">
        <f>INDEX('[7]PLANILLA YEMI '!AA30:BI84,1,6)</f>
        <v>0</v>
      </c>
      <c r="AI71" s="97">
        <f>INDEX('[7]PLANILLA YEMI '!AB30:BJ84,1,6)</f>
        <v>0</v>
      </c>
      <c r="AJ71" s="97">
        <f>INDEX('[7]PLANILLA YEMI '!AC30:BK84,1,6)</f>
        <v>0</v>
      </c>
      <c r="AK71" s="97">
        <f>INDEX('[7]PLANILLA YEMI '!AD30:BL84,1,6)</f>
        <v>0</v>
      </c>
      <c r="AL71" s="97">
        <f>INDEX('[7]PLANILLA YEMI '!AE30:BM84,1,6)</f>
        <v>0</v>
      </c>
      <c r="AM71" s="97">
        <f>INDEX('[7]PLANILLA YEMI '!AF30:BN84,1,6)</f>
        <v>0</v>
      </c>
      <c r="AO71" s="116">
        <f t="shared" si="9"/>
        <v>0</v>
      </c>
      <c r="AP71" s="116">
        <f t="shared" si="9"/>
        <v>0</v>
      </c>
      <c r="AQ71" s="116">
        <f t="shared" si="9"/>
        <v>0</v>
      </c>
      <c r="AR71" s="116">
        <f t="shared" si="9"/>
        <v>0</v>
      </c>
      <c r="AS71" s="116">
        <f t="shared" si="9"/>
        <v>0</v>
      </c>
      <c r="AT71" s="116">
        <f t="shared" si="9"/>
        <v>0</v>
      </c>
      <c r="AU71" s="116">
        <f t="shared" si="9"/>
        <v>0</v>
      </c>
      <c r="AV71" s="116">
        <f t="shared" si="9"/>
        <v>0</v>
      </c>
      <c r="AW71" s="116">
        <f t="shared" si="9"/>
        <v>0</v>
      </c>
      <c r="AX71" s="116">
        <f t="shared" si="9"/>
        <v>0</v>
      </c>
      <c r="AY71" s="116">
        <f t="shared" si="9"/>
        <v>0</v>
      </c>
      <c r="AZ71" s="116">
        <f t="shared" si="9"/>
        <v>0</v>
      </c>
      <c r="BA71" s="116">
        <f t="shared" si="9"/>
        <v>21</v>
      </c>
      <c r="BB71" s="117">
        <f t="shared" si="4"/>
        <v>21</v>
      </c>
    </row>
    <row r="72" spans="1:54" ht="18.600000000000001" customHeight="1">
      <c r="B72" s="112">
        <v>64</v>
      </c>
      <c r="C72" s="121">
        <f>+'[7]PLANILLA YEMI '!C31</f>
        <v>1031120358</v>
      </c>
      <c r="D72" s="122" t="str">
        <f>IFERROR(VLOOKUP($C72,'[7]PLANILLA YEMI '!$C$9:$F$60,2,0),"NO BD")</f>
        <v xml:space="preserve">ARDILA PULIDO JEIMMY CAROLINA </v>
      </c>
      <c r="E72" s="123" t="s">
        <v>585</v>
      </c>
      <c r="F72" s="114" t="str">
        <f>IFERROR(VLOOKUP($C72,[7]BD!$B$3:$O$213,3,0),"")</f>
        <v>OPERARIA DE ASEO Y CAFETERIA</v>
      </c>
      <c r="G72" s="124" t="s">
        <v>479</v>
      </c>
      <c r="H72" s="114" t="str">
        <f>IFERROR(VLOOKUP($C72,[7]BD!$B$3:$O$203,14,0),"")</f>
        <v>3123848118</v>
      </c>
      <c r="I72" s="114" t="str">
        <f>IFERROR(VLOOKUP($C72,[7]BD!$B$3:$O$203,4,0),"")</f>
        <v>18/10/2025</v>
      </c>
      <c r="J72" s="97" t="str">
        <f>INDEX('[7]PLANILLA YEMI '!C31:AK85,1,6)</f>
        <v>OK</v>
      </c>
      <c r="K72" s="97" t="str">
        <f>INDEX('[7]PLANILLA YEMI '!D31:AL85,1,6)</f>
        <v>OK</v>
      </c>
      <c r="L72" s="97" t="str">
        <f>INDEX('[7]PLANILLA YEMI '!E31:AM85,1,6)</f>
        <v>OK</v>
      </c>
      <c r="M72" s="97" t="str">
        <f>INDEX('[7]PLANILLA YEMI '!F31:AN85,1,6)</f>
        <v>INC</v>
      </c>
      <c r="N72" s="97" t="str">
        <f>INDEX('[7]PLANILLA YEMI '!G31:AO85,1,6)</f>
        <v>INC</v>
      </c>
      <c r="O72" s="97" t="str">
        <f>INDEX('[7]PLANILLA YEMI '!H31:AP85,1,6)</f>
        <v>INC</v>
      </c>
      <c r="P72" s="97" t="str">
        <f>INDEX('[7]PLANILLA YEMI '!I31:AQ85,1,6)</f>
        <v>INC</v>
      </c>
      <c r="Q72" s="97" t="str">
        <f>INDEX('[7]PLANILLA YEMI '!J31:AR85,1,6)</f>
        <v>INC</v>
      </c>
      <c r="R72" s="97" t="str">
        <f>INDEX('[7]PLANILLA YEMI '!K31:AS85,1,6)</f>
        <v>INC</v>
      </c>
      <c r="S72" s="97" t="str">
        <f>INDEX('[7]PLANILLA YEMI '!L31:AT85,1,6)</f>
        <v>INC</v>
      </c>
      <c r="T72" s="97" t="str">
        <f>INDEX('[7]PLANILLA YEMI '!M31:AU85,1,6)</f>
        <v>INC</v>
      </c>
      <c r="U72" s="97" t="str">
        <f>INDEX('[7]PLANILLA YEMI '!N31:AV85,1,6)</f>
        <v>INC</v>
      </c>
      <c r="V72" s="97" t="str">
        <f>INDEX('[7]PLANILLA YEMI '!O31:AW85,1,6)</f>
        <v>INC</v>
      </c>
      <c r="W72" s="97" t="str">
        <f>INDEX('[7]PLANILLA YEMI '!P31:AX85,1,6)</f>
        <v>INC</v>
      </c>
      <c r="X72" s="97" t="str">
        <f>INDEX('[7]PLANILLA YEMI '!Q31:AY85,1,6)</f>
        <v>INC</v>
      </c>
      <c r="Y72" s="97" t="str">
        <f>INDEX('[7]PLANILLA YEMI '!R31:AZ85,1,6)</f>
        <v>INC</v>
      </c>
      <c r="Z72" s="97" t="str">
        <f>INDEX('[7]PLANILLA YEMI '!S31:BA85,1,6)</f>
        <v>INC</v>
      </c>
      <c r="AA72" s="97" t="str">
        <f>INDEX('[7]PLANILLA YEMI '!T31:BB85,1,6)</f>
        <v>INC</v>
      </c>
      <c r="AB72" s="97" t="str">
        <f>INDEX('[7]PLANILLA YEMI '!U31:BC85,1,6)</f>
        <v>INC</v>
      </c>
      <c r="AC72" s="97" t="str">
        <f>INDEX('[7]PLANILLA YEMI '!V31:BD85,1,6)</f>
        <v>INC</v>
      </c>
      <c r="AD72" s="97" t="str">
        <f>INDEX('[7]PLANILLA YEMI '!W31:BE85,1,6)</f>
        <v>INC</v>
      </c>
      <c r="AE72" s="97">
        <f>INDEX('[7]PLANILLA YEMI '!X31:BF85,1,6)</f>
        <v>0</v>
      </c>
      <c r="AF72" s="97">
        <f>INDEX('[7]PLANILLA YEMI '!Y31:BG85,1,6)</f>
        <v>0</v>
      </c>
      <c r="AG72" s="97">
        <f>INDEX('[7]PLANILLA YEMI '!Z31:BH85,1,6)</f>
        <v>0</v>
      </c>
      <c r="AH72" s="97">
        <f>INDEX('[7]PLANILLA YEMI '!AA31:BI85,1,6)</f>
        <v>0</v>
      </c>
      <c r="AI72" s="97">
        <f>INDEX('[7]PLANILLA YEMI '!AB31:BJ85,1,6)</f>
        <v>0</v>
      </c>
      <c r="AJ72" s="97">
        <f>INDEX('[7]PLANILLA YEMI '!AC31:BK85,1,6)</f>
        <v>0</v>
      </c>
      <c r="AK72" s="97">
        <f>INDEX('[7]PLANILLA YEMI '!AD31:BL85,1,6)</f>
        <v>0</v>
      </c>
      <c r="AL72" s="97">
        <f>INDEX('[7]PLANILLA YEMI '!AE31:BM85,1,6)</f>
        <v>0</v>
      </c>
      <c r="AM72" s="97">
        <f>INDEX('[7]PLANILLA YEMI '!AF31:BN85,1,6)</f>
        <v>0</v>
      </c>
      <c r="AO72" s="116">
        <f t="shared" si="9"/>
        <v>0</v>
      </c>
      <c r="AP72" s="116">
        <f t="shared" si="9"/>
        <v>0</v>
      </c>
      <c r="AQ72" s="116">
        <f t="shared" si="9"/>
        <v>0</v>
      </c>
      <c r="AR72" s="116">
        <f t="shared" si="9"/>
        <v>18</v>
      </c>
      <c r="AS72" s="116">
        <f t="shared" si="9"/>
        <v>0</v>
      </c>
      <c r="AT72" s="116">
        <f t="shared" si="9"/>
        <v>0</v>
      </c>
      <c r="AU72" s="116">
        <f t="shared" si="9"/>
        <v>0</v>
      </c>
      <c r="AV72" s="116">
        <f t="shared" si="9"/>
        <v>0</v>
      </c>
      <c r="AW72" s="116">
        <f t="shared" si="9"/>
        <v>0</v>
      </c>
      <c r="AX72" s="116">
        <f t="shared" si="9"/>
        <v>0</v>
      </c>
      <c r="AY72" s="116">
        <f t="shared" si="9"/>
        <v>0</v>
      </c>
      <c r="AZ72" s="116">
        <f t="shared" si="9"/>
        <v>0</v>
      </c>
      <c r="BA72" s="116">
        <f t="shared" si="9"/>
        <v>3</v>
      </c>
      <c r="BB72" s="117">
        <f t="shared" si="4"/>
        <v>3</v>
      </c>
    </row>
    <row r="73" spans="1:54" ht="18.600000000000001" customHeight="1">
      <c r="B73" s="112">
        <v>65</v>
      </c>
      <c r="C73" s="121">
        <f>+'[7]PLANILLA YEMI '!C32</f>
        <v>21119479</v>
      </c>
      <c r="D73" s="122" t="str">
        <f>IFERROR(VLOOKUP($C73,'[7]PLANILLA YEMI '!$C$9:$F$60,2,0),"NO BD")</f>
        <v xml:space="preserve">PANCHE SERNA ADRIANA MARIA </v>
      </c>
      <c r="E73" s="123" t="s">
        <v>585</v>
      </c>
      <c r="F73" s="114" t="str">
        <f>IFERROR(VLOOKUP($C73,[7]BD!$B$3:$O$213,3,0),"")</f>
        <v>OPERARIA DE ASEO Y CAFETERIA</v>
      </c>
      <c r="G73" s="124" t="s">
        <v>479</v>
      </c>
      <c r="H73" s="114" t="str">
        <f>IFERROR(VLOOKUP($C73,[7]BD!$B$3:$O$203,14,0),"")</f>
        <v>3102373775</v>
      </c>
      <c r="I73" s="114" t="str">
        <f>IFERROR(VLOOKUP($C73,[7]BD!$B$3:$O$203,4,0),"")</f>
        <v>18/10/2025</v>
      </c>
      <c r="J73" s="97" t="str">
        <f>INDEX('[7]PLANILLA YEMI '!C32:AK86,1,6)</f>
        <v>OK</v>
      </c>
      <c r="K73" s="97" t="str">
        <f>INDEX('[7]PLANILLA YEMI '!D32:AL86,1,6)</f>
        <v>OK</v>
      </c>
      <c r="L73" s="97" t="str">
        <f>INDEX('[7]PLANILLA YEMI '!E32:AM86,1,6)</f>
        <v>OK</v>
      </c>
      <c r="M73" s="97" t="str">
        <f>INDEX('[7]PLANILLA YEMI '!F32:AN86,1,6)</f>
        <v>OK</v>
      </c>
      <c r="N73" s="97" t="str">
        <f>INDEX('[7]PLANILLA YEMI '!G32:AO86,1,6)</f>
        <v>OK</v>
      </c>
      <c r="O73" s="97" t="str">
        <f>INDEX('[7]PLANILLA YEMI '!H32:AP86,1,6)</f>
        <v>OK</v>
      </c>
      <c r="P73" s="97" t="str">
        <f>INDEX('[7]PLANILLA YEMI '!I32:AQ86,1,6)</f>
        <v>OK</v>
      </c>
      <c r="Q73" s="97" t="str">
        <f>INDEX('[7]PLANILLA YEMI '!J32:AR86,1,6)</f>
        <v>OK</v>
      </c>
      <c r="R73" s="97" t="str">
        <f>INDEX('[7]PLANILLA YEMI '!K32:AS86,1,6)</f>
        <v>OK</v>
      </c>
      <c r="S73" s="97" t="str">
        <f>INDEX('[7]PLANILLA YEMI '!L32:AT86,1,6)</f>
        <v>OK</v>
      </c>
      <c r="T73" s="97" t="str">
        <f>INDEX('[7]PLANILLA YEMI '!M32:AU86,1,6)</f>
        <v>OK</v>
      </c>
      <c r="U73" s="97" t="str">
        <f>INDEX('[7]PLANILLA YEMI '!N32:AV86,1,6)</f>
        <v>OK</v>
      </c>
      <c r="V73" s="97" t="str">
        <f>INDEX('[7]PLANILLA YEMI '!O32:AW86,1,6)</f>
        <v>OK</v>
      </c>
      <c r="W73" s="97" t="str">
        <f>INDEX('[7]PLANILLA YEMI '!P32:AX86,1,6)</f>
        <v>OK</v>
      </c>
      <c r="X73" s="97" t="str">
        <f>INDEX('[7]PLANILLA YEMI '!Q32:AY86,1,6)</f>
        <v>OK</v>
      </c>
      <c r="Y73" s="97" t="str">
        <f>INDEX('[7]PLANILLA YEMI '!R32:AZ86,1,6)</f>
        <v>OK</v>
      </c>
      <c r="Z73" s="97" t="str">
        <f>INDEX('[7]PLANILLA YEMI '!S32:BA86,1,6)</f>
        <v>OK</v>
      </c>
      <c r="AA73" s="97" t="str">
        <f>INDEX('[7]PLANILLA YEMI '!T32:BB86,1,6)</f>
        <v>OK</v>
      </c>
      <c r="AB73" s="97" t="str">
        <f>INDEX('[7]PLANILLA YEMI '!U32:BC86,1,6)</f>
        <v>OK</v>
      </c>
      <c r="AC73" s="97" t="str">
        <f>INDEX('[7]PLANILLA YEMI '!V32:BD86,1,6)</f>
        <v>OK</v>
      </c>
      <c r="AD73" s="97" t="str">
        <f>INDEX('[7]PLANILLA YEMI '!W32:BE86,1,6)</f>
        <v>OK</v>
      </c>
      <c r="AE73" s="97">
        <f>INDEX('[7]PLANILLA YEMI '!X32:BF86,1,6)</f>
        <v>0</v>
      </c>
      <c r="AF73" s="97">
        <f>INDEX('[7]PLANILLA YEMI '!Y32:BG86,1,6)</f>
        <v>0</v>
      </c>
      <c r="AG73" s="97">
        <f>INDEX('[7]PLANILLA YEMI '!Z32:BH86,1,6)</f>
        <v>0</v>
      </c>
      <c r="AH73" s="97">
        <f>INDEX('[7]PLANILLA YEMI '!AA32:BI86,1,6)</f>
        <v>0</v>
      </c>
      <c r="AI73" s="97">
        <f>INDEX('[7]PLANILLA YEMI '!AB32:BJ86,1,6)</f>
        <v>0</v>
      </c>
      <c r="AJ73" s="97">
        <f>INDEX('[7]PLANILLA YEMI '!AC32:BK86,1,6)</f>
        <v>0</v>
      </c>
      <c r="AK73" s="97">
        <f>INDEX('[7]PLANILLA YEMI '!AD32:BL86,1,6)</f>
        <v>0</v>
      </c>
      <c r="AL73" s="97">
        <f>INDEX('[7]PLANILLA YEMI '!AE32:BM86,1,6)</f>
        <v>0</v>
      </c>
      <c r="AM73" s="97">
        <f>INDEX('[7]PLANILLA YEMI '!AF32:BN86,1,6)</f>
        <v>0</v>
      </c>
      <c r="AO73" s="116">
        <f t="shared" si="9"/>
        <v>0</v>
      </c>
      <c r="AP73" s="116">
        <f t="shared" si="9"/>
        <v>0</v>
      </c>
      <c r="AQ73" s="116">
        <f t="shared" si="9"/>
        <v>0</v>
      </c>
      <c r="AR73" s="116">
        <f t="shared" si="9"/>
        <v>0</v>
      </c>
      <c r="AS73" s="116">
        <f t="shared" si="9"/>
        <v>0</v>
      </c>
      <c r="AT73" s="116">
        <f t="shared" si="9"/>
        <v>0</v>
      </c>
      <c r="AU73" s="116">
        <f t="shared" si="9"/>
        <v>0</v>
      </c>
      <c r="AV73" s="116">
        <f t="shared" si="9"/>
        <v>0</v>
      </c>
      <c r="AW73" s="116">
        <f t="shared" si="9"/>
        <v>0</v>
      </c>
      <c r="AX73" s="116">
        <f t="shared" si="9"/>
        <v>0</v>
      </c>
      <c r="AY73" s="116">
        <f t="shared" si="9"/>
        <v>0</v>
      </c>
      <c r="AZ73" s="116">
        <f t="shared" si="9"/>
        <v>0</v>
      </c>
      <c r="BA73" s="116">
        <f t="shared" si="9"/>
        <v>21</v>
      </c>
      <c r="BB73" s="117">
        <f t="shared" ref="BB73:BB136" si="10">+BA73+AQ73</f>
        <v>21</v>
      </c>
    </row>
    <row r="74" spans="1:54" ht="18.600000000000001" customHeight="1">
      <c r="B74" s="112">
        <v>66</v>
      </c>
      <c r="C74" s="121">
        <f>+'[7]PLANILLA YEMI '!C33</f>
        <v>80733180</v>
      </c>
      <c r="D74" s="122" t="str">
        <f>IFERROR(VLOOKUP($C74,'[7]PLANILLA YEMI '!$C$9:$F$60,2,0),"NO BD")</f>
        <v xml:space="preserve">ROZO TORRES JONATHAN ALEJANDRO </v>
      </c>
      <c r="E74" s="123" t="s">
        <v>585</v>
      </c>
      <c r="F74" s="114" t="str">
        <f>IFERROR(VLOOKUP($C74,[7]BD!$B$3:$O$213,3,0),"")</f>
        <v>OPERARIO DE MANTENIMIENTO</v>
      </c>
      <c r="G74" s="124" t="s">
        <v>479</v>
      </c>
      <c r="H74" s="114" t="str">
        <f>IFERROR(VLOOKUP($C74,[7]BD!$B$3:$O$203,14,0),"")</f>
        <v>3027415192</v>
      </c>
      <c r="I74" s="114" t="str">
        <f>IFERROR(VLOOKUP($C74,[7]BD!$B$3:$O$203,4,0),"")</f>
        <v>18/10/2025</v>
      </c>
      <c r="J74" s="97" t="str">
        <f>INDEX('[7]PLANILLA YEMI '!C33:AK87,1,6)</f>
        <v>OK</v>
      </c>
      <c r="K74" s="97" t="str">
        <f>INDEX('[7]PLANILLA YEMI '!D33:AL87,1,6)</f>
        <v>OK</v>
      </c>
      <c r="L74" s="97" t="str">
        <f>INDEX('[7]PLANILLA YEMI '!E33:AM87,1,6)</f>
        <v>OK</v>
      </c>
      <c r="M74" s="97" t="str">
        <f>INDEX('[7]PLANILLA YEMI '!F33:AN87,1,6)</f>
        <v>OK</v>
      </c>
      <c r="N74" s="97" t="str">
        <f>INDEX('[7]PLANILLA YEMI '!G33:AO87,1,6)</f>
        <v>OK</v>
      </c>
      <c r="O74" s="97" t="str">
        <f>INDEX('[7]PLANILLA YEMI '!H33:AP87,1,6)</f>
        <v>OK</v>
      </c>
      <c r="P74" s="97" t="str">
        <f>INDEX('[7]PLANILLA YEMI '!I33:AQ87,1,6)</f>
        <v>OK</v>
      </c>
      <c r="Q74" s="97" t="str">
        <f>INDEX('[7]PLANILLA YEMI '!J33:AR87,1,6)</f>
        <v>OK</v>
      </c>
      <c r="R74" s="97" t="str">
        <f>INDEX('[7]PLANILLA YEMI '!K33:AS87,1,6)</f>
        <v>OK</v>
      </c>
      <c r="S74" s="97" t="str">
        <f>INDEX('[7]PLANILLA YEMI '!L33:AT87,1,6)</f>
        <v>OK</v>
      </c>
      <c r="T74" s="97" t="str">
        <f>INDEX('[7]PLANILLA YEMI '!M33:AU87,1,6)</f>
        <v>OK</v>
      </c>
      <c r="U74" s="97" t="str">
        <f>INDEX('[7]PLANILLA YEMI '!N33:AV87,1,6)</f>
        <v>OK</v>
      </c>
      <c r="V74" s="97" t="str">
        <f>INDEX('[7]PLANILLA YEMI '!O33:AW87,1,6)</f>
        <v>OK</v>
      </c>
      <c r="W74" s="97" t="str">
        <f>INDEX('[7]PLANILLA YEMI '!P33:AX87,1,6)</f>
        <v>OK</v>
      </c>
      <c r="X74" s="97" t="str">
        <f>INDEX('[7]PLANILLA YEMI '!Q33:AY87,1,6)</f>
        <v>OK</v>
      </c>
      <c r="Y74" s="97" t="str">
        <f>INDEX('[7]PLANILLA YEMI '!R33:AZ87,1,6)</f>
        <v>OK</v>
      </c>
      <c r="Z74" s="97" t="str">
        <f>INDEX('[7]PLANILLA YEMI '!S33:BA87,1,6)</f>
        <v>OK</v>
      </c>
      <c r="AA74" s="97" t="str">
        <f>INDEX('[7]PLANILLA YEMI '!T33:BB87,1,6)</f>
        <v>OK</v>
      </c>
      <c r="AB74" s="97" t="str">
        <f>INDEX('[7]PLANILLA YEMI '!U33:BC87,1,6)</f>
        <v>OK</v>
      </c>
      <c r="AC74" s="97" t="str">
        <f>INDEX('[7]PLANILLA YEMI '!V33:BD87,1,6)</f>
        <v>OK</v>
      </c>
      <c r="AD74" s="97" t="str">
        <f>INDEX('[7]PLANILLA YEMI '!W33:BE87,1,6)</f>
        <v>OK</v>
      </c>
      <c r="AE74" s="97">
        <f>INDEX('[7]PLANILLA YEMI '!X33:BF87,1,6)</f>
        <v>0</v>
      </c>
      <c r="AF74" s="97">
        <f>INDEX('[7]PLANILLA YEMI '!Y33:BG87,1,6)</f>
        <v>0</v>
      </c>
      <c r="AG74" s="97">
        <f>INDEX('[7]PLANILLA YEMI '!Z33:BH87,1,6)</f>
        <v>0</v>
      </c>
      <c r="AH74" s="97">
        <f>INDEX('[7]PLANILLA YEMI '!AA33:BI87,1,6)</f>
        <v>0</v>
      </c>
      <c r="AI74" s="97">
        <f>INDEX('[7]PLANILLA YEMI '!AB33:BJ87,1,6)</f>
        <v>0</v>
      </c>
      <c r="AJ74" s="97">
        <f>INDEX('[7]PLANILLA YEMI '!AC33:BK87,1,6)</f>
        <v>0</v>
      </c>
      <c r="AK74" s="97">
        <f>INDEX('[7]PLANILLA YEMI '!AD33:BL87,1,6)</f>
        <v>0</v>
      </c>
      <c r="AL74" s="97">
        <f>INDEX('[7]PLANILLA YEMI '!AE33:BM87,1,6)</f>
        <v>0</v>
      </c>
      <c r="AM74" s="97">
        <f>INDEX('[7]PLANILLA YEMI '!AF33:BN87,1,6)</f>
        <v>0</v>
      </c>
      <c r="AO74" s="116">
        <f t="shared" si="9"/>
        <v>0</v>
      </c>
      <c r="AP74" s="116">
        <f t="shared" si="9"/>
        <v>0</v>
      </c>
      <c r="AQ74" s="116">
        <f t="shared" si="9"/>
        <v>0</v>
      </c>
      <c r="AR74" s="116">
        <f t="shared" si="9"/>
        <v>0</v>
      </c>
      <c r="AS74" s="116">
        <f t="shared" si="9"/>
        <v>0</v>
      </c>
      <c r="AT74" s="116">
        <f t="shared" si="9"/>
        <v>0</v>
      </c>
      <c r="AU74" s="116">
        <f t="shared" si="9"/>
        <v>0</v>
      </c>
      <c r="AV74" s="116">
        <f t="shared" si="9"/>
        <v>0</v>
      </c>
      <c r="AW74" s="116">
        <f t="shared" si="9"/>
        <v>0</v>
      </c>
      <c r="AX74" s="116">
        <f t="shared" si="9"/>
        <v>0</v>
      </c>
      <c r="AY74" s="116">
        <f t="shared" si="9"/>
        <v>0</v>
      </c>
      <c r="AZ74" s="116">
        <f t="shared" si="9"/>
        <v>0</v>
      </c>
      <c r="BA74" s="116">
        <f t="shared" si="9"/>
        <v>21</v>
      </c>
      <c r="BB74" s="117">
        <f t="shared" si="10"/>
        <v>21</v>
      </c>
    </row>
    <row r="75" spans="1:54" ht="18.600000000000001" customHeight="1">
      <c r="B75" s="112">
        <v>67</v>
      </c>
      <c r="C75" s="121">
        <f>+'[7]PLANILLA YEMI '!C34</f>
        <v>73185010</v>
      </c>
      <c r="D75" s="122" t="str">
        <f>IFERROR(VLOOKUP($C75,'[7]PLANILLA YEMI '!$C$9:$F$60,2,0),"NO BD")</f>
        <v xml:space="preserve">OROZCO GUALDRON DARWIN ENRIQUE </v>
      </c>
      <c r="E75" s="123" t="s">
        <v>585</v>
      </c>
      <c r="F75" s="114" t="str">
        <f>IFERROR(VLOOKUP($C75,[7]BD!$B$3:$O$213,3,0),"")</f>
        <v>OPERARIO DE MANTENIMIENTO</v>
      </c>
      <c r="G75" s="124" t="s">
        <v>479</v>
      </c>
      <c r="H75" s="114" t="str">
        <f>IFERROR(VLOOKUP($C75,[7]BD!$B$3:$O$203,14,0),"")</f>
        <v>3045456809</v>
      </c>
      <c r="I75" s="114" t="str">
        <f>IFERROR(VLOOKUP($C75,[7]BD!$B$3:$O$203,4,0),"")</f>
        <v>12/12/2025</v>
      </c>
      <c r="J75" s="97" t="str">
        <f>INDEX('[7]PLANILLA YEMI '!C34:AK88,1,6)</f>
        <v>OK</v>
      </c>
      <c r="K75" s="97" t="str">
        <f>INDEX('[7]PLANILLA YEMI '!D34:AL88,1,6)</f>
        <v>OK</v>
      </c>
      <c r="L75" s="97" t="str">
        <f>INDEX('[7]PLANILLA YEMI '!E34:AM88,1,6)</f>
        <v>OK</v>
      </c>
      <c r="M75" s="97" t="str">
        <f>INDEX('[7]PLANILLA YEMI '!F34:AN88,1,6)</f>
        <v>OK</v>
      </c>
      <c r="N75" s="97" t="str">
        <f>INDEX('[7]PLANILLA YEMI '!G34:AO88,1,6)</f>
        <v>OK</v>
      </c>
      <c r="O75" s="97" t="str">
        <f>INDEX('[7]PLANILLA YEMI '!H34:AP88,1,6)</f>
        <v>OK</v>
      </c>
      <c r="P75" s="97" t="str">
        <f>INDEX('[7]PLANILLA YEMI '!I34:AQ88,1,6)</f>
        <v>OK</v>
      </c>
      <c r="Q75" s="97" t="str">
        <f>INDEX('[7]PLANILLA YEMI '!J34:AR88,1,6)</f>
        <v>OK</v>
      </c>
      <c r="R75" s="97" t="str">
        <f>INDEX('[7]PLANILLA YEMI '!K34:AS88,1,6)</f>
        <v>OK</v>
      </c>
      <c r="S75" s="97" t="str">
        <f>INDEX('[7]PLANILLA YEMI '!L34:AT88,1,6)</f>
        <v>OK</v>
      </c>
      <c r="T75" s="97" t="str">
        <f>INDEX('[7]PLANILLA YEMI '!M34:AU88,1,6)</f>
        <v>OK</v>
      </c>
      <c r="U75" s="97" t="str">
        <f>INDEX('[7]PLANILLA YEMI '!N34:AV88,1,6)</f>
        <v>OK</v>
      </c>
      <c r="V75" s="97" t="str">
        <f>INDEX('[7]PLANILLA YEMI '!O34:AW88,1,6)</f>
        <v>OK</v>
      </c>
      <c r="W75" s="97" t="str">
        <f>INDEX('[7]PLANILLA YEMI '!P34:AX88,1,6)</f>
        <v>OK</v>
      </c>
      <c r="X75" s="97" t="str">
        <f>INDEX('[7]PLANILLA YEMI '!Q34:AY88,1,6)</f>
        <v>OK</v>
      </c>
      <c r="Y75" s="97" t="str">
        <f>INDEX('[7]PLANILLA YEMI '!R34:AZ88,1,6)</f>
        <v>OK</v>
      </c>
      <c r="Z75" s="97" t="str">
        <f>INDEX('[7]PLANILLA YEMI '!S34:BA88,1,6)</f>
        <v>OK</v>
      </c>
      <c r="AA75" s="97" t="str">
        <f>INDEX('[7]PLANILLA YEMI '!T34:BB88,1,6)</f>
        <v>OK</v>
      </c>
      <c r="AB75" s="97" t="str">
        <f>INDEX('[7]PLANILLA YEMI '!U34:BC88,1,6)</f>
        <v>OK</v>
      </c>
      <c r="AC75" s="97" t="str">
        <f>INDEX('[7]PLANILLA YEMI '!V34:BD88,1,6)</f>
        <v>OK</v>
      </c>
      <c r="AD75" s="97" t="str">
        <f>INDEX('[7]PLANILLA YEMI '!W34:BE88,1,6)</f>
        <v>OK</v>
      </c>
      <c r="AE75" s="97">
        <f>INDEX('[7]PLANILLA YEMI '!X34:BF88,1,6)</f>
        <v>0</v>
      </c>
      <c r="AF75" s="97">
        <f>INDEX('[7]PLANILLA YEMI '!Y34:BG88,1,6)</f>
        <v>0</v>
      </c>
      <c r="AG75" s="97">
        <f>INDEX('[7]PLANILLA YEMI '!Z34:BH88,1,6)</f>
        <v>0</v>
      </c>
      <c r="AH75" s="97">
        <f>INDEX('[7]PLANILLA YEMI '!AA34:BI88,1,6)</f>
        <v>0</v>
      </c>
      <c r="AI75" s="97">
        <f>INDEX('[7]PLANILLA YEMI '!AB34:BJ88,1,6)</f>
        <v>0</v>
      </c>
      <c r="AJ75" s="97">
        <f>INDEX('[7]PLANILLA YEMI '!AC34:BK88,1,6)</f>
        <v>0</v>
      </c>
      <c r="AK75" s="97">
        <f>INDEX('[7]PLANILLA YEMI '!AD34:BL88,1,6)</f>
        <v>0</v>
      </c>
      <c r="AL75" s="97">
        <f>INDEX('[7]PLANILLA YEMI '!AE34:BM88,1,6)</f>
        <v>0</v>
      </c>
      <c r="AM75" s="97">
        <f>INDEX('[7]PLANILLA YEMI '!AF34:BN88,1,6)</f>
        <v>0</v>
      </c>
      <c r="AO75" s="116">
        <f t="shared" si="9"/>
        <v>0</v>
      </c>
      <c r="AP75" s="116">
        <f t="shared" si="9"/>
        <v>0</v>
      </c>
      <c r="AQ75" s="116">
        <f t="shared" si="9"/>
        <v>0</v>
      </c>
      <c r="AR75" s="116">
        <f t="shared" si="9"/>
        <v>0</v>
      </c>
      <c r="AS75" s="116">
        <f t="shared" si="9"/>
        <v>0</v>
      </c>
      <c r="AT75" s="116">
        <f t="shared" si="9"/>
        <v>0</v>
      </c>
      <c r="AU75" s="116">
        <f t="shared" si="9"/>
        <v>0</v>
      </c>
      <c r="AV75" s="116">
        <f t="shared" si="9"/>
        <v>0</v>
      </c>
      <c r="AW75" s="116">
        <f t="shared" si="9"/>
        <v>0</v>
      </c>
      <c r="AX75" s="116">
        <f t="shared" si="9"/>
        <v>0</v>
      </c>
      <c r="AY75" s="116">
        <f t="shared" si="9"/>
        <v>0</v>
      </c>
      <c r="AZ75" s="116">
        <f t="shared" si="9"/>
        <v>0</v>
      </c>
      <c r="BA75" s="116">
        <f t="shared" si="9"/>
        <v>21</v>
      </c>
      <c r="BB75" s="117">
        <f t="shared" si="10"/>
        <v>21</v>
      </c>
    </row>
    <row r="76" spans="1:54" ht="18.600000000000001" customHeight="1">
      <c r="B76" s="112">
        <v>68</v>
      </c>
      <c r="C76" s="121">
        <f>+'[7]PLANILLA YEMI '!C35</f>
        <v>53002582</v>
      </c>
      <c r="D76" s="122" t="str">
        <f>IFERROR(VLOOKUP($C76,'[7]PLANILLA YEMI '!$C$9:$F$60,2,0),"NO BD")</f>
        <v xml:space="preserve">RAMIREZ ALZATE MONICA ALEXANDRA </v>
      </c>
      <c r="E76" s="123" t="s">
        <v>585</v>
      </c>
      <c r="F76" s="114" t="str">
        <f>IFERROR(VLOOKUP($C76,[7]BD!$B$3:$O$213,3,0),"")</f>
        <v>OPERARIA DE ASEO Y CAFETERIA</v>
      </c>
      <c r="G76" s="124" t="s">
        <v>479</v>
      </c>
      <c r="H76" s="114" t="str">
        <f>IFERROR(VLOOKUP($C76,[7]BD!$B$3:$O$203,14,0),"")</f>
        <v>3005713443</v>
      </c>
      <c r="I76" s="114" t="str">
        <f>IFERROR(VLOOKUP($C76,[7]BD!$B$3:$O$203,4,0),"")</f>
        <v>16/01/2026</v>
      </c>
      <c r="J76" s="97" t="str">
        <f>INDEX('[7]PLANILLA YEMI '!C35:AK89,1,6)</f>
        <v>OK</v>
      </c>
      <c r="K76" s="97" t="str">
        <f>INDEX('[7]PLANILLA YEMI '!D35:AL89,1,6)</f>
        <v>OK</v>
      </c>
      <c r="L76" s="97" t="str">
        <f>INDEX('[7]PLANILLA YEMI '!E35:AM89,1,6)</f>
        <v>OK</v>
      </c>
      <c r="M76" s="97" t="str">
        <f>INDEX('[7]PLANILLA YEMI '!F35:AN89,1,6)</f>
        <v>OK</v>
      </c>
      <c r="N76" s="97" t="str">
        <f>INDEX('[7]PLANILLA YEMI '!G35:AO89,1,6)</f>
        <v>OK</v>
      </c>
      <c r="O76" s="97" t="str">
        <f>INDEX('[7]PLANILLA YEMI '!H35:AP89,1,6)</f>
        <v>OK</v>
      </c>
      <c r="P76" s="97" t="str">
        <f>INDEX('[7]PLANILLA YEMI '!I35:AQ89,1,6)</f>
        <v>OK</v>
      </c>
      <c r="Q76" s="97" t="str">
        <f>INDEX('[7]PLANILLA YEMI '!J35:AR89,1,6)</f>
        <v>OK</v>
      </c>
      <c r="R76" s="97" t="str">
        <f>INDEX('[7]PLANILLA YEMI '!K35:AS89,1,6)</f>
        <v>OK</v>
      </c>
      <c r="S76" s="97" t="str">
        <f>INDEX('[7]PLANILLA YEMI '!L35:AT89,1,6)</f>
        <v>OK</v>
      </c>
      <c r="T76" s="97" t="str">
        <f>INDEX('[7]PLANILLA YEMI '!M35:AU89,1,6)</f>
        <v>OK</v>
      </c>
      <c r="U76" s="97" t="str">
        <f>INDEX('[7]PLANILLA YEMI '!N35:AV89,1,6)</f>
        <v>OK</v>
      </c>
      <c r="V76" s="97" t="str">
        <f>INDEX('[7]PLANILLA YEMI '!O35:AW89,1,6)</f>
        <v>OK</v>
      </c>
      <c r="W76" s="97" t="str">
        <f>INDEX('[7]PLANILLA YEMI '!P35:AX89,1,6)</f>
        <v>OK</v>
      </c>
      <c r="X76" s="97" t="str">
        <f>INDEX('[7]PLANILLA YEMI '!Q35:AY89,1,6)</f>
        <v>OK</v>
      </c>
      <c r="Y76" s="97" t="str">
        <f>INDEX('[7]PLANILLA YEMI '!R35:AZ89,1,6)</f>
        <v>OK</v>
      </c>
      <c r="Z76" s="97" t="str">
        <f>INDEX('[7]PLANILLA YEMI '!S35:BA89,1,6)</f>
        <v>OK</v>
      </c>
      <c r="AA76" s="97" t="str">
        <f>INDEX('[7]PLANILLA YEMI '!T35:BB89,1,6)</f>
        <v>OK</v>
      </c>
      <c r="AB76" s="97" t="str">
        <f>INDEX('[7]PLANILLA YEMI '!U35:BC89,1,6)</f>
        <v>OK</v>
      </c>
      <c r="AC76" s="97" t="str">
        <f>INDEX('[7]PLANILLA YEMI '!V35:BD89,1,6)</f>
        <v>OK</v>
      </c>
      <c r="AD76" s="97" t="str">
        <f>INDEX('[7]PLANILLA YEMI '!W35:BE89,1,6)</f>
        <v>OK</v>
      </c>
      <c r="AE76" s="97">
        <f>INDEX('[7]PLANILLA YEMI '!X35:BF89,1,6)</f>
        <v>0</v>
      </c>
      <c r="AF76" s="97">
        <f>INDEX('[7]PLANILLA YEMI '!Y35:BG89,1,6)</f>
        <v>0</v>
      </c>
      <c r="AG76" s="97">
        <f>INDEX('[7]PLANILLA YEMI '!Z35:BH89,1,6)</f>
        <v>0</v>
      </c>
      <c r="AH76" s="97">
        <f>INDEX('[7]PLANILLA YEMI '!AA35:BI89,1,6)</f>
        <v>0</v>
      </c>
      <c r="AI76" s="97">
        <f>INDEX('[7]PLANILLA YEMI '!AB35:BJ89,1,6)</f>
        <v>0</v>
      </c>
      <c r="AJ76" s="97">
        <f>INDEX('[7]PLANILLA YEMI '!AC35:BK89,1,6)</f>
        <v>0</v>
      </c>
      <c r="AK76" s="97">
        <f>INDEX('[7]PLANILLA YEMI '!AD35:BL89,1,6)</f>
        <v>0</v>
      </c>
      <c r="AL76" s="97">
        <f>INDEX('[7]PLANILLA YEMI '!AE35:BM89,1,6)</f>
        <v>0</v>
      </c>
      <c r="AM76" s="97">
        <f>INDEX('[7]PLANILLA YEMI '!AF35:BN89,1,6)</f>
        <v>0</v>
      </c>
      <c r="AO76" s="116">
        <f t="shared" si="9"/>
        <v>0</v>
      </c>
      <c r="AP76" s="116">
        <f t="shared" si="9"/>
        <v>0</v>
      </c>
      <c r="AQ76" s="116">
        <f t="shared" si="9"/>
        <v>0</v>
      </c>
      <c r="AR76" s="116">
        <f t="shared" si="9"/>
        <v>0</v>
      </c>
      <c r="AS76" s="116">
        <f t="shared" si="9"/>
        <v>0</v>
      </c>
      <c r="AT76" s="116">
        <f t="shared" si="9"/>
        <v>0</v>
      </c>
      <c r="AU76" s="116">
        <f t="shared" si="9"/>
        <v>0</v>
      </c>
      <c r="AV76" s="116">
        <f t="shared" si="9"/>
        <v>0</v>
      </c>
      <c r="AW76" s="116">
        <f t="shared" si="9"/>
        <v>0</v>
      </c>
      <c r="AX76" s="116">
        <f t="shared" si="9"/>
        <v>0</v>
      </c>
      <c r="AY76" s="116">
        <f t="shared" si="9"/>
        <v>0</v>
      </c>
      <c r="AZ76" s="116">
        <f t="shared" si="9"/>
        <v>0</v>
      </c>
      <c r="BA76" s="116">
        <f t="shared" si="9"/>
        <v>21</v>
      </c>
      <c r="BB76" s="117">
        <f t="shared" si="10"/>
        <v>21</v>
      </c>
    </row>
    <row r="77" spans="1:54" ht="18.600000000000001" customHeight="1">
      <c r="B77" s="112">
        <v>69</v>
      </c>
      <c r="C77" s="121">
        <f>+'[7]PLANILLA YEMI '!C36</f>
        <v>52832379</v>
      </c>
      <c r="D77" s="122" t="str">
        <f>IFERROR(VLOOKUP($C77,'[7]PLANILLA YEMI '!$C$9:$F$60,2,0),"NO BD")</f>
        <v xml:space="preserve">LOZANO OCHOA GLADYS STELLA </v>
      </c>
      <c r="E77" s="123" t="s">
        <v>585</v>
      </c>
      <c r="F77" s="114" t="str">
        <f>IFERROR(VLOOKUP($C77,[7]BD!$B$3:$O$213,3,0),"")</f>
        <v>OPERARIA DE ASEO Y CAFETERIA</v>
      </c>
      <c r="G77" s="124" t="s">
        <v>479</v>
      </c>
      <c r="H77" s="114" t="str">
        <f>IFERROR(VLOOKUP($C77,[7]BD!$B$3:$O$203,14,0),"")</f>
        <v>3115077400</v>
      </c>
      <c r="I77" s="114" t="str">
        <f>IFERROR(VLOOKUP($C77,[7]BD!$B$3:$O$203,4,0),"")</f>
        <v>18/10/2025</v>
      </c>
      <c r="J77" s="97" t="str">
        <f>INDEX('[7]PLANILLA YEMI '!C36:AK90,1,6)</f>
        <v>OK</v>
      </c>
      <c r="K77" s="97" t="str">
        <f>INDEX('[7]PLANILLA YEMI '!D36:AL90,1,6)</f>
        <v>OK</v>
      </c>
      <c r="L77" s="97" t="str">
        <f>INDEX('[7]PLANILLA YEMI '!E36:AM90,1,6)</f>
        <v>OK</v>
      </c>
      <c r="M77" s="97" t="str">
        <f>INDEX('[7]PLANILLA YEMI '!F36:AN90,1,6)</f>
        <v>OK</v>
      </c>
      <c r="N77" s="97" t="str">
        <f>INDEX('[7]PLANILLA YEMI '!G36:AO90,1,6)</f>
        <v>OK</v>
      </c>
      <c r="O77" s="97" t="str">
        <f>INDEX('[7]PLANILLA YEMI '!H36:AP90,1,6)</f>
        <v>OK</v>
      </c>
      <c r="P77" s="97" t="str">
        <f>INDEX('[7]PLANILLA YEMI '!I36:AQ90,1,6)</f>
        <v>OK</v>
      </c>
      <c r="Q77" s="97" t="str">
        <f>INDEX('[7]PLANILLA YEMI '!J36:AR90,1,6)</f>
        <v>OK</v>
      </c>
      <c r="R77" s="97" t="str">
        <f>INDEX('[7]PLANILLA YEMI '!K36:AS90,1,6)</f>
        <v>OK</v>
      </c>
      <c r="S77" s="97" t="str">
        <f>INDEX('[7]PLANILLA YEMI '!L36:AT90,1,6)</f>
        <v>OK</v>
      </c>
      <c r="T77" s="97" t="str">
        <f>INDEX('[7]PLANILLA YEMI '!M36:AU90,1,6)</f>
        <v>OK</v>
      </c>
      <c r="U77" s="97" t="str">
        <f>INDEX('[7]PLANILLA YEMI '!N36:AV90,1,6)</f>
        <v>OK</v>
      </c>
      <c r="V77" s="97" t="str">
        <f>INDEX('[7]PLANILLA YEMI '!O36:AW90,1,6)</f>
        <v>OK</v>
      </c>
      <c r="W77" s="97" t="str">
        <f>INDEX('[7]PLANILLA YEMI '!P36:AX90,1,6)</f>
        <v>OK</v>
      </c>
      <c r="X77" s="97" t="str">
        <f>INDEX('[7]PLANILLA YEMI '!Q36:AY90,1,6)</f>
        <v>OK</v>
      </c>
      <c r="Y77" s="97" t="str">
        <f>INDEX('[7]PLANILLA YEMI '!R36:AZ90,1,6)</f>
        <v>OK</v>
      </c>
      <c r="Z77" s="97" t="str">
        <f>INDEX('[7]PLANILLA YEMI '!S36:BA90,1,6)</f>
        <v>OK</v>
      </c>
      <c r="AA77" s="97" t="str">
        <f>INDEX('[7]PLANILLA YEMI '!T36:BB90,1,6)</f>
        <v>OK</v>
      </c>
      <c r="AB77" s="97" t="str">
        <f>INDEX('[7]PLANILLA YEMI '!U36:BC90,1,6)</f>
        <v>OK</v>
      </c>
      <c r="AC77" s="97" t="str">
        <f>INDEX('[7]PLANILLA YEMI '!V36:BD90,1,6)</f>
        <v>OK</v>
      </c>
      <c r="AD77" s="97" t="str">
        <f>INDEX('[7]PLANILLA YEMI '!W36:BE90,1,6)</f>
        <v>OK</v>
      </c>
      <c r="AE77" s="97">
        <f>INDEX('[7]PLANILLA YEMI '!X36:BF90,1,6)</f>
        <v>0</v>
      </c>
      <c r="AF77" s="97">
        <f>INDEX('[7]PLANILLA YEMI '!Y36:BG90,1,6)</f>
        <v>0</v>
      </c>
      <c r="AG77" s="97">
        <f>INDEX('[7]PLANILLA YEMI '!Z36:BH90,1,6)</f>
        <v>0</v>
      </c>
      <c r="AH77" s="97">
        <f>INDEX('[7]PLANILLA YEMI '!AA36:BI90,1,6)</f>
        <v>0</v>
      </c>
      <c r="AI77" s="97">
        <f>INDEX('[7]PLANILLA YEMI '!AB36:BJ90,1,6)</f>
        <v>0</v>
      </c>
      <c r="AJ77" s="97">
        <f>INDEX('[7]PLANILLA YEMI '!AC36:BK90,1,6)</f>
        <v>0</v>
      </c>
      <c r="AK77" s="97">
        <f>INDEX('[7]PLANILLA YEMI '!AD36:BL90,1,6)</f>
        <v>0</v>
      </c>
      <c r="AL77" s="97">
        <f>INDEX('[7]PLANILLA YEMI '!AE36:BM90,1,6)</f>
        <v>0</v>
      </c>
      <c r="AM77" s="97">
        <f>INDEX('[7]PLANILLA YEMI '!AF36:BN90,1,6)</f>
        <v>0</v>
      </c>
      <c r="AO77" s="116">
        <f t="shared" si="9"/>
        <v>0</v>
      </c>
      <c r="AP77" s="116">
        <f t="shared" si="9"/>
        <v>0</v>
      </c>
      <c r="AQ77" s="116">
        <f t="shared" si="9"/>
        <v>0</v>
      </c>
      <c r="AR77" s="116">
        <f t="shared" si="9"/>
        <v>0</v>
      </c>
      <c r="AS77" s="116">
        <f t="shared" si="9"/>
        <v>0</v>
      </c>
      <c r="AT77" s="116">
        <f t="shared" si="9"/>
        <v>0</v>
      </c>
      <c r="AU77" s="116">
        <f t="shared" si="9"/>
        <v>0</v>
      </c>
      <c r="AV77" s="116">
        <f t="shared" si="9"/>
        <v>0</v>
      </c>
      <c r="AW77" s="116">
        <f t="shared" si="9"/>
        <v>0</v>
      </c>
      <c r="AX77" s="116">
        <f t="shared" si="9"/>
        <v>0</v>
      </c>
      <c r="AY77" s="116">
        <f t="shared" si="9"/>
        <v>0</v>
      </c>
      <c r="AZ77" s="116">
        <f t="shared" si="9"/>
        <v>0</v>
      </c>
      <c r="BA77" s="116">
        <f t="shared" si="9"/>
        <v>21</v>
      </c>
      <c r="BB77" s="117">
        <f t="shared" si="10"/>
        <v>21</v>
      </c>
    </row>
    <row r="78" spans="1:54" ht="18.600000000000001" customHeight="1">
      <c r="B78" s="112">
        <v>70</v>
      </c>
      <c r="C78" s="121">
        <f>+'[7]PLANILLA YEMI '!C37</f>
        <v>52301809</v>
      </c>
      <c r="D78" s="122" t="str">
        <f>IFERROR(VLOOKUP($C78,'[7]PLANILLA YEMI '!$C$9:$F$60,2,0),"NO BD")</f>
        <v xml:space="preserve">ROJAS RODRIGUEZ ADA LUCIA </v>
      </c>
      <c r="E78" s="123" t="s">
        <v>585</v>
      </c>
      <c r="F78" s="114" t="str">
        <f>IFERROR(VLOOKUP($C78,[7]BD!$B$3:$O$213,3,0),"")</f>
        <v>OPERARIA DE ASEO Y CAFETERIA</v>
      </c>
      <c r="G78" s="124" t="s">
        <v>479</v>
      </c>
      <c r="H78" s="114" t="str">
        <f>IFERROR(VLOOKUP($C78,[7]BD!$B$3:$O$203,14,0),"")</f>
        <v>3138798248</v>
      </c>
      <c r="I78" s="114" t="str">
        <f>IFERROR(VLOOKUP($C78,[7]BD!$B$3:$O$203,4,0),"")</f>
        <v>18/10/2025</v>
      </c>
      <c r="J78" s="97" t="str">
        <f>INDEX('[7]PLANILLA YEMI '!C37:AK91,1,6)</f>
        <v>OK</v>
      </c>
      <c r="K78" s="97" t="str">
        <f>INDEX('[7]PLANILLA YEMI '!D37:AL91,1,6)</f>
        <v>OK</v>
      </c>
      <c r="L78" s="97" t="str">
        <f>INDEX('[7]PLANILLA YEMI '!E37:AM91,1,6)</f>
        <v>OK</v>
      </c>
      <c r="M78" s="97" t="str">
        <f>INDEX('[7]PLANILLA YEMI '!F37:AN91,1,6)</f>
        <v>OK</v>
      </c>
      <c r="N78" s="97" t="str">
        <f>INDEX('[7]PLANILLA YEMI '!G37:AO91,1,6)</f>
        <v>OK</v>
      </c>
      <c r="O78" s="97" t="str">
        <f>INDEX('[7]PLANILLA YEMI '!H37:AP91,1,6)</f>
        <v>OK</v>
      </c>
      <c r="P78" s="97" t="str">
        <f>INDEX('[7]PLANILLA YEMI '!I37:AQ91,1,6)</f>
        <v>OK</v>
      </c>
      <c r="Q78" s="97" t="str">
        <f>INDEX('[7]PLANILLA YEMI '!J37:AR91,1,6)</f>
        <v>OK</v>
      </c>
      <c r="R78" s="97" t="str">
        <f>INDEX('[7]PLANILLA YEMI '!K37:AS91,1,6)</f>
        <v>OK</v>
      </c>
      <c r="S78" s="97" t="str">
        <f>INDEX('[7]PLANILLA YEMI '!L37:AT91,1,6)</f>
        <v>OK</v>
      </c>
      <c r="T78" s="97" t="str">
        <f>INDEX('[7]PLANILLA YEMI '!M37:AU91,1,6)</f>
        <v>OK</v>
      </c>
      <c r="U78" s="97" t="str">
        <f>INDEX('[7]PLANILLA YEMI '!N37:AV91,1,6)</f>
        <v>OK</v>
      </c>
      <c r="V78" s="97" t="str">
        <f>INDEX('[7]PLANILLA YEMI '!O37:AW91,1,6)</f>
        <v>OK</v>
      </c>
      <c r="W78" s="97" t="str">
        <f>INDEX('[7]PLANILLA YEMI '!P37:AX91,1,6)</f>
        <v>OK</v>
      </c>
      <c r="X78" s="97" t="str">
        <f>INDEX('[7]PLANILLA YEMI '!Q37:AY91,1,6)</f>
        <v>OK</v>
      </c>
      <c r="Y78" s="97" t="str">
        <f>INDEX('[7]PLANILLA YEMI '!R37:AZ91,1,6)</f>
        <v>OK</v>
      </c>
      <c r="Z78" s="97" t="str">
        <f>INDEX('[7]PLANILLA YEMI '!S37:BA91,1,6)</f>
        <v>OK</v>
      </c>
      <c r="AA78" s="97" t="str">
        <f>INDEX('[7]PLANILLA YEMI '!T37:BB91,1,6)</f>
        <v>OK</v>
      </c>
      <c r="AB78" s="97" t="str">
        <f>INDEX('[7]PLANILLA YEMI '!U37:BC91,1,6)</f>
        <v>OK</v>
      </c>
      <c r="AC78" s="97" t="str">
        <f>INDEX('[7]PLANILLA YEMI '!V37:BD91,1,6)</f>
        <v>OK</v>
      </c>
      <c r="AD78" s="97" t="str">
        <f>INDEX('[7]PLANILLA YEMI '!W37:BE91,1,6)</f>
        <v>OK</v>
      </c>
      <c r="AE78" s="97">
        <f>INDEX('[7]PLANILLA YEMI '!X37:BF91,1,6)</f>
        <v>0</v>
      </c>
      <c r="AF78" s="97">
        <f>INDEX('[7]PLANILLA YEMI '!Y37:BG91,1,6)</f>
        <v>0</v>
      </c>
      <c r="AG78" s="97">
        <f>INDEX('[7]PLANILLA YEMI '!Z37:BH91,1,6)</f>
        <v>0</v>
      </c>
      <c r="AH78" s="97">
        <f>INDEX('[7]PLANILLA YEMI '!AA37:BI91,1,6)</f>
        <v>0</v>
      </c>
      <c r="AI78" s="97">
        <f>INDEX('[7]PLANILLA YEMI '!AB37:BJ91,1,6)</f>
        <v>0</v>
      </c>
      <c r="AJ78" s="97">
        <f>INDEX('[7]PLANILLA YEMI '!AC37:BK91,1,6)</f>
        <v>0</v>
      </c>
      <c r="AK78" s="97">
        <f>INDEX('[7]PLANILLA YEMI '!AD37:BL91,1,6)</f>
        <v>0</v>
      </c>
      <c r="AL78" s="97">
        <f>INDEX('[7]PLANILLA YEMI '!AE37:BM91,1,6)</f>
        <v>0</v>
      </c>
      <c r="AM78" s="97">
        <f>INDEX('[7]PLANILLA YEMI '!AF37:BN91,1,6)</f>
        <v>0</v>
      </c>
      <c r="AO78" s="116">
        <f t="shared" si="9"/>
        <v>0</v>
      </c>
      <c r="AP78" s="116">
        <f t="shared" si="9"/>
        <v>0</v>
      </c>
      <c r="AQ78" s="116">
        <f t="shared" si="9"/>
        <v>0</v>
      </c>
      <c r="AR78" s="116">
        <f t="shared" si="9"/>
        <v>0</v>
      </c>
      <c r="AS78" s="116">
        <f t="shared" si="9"/>
        <v>0</v>
      </c>
      <c r="AT78" s="116">
        <f t="shared" si="9"/>
        <v>0</v>
      </c>
      <c r="AU78" s="116">
        <f t="shared" si="9"/>
        <v>0</v>
      </c>
      <c r="AV78" s="116">
        <f t="shared" si="9"/>
        <v>0</v>
      </c>
      <c r="AW78" s="116">
        <f t="shared" si="9"/>
        <v>0</v>
      </c>
      <c r="AX78" s="116">
        <f t="shared" si="9"/>
        <v>0</v>
      </c>
      <c r="AY78" s="116">
        <f t="shared" si="9"/>
        <v>0</v>
      </c>
      <c r="AZ78" s="116">
        <f t="shared" si="9"/>
        <v>0</v>
      </c>
      <c r="BA78" s="116">
        <f t="shared" si="9"/>
        <v>21</v>
      </c>
      <c r="BB78" s="117">
        <f t="shared" si="10"/>
        <v>21</v>
      </c>
    </row>
    <row r="79" spans="1:54" ht="18.600000000000001" customHeight="1">
      <c r="A79" s="118"/>
      <c r="B79" s="112">
        <v>71</v>
      </c>
      <c r="C79" s="121">
        <f>+'[7]PLANILLA YEMI '!C38</f>
        <v>52033728</v>
      </c>
      <c r="D79" s="122" t="str">
        <f>IFERROR(VLOOKUP($C79,'[7]PLANILLA YEMI '!$C$9:$F$60,2,0),"NO BD")</f>
        <v xml:space="preserve">PARRA ESPITIA ANGELICA  </v>
      </c>
      <c r="E79" s="123" t="s">
        <v>585</v>
      </c>
      <c r="F79" s="114" t="str">
        <f>IFERROR(VLOOKUP($C79,[7]BD!$B$3:$O$213,3,0),"")</f>
        <v>SUPERNUMERARIA ASEO Y CAFETERIA</v>
      </c>
      <c r="G79" s="124" t="s">
        <v>479</v>
      </c>
      <c r="H79" s="114" t="str">
        <f>IFERROR(VLOOKUP($C79,[7]BD!$B$3:$O$203,14,0),"")</f>
        <v>3187091610</v>
      </c>
      <c r="I79" s="114" t="str">
        <f>IFERROR(VLOOKUP($C79,[7]BD!$B$3:$O$203,4,0),"")</f>
        <v>04/12/2025</v>
      </c>
      <c r="J79" s="97" t="str">
        <f>INDEX('[7]PLANILLA YEMI '!C38:AK92,1,6)</f>
        <v>OK</v>
      </c>
      <c r="K79" s="97" t="str">
        <f>INDEX('[7]PLANILLA YEMI '!D38:AL92,1,6)</f>
        <v>OK</v>
      </c>
      <c r="L79" s="97" t="str">
        <f>INDEX('[7]PLANILLA YEMI '!E38:AM92,1,6)</f>
        <v>OK</v>
      </c>
      <c r="M79" s="97" t="str">
        <f>INDEX('[7]PLANILLA YEMI '!F38:AN92,1,6)</f>
        <v>OK</v>
      </c>
      <c r="N79" s="97" t="str">
        <f>INDEX('[7]PLANILLA YEMI '!G38:AO92,1,6)</f>
        <v>OK</v>
      </c>
      <c r="O79" s="97" t="str">
        <f>INDEX('[7]PLANILLA YEMI '!H38:AP92,1,6)</f>
        <v>OK</v>
      </c>
      <c r="P79" s="97" t="str">
        <f>INDEX('[7]PLANILLA YEMI '!I38:AQ92,1,6)</f>
        <v>OK</v>
      </c>
      <c r="Q79" s="97" t="str">
        <f>INDEX('[7]PLANILLA YEMI '!J38:AR92,1,6)</f>
        <v>OK</v>
      </c>
      <c r="R79" s="97" t="str">
        <f>INDEX('[7]PLANILLA YEMI '!K38:AS92,1,6)</f>
        <v>OK</v>
      </c>
      <c r="S79" s="97" t="str">
        <f>INDEX('[7]PLANILLA YEMI '!L38:AT92,1,6)</f>
        <v>OK</v>
      </c>
      <c r="T79" s="97" t="str">
        <f>INDEX('[7]PLANILLA YEMI '!M38:AU92,1,6)</f>
        <v>OK</v>
      </c>
      <c r="U79" s="97" t="str">
        <f>INDEX('[7]PLANILLA YEMI '!N38:AV92,1,6)</f>
        <v>OK</v>
      </c>
      <c r="V79" s="97" t="str">
        <f>INDEX('[7]PLANILLA YEMI '!O38:AW92,1,6)</f>
        <v>OK</v>
      </c>
      <c r="W79" s="97" t="str">
        <f>INDEX('[7]PLANILLA YEMI '!P38:AX92,1,6)</f>
        <v>OK</v>
      </c>
      <c r="X79" s="97" t="str">
        <f>INDEX('[7]PLANILLA YEMI '!Q38:AY92,1,6)</f>
        <v>OK</v>
      </c>
      <c r="Y79" s="97" t="str">
        <f>INDEX('[7]PLANILLA YEMI '!R38:AZ92,1,6)</f>
        <v>OK</v>
      </c>
      <c r="Z79" s="97" t="str">
        <f>INDEX('[7]PLANILLA YEMI '!S38:BA92,1,6)</f>
        <v>OK</v>
      </c>
      <c r="AA79" s="97" t="str">
        <f>INDEX('[7]PLANILLA YEMI '!T38:BB92,1,6)</f>
        <v>OK</v>
      </c>
      <c r="AB79" s="97" t="str">
        <f>INDEX('[7]PLANILLA YEMI '!U38:BC92,1,6)</f>
        <v>OK</v>
      </c>
      <c r="AC79" s="97" t="str">
        <f>INDEX('[7]PLANILLA YEMI '!V38:BD92,1,6)</f>
        <v>OK</v>
      </c>
      <c r="AD79" s="97" t="str">
        <f>INDEX('[7]PLANILLA YEMI '!W38:BE92,1,6)</f>
        <v>OK</v>
      </c>
      <c r="AE79" s="97">
        <f>INDEX('[7]PLANILLA YEMI '!X38:BF92,1,6)</f>
        <v>0</v>
      </c>
      <c r="AF79" s="97">
        <f>INDEX('[7]PLANILLA YEMI '!Y38:BG92,1,6)</f>
        <v>0</v>
      </c>
      <c r="AG79" s="97">
        <f>INDEX('[7]PLANILLA YEMI '!Z38:BH92,1,6)</f>
        <v>0</v>
      </c>
      <c r="AH79" s="97">
        <f>INDEX('[7]PLANILLA YEMI '!AA38:BI92,1,6)</f>
        <v>0</v>
      </c>
      <c r="AI79" s="97">
        <f>INDEX('[7]PLANILLA YEMI '!AB38:BJ92,1,6)</f>
        <v>0</v>
      </c>
      <c r="AJ79" s="97">
        <f>INDEX('[7]PLANILLA YEMI '!AC38:BK92,1,6)</f>
        <v>0</v>
      </c>
      <c r="AK79" s="97">
        <f>INDEX('[7]PLANILLA YEMI '!AD38:BL92,1,6)</f>
        <v>0</v>
      </c>
      <c r="AL79" s="97">
        <f>INDEX('[7]PLANILLA YEMI '!AE38:BM92,1,6)</f>
        <v>0</v>
      </c>
      <c r="AM79" s="97">
        <f>INDEX('[7]PLANILLA YEMI '!AF38:BN92,1,6)</f>
        <v>0</v>
      </c>
      <c r="AO79" s="116">
        <f t="shared" si="9"/>
        <v>0</v>
      </c>
      <c r="AP79" s="116">
        <f t="shared" si="9"/>
        <v>0</v>
      </c>
      <c r="AQ79" s="116">
        <f t="shared" si="9"/>
        <v>0</v>
      </c>
      <c r="AR79" s="116">
        <f t="shared" si="9"/>
        <v>0</v>
      </c>
      <c r="AS79" s="116">
        <f t="shared" si="9"/>
        <v>0</v>
      </c>
      <c r="AT79" s="116">
        <f t="shared" si="9"/>
        <v>0</v>
      </c>
      <c r="AU79" s="116">
        <f t="shared" si="9"/>
        <v>0</v>
      </c>
      <c r="AV79" s="116">
        <f t="shared" si="9"/>
        <v>0</v>
      </c>
      <c r="AW79" s="116">
        <f t="shared" si="9"/>
        <v>0</v>
      </c>
      <c r="AX79" s="116">
        <f t="shared" si="9"/>
        <v>0</v>
      </c>
      <c r="AY79" s="116">
        <f t="shared" si="9"/>
        <v>0</v>
      </c>
      <c r="AZ79" s="116">
        <f t="shared" si="9"/>
        <v>0</v>
      </c>
      <c r="BA79" s="116">
        <f t="shared" si="9"/>
        <v>21</v>
      </c>
      <c r="BB79" s="117">
        <f t="shared" si="10"/>
        <v>21</v>
      </c>
    </row>
    <row r="80" spans="1:54" ht="18.600000000000001" customHeight="1">
      <c r="B80" s="112">
        <v>72</v>
      </c>
      <c r="C80" s="121">
        <f>+'[7]PLANILLA YEMI '!C39</f>
        <v>1003242958</v>
      </c>
      <c r="D80" s="122" t="str">
        <f>IFERROR(VLOOKUP($C80,'[7]PLANILLA YEMI '!$C$9:$F$60,2,0),"NO BD")</f>
        <v xml:space="preserve">DAZA VARELA LINDA MARY </v>
      </c>
      <c r="E80" s="123" t="s">
        <v>585</v>
      </c>
      <c r="F80" s="114" t="str">
        <f>IFERROR(VLOOKUP($C80,[7]BD!$B$3:$O$213,3,0),"")</f>
        <v>OPERARIA DE ASEO Y CAFETERIA</v>
      </c>
      <c r="G80" s="124" t="s">
        <v>479</v>
      </c>
      <c r="H80" s="114" t="str">
        <f>IFERROR(VLOOKUP($C80,[7]BD!$B$3:$O$203,14,0),"")</f>
        <v>3115141324</v>
      </c>
      <c r="I80" s="114" t="str">
        <f>IFERROR(VLOOKUP($C80,[7]BD!$B$3:$O$203,4,0),"")</f>
        <v>18/10/2025</v>
      </c>
      <c r="J80" s="97" t="str">
        <f>INDEX('[7]PLANILLA YEMI '!C39:AK93,1,6)</f>
        <v>OK</v>
      </c>
      <c r="K80" s="97" t="str">
        <f>INDEX('[7]PLANILLA YEMI '!D39:AL93,1,6)</f>
        <v>OK</v>
      </c>
      <c r="L80" s="97" t="str">
        <f>INDEX('[7]PLANILLA YEMI '!E39:AM93,1,6)</f>
        <v>OK</v>
      </c>
      <c r="M80" s="97" t="str">
        <f>INDEX('[7]PLANILLA YEMI '!F39:AN93,1,6)</f>
        <v>OK</v>
      </c>
      <c r="N80" s="97" t="str">
        <f>INDEX('[7]PLANILLA YEMI '!G39:AO93,1,6)</f>
        <v>OK</v>
      </c>
      <c r="O80" s="97" t="str">
        <f>INDEX('[7]PLANILLA YEMI '!H39:AP93,1,6)</f>
        <v>OK</v>
      </c>
      <c r="P80" s="97" t="str">
        <f>INDEX('[7]PLANILLA YEMI '!I39:AQ93,1,6)</f>
        <v>OK</v>
      </c>
      <c r="Q80" s="97" t="str">
        <f>INDEX('[7]PLANILLA YEMI '!J39:AR93,1,6)</f>
        <v>OK</v>
      </c>
      <c r="R80" s="97" t="str">
        <f>INDEX('[7]PLANILLA YEMI '!K39:AS93,1,6)</f>
        <v>OK</v>
      </c>
      <c r="S80" s="97" t="str">
        <f>INDEX('[7]PLANILLA YEMI '!L39:AT93,1,6)</f>
        <v>OK</v>
      </c>
      <c r="T80" s="97" t="str">
        <f>INDEX('[7]PLANILLA YEMI '!M39:AU93,1,6)</f>
        <v>OK</v>
      </c>
      <c r="U80" s="97" t="str">
        <f>INDEX('[7]PLANILLA YEMI '!N39:AV93,1,6)</f>
        <v>OK</v>
      </c>
      <c r="V80" s="97" t="str">
        <f>INDEX('[7]PLANILLA YEMI '!O39:AW93,1,6)</f>
        <v>OK</v>
      </c>
      <c r="W80" s="97" t="str">
        <f>INDEX('[7]PLANILLA YEMI '!P39:AX93,1,6)</f>
        <v>OK</v>
      </c>
      <c r="X80" s="97" t="str">
        <f>INDEX('[7]PLANILLA YEMI '!Q39:AY93,1,6)</f>
        <v>OK</v>
      </c>
      <c r="Y80" s="97" t="str">
        <f>INDEX('[7]PLANILLA YEMI '!R39:AZ93,1,6)</f>
        <v>OK</v>
      </c>
      <c r="Z80" s="97" t="str">
        <f>INDEX('[7]PLANILLA YEMI '!S39:BA93,1,6)</f>
        <v>OK</v>
      </c>
      <c r="AA80" s="97" t="str">
        <f>INDEX('[7]PLANILLA YEMI '!T39:BB93,1,6)</f>
        <v>OK</v>
      </c>
      <c r="AB80" s="97" t="str">
        <f>INDEX('[7]PLANILLA YEMI '!U39:BC93,1,6)</f>
        <v>OK</v>
      </c>
      <c r="AC80" s="97" t="str">
        <f>INDEX('[7]PLANILLA YEMI '!V39:BD93,1,6)</f>
        <v>OK</v>
      </c>
      <c r="AD80" s="97" t="str">
        <f>INDEX('[7]PLANILLA YEMI '!W39:BE93,1,6)</f>
        <v>OK</v>
      </c>
      <c r="AE80" s="97">
        <f>INDEX('[7]PLANILLA YEMI '!X39:BF93,1,6)</f>
        <v>0</v>
      </c>
      <c r="AF80" s="97">
        <f>INDEX('[7]PLANILLA YEMI '!Y39:BG93,1,6)</f>
        <v>0</v>
      </c>
      <c r="AG80" s="97">
        <f>INDEX('[7]PLANILLA YEMI '!Z39:BH93,1,6)</f>
        <v>0</v>
      </c>
      <c r="AH80" s="97">
        <f>INDEX('[7]PLANILLA YEMI '!AA39:BI93,1,6)</f>
        <v>0</v>
      </c>
      <c r="AI80" s="97">
        <f>INDEX('[7]PLANILLA YEMI '!AB39:BJ93,1,6)</f>
        <v>0</v>
      </c>
      <c r="AJ80" s="97">
        <f>INDEX('[7]PLANILLA YEMI '!AC39:BK93,1,6)</f>
        <v>0</v>
      </c>
      <c r="AK80" s="97">
        <f>INDEX('[7]PLANILLA YEMI '!AD39:BL93,1,6)</f>
        <v>0</v>
      </c>
      <c r="AL80" s="97">
        <f>INDEX('[7]PLANILLA YEMI '!AE39:BM93,1,6)</f>
        <v>0</v>
      </c>
      <c r="AM80" s="97">
        <f>INDEX('[7]PLANILLA YEMI '!AF39:BN93,1,6)</f>
        <v>0</v>
      </c>
      <c r="AO80" s="116">
        <f t="shared" si="9"/>
        <v>0</v>
      </c>
      <c r="AP80" s="116">
        <f t="shared" si="9"/>
        <v>0</v>
      </c>
      <c r="AQ80" s="116">
        <f t="shared" si="9"/>
        <v>0</v>
      </c>
      <c r="AR80" s="116">
        <f t="shared" si="9"/>
        <v>0</v>
      </c>
      <c r="AS80" s="116">
        <f t="shared" si="9"/>
        <v>0</v>
      </c>
      <c r="AT80" s="116">
        <f t="shared" si="9"/>
        <v>0</v>
      </c>
      <c r="AU80" s="116">
        <f t="shared" si="9"/>
        <v>0</v>
      </c>
      <c r="AV80" s="116">
        <f t="shared" si="9"/>
        <v>0</v>
      </c>
      <c r="AW80" s="116">
        <f t="shared" si="9"/>
        <v>0</v>
      </c>
      <c r="AX80" s="116">
        <f t="shared" si="9"/>
        <v>0</v>
      </c>
      <c r="AY80" s="116">
        <f t="shared" si="9"/>
        <v>0</v>
      </c>
      <c r="AZ80" s="116">
        <f t="shared" si="9"/>
        <v>0</v>
      </c>
      <c r="BA80" s="116">
        <f t="shared" si="9"/>
        <v>21</v>
      </c>
      <c r="BB80" s="117">
        <f t="shared" si="10"/>
        <v>21</v>
      </c>
    </row>
    <row r="81" spans="1:54" ht="18.600000000000001" customHeight="1">
      <c r="B81" s="112">
        <v>73</v>
      </c>
      <c r="C81" s="121">
        <f>+'[7]PLANILLA YEMI '!C40</f>
        <v>52635791</v>
      </c>
      <c r="D81" s="122" t="str">
        <f>IFERROR(VLOOKUP($C81,'[7]PLANILLA YEMI '!$C$9:$F$60,2,0),"NO BD")</f>
        <v xml:space="preserve">LOZANO MANRIQUE JAYDI  </v>
      </c>
      <c r="E81" s="123" t="s">
        <v>585</v>
      </c>
      <c r="F81" s="114" t="str">
        <f>IFERROR(VLOOKUP($C81,[7]BD!$B$3:$O$213,3,0),"")</f>
        <v>OPERARIA DE ASEO Y CAFETERIA</v>
      </c>
      <c r="G81" s="124" t="s">
        <v>491</v>
      </c>
      <c r="H81" s="114" t="str">
        <f>IFERROR(VLOOKUP($C81,[7]BD!$B$3:$O$203,14,0),"")</f>
        <v>3118958109</v>
      </c>
      <c r="I81" s="114" t="str">
        <f>IFERROR(VLOOKUP($C81,[7]BD!$B$3:$O$203,4,0),"")</f>
        <v>18/10/2025</v>
      </c>
      <c r="J81" s="97" t="str">
        <f>INDEX('[7]PLANILLA YEMI '!C40:AK94,1,6)</f>
        <v>OK</v>
      </c>
      <c r="K81" s="97" t="str">
        <f>INDEX('[7]PLANILLA YEMI '!D40:AL94,1,6)</f>
        <v>OK</v>
      </c>
      <c r="L81" s="97" t="str">
        <f>INDEX('[7]PLANILLA YEMI '!E40:AM94,1,6)</f>
        <v>OK</v>
      </c>
      <c r="M81" s="97" t="str">
        <f>INDEX('[7]PLANILLA YEMI '!F40:AN94,1,6)</f>
        <v>OK</v>
      </c>
      <c r="N81" s="97" t="str">
        <f>INDEX('[7]PLANILLA YEMI '!G40:AO94,1,6)</f>
        <v>OK</v>
      </c>
      <c r="O81" s="97" t="str">
        <f>INDEX('[7]PLANILLA YEMI '!H40:AP94,1,6)</f>
        <v>OK</v>
      </c>
      <c r="P81" s="97" t="str">
        <f>INDEX('[7]PLANILLA YEMI '!I40:AQ94,1,6)</f>
        <v>OK</v>
      </c>
      <c r="Q81" s="97" t="str">
        <f>INDEX('[7]PLANILLA YEMI '!J40:AR94,1,6)</f>
        <v>OK</v>
      </c>
      <c r="R81" s="97" t="str">
        <f>INDEX('[7]PLANILLA YEMI '!K40:AS94,1,6)</f>
        <v>OK</v>
      </c>
      <c r="S81" s="97" t="str">
        <f>INDEX('[7]PLANILLA YEMI '!L40:AT94,1,6)</f>
        <v>OK</v>
      </c>
      <c r="T81" s="97" t="str">
        <f>INDEX('[7]PLANILLA YEMI '!M40:AU94,1,6)</f>
        <v>OK</v>
      </c>
      <c r="U81" s="97" t="str">
        <f>INDEX('[7]PLANILLA YEMI '!N40:AV94,1,6)</f>
        <v>OK</v>
      </c>
      <c r="V81" s="97" t="str">
        <f>INDEX('[7]PLANILLA YEMI '!O40:AW94,1,6)</f>
        <v>OK</v>
      </c>
      <c r="W81" s="97" t="str">
        <f>INDEX('[7]PLANILLA YEMI '!P40:AX94,1,6)</f>
        <v>OK</v>
      </c>
      <c r="X81" s="97" t="str">
        <f>INDEX('[7]PLANILLA YEMI '!Q40:AY94,1,6)</f>
        <v>OK</v>
      </c>
      <c r="Y81" s="97" t="str">
        <f>INDEX('[7]PLANILLA YEMI '!R40:AZ94,1,6)</f>
        <v>OK</v>
      </c>
      <c r="Z81" s="97" t="str">
        <f>INDEX('[7]PLANILLA YEMI '!S40:BA94,1,6)</f>
        <v>OK</v>
      </c>
      <c r="AA81" s="97" t="str">
        <f>INDEX('[7]PLANILLA YEMI '!T40:BB94,1,6)</f>
        <v>OK</v>
      </c>
      <c r="AB81" s="97" t="str">
        <f>INDEX('[7]PLANILLA YEMI '!U40:BC94,1,6)</f>
        <v>OK</v>
      </c>
      <c r="AC81" s="97" t="str">
        <f>INDEX('[7]PLANILLA YEMI '!V40:BD94,1,6)</f>
        <v>OK</v>
      </c>
      <c r="AD81" s="97" t="str">
        <f>INDEX('[7]PLANILLA YEMI '!W40:BE94,1,6)</f>
        <v>OK</v>
      </c>
      <c r="AE81" s="97">
        <f>INDEX('[7]PLANILLA YEMI '!X40:BF94,1,6)</f>
        <v>0</v>
      </c>
      <c r="AF81" s="97">
        <f>INDEX('[7]PLANILLA YEMI '!Y40:BG94,1,6)</f>
        <v>0</v>
      </c>
      <c r="AG81" s="97">
        <f>INDEX('[7]PLANILLA YEMI '!Z40:BH94,1,6)</f>
        <v>0</v>
      </c>
      <c r="AH81" s="97">
        <f>INDEX('[7]PLANILLA YEMI '!AA40:BI94,1,6)</f>
        <v>0</v>
      </c>
      <c r="AI81" s="97">
        <f>INDEX('[7]PLANILLA YEMI '!AB40:BJ94,1,6)</f>
        <v>0</v>
      </c>
      <c r="AJ81" s="97">
        <f>INDEX('[7]PLANILLA YEMI '!AC40:BK94,1,6)</f>
        <v>0</v>
      </c>
      <c r="AK81" s="97">
        <f>INDEX('[7]PLANILLA YEMI '!AD40:BL94,1,6)</f>
        <v>0</v>
      </c>
      <c r="AL81" s="97">
        <f>INDEX('[7]PLANILLA YEMI '!AE40:BM94,1,6)</f>
        <v>0</v>
      </c>
      <c r="AM81" s="97">
        <f>INDEX('[7]PLANILLA YEMI '!AF40:BN94,1,6)</f>
        <v>0</v>
      </c>
      <c r="AO81" s="116">
        <f t="shared" si="9"/>
        <v>0</v>
      </c>
      <c r="AP81" s="116">
        <f t="shared" si="9"/>
        <v>0</v>
      </c>
      <c r="AQ81" s="116">
        <f t="shared" si="9"/>
        <v>0</v>
      </c>
      <c r="AR81" s="116">
        <f t="shared" si="9"/>
        <v>0</v>
      </c>
      <c r="AS81" s="116">
        <f t="shared" si="9"/>
        <v>0</v>
      </c>
      <c r="AT81" s="116">
        <f t="shared" si="9"/>
        <v>0</v>
      </c>
      <c r="AU81" s="116">
        <f t="shared" si="9"/>
        <v>0</v>
      </c>
      <c r="AV81" s="116">
        <f t="shared" si="9"/>
        <v>0</v>
      </c>
      <c r="AW81" s="116">
        <f t="shared" si="9"/>
        <v>0</v>
      </c>
      <c r="AX81" s="116">
        <f t="shared" si="9"/>
        <v>0</v>
      </c>
      <c r="AY81" s="116">
        <f t="shared" si="9"/>
        <v>0</v>
      </c>
      <c r="AZ81" s="116">
        <f t="shared" si="9"/>
        <v>0</v>
      </c>
      <c r="BA81" s="116">
        <f t="shared" si="9"/>
        <v>21</v>
      </c>
      <c r="BB81" s="117">
        <f t="shared" si="10"/>
        <v>21</v>
      </c>
    </row>
    <row r="82" spans="1:54" ht="18.600000000000001" customHeight="1">
      <c r="B82" s="112">
        <v>74</v>
      </c>
      <c r="C82" s="121">
        <f>+'[7]PLANILLA YEMI '!C41</f>
        <v>14191476</v>
      </c>
      <c r="D82" s="122" t="str">
        <f>IFERROR(VLOOKUP($C82,'[7]PLANILLA YEMI '!$C$9:$F$60,2,0),"NO BD")</f>
        <v xml:space="preserve">LONDONO VILLEGAS EDILSON  </v>
      </c>
      <c r="E82" s="123" t="s">
        <v>585</v>
      </c>
      <c r="F82" s="114" t="str">
        <f>IFERROR(VLOOKUP($C82,[7]BD!$B$3:$O$213,3,0),"")</f>
        <v>JARDINERO</v>
      </c>
      <c r="G82" s="124" t="s">
        <v>491</v>
      </c>
      <c r="H82" s="114" t="str">
        <f>IFERROR(VLOOKUP($C82,[7]BD!$B$3:$O$203,14,0),"")</f>
        <v>3144212888</v>
      </c>
      <c r="I82" s="114" t="str">
        <f>IFERROR(VLOOKUP($C82,[7]BD!$B$3:$O$203,4,0),"")</f>
        <v>18/10/2025</v>
      </c>
      <c r="J82" s="97" t="str">
        <f>INDEX('[7]PLANILLA YEMI '!C41:AK95,1,6)</f>
        <v>OK</v>
      </c>
      <c r="K82" s="97" t="str">
        <f>INDEX('[7]PLANILLA YEMI '!D41:AL95,1,6)</f>
        <v>OK</v>
      </c>
      <c r="L82" s="97" t="str">
        <f>INDEX('[7]PLANILLA YEMI '!E41:AM95,1,6)</f>
        <v>OK</v>
      </c>
      <c r="M82" s="97" t="str">
        <f>INDEX('[7]PLANILLA YEMI '!F41:AN95,1,6)</f>
        <v>OK</v>
      </c>
      <c r="N82" s="97" t="str">
        <f>INDEX('[7]PLANILLA YEMI '!G41:AO95,1,6)</f>
        <v>OK</v>
      </c>
      <c r="O82" s="97" t="str">
        <f>INDEX('[7]PLANILLA YEMI '!H41:AP95,1,6)</f>
        <v>OK</v>
      </c>
      <c r="P82" s="97" t="str">
        <f>INDEX('[7]PLANILLA YEMI '!I41:AQ95,1,6)</f>
        <v>OK</v>
      </c>
      <c r="Q82" s="97" t="str">
        <f>INDEX('[7]PLANILLA YEMI '!J41:AR95,1,6)</f>
        <v>OK</v>
      </c>
      <c r="R82" s="97" t="str">
        <f>INDEX('[7]PLANILLA YEMI '!K41:AS95,1,6)</f>
        <v>OK</v>
      </c>
      <c r="S82" s="97" t="str">
        <f>INDEX('[7]PLANILLA YEMI '!L41:AT95,1,6)</f>
        <v>OK</v>
      </c>
      <c r="T82" s="97" t="str">
        <f>INDEX('[7]PLANILLA YEMI '!M41:AU95,1,6)</f>
        <v>OK</v>
      </c>
      <c r="U82" s="97" t="str">
        <f>INDEX('[7]PLANILLA YEMI '!N41:AV95,1,6)</f>
        <v>OK</v>
      </c>
      <c r="V82" s="97" t="str">
        <f>INDEX('[7]PLANILLA YEMI '!O41:AW95,1,6)</f>
        <v>OK</v>
      </c>
      <c r="W82" s="97" t="str">
        <f>INDEX('[7]PLANILLA YEMI '!P41:AX95,1,6)</f>
        <v>OK</v>
      </c>
      <c r="X82" s="97" t="str">
        <f>INDEX('[7]PLANILLA YEMI '!Q41:AY95,1,6)</f>
        <v>OK</v>
      </c>
      <c r="Y82" s="97" t="str">
        <f>INDEX('[7]PLANILLA YEMI '!R41:AZ95,1,6)</f>
        <v>TS</v>
      </c>
      <c r="Z82" s="97" t="str">
        <f>INDEX('[7]PLANILLA YEMI '!S41:BA95,1,6)</f>
        <v>TS</v>
      </c>
      <c r="AA82" s="97" t="str">
        <f>INDEX('[7]PLANILLA YEMI '!T41:BB95,1,6)</f>
        <v>TS</v>
      </c>
      <c r="AB82" s="97" t="str">
        <f>INDEX('[7]PLANILLA YEMI '!U41:BC95,1,6)</f>
        <v>TS</v>
      </c>
      <c r="AC82" s="97" t="str">
        <f>INDEX('[7]PLANILLA YEMI '!V41:BD95,1,6)</f>
        <v>TS</v>
      </c>
      <c r="AD82" s="97" t="str">
        <f>INDEX('[7]PLANILLA YEMI '!W41:BE95,1,6)</f>
        <v>TS</v>
      </c>
      <c r="AE82" s="97">
        <f>INDEX('[7]PLANILLA YEMI '!X41:BF95,1,6)</f>
        <v>0</v>
      </c>
      <c r="AF82" s="97">
        <f>INDEX('[7]PLANILLA YEMI '!Y41:BG95,1,6)</f>
        <v>0</v>
      </c>
      <c r="AG82" s="97">
        <f>INDEX('[7]PLANILLA YEMI '!Z41:BH95,1,6)</f>
        <v>0</v>
      </c>
      <c r="AH82" s="97">
        <f>INDEX('[7]PLANILLA YEMI '!AA41:BI95,1,6)</f>
        <v>0</v>
      </c>
      <c r="AI82" s="97">
        <f>INDEX('[7]PLANILLA YEMI '!AB41:BJ95,1,6)</f>
        <v>0</v>
      </c>
      <c r="AJ82" s="97">
        <f>INDEX('[7]PLANILLA YEMI '!AC41:BK95,1,6)</f>
        <v>0</v>
      </c>
      <c r="AK82" s="97">
        <f>INDEX('[7]PLANILLA YEMI '!AD41:BL95,1,6)</f>
        <v>0</v>
      </c>
      <c r="AL82" s="97">
        <f>INDEX('[7]PLANILLA YEMI '!AE41:BM95,1,6)</f>
        <v>0</v>
      </c>
      <c r="AM82" s="97">
        <f>INDEX('[7]PLANILLA YEMI '!AF41:BN95,1,6)</f>
        <v>0</v>
      </c>
      <c r="AO82" s="116">
        <f t="shared" si="9"/>
        <v>0</v>
      </c>
      <c r="AP82" s="116">
        <f t="shared" si="9"/>
        <v>0</v>
      </c>
      <c r="AQ82" s="116">
        <f t="shared" si="9"/>
        <v>0</v>
      </c>
      <c r="AR82" s="116">
        <f t="shared" si="9"/>
        <v>0</v>
      </c>
      <c r="AS82" s="116">
        <f t="shared" si="9"/>
        <v>0</v>
      </c>
      <c r="AT82" s="116">
        <f t="shared" si="9"/>
        <v>0</v>
      </c>
      <c r="AU82" s="116">
        <f t="shared" si="9"/>
        <v>0</v>
      </c>
      <c r="AV82" s="116">
        <f t="shared" si="9"/>
        <v>0</v>
      </c>
      <c r="AW82" s="116">
        <f t="shared" si="9"/>
        <v>0</v>
      </c>
      <c r="AX82" s="116">
        <f t="shared" si="9"/>
        <v>0</v>
      </c>
      <c r="AY82" s="116">
        <f t="shared" si="9"/>
        <v>0</v>
      </c>
      <c r="AZ82" s="116">
        <f t="shared" si="9"/>
        <v>6</v>
      </c>
      <c r="BA82" s="116">
        <f t="shared" si="9"/>
        <v>15</v>
      </c>
      <c r="BB82" s="117">
        <f t="shared" si="10"/>
        <v>15</v>
      </c>
    </row>
    <row r="83" spans="1:54" ht="18.600000000000001" customHeight="1">
      <c r="B83" s="112">
        <v>75</v>
      </c>
      <c r="C83" s="121">
        <f>+'[7]PLANILLA YEMI '!C42</f>
        <v>52339253</v>
      </c>
      <c r="D83" s="122" t="str">
        <f>IFERROR(VLOOKUP($C83,'[7]PLANILLA YEMI '!$C$9:$F$60,2,0),"NO BD")</f>
        <v xml:space="preserve">CANTE MELO NELLY FARID </v>
      </c>
      <c r="E83" s="123" t="s">
        <v>585</v>
      </c>
      <c r="F83" s="114" t="str">
        <f>IFERROR(VLOOKUP($C83,[7]BD!$B$3:$O$213,3,0),"")</f>
        <v>OPERARIA DE ASEO Y CAFETERIA</v>
      </c>
      <c r="G83" s="124" t="s">
        <v>491</v>
      </c>
      <c r="H83" s="114" t="str">
        <f>IFERROR(VLOOKUP($C83,[7]BD!$B$3:$O$203,14,0),"")</f>
        <v>3242549695</v>
      </c>
      <c r="I83" s="114" t="str">
        <f>IFERROR(VLOOKUP($C83,[7]BD!$B$3:$O$203,4,0),"")</f>
        <v>18/10/2025</v>
      </c>
      <c r="J83" s="97" t="str">
        <f>INDEX('[7]PLANILLA YEMI '!C42:AK96,1,6)</f>
        <v>OK</v>
      </c>
      <c r="K83" s="97" t="str">
        <f>INDEX('[7]PLANILLA YEMI '!D42:AL96,1,6)</f>
        <v>OK</v>
      </c>
      <c r="L83" s="97" t="str">
        <f>INDEX('[7]PLANILLA YEMI '!E42:AM96,1,6)</f>
        <v>OK</v>
      </c>
      <c r="M83" s="97" t="str">
        <f>INDEX('[7]PLANILLA YEMI '!F42:AN96,1,6)</f>
        <v>OK</v>
      </c>
      <c r="N83" s="97" t="str">
        <f>INDEX('[7]PLANILLA YEMI '!G42:AO96,1,6)</f>
        <v>OK</v>
      </c>
      <c r="O83" s="97" t="str">
        <f>INDEX('[7]PLANILLA YEMI '!H42:AP96,1,6)</f>
        <v>OK</v>
      </c>
      <c r="P83" s="97" t="str">
        <f>INDEX('[7]PLANILLA YEMI '!I42:AQ96,1,6)</f>
        <v>OK</v>
      </c>
      <c r="Q83" s="97" t="str">
        <f>INDEX('[7]PLANILLA YEMI '!J42:AR96,1,6)</f>
        <v>OK</v>
      </c>
      <c r="R83" s="97" t="str">
        <f>INDEX('[7]PLANILLA YEMI '!K42:AS96,1,6)</f>
        <v>OK</v>
      </c>
      <c r="S83" s="97" t="str">
        <f>INDEX('[7]PLANILLA YEMI '!L42:AT96,1,6)</f>
        <v>OK</v>
      </c>
      <c r="T83" s="97" t="str">
        <f>INDEX('[7]PLANILLA YEMI '!M42:AU96,1,6)</f>
        <v>OK</v>
      </c>
      <c r="U83" s="97" t="str">
        <f>INDEX('[7]PLANILLA YEMI '!N42:AV96,1,6)</f>
        <v>OK</v>
      </c>
      <c r="V83" s="97" t="str">
        <f>INDEX('[7]PLANILLA YEMI '!O42:AW96,1,6)</f>
        <v>OK</v>
      </c>
      <c r="W83" s="97" t="str">
        <f>INDEX('[7]PLANILLA YEMI '!P42:AX96,1,6)</f>
        <v>OK</v>
      </c>
      <c r="X83" s="97" t="str">
        <f>INDEX('[7]PLANILLA YEMI '!Q42:AY96,1,6)</f>
        <v>OK</v>
      </c>
      <c r="Y83" s="97" t="str">
        <f>INDEX('[7]PLANILLA YEMI '!R42:AZ96,1,6)</f>
        <v>OK</v>
      </c>
      <c r="Z83" s="97" t="str">
        <f>INDEX('[7]PLANILLA YEMI '!S42:BA96,1,6)</f>
        <v>OK</v>
      </c>
      <c r="AA83" s="97" t="str">
        <f>INDEX('[7]PLANILLA YEMI '!T42:BB96,1,6)</f>
        <v>OK</v>
      </c>
      <c r="AB83" s="97" t="str">
        <f>INDEX('[7]PLANILLA YEMI '!U42:BC96,1,6)</f>
        <v>OK</v>
      </c>
      <c r="AC83" s="97" t="str">
        <f>INDEX('[7]PLANILLA YEMI '!V42:BD96,1,6)</f>
        <v>OK</v>
      </c>
      <c r="AD83" s="97" t="str">
        <f>INDEX('[7]PLANILLA YEMI '!W42:BE96,1,6)</f>
        <v>OK</v>
      </c>
      <c r="AE83" s="97">
        <f>INDEX('[7]PLANILLA YEMI '!X42:BF96,1,6)</f>
        <v>0</v>
      </c>
      <c r="AF83" s="97">
        <f>INDEX('[7]PLANILLA YEMI '!Y42:BG96,1,6)</f>
        <v>0</v>
      </c>
      <c r="AG83" s="97">
        <f>INDEX('[7]PLANILLA YEMI '!Z42:BH96,1,6)</f>
        <v>0</v>
      </c>
      <c r="AH83" s="97">
        <f>INDEX('[7]PLANILLA YEMI '!AA42:BI96,1,6)</f>
        <v>0</v>
      </c>
      <c r="AI83" s="97">
        <f>INDEX('[7]PLANILLA YEMI '!AB42:BJ96,1,6)</f>
        <v>0</v>
      </c>
      <c r="AJ83" s="97">
        <f>INDEX('[7]PLANILLA YEMI '!AC42:BK96,1,6)</f>
        <v>0</v>
      </c>
      <c r="AK83" s="97">
        <f>INDEX('[7]PLANILLA YEMI '!AD42:BL96,1,6)</f>
        <v>0</v>
      </c>
      <c r="AL83" s="97">
        <f>INDEX('[7]PLANILLA YEMI '!AE42:BM96,1,6)</f>
        <v>0</v>
      </c>
      <c r="AM83" s="97">
        <f>INDEX('[7]PLANILLA YEMI '!AF42:BN96,1,6)</f>
        <v>0</v>
      </c>
      <c r="AO83" s="116">
        <f t="shared" si="9"/>
        <v>0</v>
      </c>
      <c r="AP83" s="116">
        <f t="shared" si="9"/>
        <v>0</v>
      </c>
      <c r="AQ83" s="116">
        <f t="shared" si="9"/>
        <v>0</v>
      </c>
      <c r="AR83" s="116">
        <f t="shared" si="9"/>
        <v>0</v>
      </c>
      <c r="AS83" s="116">
        <f t="shared" si="9"/>
        <v>0</v>
      </c>
      <c r="AT83" s="116">
        <f t="shared" si="9"/>
        <v>0</v>
      </c>
      <c r="AU83" s="116">
        <f t="shared" si="9"/>
        <v>0</v>
      </c>
      <c r="AV83" s="116">
        <f t="shared" si="9"/>
        <v>0</v>
      </c>
      <c r="AW83" s="116">
        <f t="shared" si="9"/>
        <v>0</v>
      </c>
      <c r="AX83" s="116">
        <f t="shared" si="9"/>
        <v>0</v>
      </c>
      <c r="AY83" s="116">
        <f t="shared" si="9"/>
        <v>0</v>
      </c>
      <c r="AZ83" s="116">
        <f t="shared" si="9"/>
        <v>0</v>
      </c>
      <c r="BA83" s="116">
        <f t="shared" ref="BA83" si="11">COUNTIF($J83:$AM83,BA$7)</f>
        <v>21</v>
      </c>
      <c r="BB83" s="117">
        <f t="shared" si="10"/>
        <v>21</v>
      </c>
    </row>
    <row r="84" spans="1:54" ht="18.600000000000001" customHeight="1">
      <c r="B84" s="112">
        <v>76</v>
      </c>
      <c r="C84" s="121">
        <f>+'[7]PLANILLA YEMI '!C43</f>
        <v>79633497</v>
      </c>
      <c r="D84" s="122" t="str">
        <f>IFERROR(VLOOKUP($C84,'[7]PLANILLA YEMI '!$C$9:$F$60,2,0),"NO BD")</f>
        <v xml:space="preserve">TORRES GIRALDO JAIRO HERNAN </v>
      </c>
      <c r="E84" s="123" t="s">
        <v>585</v>
      </c>
      <c r="F84" s="114" t="str">
        <f>IFERROR(VLOOKUP($C84,[7]BD!$B$3:$O$213,3,0),"")</f>
        <v>OPERARIO DE MANTENIMIENTO</v>
      </c>
      <c r="G84" s="124" t="s">
        <v>491</v>
      </c>
      <c r="H84" s="114" t="str">
        <f>IFERROR(VLOOKUP($C84,[7]BD!$B$3:$O$203,14,0),"")</f>
        <v>3017371363</v>
      </c>
      <c r="I84" s="114" t="str">
        <f>IFERROR(VLOOKUP($C84,[7]BD!$B$3:$O$203,4,0),"")</f>
        <v>23/10/2025</v>
      </c>
      <c r="J84" s="97" t="str">
        <f>INDEX('[7]PLANILLA YEMI '!C43:AK97,1,6)</f>
        <v>OK</v>
      </c>
      <c r="K84" s="97" t="str">
        <f>INDEX('[7]PLANILLA YEMI '!D43:AL97,1,6)</f>
        <v>OK</v>
      </c>
      <c r="L84" s="97" t="str">
        <f>INDEX('[7]PLANILLA YEMI '!E43:AM97,1,6)</f>
        <v>OK</v>
      </c>
      <c r="M84" s="97" t="str">
        <f>INDEX('[7]PLANILLA YEMI '!F43:AN97,1,6)</f>
        <v>OK</v>
      </c>
      <c r="N84" s="97" t="str">
        <f>INDEX('[7]PLANILLA YEMI '!G43:AO97,1,6)</f>
        <v>OK</v>
      </c>
      <c r="O84" s="97" t="str">
        <f>INDEX('[7]PLANILLA YEMI '!H43:AP97,1,6)</f>
        <v>OK</v>
      </c>
      <c r="P84" s="97" t="str">
        <f>INDEX('[7]PLANILLA YEMI '!I43:AQ97,1,6)</f>
        <v>OK</v>
      </c>
      <c r="Q84" s="97" t="str">
        <f>INDEX('[7]PLANILLA YEMI '!J43:AR97,1,6)</f>
        <v>OK</v>
      </c>
      <c r="R84" s="97" t="str">
        <f>INDEX('[7]PLANILLA YEMI '!K43:AS97,1,6)</f>
        <v>OK</v>
      </c>
      <c r="S84" s="97" t="str">
        <f>INDEX('[7]PLANILLA YEMI '!L43:AT97,1,6)</f>
        <v>OK</v>
      </c>
      <c r="T84" s="97" t="str">
        <f>INDEX('[7]PLANILLA YEMI '!M43:AU97,1,6)</f>
        <v>OK</v>
      </c>
      <c r="U84" s="97" t="str">
        <f>INDEX('[7]PLANILLA YEMI '!N43:AV97,1,6)</f>
        <v>OK</v>
      </c>
      <c r="V84" s="97" t="str">
        <f>INDEX('[7]PLANILLA YEMI '!O43:AW97,1,6)</f>
        <v>OK</v>
      </c>
      <c r="W84" s="97" t="str">
        <f>INDEX('[7]PLANILLA YEMI '!P43:AX97,1,6)</f>
        <v>OK</v>
      </c>
      <c r="X84" s="97" t="str">
        <f>INDEX('[7]PLANILLA YEMI '!Q43:AY97,1,6)</f>
        <v>OK</v>
      </c>
      <c r="Y84" s="97" t="str">
        <f>INDEX('[7]PLANILLA YEMI '!R43:AZ97,1,6)</f>
        <v>OK</v>
      </c>
      <c r="Z84" s="97" t="str">
        <f>INDEX('[7]PLANILLA YEMI '!S43:BA97,1,6)</f>
        <v>OK</v>
      </c>
      <c r="AA84" s="97" t="str">
        <f>INDEX('[7]PLANILLA YEMI '!T43:BB97,1,6)</f>
        <v>OK</v>
      </c>
      <c r="AB84" s="97" t="str">
        <f>INDEX('[7]PLANILLA YEMI '!U43:BC97,1,6)</f>
        <v>OK</v>
      </c>
      <c r="AC84" s="97" t="str">
        <f>INDEX('[7]PLANILLA YEMI '!V43:BD97,1,6)</f>
        <v>OK</v>
      </c>
      <c r="AD84" s="97" t="str">
        <f>INDEX('[7]PLANILLA YEMI '!W43:BE97,1,6)</f>
        <v>OK</v>
      </c>
      <c r="AE84" s="97">
        <f>INDEX('[7]PLANILLA YEMI '!X43:BF97,1,6)</f>
        <v>0</v>
      </c>
      <c r="AF84" s="97">
        <f>INDEX('[7]PLANILLA YEMI '!Y43:BG97,1,6)</f>
        <v>0</v>
      </c>
      <c r="AG84" s="97">
        <f>INDEX('[7]PLANILLA YEMI '!Z43:BH97,1,6)</f>
        <v>0</v>
      </c>
      <c r="AH84" s="97">
        <f>INDEX('[7]PLANILLA YEMI '!AA43:BI97,1,6)</f>
        <v>0</v>
      </c>
      <c r="AI84" s="97">
        <f>INDEX('[7]PLANILLA YEMI '!AB43:BJ97,1,6)</f>
        <v>0</v>
      </c>
      <c r="AJ84" s="97">
        <f>INDEX('[7]PLANILLA YEMI '!AC43:BK97,1,6)</f>
        <v>0</v>
      </c>
      <c r="AK84" s="97">
        <f>INDEX('[7]PLANILLA YEMI '!AD43:BL97,1,6)</f>
        <v>0</v>
      </c>
      <c r="AL84" s="97">
        <f>INDEX('[7]PLANILLA YEMI '!AE43:BM97,1,6)</f>
        <v>0</v>
      </c>
      <c r="AM84" s="97">
        <f>INDEX('[7]PLANILLA YEMI '!AF43:BN97,1,6)</f>
        <v>0</v>
      </c>
      <c r="AO84" s="116">
        <f t="shared" ref="AO84:BA103" si="12">COUNTIF($J84:$AM84,AO$7)</f>
        <v>0</v>
      </c>
      <c r="AP84" s="116">
        <f t="shared" si="12"/>
        <v>0</v>
      </c>
      <c r="AQ84" s="116">
        <f t="shared" si="12"/>
        <v>0</v>
      </c>
      <c r="AR84" s="116">
        <f t="shared" si="12"/>
        <v>0</v>
      </c>
      <c r="AS84" s="116">
        <f t="shared" si="12"/>
        <v>0</v>
      </c>
      <c r="AT84" s="116">
        <f t="shared" si="12"/>
        <v>0</v>
      </c>
      <c r="AU84" s="116">
        <f t="shared" si="12"/>
        <v>0</v>
      </c>
      <c r="AV84" s="116">
        <f t="shared" si="12"/>
        <v>0</v>
      </c>
      <c r="AW84" s="116">
        <f t="shared" si="12"/>
        <v>0</v>
      </c>
      <c r="AX84" s="116">
        <f t="shared" si="12"/>
        <v>0</v>
      </c>
      <c r="AY84" s="116">
        <f t="shared" si="12"/>
        <v>0</v>
      </c>
      <c r="AZ84" s="116">
        <f t="shared" si="12"/>
        <v>0</v>
      </c>
      <c r="BA84" s="116">
        <f t="shared" si="12"/>
        <v>21</v>
      </c>
      <c r="BB84" s="117">
        <f t="shared" si="10"/>
        <v>21</v>
      </c>
    </row>
    <row r="85" spans="1:54" ht="18.600000000000001" customHeight="1">
      <c r="B85" s="112">
        <v>77</v>
      </c>
      <c r="C85" s="121">
        <f>+'[7]PLANILLA YEMI '!C44</f>
        <v>55155416</v>
      </c>
      <c r="D85" s="122" t="str">
        <f>IFERROR(VLOOKUP($C85,'[7]PLANILLA YEMI '!$C$9:$F$60,2,0),"NO BD")</f>
        <v xml:space="preserve">OROZCO MEDINA MARTHA ROCIO </v>
      </c>
      <c r="E85" s="123" t="s">
        <v>585</v>
      </c>
      <c r="F85" s="114" t="str">
        <f>IFERROR(VLOOKUP($C85,[7]BD!$B$3:$O$213,3,0),"")</f>
        <v>OPERARIA DE ASEO Y CAFETERIA</v>
      </c>
      <c r="G85" s="124" t="s">
        <v>491</v>
      </c>
      <c r="H85" s="114" t="str">
        <f>IFERROR(VLOOKUP($C85,[7]BD!$B$3:$O$203,14,0),"")</f>
        <v>3208313300</v>
      </c>
      <c r="I85" s="114" t="str">
        <f>IFERROR(VLOOKUP($C85,[7]BD!$B$3:$O$203,4,0),"")</f>
        <v>18/10/2025</v>
      </c>
      <c r="J85" s="97" t="str">
        <f>INDEX('[7]PLANILLA YEMI '!C44:AK98,1,6)</f>
        <v>OK</v>
      </c>
      <c r="K85" s="97" t="str">
        <f>INDEX('[7]PLANILLA YEMI '!D44:AL98,1,6)</f>
        <v>OK</v>
      </c>
      <c r="L85" s="97" t="str">
        <f>INDEX('[7]PLANILLA YEMI '!E44:AM98,1,6)</f>
        <v>OK</v>
      </c>
      <c r="M85" s="97" t="str">
        <f>INDEX('[7]PLANILLA YEMI '!F44:AN98,1,6)</f>
        <v>OK</v>
      </c>
      <c r="N85" s="97" t="str">
        <f>INDEX('[7]PLANILLA YEMI '!G44:AO98,1,6)</f>
        <v>OK</v>
      </c>
      <c r="O85" s="97" t="str">
        <f>INDEX('[7]PLANILLA YEMI '!H44:AP98,1,6)</f>
        <v>OK</v>
      </c>
      <c r="P85" s="97" t="str">
        <f>INDEX('[7]PLANILLA YEMI '!I44:AQ98,1,6)</f>
        <v>OK</v>
      </c>
      <c r="Q85" s="97" t="str">
        <f>INDEX('[7]PLANILLA YEMI '!J44:AR98,1,6)</f>
        <v>OK</v>
      </c>
      <c r="R85" s="97" t="str">
        <f>INDEX('[7]PLANILLA YEMI '!K44:AS98,1,6)</f>
        <v>OK</v>
      </c>
      <c r="S85" s="97" t="str">
        <f>INDEX('[7]PLANILLA YEMI '!L44:AT98,1,6)</f>
        <v>OK</v>
      </c>
      <c r="T85" s="97" t="str">
        <f>INDEX('[7]PLANILLA YEMI '!M44:AU98,1,6)</f>
        <v>OK</v>
      </c>
      <c r="U85" s="97" t="str">
        <f>INDEX('[7]PLANILLA YEMI '!N44:AV98,1,6)</f>
        <v>OK</v>
      </c>
      <c r="V85" s="97" t="str">
        <f>INDEX('[7]PLANILLA YEMI '!O44:AW98,1,6)</f>
        <v>OK</v>
      </c>
      <c r="W85" s="97" t="str">
        <f>INDEX('[7]PLANILLA YEMI '!P44:AX98,1,6)</f>
        <v>OK</v>
      </c>
      <c r="X85" s="97" t="str">
        <f>INDEX('[7]PLANILLA YEMI '!Q44:AY98,1,6)</f>
        <v>OK</v>
      </c>
      <c r="Y85" s="97" t="str">
        <f>INDEX('[7]PLANILLA YEMI '!R44:AZ98,1,6)</f>
        <v>OK</v>
      </c>
      <c r="Z85" s="97" t="str">
        <f>INDEX('[7]PLANILLA YEMI '!S44:BA98,1,6)</f>
        <v>OK</v>
      </c>
      <c r="AA85" s="97" t="str">
        <f>INDEX('[7]PLANILLA YEMI '!T44:BB98,1,6)</f>
        <v>OK</v>
      </c>
      <c r="AB85" s="97" t="str">
        <f>INDEX('[7]PLANILLA YEMI '!U44:BC98,1,6)</f>
        <v>OK</v>
      </c>
      <c r="AC85" s="97" t="str">
        <f>INDEX('[7]PLANILLA YEMI '!V44:BD98,1,6)</f>
        <v>OK</v>
      </c>
      <c r="AD85" s="97" t="str">
        <f>INDEX('[7]PLANILLA YEMI '!W44:BE98,1,6)</f>
        <v>OK</v>
      </c>
      <c r="AE85" s="97">
        <f>INDEX('[7]PLANILLA YEMI '!X44:BF98,1,6)</f>
        <v>0</v>
      </c>
      <c r="AF85" s="97">
        <f>INDEX('[7]PLANILLA YEMI '!Y44:BG98,1,6)</f>
        <v>0</v>
      </c>
      <c r="AG85" s="97">
        <f>INDEX('[7]PLANILLA YEMI '!Z44:BH98,1,6)</f>
        <v>0</v>
      </c>
      <c r="AH85" s="97">
        <f>INDEX('[7]PLANILLA YEMI '!AA44:BI98,1,6)</f>
        <v>0</v>
      </c>
      <c r="AI85" s="97">
        <f>INDEX('[7]PLANILLA YEMI '!AB44:BJ98,1,6)</f>
        <v>0</v>
      </c>
      <c r="AJ85" s="97">
        <f>INDEX('[7]PLANILLA YEMI '!AC44:BK98,1,6)</f>
        <v>0</v>
      </c>
      <c r="AK85" s="97">
        <f>INDEX('[7]PLANILLA YEMI '!AD44:BL98,1,6)</f>
        <v>0</v>
      </c>
      <c r="AL85" s="97">
        <f>INDEX('[7]PLANILLA YEMI '!AE44:BM98,1,6)</f>
        <v>0</v>
      </c>
      <c r="AM85" s="97">
        <f>INDEX('[7]PLANILLA YEMI '!AF44:BN98,1,6)</f>
        <v>0</v>
      </c>
      <c r="AO85" s="116">
        <f t="shared" si="12"/>
        <v>0</v>
      </c>
      <c r="AP85" s="116">
        <f t="shared" si="12"/>
        <v>0</v>
      </c>
      <c r="AQ85" s="116">
        <f t="shared" si="12"/>
        <v>0</v>
      </c>
      <c r="AR85" s="116">
        <f t="shared" si="12"/>
        <v>0</v>
      </c>
      <c r="AS85" s="116">
        <f t="shared" si="12"/>
        <v>0</v>
      </c>
      <c r="AT85" s="116">
        <f t="shared" si="12"/>
        <v>0</v>
      </c>
      <c r="AU85" s="116">
        <f t="shared" si="12"/>
        <v>0</v>
      </c>
      <c r="AV85" s="116">
        <f t="shared" si="12"/>
        <v>0</v>
      </c>
      <c r="AW85" s="116">
        <f t="shared" si="12"/>
        <v>0</v>
      </c>
      <c r="AX85" s="116">
        <f t="shared" si="12"/>
        <v>0</v>
      </c>
      <c r="AY85" s="116">
        <f t="shared" si="12"/>
        <v>0</v>
      </c>
      <c r="AZ85" s="116">
        <f t="shared" si="12"/>
        <v>0</v>
      </c>
      <c r="BA85" s="116">
        <f t="shared" si="12"/>
        <v>21</v>
      </c>
      <c r="BB85" s="117">
        <f t="shared" si="10"/>
        <v>21</v>
      </c>
    </row>
    <row r="86" spans="1:54" ht="18.600000000000001" customHeight="1">
      <c r="A86" s="119" t="s">
        <v>583</v>
      </c>
      <c r="B86" s="112">
        <v>78</v>
      </c>
      <c r="C86" s="132">
        <f>+'[7]PLANILLA YEMI '!C45</f>
        <v>72428676</v>
      </c>
      <c r="D86" s="122" t="str">
        <f>IFERROR(VLOOKUP($C86,'[7]PLANILLA YEMI '!$C$9:$F$60,2,0),"NO BD")</f>
        <v xml:space="preserve">MANOTAS SERNA DAVID ENRIQUE </v>
      </c>
      <c r="E86" s="123" t="s">
        <v>585</v>
      </c>
      <c r="F86" s="114" t="str">
        <f>IFERROR(VLOOKUP($C86,[7]BD!$B$3:$O$213,3,0),"")</f>
        <v>JARDINERO</v>
      </c>
      <c r="G86" s="124" t="s">
        <v>491</v>
      </c>
      <c r="H86" s="114" t="str">
        <f>IFERROR(VLOOKUP($C86,[7]BD!$B$3:$O$203,14,0),"")</f>
        <v>3002072224</v>
      </c>
      <c r="I86" s="114" t="str">
        <f>IFERROR(VLOOKUP($C86,[7]BD!$B$3:$O$203,4,0),"")</f>
        <v>14/01/2026</v>
      </c>
      <c r="J86" s="97" t="str">
        <f>INDEX('[7]PLANILLA YEMI '!C45:AK99,1,6)</f>
        <v>TS</v>
      </c>
      <c r="K86" s="97" t="str">
        <f>INDEX('[7]PLANILLA YEMI '!D45:AL99,1,6)</f>
        <v>TS</v>
      </c>
      <c r="L86" s="97" t="str">
        <f>INDEX('[7]PLANILLA YEMI '!E45:AM99,1,6)</f>
        <v>TS</v>
      </c>
      <c r="M86" s="97" t="str">
        <f>INDEX('[7]PLANILLA YEMI '!F45:AN99,1,6)</f>
        <v>TS</v>
      </c>
      <c r="N86" s="97" t="str">
        <f>INDEX('[7]PLANILLA YEMI '!G45:AO99,1,6)</f>
        <v>TS</v>
      </c>
      <c r="O86" s="97" t="str">
        <f>INDEX('[7]PLANILLA YEMI '!H45:AP99,1,6)</f>
        <v>TS</v>
      </c>
      <c r="P86" s="97" t="str">
        <f>INDEX('[7]PLANILLA YEMI '!I45:AQ99,1,6)</f>
        <v>TS</v>
      </c>
      <c r="Q86" s="97" t="str">
        <f>INDEX('[7]PLANILLA YEMI '!J45:AR99,1,6)</f>
        <v>TS</v>
      </c>
      <c r="R86" s="97" t="str">
        <f>INDEX('[7]PLANILLA YEMI '!K45:AS99,1,6)</f>
        <v>TS</v>
      </c>
      <c r="S86" s="97" t="str">
        <f>INDEX('[7]PLANILLA YEMI '!L45:AT99,1,6)</f>
        <v>TS</v>
      </c>
      <c r="T86" s="97" t="str">
        <f>INDEX('[7]PLANILLA YEMI '!M45:AU99,1,6)</f>
        <v>TS</v>
      </c>
      <c r="U86" s="97" t="str">
        <f>INDEX('[7]PLANILLA YEMI '!N45:AV99,1,6)</f>
        <v>TS</v>
      </c>
      <c r="V86" s="97" t="str">
        <f>INDEX('[7]PLANILLA YEMI '!O45:AW99,1,6)</f>
        <v>AUS</v>
      </c>
      <c r="W86" s="97" t="str">
        <f>INDEX('[7]PLANILLA YEMI '!P45:AX99,1,6)</f>
        <v>OK</v>
      </c>
      <c r="X86" s="97" t="str">
        <f>INDEX('[7]PLANILLA YEMI '!Q45:AY99,1,6)</f>
        <v>OK</v>
      </c>
      <c r="Y86" s="97" t="str">
        <f>INDEX('[7]PLANILLA YEMI '!R45:AZ99,1,6)</f>
        <v>OK</v>
      </c>
      <c r="Z86" s="97" t="str">
        <f>INDEX('[7]PLANILLA YEMI '!S45:BA99,1,6)</f>
        <v>OK</v>
      </c>
      <c r="AA86" s="97" t="str">
        <f>INDEX('[7]PLANILLA YEMI '!T45:BB99,1,6)</f>
        <v>OK</v>
      </c>
      <c r="AB86" s="97" t="str">
        <f>INDEX('[7]PLANILLA YEMI '!U45:BC99,1,6)</f>
        <v>OK</v>
      </c>
      <c r="AC86" s="97" t="str">
        <f>INDEX('[7]PLANILLA YEMI '!V45:BD99,1,6)</f>
        <v>OK</v>
      </c>
      <c r="AD86" s="97" t="str">
        <f>INDEX('[7]PLANILLA YEMI '!W45:BE99,1,6)</f>
        <v>OK</v>
      </c>
      <c r="AE86" s="97">
        <f>INDEX('[7]PLANILLA YEMI '!X45:BF99,1,6)</f>
        <v>0</v>
      </c>
      <c r="AF86" s="97">
        <f>INDEX('[7]PLANILLA YEMI '!Y45:BG99,1,6)</f>
        <v>0</v>
      </c>
      <c r="AG86" s="97">
        <f>INDEX('[7]PLANILLA YEMI '!Z45:BH99,1,6)</f>
        <v>0</v>
      </c>
      <c r="AH86" s="97">
        <f>INDEX('[7]PLANILLA YEMI '!AA45:BI99,1,6)</f>
        <v>0</v>
      </c>
      <c r="AI86" s="97">
        <f>INDEX('[7]PLANILLA YEMI '!AB45:BJ99,1,6)</f>
        <v>0</v>
      </c>
      <c r="AJ86" s="97">
        <f>INDEX('[7]PLANILLA YEMI '!AC45:BK99,1,6)</f>
        <v>0</v>
      </c>
      <c r="AK86" s="97">
        <f>INDEX('[7]PLANILLA YEMI '!AD45:BL99,1,6)</f>
        <v>0</v>
      </c>
      <c r="AL86" s="97">
        <f>INDEX('[7]PLANILLA YEMI '!AE45:BM99,1,6)</f>
        <v>0</v>
      </c>
      <c r="AM86" s="97">
        <f>INDEX('[7]PLANILLA YEMI '!AF45:BN99,1,6)</f>
        <v>0</v>
      </c>
      <c r="AO86" s="116">
        <f t="shared" si="12"/>
        <v>1</v>
      </c>
      <c r="AP86" s="116">
        <f t="shared" si="12"/>
        <v>0</v>
      </c>
      <c r="AQ86" s="116">
        <f t="shared" si="12"/>
        <v>0</v>
      </c>
      <c r="AR86" s="116">
        <f t="shared" si="12"/>
        <v>0</v>
      </c>
      <c r="AS86" s="116">
        <f t="shared" si="12"/>
        <v>0</v>
      </c>
      <c r="AT86" s="116">
        <f t="shared" si="12"/>
        <v>0</v>
      </c>
      <c r="AU86" s="116">
        <f t="shared" si="12"/>
        <v>0</v>
      </c>
      <c r="AV86" s="116">
        <f t="shared" si="12"/>
        <v>0</v>
      </c>
      <c r="AW86" s="116">
        <f t="shared" si="12"/>
        <v>0</v>
      </c>
      <c r="AX86" s="116">
        <f t="shared" si="12"/>
        <v>0</v>
      </c>
      <c r="AY86" s="116">
        <f t="shared" si="12"/>
        <v>0</v>
      </c>
      <c r="AZ86" s="116">
        <f t="shared" si="12"/>
        <v>12</v>
      </c>
      <c r="BA86" s="116">
        <f t="shared" si="12"/>
        <v>8</v>
      </c>
      <c r="BB86" s="117">
        <f t="shared" si="10"/>
        <v>8</v>
      </c>
    </row>
    <row r="87" spans="1:54" ht="18.600000000000001" customHeight="1">
      <c r="B87" s="112">
        <v>79</v>
      </c>
      <c r="C87" s="121">
        <f>+'[7]PLANILLA YEMI '!C46</f>
        <v>80802120</v>
      </c>
      <c r="D87" s="122" t="str">
        <f>IFERROR(VLOOKUP($C87,'[7]PLANILLA YEMI '!$C$9:$F$60,2,0),"NO BD")</f>
        <v xml:space="preserve">RUIZ PENA DIEGO ARMANDO </v>
      </c>
      <c r="E87" s="123" t="s">
        <v>585</v>
      </c>
      <c r="F87" s="114" t="str">
        <f>IFERROR(VLOOKUP($C87,[7]BD!$B$3:$O$213,3,0),"")</f>
        <v>OPERARIO DE MANTENIMIENTO</v>
      </c>
      <c r="G87" s="124" t="s">
        <v>491</v>
      </c>
      <c r="H87" s="114" t="str">
        <f>IFERROR(VLOOKUP($C87,[7]BD!$B$3:$O$203,14,0),"")</f>
        <v>3054585093</v>
      </c>
      <c r="I87" s="114" t="str">
        <f>IFERROR(VLOOKUP($C87,[7]BD!$B$3:$O$203,4,0),"")</f>
        <v>06/04/2026</v>
      </c>
      <c r="J87" s="97" t="str">
        <f>INDEX('[7]PLANILLA YEMI '!C46:AK100,1,6)</f>
        <v>OK</v>
      </c>
      <c r="K87" s="97" t="str">
        <f>INDEX('[7]PLANILLA YEMI '!D46:AL100,1,6)</f>
        <v>OK</v>
      </c>
      <c r="L87" s="97" t="str">
        <f>INDEX('[7]PLANILLA YEMI '!E46:AM100,1,6)</f>
        <v>OK</v>
      </c>
      <c r="M87" s="97" t="str">
        <f>INDEX('[7]PLANILLA YEMI '!F46:AN100,1,6)</f>
        <v>OK</v>
      </c>
      <c r="N87" s="97" t="str">
        <f>INDEX('[7]PLANILLA YEMI '!G46:AO100,1,6)</f>
        <v>OK</v>
      </c>
      <c r="O87" s="97" t="str">
        <f>INDEX('[7]PLANILLA YEMI '!H46:AP100,1,6)</f>
        <v>OK</v>
      </c>
      <c r="P87" s="97" t="str">
        <f>INDEX('[7]PLANILLA YEMI '!I46:AQ100,1,6)</f>
        <v>OK</v>
      </c>
      <c r="Q87" s="97" t="str">
        <f>INDEX('[7]PLANILLA YEMI '!J46:AR100,1,6)</f>
        <v>OK</v>
      </c>
      <c r="R87" s="97" t="str">
        <f>INDEX('[7]PLANILLA YEMI '!K46:AS100,1,6)</f>
        <v>OK</v>
      </c>
      <c r="S87" s="97" t="str">
        <f>INDEX('[7]PLANILLA YEMI '!L46:AT100,1,6)</f>
        <v>OK</v>
      </c>
      <c r="T87" s="97" t="str">
        <f>INDEX('[7]PLANILLA YEMI '!M46:AU100,1,6)</f>
        <v>OK</v>
      </c>
      <c r="U87" s="97" t="str">
        <f>INDEX('[7]PLANILLA YEMI '!N46:AV100,1,6)</f>
        <v>OK</v>
      </c>
      <c r="V87" s="97" t="str">
        <f>INDEX('[7]PLANILLA YEMI '!O46:AW100,1,6)</f>
        <v>OK</v>
      </c>
      <c r="W87" s="97" t="str">
        <f>INDEX('[7]PLANILLA YEMI '!P46:AX100,1,6)</f>
        <v>OK</v>
      </c>
      <c r="X87" s="97" t="str">
        <f>INDEX('[7]PLANILLA YEMI '!Q46:AY100,1,6)</f>
        <v>OK</v>
      </c>
      <c r="Y87" s="97" t="str">
        <f>INDEX('[7]PLANILLA YEMI '!R46:AZ100,1,6)</f>
        <v>OK</v>
      </c>
      <c r="Z87" s="97" t="str">
        <f>INDEX('[7]PLANILLA YEMI '!S46:BA100,1,6)</f>
        <v>OK</v>
      </c>
      <c r="AA87" s="97" t="str">
        <f>INDEX('[7]PLANILLA YEMI '!T46:BB100,1,6)</f>
        <v>OK</v>
      </c>
      <c r="AB87" s="97" t="str">
        <f>INDEX('[7]PLANILLA YEMI '!U46:BC100,1,6)</f>
        <v>OK</v>
      </c>
      <c r="AC87" s="97" t="str">
        <f>INDEX('[7]PLANILLA YEMI '!V46:BD100,1,6)</f>
        <v>OK</v>
      </c>
      <c r="AD87" s="97" t="str">
        <f>INDEX('[7]PLANILLA YEMI '!W46:BE100,1,6)</f>
        <v>OK</v>
      </c>
      <c r="AE87" s="97">
        <f>INDEX('[7]PLANILLA YEMI '!X46:BF100,1,6)</f>
        <v>0</v>
      </c>
      <c r="AF87" s="97">
        <f>INDEX('[7]PLANILLA YEMI '!Y46:BG100,1,6)</f>
        <v>0</v>
      </c>
      <c r="AG87" s="97">
        <f>INDEX('[7]PLANILLA YEMI '!Z46:BH100,1,6)</f>
        <v>0</v>
      </c>
      <c r="AH87" s="97">
        <f>INDEX('[7]PLANILLA YEMI '!AA46:BI100,1,6)</f>
        <v>0</v>
      </c>
      <c r="AI87" s="97">
        <f>INDEX('[7]PLANILLA YEMI '!AB46:BJ100,1,6)</f>
        <v>0</v>
      </c>
      <c r="AJ87" s="97">
        <f>INDEX('[7]PLANILLA YEMI '!AC46:BK100,1,6)</f>
        <v>0</v>
      </c>
      <c r="AK87" s="97">
        <f>INDEX('[7]PLANILLA YEMI '!AD46:BL100,1,6)</f>
        <v>0</v>
      </c>
      <c r="AL87" s="97">
        <f>INDEX('[7]PLANILLA YEMI '!AE46:BM100,1,6)</f>
        <v>0</v>
      </c>
      <c r="AM87" s="97">
        <f>INDEX('[7]PLANILLA YEMI '!AF46:BN100,1,6)</f>
        <v>0</v>
      </c>
      <c r="AO87" s="116">
        <f t="shared" si="12"/>
        <v>0</v>
      </c>
      <c r="AP87" s="116">
        <f t="shared" si="12"/>
        <v>0</v>
      </c>
      <c r="AQ87" s="116">
        <f t="shared" si="12"/>
        <v>0</v>
      </c>
      <c r="AR87" s="116">
        <f t="shared" si="12"/>
        <v>0</v>
      </c>
      <c r="AS87" s="116">
        <f t="shared" si="12"/>
        <v>0</v>
      </c>
      <c r="AT87" s="116">
        <f t="shared" si="12"/>
        <v>0</v>
      </c>
      <c r="AU87" s="116">
        <f t="shared" si="12"/>
        <v>0</v>
      </c>
      <c r="AV87" s="116">
        <f t="shared" si="12"/>
        <v>0</v>
      </c>
      <c r="AW87" s="116">
        <f t="shared" si="12"/>
        <v>0</v>
      </c>
      <c r="AX87" s="116">
        <f t="shared" si="12"/>
        <v>0</v>
      </c>
      <c r="AY87" s="116">
        <f t="shared" si="12"/>
        <v>0</v>
      </c>
      <c r="AZ87" s="116">
        <f t="shared" si="12"/>
        <v>0</v>
      </c>
      <c r="BA87" s="116">
        <f t="shared" si="12"/>
        <v>21</v>
      </c>
      <c r="BB87" s="117">
        <f t="shared" si="10"/>
        <v>21</v>
      </c>
    </row>
    <row r="88" spans="1:54" ht="15.95" customHeight="1">
      <c r="B88" s="112">
        <v>80</v>
      </c>
      <c r="C88" s="121">
        <f>+'[7]PLANILLA YEMI '!C47</f>
        <v>52161057</v>
      </c>
      <c r="D88" s="122" t="str">
        <f>IFERROR(VLOOKUP($C88,'[7]PLANILLA YEMI '!$C$9:$F$60,2,0),"NO BD")</f>
        <v xml:space="preserve">PENA TORRES NILSA MILENA </v>
      </c>
      <c r="E88" s="123" t="s">
        <v>585</v>
      </c>
      <c r="F88" s="114" t="str">
        <f>IFERROR(VLOOKUP($C88,[7]BD!$B$3:$O$213,3,0),"")</f>
        <v>OPERARIA DE ASEO Y CAFETERIA</v>
      </c>
      <c r="G88" s="124" t="s">
        <v>588</v>
      </c>
      <c r="H88" s="114" t="str">
        <f>IFERROR(VLOOKUP($C88,[7]BD!$B$3:$O$203,14,0),"")</f>
        <v>31257833441</v>
      </c>
      <c r="I88" s="114" t="str">
        <f>IFERROR(VLOOKUP($C88,[7]BD!$B$3:$O$203,4,0),"")</f>
        <v>18/10/2025</v>
      </c>
      <c r="J88" s="97" t="str">
        <f>INDEX('[7]PLANILLA YEMI '!C47:AK101,1,6)</f>
        <v>OK</v>
      </c>
      <c r="K88" s="97" t="str">
        <f>INDEX('[7]PLANILLA YEMI '!D47:AL101,1,6)</f>
        <v>OK</v>
      </c>
      <c r="L88" s="97" t="str">
        <f>INDEX('[7]PLANILLA YEMI '!E47:AM101,1,6)</f>
        <v>OK</v>
      </c>
      <c r="M88" s="97" t="str">
        <f>INDEX('[7]PLANILLA YEMI '!F47:AN101,1,6)</f>
        <v>OK</v>
      </c>
      <c r="N88" s="97" t="str">
        <f>INDEX('[7]PLANILLA YEMI '!G47:AO101,1,6)</f>
        <v>OK</v>
      </c>
      <c r="O88" s="97" t="str">
        <f>INDEX('[7]PLANILLA YEMI '!H47:AP101,1,6)</f>
        <v>OK</v>
      </c>
      <c r="P88" s="97" t="str">
        <f>INDEX('[7]PLANILLA YEMI '!I47:AQ101,1,6)</f>
        <v>OK</v>
      </c>
      <c r="Q88" s="97" t="str">
        <f>INDEX('[7]PLANILLA YEMI '!J47:AR101,1,6)</f>
        <v>OK</v>
      </c>
      <c r="R88" s="97" t="str">
        <f>INDEX('[7]PLANILLA YEMI '!K47:AS101,1,6)</f>
        <v>OK</v>
      </c>
      <c r="S88" s="97" t="str">
        <f>INDEX('[7]PLANILLA YEMI '!L47:AT101,1,6)</f>
        <v>OK</v>
      </c>
      <c r="T88" s="97" t="str">
        <f>INDEX('[7]PLANILLA YEMI '!M47:AU101,1,6)</f>
        <v>OK</v>
      </c>
      <c r="U88" s="97" t="str">
        <f>INDEX('[7]PLANILLA YEMI '!N47:AV101,1,6)</f>
        <v>OK</v>
      </c>
      <c r="V88" s="97" t="str">
        <f>INDEX('[7]PLANILLA YEMI '!O47:AW101,1,6)</f>
        <v>OK</v>
      </c>
      <c r="W88" s="97" t="str">
        <f>INDEX('[7]PLANILLA YEMI '!P47:AX101,1,6)</f>
        <v>OK</v>
      </c>
      <c r="X88" s="97" t="str">
        <f>INDEX('[7]PLANILLA YEMI '!Q47:AY101,1,6)</f>
        <v>OK</v>
      </c>
      <c r="Y88" s="97" t="str">
        <f>INDEX('[7]PLANILLA YEMI '!R47:AZ101,1,6)</f>
        <v>OK</v>
      </c>
      <c r="Z88" s="97" t="str">
        <f>INDEX('[7]PLANILLA YEMI '!S47:BA101,1,6)</f>
        <v>OK</v>
      </c>
      <c r="AA88" s="97" t="str">
        <f>INDEX('[7]PLANILLA YEMI '!T47:BB101,1,6)</f>
        <v>OK</v>
      </c>
      <c r="AB88" s="97" t="str">
        <f>INDEX('[7]PLANILLA YEMI '!U47:BC101,1,6)</f>
        <v>OK</v>
      </c>
      <c r="AC88" s="97" t="str">
        <f>INDEX('[7]PLANILLA YEMI '!V47:BD101,1,6)</f>
        <v>OK</v>
      </c>
      <c r="AD88" s="97" t="str">
        <f>INDEX('[7]PLANILLA YEMI '!W47:BE101,1,6)</f>
        <v>OK</v>
      </c>
      <c r="AE88" s="97">
        <f>INDEX('[7]PLANILLA YEMI '!X47:BF101,1,6)</f>
        <v>0</v>
      </c>
      <c r="AF88" s="97">
        <f>INDEX('[7]PLANILLA YEMI '!Y47:BG101,1,6)</f>
        <v>0</v>
      </c>
      <c r="AG88" s="97">
        <f>INDEX('[7]PLANILLA YEMI '!Z47:BH101,1,6)</f>
        <v>0</v>
      </c>
      <c r="AH88" s="97">
        <f>INDEX('[7]PLANILLA YEMI '!AA47:BI101,1,6)</f>
        <v>0</v>
      </c>
      <c r="AI88" s="97">
        <f>INDEX('[7]PLANILLA YEMI '!AB47:BJ101,1,6)</f>
        <v>0</v>
      </c>
      <c r="AJ88" s="97">
        <f>INDEX('[7]PLANILLA YEMI '!AC47:BK101,1,6)</f>
        <v>0</v>
      </c>
      <c r="AK88" s="97">
        <f>INDEX('[7]PLANILLA YEMI '!AD47:BL101,1,6)</f>
        <v>0</v>
      </c>
      <c r="AL88" s="97">
        <f>INDEX('[7]PLANILLA YEMI '!AE47:BM101,1,6)</f>
        <v>0</v>
      </c>
      <c r="AM88" s="97">
        <f>INDEX('[7]PLANILLA YEMI '!AF47:BN101,1,6)</f>
        <v>0</v>
      </c>
      <c r="AO88" s="116">
        <f t="shared" si="12"/>
        <v>0</v>
      </c>
      <c r="AP88" s="116">
        <f t="shared" si="12"/>
        <v>0</v>
      </c>
      <c r="AQ88" s="116">
        <f t="shared" si="12"/>
        <v>0</v>
      </c>
      <c r="AR88" s="116">
        <f t="shared" si="12"/>
        <v>0</v>
      </c>
      <c r="AS88" s="116">
        <f t="shared" si="12"/>
        <v>0</v>
      </c>
      <c r="AT88" s="116">
        <f t="shared" si="12"/>
        <v>0</v>
      </c>
      <c r="AU88" s="116">
        <f t="shared" si="12"/>
        <v>0</v>
      </c>
      <c r="AV88" s="116">
        <f t="shared" si="12"/>
        <v>0</v>
      </c>
      <c r="AW88" s="116">
        <f t="shared" si="12"/>
        <v>0</v>
      </c>
      <c r="AX88" s="116">
        <f t="shared" si="12"/>
        <v>0</v>
      </c>
      <c r="AY88" s="116">
        <f t="shared" si="12"/>
        <v>0</v>
      </c>
      <c r="AZ88" s="116">
        <f t="shared" si="12"/>
        <v>0</v>
      </c>
      <c r="BA88" s="116">
        <f t="shared" si="12"/>
        <v>21</v>
      </c>
      <c r="BB88" s="117">
        <f t="shared" si="10"/>
        <v>21</v>
      </c>
    </row>
    <row r="89" spans="1:54" ht="32.1" customHeight="1">
      <c r="B89" s="112">
        <v>81</v>
      </c>
      <c r="C89" s="121">
        <f>+'[7]PLANILLA YEMI '!C48</f>
        <v>1026256911</v>
      </c>
      <c r="D89" s="122" t="str">
        <f>IFERROR(VLOOKUP($C89,'[7]PLANILLA YEMI '!$C$9:$F$60,2,0),"NO BD")</f>
        <v xml:space="preserve">FUQUENE CANON SANDRA YAMILE </v>
      </c>
      <c r="E89" s="123" t="s">
        <v>585</v>
      </c>
      <c r="F89" s="114" t="str">
        <f>IFERROR(VLOOKUP($C89,[7]BD!$B$3:$O$213,3,0),"")</f>
        <v>OPERARIA DE ASEO Y CAFETERIA</v>
      </c>
      <c r="G89" s="124" t="s">
        <v>589</v>
      </c>
      <c r="H89" s="114" t="str">
        <f>IFERROR(VLOOKUP($C89,[7]BD!$B$3:$O$203,14,0),"")</f>
        <v>3222872318</v>
      </c>
      <c r="I89" s="114" t="str">
        <f>IFERROR(VLOOKUP($C89,[7]BD!$B$3:$O$203,4,0),"")</f>
        <v>18/10/2025</v>
      </c>
      <c r="J89" s="97" t="str">
        <f>INDEX('[7]PLANILLA YEMI '!C48:AK102,1,6)</f>
        <v>OK</v>
      </c>
      <c r="K89" s="97" t="str">
        <f>INDEX('[7]PLANILLA YEMI '!D48:AL102,1,6)</f>
        <v>OK</v>
      </c>
      <c r="L89" s="97" t="str">
        <f>INDEX('[7]PLANILLA YEMI '!E48:AM102,1,6)</f>
        <v>OK</v>
      </c>
      <c r="M89" s="97" t="str">
        <f>INDEX('[7]PLANILLA YEMI '!F48:AN102,1,6)</f>
        <v>OK</v>
      </c>
      <c r="N89" s="97" t="str">
        <f>INDEX('[7]PLANILLA YEMI '!G48:AO102,1,6)</f>
        <v>OK</v>
      </c>
      <c r="O89" s="97" t="str">
        <f>INDEX('[7]PLANILLA YEMI '!H48:AP102,1,6)</f>
        <v>OK</v>
      </c>
      <c r="P89" s="97" t="str">
        <f>INDEX('[7]PLANILLA YEMI '!I48:AQ102,1,6)</f>
        <v>OK</v>
      </c>
      <c r="Q89" s="97" t="str">
        <f>INDEX('[7]PLANILLA YEMI '!J48:AR102,1,6)</f>
        <v>OK</v>
      </c>
      <c r="R89" s="97" t="str">
        <f>INDEX('[7]PLANILLA YEMI '!K48:AS102,1,6)</f>
        <v>OK</v>
      </c>
      <c r="S89" s="97" t="str">
        <f>INDEX('[7]PLANILLA YEMI '!L48:AT102,1,6)</f>
        <v>OK</v>
      </c>
      <c r="T89" s="97" t="str">
        <f>INDEX('[7]PLANILLA YEMI '!M48:AU102,1,6)</f>
        <v>OK</v>
      </c>
      <c r="U89" s="97" t="str">
        <f>INDEX('[7]PLANILLA YEMI '!N48:AV102,1,6)</f>
        <v>OK</v>
      </c>
      <c r="V89" s="97" t="str">
        <f>INDEX('[7]PLANILLA YEMI '!O48:AW102,1,6)</f>
        <v>OK</v>
      </c>
      <c r="W89" s="97" t="str">
        <f>INDEX('[7]PLANILLA YEMI '!P48:AX102,1,6)</f>
        <v>OK</v>
      </c>
      <c r="X89" s="97" t="str">
        <f>INDEX('[7]PLANILLA YEMI '!Q48:AY102,1,6)</f>
        <v>OK</v>
      </c>
      <c r="Y89" s="97" t="str">
        <f>INDEX('[7]PLANILLA YEMI '!R48:AZ102,1,6)</f>
        <v>OK</v>
      </c>
      <c r="Z89" s="97" t="str">
        <f>INDEX('[7]PLANILLA YEMI '!S48:BA102,1,6)</f>
        <v>OK</v>
      </c>
      <c r="AA89" s="97" t="str">
        <f>INDEX('[7]PLANILLA YEMI '!T48:BB102,1,6)</f>
        <v>OK</v>
      </c>
      <c r="AB89" s="97" t="str">
        <f>INDEX('[7]PLANILLA YEMI '!U48:BC102,1,6)</f>
        <v>OK</v>
      </c>
      <c r="AC89" s="97" t="str">
        <f>INDEX('[7]PLANILLA YEMI '!V48:BD102,1,6)</f>
        <v>OK</v>
      </c>
      <c r="AD89" s="97" t="str">
        <f>INDEX('[7]PLANILLA YEMI '!W48:BE102,1,6)</f>
        <v>OK</v>
      </c>
      <c r="AE89" s="97">
        <f>INDEX('[7]PLANILLA YEMI '!X48:BF102,1,6)</f>
        <v>0</v>
      </c>
      <c r="AF89" s="97">
        <f>INDEX('[7]PLANILLA YEMI '!Y48:BG102,1,6)</f>
        <v>0</v>
      </c>
      <c r="AG89" s="97">
        <f>INDEX('[7]PLANILLA YEMI '!Z48:BH102,1,6)</f>
        <v>0</v>
      </c>
      <c r="AH89" s="97">
        <f>INDEX('[7]PLANILLA YEMI '!AA48:BI102,1,6)</f>
        <v>0</v>
      </c>
      <c r="AI89" s="97">
        <f>INDEX('[7]PLANILLA YEMI '!AB48:BJ102,1,6)</f>
        <v>0</v>
      </c>
      <c r="AJ89" s="97">
        <f>INDEX('[7]PLANILLA YEMI '!AC48:BK102,1,6)</f>
        <v>0</v>
      </c>
      <c r="AK89" s="97">
        <f>INDEX('[7]PLANILLA YEMI '!AD48:BL102,1,6)</f>
        <v>0</v>
      </c>
      <c r="AL89" s="97">
        <f>INDEX('[7]PLANILLA YEMI '!AE48:BM102,1,6)</f>
        <v>0</v>
      </c>
      <c r="AM89" s="97">
        <f>INDEX('[7]PLANILLA YEMI '!AF48:BN102,1,6)</f>
        <v>0</v>
      </c>
      <c r="AO89" s="116">
        <f t="shared" si="12"/>
        <v>0</v>
      </c>
      <c r="AP89" s="116">
        <f t="shared" si="12"/>
        <v>0</v>
      </c>
      <c r="AQ89" s="116">
        <f t="shared" si="12"/>
        <v>0</v>
      </c>
      <c r="AR89" s="116">
        <f t="shared" si="12"/>
        <v>0</v>
      </c>
      <c r="AS89" s="116">
        <f t="shared" si="12"/>
        <v>0</v>
      </c>
      <c r="AT89" s="116">
        <f t="shared" si="12"/>
        <v>0</v>
      </c>
      <c r="AU89" s="116">
        <f t="shared" si="12"/>
        <v>0</v>
      </c>
      <c r="AV89" s="116">
        <f t="shared" si="12"/>
        <v>0</v>
      </c>
      <c r="AW89" s="116">
        <f t="shared" si="12"/>
        <v>0</v>
      </c>
      <c r="AX89" s="116">
        <f t="shared" si="12"/>
        <v>0</v>
      </c>
      <c r="AY89" s="116">
        <f t="shared" si="12"/>
        <v>0</v>
      </c>
      <c r="AZ89" s="116">
        <f t="shared" si="12"/>
        <v>0</v>
      </c>
      <c r="BA89" s="116">
        <f t="shared" si="12"/>
        <v>21</v>
      </c>
      <c r="BB89" s="117">
        <f t="shared" si="10"/>
        <v>21</v>
      </c>
    </row>
    <row r="90" spans="1:54" ht="32.1" customHeight="1">
      <c r="B90" s="112">
        <v>82</v>
      </c>
      <c r="C90" s="121">
        <f>+'[7]PLANILLA YEMI '!C49</f>
        <v>79449859</v>
      </c>
      <c r="D90" s="122" t="str">
        <f>IFERROR(VLOOKUP($C90,'[7]PLANILLA YEMI '!$C$9:$F$60,2,0),"NO BD")</f>
        <v xml:space="preserve">TORRES ANGEL JOSE MANUEL </v>
      </c>
      <c r="E90" s="123" t="s">
        <v>585</v>
      </c>
      <c r="F90" s="114" t="str">
        <f>IFERROR(VLOOKUP($C90,[7]BD!$B$3:$O$213,3,0),"")</f>
        <v>OPERARIO DE MANTENIMIENTO</v>
      </c>
      <c r="G90" s="124" t="s">
        <v>589</v>
      </c>
      <c r="H90" s="114" t="str">
        <f>IFERROR(VLOOKUP($C90,[7]BD!$B$3:$O$203,14,0),"")</f>
        <v>3143305278</v>
      </c>
      <c r="I90" s="114" t="str">
        <f>IFERROR(VLOOKUP($C90,[7]BD!$B$3:$O$203,4,0),"")</f>
        <v>18/10/2025</v>
      </c>
      <c r="J90" s="97" t="str">
        <f>INDEX('[7]PLANILLA YEMI '!C49:AK103,1,6)</f>
        <v>OK</v>
      </c>
      <c r="K90" s="97" t="str">
        <f>INDEX('[7]PLANILLA YEMI '!D49:AL103,1,6)</f>
        <v>OK</v>
      </c>
      <c r="L90" s="97" t="str">
        <f>INDEX('[7]PLANILLA YEMI '!E49:AM103,1,6)</f>
        <v>OK</v>
      </c>
      <c r="M90" s="97" t="str">
        <f>INDEX('[7]PLANILLA YEMI '!F49:AN103,1,6)</f>
        <v>OK</v>
      </c>
      <c r="N90" s="97" t="str">
        <f>INDEX('[7]PLANILLA YEMI '!G49:AO103,1,6)</f>
        <v>OK</v>
      </c>
      <c r="O90" s="97" t="str">
        <f>INDEX('[7]PLANILLA YEMI '!H49:AP103,1,6)</f>
        <v>OK</v>
      </c>
      <c r="P90" s="97" t="str">
        <f>INDEX('[7]PLANILLA YEMI '!I49:AQ103,1,6)</f>
        <v>OK</v>
      </c>
      <c r="Q90" s="97" t="str">
        <f>INDEX('[7]PLANILLA YEMI '!J49:AR103,1,6)</f>
        <v>OK</v>
      </c>
      <c r="R90" s="97" t="str">
        <f>INDEX('[7]PLANILLA YEMI '!K49:AS103,1,6)</f>
        <v>OK</v>
      </c>
      <c r="S90" s="97" t="str">
        <f>INDEX('[7]PLANILLA YEMI '!L49:AT103,1,6)</f>
        <v>OK</v>
      </c>
      <c r="T90" s="97" t="str">
        <f>INDEX('[7]PLANILLA YEMI '!M49:AU103,1,6)</f>
        <v>OK</v>
      </c>
      <c r="U90" s="97" t="str">
        <f>INDEX('[7]PLANILLA YEMI '!N49:AV103,1,6)</f>
        <v>OK</v>
      </c>
      <c r="V90" s="97" t="str">
        <f>INDEX('[7]PLANILLA YEMI '!O49:AW103,1,6)</f>
        <v>OK</v>
      </c>
      <c r="W90" s="97" t="str">
        <f>INDEX('[7]PLANILLA YEMI '!P49:AX103,1,6)</f>
        <v>OK</v>
      </c>
      <c r="X90" s="97" t="str">
        <f>INDEX('[7]PLANILLA YEMI '!Q49:AY103,1,6)</f>
        <v>OK</v>
      </c>
      <c r="Y90" s="97" t="str">
        <f>INDEX('[7]PLANILLA YEMI '!R49:AZ103,1,6)</f>
        <v>OK</v>
      </c>
      <c r="Z90" s="97" t="str">
        <f>INDEX('[7]PLANILLA YEMI '!S49:BA103,1,6)</f>
        <v>OK</v>
      </c>
      <c r="AA90" s="97" t="str">
        <f>INDEX('[7]PLANILLA YEMI '!T49:BB103,1,6)</f>
        <v>OK</v>
      </c>
      <c r="AB90" s="97" t="str">
        <f>INDEX('[7]PLANILLA YEMI '!U49:BC103,1,6)</f>
        <v>OK</v>
      </c>
      <c r="AC90" s="97" t="str">
        <f>INDEX('[7]PLANILLA YEMI '!V49:BD103,1,6)</f>
        <v>OK</v>
      </c>
      <c r="AD90" s="97" t="str">
        <f>INDEX('[7]PLANILLA YEMI '!W49:BE103,1,6)</f>
        <v>OK</v>
      </c>
      <c r="AE90" s="97">
        <f>INDEX('[7]PLANILLA YEMI '!X49:BF103,1,6)</f>
        <v>0</v>
      </c>
      <c r="AF90" s="97">
        <f>INDEX('[7]PLANILLA YEMI '!Y49:BG103,1,6)</f>
        <v>0</v>
      </c>
      <c r="AG90" s="97">
        <f>INDEX('[7]PLANILLA YEMI '!Z49:BH103,1,6)</f>
        <v>0</v>
      </c>
      <c r="AH90" s="97">
        <f>INDEX('[7]PLANILLA YEMI '!AA49:BI103,1,6)</f>
        <v>0</v>
      </c>
      <c r="AI90" s="97">
        <f>INDEX('[7]PLANILLA YEMI '!AB49:BJ103,1,6)</f>
        <v>0</v>
      </c>
      <c r="AJ90" s="97">
        <f>INDEX('[7]PLANILLA YEMI '!AC49:BK103,1,6)</f>
        <v>0</v>
      </c>
      <c r="AK90" s="97">
        <f>INDEX('[7]PLANILLA YEMI '!AD49:BL103,1,6)</f>
        <v>0</v>
      </c>
      <c r="AL90" s="97">
        <f>INDEX('[7]PLANILLA YEMI '!AE49:BM103,1,6)</f>
        <v>0</v>
      </c>
      <c r="AM90" s="97">
        <f>INDEX('[7]PLANILLA YEMI '!AF49:BN103,1,6)</f>
        <v>0</v>
      </c>
      <c r="AO90" s="116">
        <f t="shared" si="12"/>
        <v>0</v>
      </c>
      <c r="AP90" s="116">
        <f t="shared" si="12"/>
        <v>0</v>
      </c>
      <c r="AQ90" s="116">
        <f t="shared" si="12"/>
        <v>0</v>
      </c>
      <c r="AR90" s="116">
        <f t="shared" si="12"/>
        <v>0</v>
      </c>
      <c r="AS90" s="116">
        <f t="shared" si="12"/>
        <v>0</v>
      </c>
      <c r="AT90" s="116">
        <f t="shared" si="12"/>
        <v>0</v>
      </c>
      <c r="AU90" s="116">
        <f t="shared" si="12"/>
        <v>0</v>
      </c>
      <c r="AV90" s="116">
        <f t="shared" si="12"/>
        <v>0</v>
      </c>
      <c r="AW90" s="116">
        <f t="shared" si="12"/>
        <v>0</v>
      </c>
      <c r="AX90" s="116">
        <f t="shared" si="12"/>
        <v>0</v>
      </c>
      <c r="AY90" s="116">
        <f t="shared" si="12"/>
        <v>0</v>
      </c>
      <c r="AZ90" s="116">
        <f t="shared" si="12"/>
        <v>0</v>
      </c>
      <c r="BA90" s="116">
        <f t="shared" si="12"/>
        <v>21</v>
      </c>
      <c r="BB90" s="117">
        <f t="shared" si="10"/>
        <v>21</v>
      </c>
    </row>
    <row r="91" spans="1:54" ht="32.1" customHeight="1">
      <c r="B91" s="112">
        <v>83</v>
      </c>
      <c r="C91" s="121">
        <f>+'[7]PLANILLA YEMI '!C50</f>
        <v>1111335552</v>
      </c>
      <c r="D91" s="122" t="str">
        <f>IFERROR(VLOOKUP($C91,'[7]PLANILLA YEMI '!$C$9:$F$60,2,0),"NO BD")</f>
        <v xml:space="preserve">RAMIREZ NINO ANDREA  </v>
      </c>
      <c r="E91" s="123" t="s">
        <v>585</v>
      </c>
      <c r="F91" s="114" t="str">
        <f>IFERROR(VLOOKUP($C91,[7]BD!$B$3:$O$213,3,0),"")</f>
        <v>OPERARIA DE ASEO Y CAFETERIA</v>
      </c>
      <c r="G91" s="124" t="s">
        <v>589</v>
      </c>
      <c r="H91" s="114" t="str">
        <f>IFERROR(VLOOKUP($C91,[7]BD!$B$3:$O$203,14,0),"")</f>
        <v>3114415852</v>
      </c>
      <c r="I91" s="114" t="str">
        <f>IFERROR(VLOOKUP($C91,[7]BD!$B$3:$O$203,4,0),"")</f>
        <v>21/10/2025</v>
      </c>
      <c r="J91" s="97" t="str">
        <f>INDEX('[7]PLANILLA YEMI '!C50:AK104,1,6)</f>
        <v>OK</v>
      </c>
      <c r="K91" s="97" t="str">
        <f>INDEX('[7]PLANILLA YEMI '!D50:AL104,1,6)</f>
        <v>OK</v>
      </c>
      <c r="L91" s="97" t="str">
        <f>INDEX('[7]PLANILLA YEMI '!E50:AM104,1,6)</f>
        <v>OK</v>
      </c>
      <c r="M91" s="97" t="str">
        <f>INDEX('[7]PLANILLA YEMI '!F50:AN104,1,6)</f>
        <v>OK</v>
      </c>
      <c r="N91" s="97" t="str">
        <f>INDEX('[7]PLANILLA YEMI '!G50:AO104,1,6)</f>
        <v>OK</v>
      </c>
      <c r="O91" s="97" t="str">
        <f>INDEX('[7]PLANILLA YEMI '!H50:AP104,1,6)</f>
        <v>OK</v>
      </c>
      <c r="P91" s="97" t="str">
        <f>INDEX('[7]PLANILLA YEMI '!I50:AQ104,1,6)</f>
        <v>OK</v>
      </c>
      <c r="Q91" s="97" t="str">
        <f>INDEX('[7]PLANILLA YEMI '!J50:AR104,1,6)</f>
        <v>OK</v>
      </c>
      <c r="R91" s="97" t="str">
        <f>INDEX('[7]PLANILLA YEMI '!K50:AS104,1,6)</f>
        <v>OK</v>
      </c>
      <c r="S91" s="97" t="str">
        <f>INDEX('[7]PLANILLA YEMI '!L50:AT104,1,6)</f>
        <v>OK</v>
      </c>
      <c r="T91" s="97" t="str">
        <f>INDEX('[7]PLANILLA YEMI '!M50:AU104,1,6)</f>
        <v>OK</v>
      </c>
      <c r="U91" s="97" t="str">
        <f>INDEX('[7]PLANILLA YEMI '!N50:AV104,1,6)</f>
        <v>OK</v>
      </c>
      <c r="V91" s="97" t="str">
        <f>INDEX('[7]PLANILLA YEMI '!O50:AW104,1,6)</f>
        <v>OK</v>
      </c>
      <c r="W91" s="97" t="str">
        <f>INDEX('[7]PLANILLA YEMI '!P50:AX104,1,6)</f>
        <v>OK</v>
      </c>
      <c r="X91" s="97" t="str">
        <f>INDEX('[7]PLANILLA YEMI '!Q50:AY104,1,6)</f>
        <v>OK</v>
      </c>
      <c r="Y91" s="97" t="str">
        <f>INDEX('[7]PLANILLA YEMI '!R50:AZ104,1,6)</f>
        <v>OK</v>
      </c>
      <c r="Z91" s="97" t="str">
        <f>INDEX('[7]PLANILLA YEMI '!S50:BA104,1,6)</f>
        <v>OK</v>
      </c>
      <c r="AA91" s="97" t="str">
        <f>INDEX('[7]PLANILLA YEMI '!T50:BB104,1,6)</f>
        <v>OK</v>
      </c>
      <c r="AB91" s="97" t="str">
        <f>INDEX('[7]PLANILLA YEMI '!U50:BC104,1,6)</f>
        <v>OK</v>
      </c>
      <c r="AC91" s="97" t="str">
        <f>INDEX('[7]PLANILLA YEMI '!V50:BD104,1,6)</f>
        <v>OK</v>
      </c>
      <c r="AD91" s="97" t="str">
        <f>INDEX('[7]PLANILLA YEMI '!W50:BE104,1,6)</f>
        <v>OK</v>
      </c>
      <c r="AE91" s="97">
        <f>INDEX('[7]PLANILLA YEMI '!X50:BF104,1,6)</f>
        <v>0</v>
      </c>
      <c r="AF91" s="97">
        <f>INDEX('[7]PLANILLA YEMI '!Y50:BG104,1,6)</f>
        <v>0</v>
      </c>
      <c r="AG91" s="97">
        <f>INDEX('[7]PLANILLA YEMI '!Z50:BH104,1,6)</f>
        <v>0</v>
      </c>
      <c r="AH91" s="97">
        <f>INDEX('[7]PLANILLA YEMI '!AA50:BI104,1,6)</f>
        <v>0</v>
      </c>
      <c r="AI91" s="97">
        <f>INDEX('[7]PLANILLA YEMI '!AB50:BJ104,1,6)</f>
        <v>0</v>
      </c>
      <c r="AJ91" s="97">
        <f>INDEX('[7]PLANILLA YEMI '!AC50:BK104,1,6)</f>
        <v>0</v>
      </c>
      <c r="AK91" s="97">
        <f>INDEX('[7]PLANILLA YEMI '!AD50:BL104,1,6)</f>
        <v>0</v>
      </c>
      <c r="AL91" s="97">
        <f>INDEX('[7]PLANILLA YEMI '!AE50:BM104,1,6)</f>
        <v>0</v>
      </c>
      <c r="AM91" s="97">
        <f>INDEX('[7]PLANILLA YEMI '!AF50:BN104,1,6)</f>
        <v>0</v>
      </c>
      <c r="AO91" s="116">
        <f t="shared" si="12"/>
        <v>0</v>
      </c>
      <c r="AP91" s="116">
        <f t="shared" si="12"/>
        <v>0</v>
      </c>
      <c r="AQ91" s="116">
        <f t="shared" si="12"/>
        <v>0</v>
      </c>
      <c r="AR91" s="116">
        <f t="shared" si="12"/>
        <v>0</v>
      </c>
      <c r="AS91" s="116">
        <f t="shared" si="12"/>
        <v>0</v>
      </c>
      <c r="AT91" s="116">
        <f t="shared" si="12"/>
        <v>0</v>
      </c>
      <c r="AU91" s="116">
        <f t="shared" si="12"/>
        <v>0</v>
      </c>
      <c r="AV91" s="116">
        <f t="shared" si="12"/>
        <v>0</v>
      </c>
      <c r="AW91" s="116">
        <f t="shared" si="12"/>
        <v>0</v>
      </c>
      <c r="AX91" s="116">
        <f t="shared" si="12"/>
        <v>0</v>
      </c>
      <c r="AY91" s="116">
        <f t="shared" si="12"/>
        <v>0</v>
      </c>
      <c r="AZ91" s="116">
        <f t="shared" si="12"/>
        <v>0</v>
      </c>
      <c r="BA91" s="116">
        <f t="shared" si="12"/>
        <v>21</v>
      </c>
      <c r="BB91" s="117">
        <f t="shared" si="10"/>
        <v>21</v>
      </c>
    </row>
    <row r="92" spans="1:54" ht="15.95" customHeight="1">
      <c r="B92" s="112">
        <v>84</v>
      </c>
      <c r="C92" s="121">
        <f>+'[7]PLANILLA YEMI '!C51</f>
        <v>80391453</v>
      </c>
      <c r="D92" s="122" t="str">
        <f>IFERROR(VLOOKUP($C92,'[7]PLANILLA YEMI '!$C$9:$F$60,2,0),"NO BD")</f>
        <v xml:space="preserve">PULIDO GONZALEZ BERTULIO  </v>
      </c>
      <c r="E92" s="123" t="s">
        <v>585</v>
      </c>
      <c r="F92" s="114" t="str">
        <f>IFERROR(VLOOKUP($C92,[7]BD!$B$3:$O$213,3,0),"")</f>
        <v>OPERARIO DE MANTENIMIENTO</v>
      </c>
      <c r="G92" s="124" t="s">
        <v>497</v>
      </c>
      <c r="H92" s="114" t="str">
        <f>IFERROR(VLOOKUP($C92,[7]BD!$B$3:$O$203,14,0),"")</f>
        <v>3124113303</v>
      </c>
      <c r="I92" s="114" t="str">
        <f>IFERROR(VLOOKUP($C92,[7]BD!$B$3:$O$203,4,0),"")</f>
        <v>22/10/2025</v>
      </c>
      <c r="J92" s="97" t="str">
        <f>INDEX('[7]PLANILLA YEMI '!C51:AK105,1,6)</f>
        <v>OK</v>
      </c>
      <c r="K92" s="97" t="str">
        <f>INDEX('[7]PLANILLA YEMI '!D51:AL105,1,6)</f>
        <v>OK</v>
      </c>
      <c r="L92" s="97" t="str">
        <f>INDEX('[7]PLANILLA YEMI '!E51:AM105,1,6)</f>
        <v>OK</v>
      </c>
      <c r="M92" s="97" t="str">
        <f>INDEX('[7]PLANILLA YEMI '!F51:AN105,1,6)</f>
        <v>OK</v>
      </c>
      <c r="N92" s="97" t="str">
        <f>INDEX('[7]PLANILLA YEMI '!G51:AO105,1,6)</f>
        <v>OK</v>
      </c>
      <c r="O92" s="97" t="str">
        <f>INDEX('[7]PLANILLA YEMI '!H51:AP105,1,6)</f>
        <v>OK</v>
      </c>
      <c r="P92" s="97" t="str">
        <f>INDEX('[7]PLANILLA YEMI '!I51:AQ105,1,6)</f>
        <v>OK</v>
      </c>
      <c r="Q92" s="97" t="str">
        <f>INDEX('[7]PLANILLA YEMI '!J51:AR105,1,6)</f>
        <v>OK</v>
      </c>
      <c r="R92" s="97" t="str">
        <f>INDEX('[7]PLANILLA YEMI '!K51:AS105,1,6)</f>
        <v>OK</v>
      </c>
      <c r="S92" s="97" t="str">
        <f>INDEX('[7]PLANILLA YEMI '!L51:AT105,1,6)</f>
        <v>OK</v>
      </c>
      <c r="T92" s="97" t="str">
        <f>INDEX('[7]PLANILLA YEMI '!M51:AU105,1,6)</f>
        <v>OK</v>
      </c>
      <c r="U92" s="97" t="str">
        <f>INDEX('[7]PLANILLA YEMI '!N51:AV105,1,6)</f>
        <v>OK</v>
      </c>
      <c r="V92" s="97" t="str">
        <f>INDEX('[7]PLANILLA YEMI '!O51:AW105,1,6)</f>
        <v>OK</v>
      </c>
      <c r="W92" s="97" t="str">
        <f>INDEX('[7]PLANILLA YEMI '!P51:AX105,1,6)</f>
        <v>OK</v>
      </c>
      <c r="X92" s="97" t="str">
        <f>INDEX('[7]PLANILLA YEMI '!Q51:AY105,1,6)</f>
        <v>OK</v>
      </c>
      <c r="Y92" s="97" t="str">
        <f>INDEX('[7]PLANILLA YEMI '!R51:AZ105,1,6)</f>
        <v>OK</v>
      </c>
      <c r="Z92" s="97" t="str">
        <f>INDEX('[7]PLANILLA YEMI '!S51:BA105,1,6)</f>
        <v>OK</v>
      </c>
      <c r="AA92" s="97" t="str">
        <f>INDEX('[7]PLANILLA YEMI '!T51:BB105,1,6)</f>
        <v>OK</v>
      </c>
      <c r="AB92" s="97" t="str">
        <f>INDEX('[7]PLANILLA YEMI '!U51:BC105,1,6)</f>
        <v>OK</v>
      </c>
      <c r="AC92" s="97" t="str">
        <f>INDEX('[7]PLANILLA YEMI '!V51:BD105,1,6)</f>
        <v>OK</v>
      </c>
      <c r="AD92" s="97" t="str">
        <f>INDEX('[7]PLANILLA YEMI '!W51:BE105,1,6)</f>
        <v>OK</v>
      </c>
      <c r="AE92" s="97">
        <f>INDEX('[7]PLANILLA YEMI '!X51:BF105,1,6)</f>
        <v>0</v>
      </c>
      <c r="AF92" s="97">
        <f>INDEX('[7]PLANILLA YEMI '!Y51:BG105,1,6)</f>
        <v>0</v>
      </c>
      <c r="AG92" s="97">
        <f>INDEX('[7]PLANILLA YEMI '!Z51:BH105,1,6)</f>
        <v>0</v>
      </c>
      <c r="AH92" s="97">
        <f>INDEX('[7]PLANILLA YEMI '!AA51:BI105,1,6)</f>
        <v>0</v>
      </c>
      <c r="AI92" s="97">
        <f>INDEX('[7]PLANILLA YEMI '!AB51:BJ105,1,6)</f>
        <v>0</v>
      </c>
      <c r="AJ92" s="97">
        <f>INDEX('[7]PLANILLA YEMI '!AC51:BK105,1,6)</f>
        <v>0</v>
      </c>
      <c r="AK92" s="97">
        <f>INDEX('[7]PLANILLA YEMI '!AD51:BL105,1,6)</f>
        <v>0</v>
      </c>
      <c r="AL92" s="97">
        <f>INDEX('[7]PLANILLA YEMI '!AE51:BM105,1,6)</f>
        <v>0</v>
      </c>
      <c r="AM92" s="97">
        <f>INDEX('[7]PLANILLA YEMI '!AF51:BN105,1,6)</f>
        <v>0</v>
      </c>
      <c r="AO92" s="116">
        <f t="shared" si="12"/>
        <v>0</v>
      </c>
      <c r="AP92" s="116">
        <f t="shared" si="12"/>
        <v>0</v>
      </c>
      <c r="AQ92" s="116">
        <f t="shared" si="12"/>
        <v>0</v>
      </c>
      <c r="AR92" s="116">
        <f t="shared" si="12"/>
        <v>0</v>
      </c>
      <c r="AS92" s="116">
        <f t="shared" si="12"/>
        <v>0</v>
      </c>
      <c r="AT92" s="116">
        <f t="shared" si="12"/>
        <v>0</v>
      </c>
      <c r="AU92" s="116">
        <f t="shared" si="12"/>
        <v>0</v>
      </c>
      <c r="AV92" s="116">
        <f t="shared" si="12"/>
        <v>0</v>
      </c>
      <c r="AW92" s="116">
        <f t="shared" si="12"/>
        <v>0</v>
      </c>
      <c r="AX92" s="116">
        <f t="shared" si="12"/>
        <v>0</v>
      </c>
      <c r="AY92" s="116">
        <f t="shared" si="12"/>
        <v>0</v>
      </c>
      <c r="AZ92" s="116">
        <f t="shared" si="12"/>
        <v>0</v>
      </c>
      <c r="BA92" s="116">
        <f t="shared" si="12"/>
        <v>21</v>
      </c>
      <c r="BB92" s="117">
        <f t="shared" si="10"/>
        <v>21</v>
      </c>
    </row>
    <row r="93" spans="1:54" ht="15.95" customHeight="1">
      <c r="B93" s="112">
        <v>85</v>
      </c>
      <c r="C93" s="121">
        <f>+'[7]PLANILLA YEMI '!C52</f>
        <v>24716019</v>
      </c>
      <c r="D93" s="122" t="str">
        <f>IFERROR(VLOOKUP($C93,'[7]PLANILLA YEMI '!$C$9:$F$60,2,0),"NO BD")</f>
        <v xml:space="preserve">RUBIO SANCHEZ ALISON  </v>
      </c>
      <c r="E93" s="123" t="s">
        <v>585</v>
      </c>
      <c r="F93" s="114" t="str">
        <f>IFERROR(VLOOKUP($C93,[7]BD!$B$3:$O$213,3,0),"")</f>
        <v>JARDINERO</v>
      </c>
      <c r="G93" s="124" t="s">
        <v>497</v>
      </c>
      <c r="H93" s="114" t="str">
        <f>IFERROR(VLOOKUP($C93,[7]BD!$B$3:$O$203,14,0),"")</f>
        <v>3018506304</v>
      </c>
      <c r="I93" s="114" t="str">
        <f>IFERROR(VLOOKUP($C93,[7]BD!$B$3:$O$203,4,0),"")</f>
        <v>17/12/2025</v>
      </c>
      <c r="J93" s="97" t="str">
        <f>INDEX('[7]PLANILLA YEMI '!C52:AK106,1,6)</f>
        <v>OK</v>
      </c>
      <c r="K93" s="97" t="str">
        <f>INDEX('[7]PLANILLA YEMI '!D52:AL106,1,6)</f>
        <v>OK</v>
      </c>
      <c r="L93" s="97" t="str">
        <f>INDEX('[7]PLANILLA YEMI '!E52:AM106,1,6)</f>
        <v>OK</v>
      </c>
      <c r="M93" s="97" t="str">
        <f>INDEX('[7]PLANILLA YEMI '!F52:AN106,1,6)</f>
        <v>OK</v>
      </c>
      <c r="N93" s="97" t="str">
        <f>INDEX('[7]PLANILLA YEMI '!G52:AO106,1,6)</f>
        <v>OK</v>
      </c>
      <c r="O93" s="97" t="str">
        <f>INDEX('[7]PLANILLA YEMI '!H52:AP106,1,6)</f>
        <v>OK</v>
      </c>
      <c r="P93" s="97" t="str">
        <f>INDEX('[7]PLANILLA YEMI '!I52:AQ106,1,6)</f>
        <v>OK</v>
      </c>
      <c r="Q93" s="97" t="str">
        <f>INDEX('[7]PLANILLA YEMI '!J52:AR106,1,6)</f>
        <v>OK</v>
      </c>
      <c r="R93" s="97" t="str">
        <f>INDEX('[7]PLANILLA YEMI '!K52:AS106,1,6)</f>
        <v>OK</v>
      </c>
      <c r="S93" s="97" t="str">
        <f>INDEX('[7]PLANILLA YEMI '!L52:AT106,1,6)</f>
        <v>OK</v>
      </c>
      <c r="T93" s="97" t="str">
        <f>INDEX('[7]PLANILLA YEMI '!M52:AU106,1,6)</f>
        <v>OK</v>
      </c>
      <c r="U93" s="97" t="str">
        <f>INDEX('[7]PLANILLA YEMI '!N52:AV106,1,6)</f>
        <v>OK</v>
      </c>
      <c r="V93" s="97" t="str">
        <f>INDEX('[7]PLANILLA YEMI '!O52:AW106,1,6)</f>
        <v>OK</v>
      </c>
      <c r="W93" s="97" t="str">
        <f>INDEX('[7]PLANILLA YEMI '!P52:AX106,1,6)</f>
        <v>OK</v>
      </c>
      <c r="X93" s="97" t="str">
        <f>INDEX('[7]PLANILLA YEMI '!Q52:AY106,1,6)</f>
        <v>OK</v>
      </c>
      <c r="Y93" s="97" t="str">
        <f>INDEX('[7]PLANILLA YEMI '!R52:AZ106,1,6)</f>
        <v>OK</v>
      </c>
      <c r="Z93" s="97" t="str">
        <f>INDEX('[7]PLANILLA YEMI '!S52:BA106,1,6)</f>
        <v>OK</v>
      </c>
      <c r="AA93" s="97" t="str">
        <f>INDEX('[7]PLANILLA YEMI '!T52:BB106,1,6)</f>
        <v>OK</v>
      </c>
      <c r="AB93" s="97" t="str">
        <f>INDEX('[7]PLANILLA YEMI '!U52:BC106,1,6)</f>
        <v>OK</v>
      </c>
      <c r="AC93" s="97" t="str">
        <f>INDEX('[7]PLANILLA YEMI '!V52:BD106,1,6)</f>
        <v>OK</v>
      </c>
      <c r="AD93" s="97" t="str">
        <f>INDEX('[7]PLANILLA YEMI '!W52:BE106,1,6)</f>
        <v>OK</v>
      </c>
      <c r="AE93" s="97">
        <f>INDEX('[7]PLANILLA YEMI '!X52:BF106,1,6)</f>
        <v>0</v>
      </c>
      <c r="AF93" s="97">
        <f>INDEX('[7]PLANILLA YEMI '!Y52:BG106,1,6)</f>
        <v>0</v>
      </c>
      <c r="AG93" s="97">
        <f>INDEX('[7]PLANILLA YEMI '!Z52:BH106,1,6)</f>
        <v>0</v>
      </c>
      <c r="AH93" s="97">
        <f>INDEX('[7]PLANILLA YEMI '!AA52:BI106,1,6)</f>
        <v>0</v>
      </c>
      <c r="AI93" s="97">
        <f>INDEX('[7]PLANILLA YEMI '!AB52:BJ106,1,6)</f>
        <v>0</v>
      </c>
      <c r="AJ93" s="97">
        <f>INDEX('[7]PLANILLA YEMI '!AC52:BK106,1,6)</f>
        <v>0</v>
      </c>
      <c r="AK93" s="97">
        <f>INDEX('[7]PLANILLA YEMI '!AD52:BL106,1,6)</f>
        <v>0</v>
      </c>
      <c r="AL93" s="97">
        <f>INDEX('[7]PLANILLA YEMI '!AE52:BM106,1,6)</f>
        <v>0</v>
      </c>
      <c r="AM93" s="97">
        <f>INDEX('[7]PLANILLA YEMI '!AF52:BN106,1,6)</f>
        <v>0</v>
      </c>
      <c r="AO93" s="116">
        <f t="shared" si="12"/>
        <v>0</v>
      </c>
      <c r="AP93" s="116">
        <f t="shared" si="12"/>
        <v>0</v>
      </c>
      <c r="AQ93" s="116">
        <f t="shared" si="12"/>
        <v>0</v>
      </c>
      <c r="AR93" s="116">
        <f t="shared" si="12"/>
        <v>0</v>
      </c>
      <c r="AS93" s="116">
        <f t="shared" si="12"/>
        <v>0</v>
      </c>
      <c r="AT93" s="116">
        <f t="shared" si="12"/>
        <v>0</v>
      </c>
      <c r="AU93" s="116">
        <f t="shared" si="12"/>
        <v>0</v>
      </c>
      <c r="AV93" s="116">
        <f t="shared" si="12"/>
        <v>0</v>
      </c>
      <c r="AW93" s="116">
        <f t="shared" si="12"/>
        <v>0</v>
      </c>
      <c r="AX93" s="116">
        <f t="shared" si="12"/>
        <v>0</v>
      </c>
      <c r="AY93" s="116">
        <f t="shared" si="12"/>
        <v>0</v>
      </c>
      <c r="AZ93" s="116">
        <f t="shared" si="12"/>
        <v>0</v>
      </c>
      <c r="BA93" s="116">
        <f t="shared" si="12"/>
        <v>21</v>
      </c>
      <c r="BB93" s="117">
        <f t="shared" si="10"/>
        <v>21</v>
      </c>
    </row>
    <row r="94" spans="1:54" ht="15.95" customHeight="1">
      <c r="B94" s="112">
        <v>86</v>
      </c>
      <c r="C94" s="121">
        <f>+'[7]PLANILLA YEMI '!C53</f>
        <v>65788478</v>
      </c>
      <c r="D94" s="122" t="str">
        <f>IFERROR(VLOOKUP($C94,'[7]PLANILLA YEMI '!$C$9:$F$60,2,0),"NO BD")</f>
        <v xml:space="preserve">AROCA AROCA ANA ELIZA </v>
      </c>
      <c r="E94" s="123" t="s">
        <v>585</v>
      </c>
      <c r="F94" s="114" t="str">
        <f>IFERROR(VLOOKUP($C94,[7]BD!$B$3:$O$213,3,0),"")</f>
        <v>OPERARIA DE ASEO Y CAFETERIA</v>
      </c>
      <c r="G94" s="124" t="s">
        <v>497</v>
      </c>
      <c r="H94" s="114" t="str">
        <f>IFERROR(VLOOKUP($C94,[7]BD!$B$3:$O$203,14,0),"")</f>
        <v>3114512807</v>
      </c>
      <c r="I94" s="114" t="str">
        <f>IFERROR(VLOOKUP($C94,[7]BD!$B$3:$O$203,4,0),"")</f>
        <v>22/10/2025</v>
      </c>
      <c r="J94" s="97" t="str">
        <f>INDEX('[7]PLANILLA YEMI '!C53:AK107,1,6)</f>
        <v>OK</v>
      </c>
      <c r="K94" s="97" t="str">
        <f>INDEX('[7]PLANILLA YEMI '!D53:AL107,1,6)</f>
        <v>OK</v>
      </c>
      <c r="L94" s="97" t="str">
        <f>INDEX('[7]PLANILLA YEMI '!E53:AM107,1,6)</f>
        <v>OK</v>
      </c>
      <c r="M94" s="97" t="str">
        <f>INDEX('[7]PLANILLA YEMI '!F53:AN107,1,6)</f>
        <v>OK</v>
      </c>
      <c r="N94" s="97" t="str">
        <f>INDEX('[7]PLANILLA YEMI '!G53:AO107,1,6)</f>
        <v>OK</v>
      </c>
      <c r="O94" s="97" t="str">
        <f>INDEX('[7]PLANILLA YEMI '!H53:AP107,1,6)</f>
        <v>OK</v>
      </c>
      <c r="P94" s="97" t="str">
        <f>INDEX('[7]PLANILLA YEMI '!I53:AQ107,1,6)</f>
        <v>OK</v>
      </c>
      <c r="Q94" s="97" t="str">
        <f>INDEX('[7]PLANILLA YEMI '!J53:AR107,1,6)</f>
        <v>OK</v>
      </c>
      <c r="R94" s="97" t="str">
        <f>INDEX('[7]PLANILLA YEMI '!K53:AS107,1,6)</f>
        <v>OK</v>
      </c>
      <c r="S94" s="97" t="str">
        <f>INDEX('[7]PLANILLA YEMI '!L53:AT107,1,6)</f>
        <v>OK</v>
      </c>
      <c r="T94" s="97" t="str">
        <f>INDEX('[7]PLANILLA YEMI '!M53:AU107,1,6)</f>
        <v>OK</v>
      </c>
      <c r="U94" s="97" t="str">
        <f>INDEX('[7]PLANILLA YEMI '!N53:AV107,1,6)</f>
        <v>OK</v>
      </c>
      <c r="V94" s="97" t="str">
        <f>INDEX('[7]PLANILLA YEMI '!O53:AW107,1,6)</f>
        <v>OK</v>
      </c>
      <c r="W94" s="97" t="str">
        <f>INDEX('[7]PLANILLA YEMI '!P53:AX107,1,6)</f>
        <v>OK</v>
      </c>
      <c r="X94" s="97" t="str">
        <f>INDEX('[7]PLANILLA YEMI '!Q53:AY107,1,6)</f>
        <v>OK</v>
      </c>
      <c r="Y94" s="97" t="str">
        <f>INDEX('[7]PLANILLA YEMI '!R53:AZ107,1,6)</f>
        <v>LT</v>
      </c>
      <c r="Z94" s="97" t="str">
        <f>INDEX('[7]PLANILLA YEMI '!S53:BA107,1,6)</f>
        <v>LT</v>
      </c>
      <c r="AA94" s="97" t="str">
        <f>INDEX('[7]PLANILLA YEMI '!T53:BB107,1,6)</f>
        <v>LT</v>
      </c>
      <c r="AB94" s="97" t="str">
        <f>INDEX('[7]PLANILLA YEMI '!U53:BC107,1,6)</f>
        <v>LT</v>
      </c>
      <c r="AC94" s="97" t="str">
        <f>INDEX('[7]PLANILLA YEMI '!V53:BD107,1,6)</f>
        <v>LT</v>
      </c>
      <c r="AD94" s="97" t="str">
        <f>INDEX('[7]PLANILLA YEMI '!W53:BE107,1,6)</f>
        <v>CD</v>
      </c>
      <c r="AE94" s="97">
        <f>INDEX('[7]PLANILLA YEMI '!X53:BF107,1,6)</f>
        <v>0</v>
      </c>
      <c r="AF94" s="97">
        <f>INDEX('[7]PLANILLA YEMI '!Y53:BG107,1,6)</f>
        <v>0</v>
      </c>
      <c r="AG94" s="97">
        <f>INDEX('[7]PLANILLA YEMI '!Z53:BH107,1,6)</f>
        <v>0</v>
      </c>
      <c r="AH94" s="97">
        <f>INDEX('[7]PLANILLA YEMI '!AA53:BI107,1,6)</f>
        <v>0</v>
      </c>
      <c r="AI94" s="97">
        <f>INDEX('[7]PLANILLA YEMI '!AB53:BJ107,1,6)</f>
        <v>0</v>
      </c>
      <c r="AJ94" s="97">
        <f>INDEX('[7]PLANILLA YEMI '!AC53:BK107,1,6)</f>
        <v>0</v>
      </c>
      <c r="AK94" s="97">
        <f>INDEX('[7]PLANILLA YEMI '!AD53:BL107,1,6)</f>
        <v>0</v>
      </c>
      <c r="AL94" s="97">
        <f>INDEX('[7]PLANILLA YEMI '!AE53:BM107,1,6)</f>
        <v>0</v>
      </c>
      <c r="AM94" s="97">
        <f>INDEX('[7]PLANILLA YEMI '!AF53:BN107,1,6)</f>
        <v>0</v>
      </c>
      <c r="AO94" s="116">
        <f t="shared" si="12"/>
        <v>0</v>
      </c>
      <c r="AP94" s="116">
        <f t="shared" si="12"/>
        <v>0</v>
      </c>
      <c r="AQ94" s="116">
        <f t="shared" si="12"/>
        <v>0</v>
      </c>
      <c r="AR94" s="116">
        <f t="shared" si="12"/>
        <v>0</v>
      </c>
      <c r="AS94" s="116">
        <f t="shared" si="12"/>
        <v>0</v>
      </c>
      <c r="AT94" s="116">
        <f t="shared" si="12"/>
        <v>0</v>
      </c>
      <c r="AU94" s="116">
        <f t="shared" si="12"/>
        <v>0</v>
      </c>
      <c r="AV94" s="116">
        <f t="shared" si="12"/>
        <v>1</v>
      </c>
      <c r="AW94" s="116">
        <f t="shared" si="12"/>
        <v>0</v>
      </c>
      <c r="AX94" s="116">
        <f t="shared" si="12"/>
        <v>0</v>
      </c>
      <c r="AY94" s="116">
        <f t="shared" si="12"/>
        <v>5</v>
      </c>
      <c r="AZ94" s="116">
        <f t="shared" si="12"/>
        <v>0</v>
      </c>
      <c r="BA94" s="116">
        <f t="shared" si="12"/>
        <v>15</v>
      </c>
      <c r="BB94" s="117">
        <f t="shared" si="10"/>
        <v>15</v>
      </c>
    </row>
    <row r="95" spans="1:54" ht="15.95" customHeight="1">
      <c r="B95" s="112">
        <v>87</v>
      </c>
      <c r="C95" s="121">
        <f>+'[7]PLANILLA YEMI '!C54</f>
        <v>1023963907</v>
      </c>
      <c r="D95" s="122" t="str">
        <f>IFERROR(VLOOKUP($C95,'[7]PLANILLA YEMI '!$C$9:$F$60,2,0),"NO BD")</f>
        <v xml:space="preserve">HERNANDEZ GRANADOS ASLY TATIANA </v>
      </c>
      <c r="E95" s="123" t="s">
        <v>585</v>
      </c>
      <c r="F95" s="114" t="str">
        <f>IFERROR(VLOOKUP($C95,[7]BD!$B$3:$O$213,3,0),"")</f>
        <v>OPERARIA DE ASEO Y CAFETERIA</v>
      </c>
      <c r="G95" s="124" t="s">
        <v>497</v>
      </c>
      <c r="H95" s="114" t="str">
        <f>IFERROR(VLOOKUP($C95,[7]BD!$B$3:$O$203,14,0),"")</f>
        <v>3219123660</v>
      </c>
      <c r="I95" s="114" t="str">
        <f>IFERROR(VLOOKUP($C95,[7]BD!$B$3:$O$203,4,0),"")</f>
        <v>06/01/2026</v>
      </c>
      <c r="J95" s="97" t="str">
        <f>INDEX('[7]PLANILLA YEMI '!C54:AK108,1,6)</f>
        <v>OK</v>
      </c>
      <c r="K95" s="97" t="str">
        <f>INDEX('[7]PLANILLA YEMI '!D54:AL108,1,6)</f>
        <v>OK</v>
      </c>
      <c r="L95" s="97" t="str">
        <f>INDEX('[7]PLANILLA YEMI '!E54:AM108,1,6)</f>
        <v>OK</v>
      </c>
      <c r="M95" s="97" t="str">
        <f>INDEX('[7]PLANILLA YEMI '!F54:AN108,1,6)</f>
        <v>OK</v>
      </c>
      <c r="N95" s="97" t="str">
        <f>INDEX('[7]PLANILLA YEMI '!G54:AO108,1,6)</f>
        <v>OK</v>
      </c>
      <c r="O95" s="97" t="str">
        <f>INDEX('[7]PLANILLA YEMI '!H54:AP108,1,6)</f>
        <v>OK</v>
      </c>
      <c r="P95" s="97" t="str">
        <f>INDEX('[7]PLANILLA YEMI '!I54:AQ108,1,6)</f>
        <v>OK</v>
      </c>
      <c r="Q95" s="97" t="str">
        <f>INDEX('[7]PLANILLA YEMI '!J54:AR108,1,6)</f>
        <v>OK</v>
      </c>
      <c r="R95" s="97" t="str">
        <f>INDEX('[7]PLANILLA YEMI '!K54:AS108,1,6)</f>
        <v>OK</v>
      </c>
      <c r="S95" s="97" t="str">
        <f>INDEX('[7]PLANILLA YEMI '!L54:AT108,1,6)</f>
        <v>OK</v>
      </c>
      <c r="T95" s="97" t="str">
        <f>INDEX('[7]PLANILLA YEMI '!M54:AU108,1,6)</f>
        <v>OK</v>
      </c>
      <c r="U95" s="97" t="str">
        <f>INDEX('[7]PLANILLA YEMI '!N54:AV108,1,6)</f>
        <v>OK</v>
      </c>
      <c r="V95" s="97" t="str">
        <f>INDEX('[7]PLANILLA YEMI '!O54:AW108,1,6)</f>
        <v>OK</v>
      </c>
      <c r="W95" s="97" t="str">
        <f>INDEX('[7]PLANILLA YEMI '!P54:AX108,1,6)</f>
        <v>OK</v>
      </c>
      <c r="X95" s="97" t="str">
        <f>INDEX('[7]PLANILLA YEMI '!Q54:AY108,1,6)</f>
        <v>OK</v>
      </c>
      <c r="Y95" s="97" t="str">
        <f>INDEX('[7]PLANILLA YEMI '!R54:AZ108,1,6)</f>
        <v>OK</v>
      </c>
      <c r="Z95" s="97" t="str">
        <f>INDEX('[7]PLANILLA YEMI '!S54:BA108,1,6)</f>
        <v>OK</v>
      </c>
      <c r="AA95" s="97" t="str">
        <f>INDEX('[7]PLANILLA YEMI '!T54:BB108,1,6)</f>
        <v>OK</v>
      </c>
      <c r="AB95" s="97" t="str">
        <f>INDEX('[7]PLANILLA YEMI '!U54:BC108,1,6)</f>
        <v>OK</v>
      </c>
      <c r="AC95" s="97" t="str">
        <f>INDEX('[7]PLANILLA YEMI '!V54:BD108,1,6)</f>
        <v>OK</v>
      </c>
      <c r="AD95" s="97" t="str">
        <f>INDEX('[7]PLANILLA YEMI '!W54:BE108,1,6)</f>
        <v>OK</v>
      </c>
      <c r="AE95" s="97">
        <f>INDEX('[7]PLANILLA YEMI '!X54:BF108,1,6)</f>
        <v>0</v>
      </c>
      <c r="AF95" s="97">
        <f>INDEX('[7]PLANILLA YEMI '!Y54:BG108,1,6)</f>
        <v>0</v>
      </c>
      <c r="AG95" s="97">
        <f>INDEX('[7]PLANILLA YEMI '!Z54:BH108,1,6)</f>
        <v>0</v>
      </c>
      <c r="AH95" s="97">
        <f>INDEX('[7]PLANILLA YEMI '!AA54:BI108,1,6)</f>
        <v>0</v>
      </c>
      <c r="AI95" s="97">
        <f>INDEX('[7]PLANILLA YEMI '!AB54:BJ108,1,6)</f>
        <v>0</v>
      </c>
      <c r="AJ95" s="97">
        <f>INDEX('[7]PLANILLA YEMI '!AC54:BK108,1,6)</f>
        <v>0</v>
      </c>
      <c r="AK95" s="97">
        <f>INDEX('[7]PLANILLA YEMI '!AD54:BL108,1,6)</f>
        <v>0</v>
      </c>
      <c r="AL95" s="97">
        <f>INDEX('[7]PLANILLA YEMI '!AE54:BM108,1,6)</f>
        <v>0</v>
      </c>
      <c r="AM95" s="97">
        <f>INDEX('[7]PLANILLA YEMI '!AF54:BN108,1,6)</f>
        <v>0</v>
      </c>
      <c r="AO95" s="116">
        <f t="shared" si="12"/>
        <v>0</v>
      </c>
      <c r="AP95" s="116">
        <f t="shared" si="12"/>
        <v>0</v>
      </c>
      <c r="AQ95" s="116">
        <f t="shared" si="12"/>
        <v>0</v>
      </c>
      <c r="AR95" s="116">
        <f t="shared" si="12"/>
        <v>0</v>
      </c>
      <c r="AS95" s="116">
        <f t="shared" si="12"/>
        <v>0</v>
      </c>
      <c r="AT95" s="116">
        <f t="shared" si="12"/>
        <v>0</v>
      </c>
      <c r="AU95" s="116">
        <f t="shared" si="12"/>
        <v>0</v>
      </c>
      <c r="AV95" s="116">
        <f t="shared" si="12"/>
        <v>0</v>
      </c>
      <c r="AW95" s="116">
        <f t="shared" si="12"/>
        <v>0</v>
      </c>
      <c r="AX95" s="116">
        <f t="shared" si="12"/>
        <v>0</v>
      </c>
      <c r="AY95" s="116">
        <f t="shared" si="12"/>
        <v>0</v>
      </c>
      <c r="AZ95" s="116">
        <f t="shared" si="12"/>
        <v>0</v>
      </c>
      <c r="BA95" s="116">
        <f t="shared" si="12"/>
        <v>21</v>
      </c>
      <c r="BB95" s="117">
        <f t="shared" si="10"/>
        <v>21</v>
      </c>
    </row>
    <row r="96" spans="1:54" ht="15.95" customHeight="1">
      <c r="B96" s="112">
        <v>88</v>
      </c>
      <c r="C96" s="121">
        <f>+'[7]PLANILLA YEMI '!C55</f>
        <v>52937317</v>
      </c>
      <c r="D96" s="122" t="str">
        <f>IFERROR(VLOOKUP($C96,'[7]PLANILLA YEMI '!$C$9:$F$60,2,0),"NO BD")</f>
        <v xml:space="preserve">RODRIGUEZ REYES ELENA YOHANA </v>
      </c>
      <c r="E96" s="123" t="s">
        <v>585</v>
      </c>
      <c r="F96" s="114" t="str">
        <f>IFERROR(VLOOKUP($C96,[7]BD!$B$3:$O$213,3,0),"")</f>
        <v>OPERARIA DE ASEO Y CAFETERIA</v>
      </c>
      <c r="G96" s="124" t="s">
        <v>497</v>
      </c>
      <c r="H96" s="114" t="str">
        <f>IFERROR(VLOOKUP($C96,[7]BD!$B$3:$O$203,14,0),"")</f>
        <v>3134818719</v>
      </c>
      <c r="I96" s="114" t="str">
        <f>IFERROR(VLOOKUP($C96,[7]BD!$B$3:$O$203,4,0),"")</f>
        <v>18/10/2025</v>
      </c>
      <c r="J96" s="97" t="str">
        <f>INDEX('[7]PLANILLA YEMI '!C55:AK109,1,6)</f>
        <v>OK</v>
      </c>
      <c r="K96" s="97" t="str">
        <f>INDEX('[7]PLANILLA YEMI '!D55:AL109,1,6)</f>
        <v>OK</v>
      </c>
      <c r="L96" s="97" t="str">
        <f>INDEX('[7]PLANILLA YEMI '!E55:AM109,1,6)</f>
        <v>OK</v>
      </c>
      <c r="M96" s="97" t="str">
        <f>INDEX('[7]PLANILLA YEMI '!F55:AN109,1,6)</f>
        <v>OK</v>
      </c>
      <c r="N96" s="97" t="str">
        <f>INDEX('[7]PLANILLA YEMI '!G55:AO109,1,6)</f>
        <v>OK</v>
      </c>
      <c r="O96" s="97" t="str">
        <f>INDEX('[7]PLANILLA YEMI '!H55:AP109,1,6)</f>
        <v>OK</v>
      </c>
      <c r="P96" s="97" t="str">
        <f>INDEX('[7]PLANILLA YEMI '!I55:AQ109,1,6)</f>
        <v>OK</v>
      </c>
      <c r="Q96" s="97" t="str">
        <f>INDEX('[7]PLANILLA YEMI '!J55:AR109,1,6)</f>
        <v>OK</v>
      </c>
      <c r="R96" s="97" t="str">
        <f>INDEX('[7]PLANILLA YEMI '!K55:AS109,1,6)</f>
        <v>OK</v>
      </c>
      <c r="S96" s="97" t="str">
        <f>INDEX('[7]PLANILLA YEMI '!L55:AT109,1,6)</f>
        <v>OK</v>
      </c>
      <c r="T96" s="97" t="str">
        <f>INDEX('[7]PLANILLA YEMI '!M55:AU109,1,6)</f>
        <v>OK</v>
      </c>
      <c r="U96" s="97" t="str">
        <f>INDEX('[7]PLANILLA YEMI '!N55:AV109,1,6)</f>
        <v>OK</v>
      </c>
      <c r="V96" s="97" t="str">
        <f>INDEX('[7]PLANILLA YEMI '!O55:AW109,1,6)</f>
        <v>OK</v>
      </c>
      <c r="W96" s="97" t="str">
        <f>INDEX('[7]PLANILLA YEMI '!P55:AX109,1,6)</f>
        <v>OK</v>
      </c>
      <c r="X96" s="97" t="str">
        <f>INDEX('[7]PLANILLA YEMI '!Q55:AY109,1,6)</f>
        <v>OK</v>
      </c>
      <c r="Y96" s="97" t="str">
        <f>INDEX('[7]PLANILLA YEMI '!R55:AZ109,1,6)</f>
        <v>OK</v>
      </c>
      <c r="Z96" s="97" t="str">
        <f>INDEX('[7]PLANILLA YEMI '!S55:BA109,1,6)</f>
        <v>OK</v>
      </c>
      <c r="AA96" s="97" t="str">
        <f>INDEX('[7]PLANILLA YEMI '!T55:BB109,1,6)</f>
        <v>OK</v>
      </c>
      <c r="AB96" s="97" t="str">
        <f>INDEX('[7]PLANILLA YEMI '!U55:BC109,1,6)</f>
        <v>OK</v>
      </c>
      <c r="AC96" s="97" t="str">
        <f>INDEX('[7]PLANILLA YEMI '!V55:BD109,1,6)</f>
        <v>OK</v>
      </c>
      <c r="AD96" s="97" t="str">
        <f>INDEX('[7]PLANILLA YEMI '!W55:BE109,1,6)</f>
        <v>OK</v>
      </c>
      <c r="AE96" s="97">
        <f>INDEX('[7]PLANILLA YEMI '!X55:BF109,1,6)</f>
        <v>0</v>
      </c>
      <c r="AF96" s="97">
        <f>INDEX('[7]PLANILLA YEMI '!Y55:BG109,1,6)</f>
        <v>0</v>
      </c>
      <c r="AG96" s="97">
        <f>INDEX('[7]PLANILLA YEMI '!Z55:BH109,1,6)</f>
        <v>0</v>
      </c>
      <c r="AH96" s="97">
        <f>INDEX('[7]PLANILLA YEMI '!AA55:BI109,1,6)</f>
        <v>0</v>
      </c>
      <c r="AI96" s="97">
        <f>INDEX('[7]PLANILLA YEMI '!AB55:BJ109,1,6)</f>
        <v>0</v>
      </c>
      <c r="AJ96" s="97">
        <f>INDEX('[7]PLANILLA YEMI '!AC55:BK109,1,6)</f>
        <v>0</v>
      </c>
      <c r="AK96" s="97">
        <f>INDEX('[7]PLANILLA YEMI '!AD55:BL109,1,6)</f>
        <v>0</v>
      </c>
      <c r="AL96" s="97">
        <f>INDEX('[7]PLANILLA YEMI '!AE55:BM109,1,6)</f>
        <v>0</v>
      </c>
      <c r="AM96" s="97">
        <f>INDEX('[7]PLANILLA YEMI '!AF55:BN109,1,6)</f>
        <v>0</v>
      </c>
      <c r="AO96" s="116">
        <f t="shared" si="12"/>
        <v>0</v>
      </c>
      <c r="AP96" s="116">
        <f t="shared" si="12"/>
        <v>0</v>
      </c>
      <c r="AQ96" s="116">
        <f t="shared" si="12"/>
        <v>0</v>
      </c>
      <c r="AR96" s="116">
        <f t="shared" si="12"/>
        <v>0</v>
      </c>
      <c r="AS96" s="116">
        <f t="shared" si="12"/>
        <v>0</v>
      </c>
      <c r="AT96" s="116">
        <f t="shared" si="12"/>
        <v>0</v>
      </c>
      <c r="AU96" s="116">
        <f t="shared" si="12"/>
        <v>0</v>
      </c>
      <c r="AV96" s="116">
        <f t="shared" si="12"/>
        <v>0</v>
      </c>
      <c r="AW96" s="116">
        <f t="shared" si="12"/>
        <v>0</v>
      </c>
      <c r="AX96" s="116">
        <f t="shared" si="12"/>
        <v>0</v>
      </c>
      <c r="AY96" s="116">
        <f t="shared" si="12"/>
        <v>0</v>
      </c>
      <c r="AZ96" s="116">
        <f t="shared" si="12"/>
        <v>0</v>
      </c>
      <c r="BA96" s="116">
        <f t="shared" si="12"/>
        <v>21</v>
      </c>
      <c r="BB96" s="117">
        <f t="shared" si="10"/>
        <v>21</v>
      </c>
    </row>
    <row r="97" spans="1:54" ht="15.95" customHeight="1">
      <c r="B97" s="112">
        <v>89</v>
      </c>
      <c r="C97" s="121">
        <f>+'[7]PLANILLA YEMI '!C56</f>
        <v>1050838828</v>
      </c>
      <c r="D97" s="122" t="str">
        <f>IFERROR(VLOOKUP($C97,'[7]PLANILLA YEMI '!$C$9:$F$60,2,0),"NO BD")</f>
        <v xml:space="preserve">GONZALEZ CHACON KARINA  </v>
      </c>
      <c r="E97" s="123" t="s">
        <v>585</v>
      </c>
      <c r="F97" s="114" t="str">
        <f>IFERROR(VLOOKUP($C97,[7]BD!$B$3:$O$213,3,0),"")</f>
        <v>OPERARIA DE ASEO Y CAFETERIA</v>
      </c>
      <c r="G97" s="124" t="s">
        <v>590</v>
      </c>
      <c r="H97" s="114" t="str">
        <f>IFERROR(VLOOKUP($C97,[7]BD!$B$3:$O$203,14,0),"")</f>
        <v>3137051086</v>
      </c>
      <c r="I97" s="114" t="str">
        <f>IFERROR(VLOOKUP($C97,[7]BD!$B$3:$O$203,4,0),"")</f>
        <v>18/10/2025</v>
      </c>
      <c r="J97" s="97" t="str">
        <f>INDEX('[7]PLANILLA YEMI '!C56:AK110,1,6)</f>
        <v>OK</v>
      </c>
      <c r="K97" s="97" t="str">
        <f>INDEX('[7]PLANILLA YEMI '!D56:AL110,1,6)</f>
        <v>OK</v>
      </c>
      <c r="L97" s="97" t="str">
        <f>INDEX('[7]PLANILLA YEMI '!E56:AM110,1,6)</f>
        <v>OK</v>
      </c>
      <c r="M97" s="97" t="str">
        <f>INDEX('[7]PLANILLA YEMI '!F56:AN110,1,6)</f>
        <v>OK</v>
      </c>
      <c r="N97" s="97" t="str">
        <f>INDEX('[7]PLANILLA YEMI '!G56:AO110,1,6)</f>
        <v>OK</v>
      </c>
      <c r="O97" s="97" t="str">
        <f>INDEX('[7]PLANILLA YEMI '!H56:AP110,1,6)</f>
        <v>OK</v>
      </c>
      <c r="P97" s="97" t="str">
        <f>INDEX('[7]PLANILLA YEMI '!I56:AQ110,1,6)</f>
        <v>OK</v>
      </c>
      <c r="Q97" s="97" t="str">
        <f>INDEX('[7]PLANILLA YEMI '!J56:AR110,1,6)</f>
        <v>OK</v>
      </c>
      <c r="R97" s="97" t="str">
        <f>INDEX('[7]PLANILLA YEMI '!K56:AS110,1,6)</f>
        <v>OK</v>
      </c>
      <c r="S97" s="97" t="str">
        <f>INDEX('[7]PLANILLA YEMI '!L56:AT110,1,6)</f>
        <v>OK</v>
      </c>
      <c r="T97" s="97" t="str">
        <f>INDEX('[7]PLANILLA YEMI '!M56:AU110,1,6)</f>
        <v>OK</v>
      </c>
      <c r="U97" s="97" t="str">
        <f>INDEX('[7]PLANILLA YEMI '!N56:AV110,1,6)</f>
        <v>OK</v>
      </c>
      <c r="V97" s="97" t="str">
        <f>INDEX('[7]PLANILLA YEMI '!O56:AW110,1,6)</f>
        <v>OK</v>
      </c>
      <c r="W97" s="97" t="str">
        <f>INDEX('[7]PLANILLA YEMI '!P56:AX110,1,6)</f>
        <v>OK</v>
      </c>
      <c r="X97" s="97" t="str">
        <f>INDEX('[7]PLANILLA YEMI '!Q56:AY110,1,6)</f>
        <v>OK</v>
      </c>
      <c r="Y97" s="97" t="str">
        <f>INDEX('[7]PLANILLA YEMI '!R56:AZ110,1,6)</f>
        <v>OK</v>
      </c>
      <c r="Z97" s="97" t="str">
        <f>INDEX('[7]PLANILLA YEMI '!S56:BA110,1,6)</f>
        <v>OK</v>
      </c>
      <c r="AA97" s="97" t="str">
        <f>INDEX('[7]PLANILLA YEMI '!T56:BB110,1,6)</f>
        <v>OK</v>
      </c>
      <c r="AB97" s="97" t="str">
        <f>INDEX('[7]PLANILLA YEMI '!U56:BC110,1,6)</f>
        <v>OK</v>
      </c>
      <c r="AC97" s="97" t="str">
        <f>INDEX('[7]PLANILLA YEMI '!V56:BD110,1,6)</f>
        <v>OK</v>
      </c>
      <c r="AD97" s="97" t="str">
        <f>INDEX('[7]PLANILLA YEMI '!W56:BE110,1,6)</f>
        <v>OK</v>
      </c>
      <c r="AE97" s="97">
        <f>INDEX('[7]PLANILLA YEMI '!X56:BF110,1,6)</f>
        <v>0</v>
      </c>
      <c r="AF97" s="97">
        <f>INDEX('[7]PLANILLA YEMI '!Y56:BG110,1,6)</f>
        <v>0</v>
      </c>
      <c r="AG97" s="97">
        <f>INDEX('[7]PLANILLA YEMI '!Z56:BH110,1,6)</f>
        <v>0</v>
      </c>
      <c r="AH97" s="97">
        <f>INDEX('[7]PLANILLA YEMI '!AA56:BI110,1,6)</f>
        <v>0</v>
      </c>
      <c r="AI97" s="97">
        <f>INDEX('[7]PLANILLA YEMI '!AB56:BJ110,1,6)</f>
        <v>0</v>
      </c>
      <c r="AJ97" s="97">
        <f>INDEX('[7]PLANILLA YEMI '!AC56:BK110,1,6)</f>
        <v>0</v>
      </c>
      <c r="AK97" s="97">
        <f>INDEX('[7]PLANILLA YEMI '!AD56:BL110,1,6)</f>
        <v>0</v>
      </c>
      <c r="AL97" s="97">
        <f>INDEX('[7]PLANILLA YEMI '!AE56:BM110,1,6)</f>
        <v>0</v>
      </c>
      <c r="AM97" s="97">
        <f>INDEX('[7]PLANILLA YEMI '!AF56:BN110,1,6)</f>
        <v>0</v>
      </c>
      <c r="AO97" s="116">
        <f t="shared" si="12"/>
        <v>0</v>
      </c>
      <c r="AP97" s="116">
        <f t="shared" si="12"/>
        <v>0</v>
      </c>
      <c r="AQ97" s="116">
        <f t="shared" si="12"/>
        <v>0</v>
      </c>
      <c r="AR97" s="116">
        <f t="shared" si="12"/>
        <v>0</v>
      </c>
      <c r="AS97" s="116">
        <f t="shared" si="12"/>
        <v>0</v>
      </c>
      <c r="AT97" s="116">
        <f t="shared" si="12"/>
        <v>0</v>
      </c>
      <c r="AU97" s="116">
        <f t="shared" si="12"/>
        <v>0</v>
      </c>
      <c r="AV97" s="116">
        <f t="shared" si="12"/>
        <v>0</v>
      </c>
      <c r="AW97" s="116">
        <f t="shared" si="12"/>
        <v>0</v>
      </c>
      <c r="AX97" s="116">
        <f t="shared" si="12"/>
        <v>0</v>
      </c>
      <c r="AY97" s="116">
        <f t="shared" si="12"/>
        <v>0</v>
      </c>
      <c r="AZ97" s="116">
        <f t="shared" si="12"/>
        <v>0</v>
      </c>
      <c r="BA97" s="116">
        <f t="shared" si="12"/>
        <v>21</v>
      </c>
      <c r="BB97" s="117">
        <f t="shared" si="10"/>
        <v>21</v>
      </c>
    </row>
    <row r="98" spans="1:54" ht="32.1" customHeight="1">
      <c r="B98" s="112">
        <v>90</v>
      </c>
      <c r="C98" s="121">
        <f>+'[7]PLANILLA YEMI '!C57</f>
        <v>1090491496</v>
      </c>
      <c r="D98" s="122" t="str">
        <f>IFERROR(VLOOKUP($C98,'[7]PLANILLA YEMI '!$C$9:$F$60,2,0),"NO BD")</f>
        <v xml:space="preserve">RINCON MALDONADO LUCENIT ISABEL </v>
      </c>
      <c r="E98" s="123" t="s">
        <v>585</v>
      </c>
      <c r="F98" s="114" t="str">
        <f>IFERROR(VLOOKUP($C98,[7]BD!$B$3:$O$213,3,0),"")</f>
        <v>OPERARIA DE ASEO Y CAFETERIA</v>
      </c>
      <c r="G98" s="124" t="s">
        <v>182</v>
      </c>
      <c r="H98" s="114" t="str">
        <f>IFERROR(VLOOKUP($C98,[7]BD!$B$3:$O$203,14,0),"")</f>
        <v>3118629826</v>
      </c>
      <c r="I98" s="114" t="str">
        <f>IFERROR(VLOOKUP($C98,[7]BD!$B$3:$O$203,4,0),"")</f>
        <v>18/10/2025</v>
      </c>
      <c r="J98" s="97" t="str">
        <f>INDEX('[7]PLANILLA YEMI '!C57:AK111,1,6)</f>
        <v>OK</v>
      </c>
      <c r="K98" s="97" t="str">
        <f>INDEX('[7]PLANILLA YEMI '!D57:AL111,1,6)</f>
        <v>OK</v>
      </c>
      <c r="L98" s="97" t="str">
        <f>INDEX('[7]PLANILLA YEMI '!E57:AM111,1,6)</f>
        <v>OK</v>
      </c>
      <c r="M98" s="97" t="str">
        <f>INDEX('[7]PLANILLA YEMI '!F57:AN111,1,6)</f>
        <v>OK</v>
      </c>
      <c r="N98" s="97" t="str">
        <f>INDEX('[7]PLANILLA YEMI '!G57:AO111,1,6)</f>
        <v>OK</v>
      </c>
      <c r="O98" s="97" t="str">
        <f>INDEX('[7]PLANILLA YEMI '!H57:AP111,1,6)</f>
        <v>OK</v>
      </c>
      <c r="P98" s="97" t="str">
        <f>INDEX('[7]PLANILLA YEMI '!I57:AQ111,1,6)</f>
        <v>OK</v>
      </c>
      <c r="Q98" s="97" t="str">
        <f>INDEX('[7]PLANILLA YEMI '!J57:AR111,1,6)</f>
        <v>OK</v>
      </c>
      <c r="R98" s="97" t="str">
        <f>INDEX('[7]PLANILLA YEMI '!K57:AS111,1,6)</f>
        <v>OK</v>
      </c>
      <c r="S98" s="97" t="str">
        <f>INDEX('[7]PLANILLA YEMI '!L57:AT111,1,6)</f>
        <v>OK</v>
      </c>
      <c r="T98" s="97" t="str">
        <f>INDEX('[7]PLANILLA YEMI '!M57:AU111,1,6)</f>
        <v>OK</v>
      </c>
      <c r="U98" s="97" t="str">
        <f>INDEX('[7]PLANILLA YEMI '!N57:AV111,1,6)</f>
        <v>OK</v>
      </c>
      <c r="V98" s="97" t="str">
        <f>INDEX('[7]PLANILLA YEMI '!O57:AW111,1,6)</f>
        <v>OK</v>
      </c>
      <c r="W98" s="97" t="str">
        <f>INDEX('[7]PLANILLA YEMI '!P57:AX111,1,6)</f>
        <v>OK</v>
      </c>
      <c r="X98" s="97" t="str">
        <f>INDEX('[7]PLANILLA YEMI '!Q57:AY111,1,6)</f>
        <v>OK</v>
      </c>
      <c r="Y98" s="97" t="str">
        <f>INDEX('[7]PLANILLA YEMI '!R57:AZ111,1,6)</f>
        <v>OK</v>
      </c>
      <c r="Z98" s="97" t="str">
        <f>INDEX('[7]PLANILLA YEMI '!S57:BA111,1,6)</f>
        <v>OK</v>
      </c>
      <c r="AA98" s="97" t="str">
        <f>INDEX('[7]PLANILLA YEMI '!T57:BB111,1,6)</f>
        <v>OK</v>
      </c>
      <c r="AB98" s="97" t="str">
        <f>INDEX('[7]PLANILLA YEMI '!U57:BC111,1,6)</f>
        <v>OK</v>
      </c>
      <c r="AC98" s="97" t="str">
        <f>INDEX('[7]PLANILLA YEMI '!V57:BD111,1,6)</f>
        <v>OK</v>
      </c>
      <c r="AD98" s="97" t="str">
        <f>INDEX('[7]PLANILLA YEMI '!W57:BE111,1,6)</f>
        <v>OK</v>
      </c>
      <c r="AE98" s="97">
        <f>INDEX('[7]PLANILLA YEMI '!X57:BF111,1,6)</f>
        <v>0</v>
      </c>
      <c r="AF98" s="97">
        <f>INDEX('[7]PLANILLA YEMI '!Y57:BG111,1,6)</f>
        <v>0</v>
      </c>
      <c r="AG98" s="97">
        <f>INDEX('[7]PLANILLA YEMI '!Z57:BH111,1,6)</f>
        <v>0</v>
      </c>
      <c r="AH98" s="97">
        <f>INDEX('[7]PLANILLA YEMI '!AA57:BI111,1,6)</f>
        <v>0</v>
      </c>
      <c r="AI98" s="97">
        <f>INDEX('[7]PLANILLA YEMI '!AB57:BJ111,1,6)</f>
        <v>0</v>
      </c>
      <c r="AJ98" s="97">
        <f>INDEX('[7]PLANILLA YEMI '!AC57:BK111,1,6)</f>
        <v>0</v>
      </c>
      <c r="AK98" s="97">
        <f>INDEX('[7]PLANILLA YEMI '!AD57:BL111,1,6)</f>
        <v>0</v>
      </c>
      <c r="AL98" s="97">
        <f>INDEX('[7]PLANILLA YEMI '!AE57:BM111,1,6)</f>
        <v>0</v>
      </c>
      <c r="AM98" s="97">
        <f>INDEX('[7]PLANILLA YEMI '!AF57:BN111,1,6)</f>
        <v>0</v>
      </c>
      <c r="AO98" s="116">
        <f t="shared" si="12"/>
        <v>0</v>
      </c>
      <c r="AP98" s="116">
        <f t="shared" si="12"/>
        <v>0</v>
      </c>
      <c r="AQ98" s="116">
        <f t="shared" si="12"/>
        <v>0</v>
      </c>
      <c r="AR98" s="116">
        <f t="shared" si="12"/>
        <v>0</v>
      </c>
      <c r="AS98" s="116">
        <f t="shared" si="12"/>
        <v>0</v>
      </c>
      <c r="AT98" s="116">
        <f t="shared" si="12"/>
        <v>0</v>
      </c>
      <c r="AU98" s="116">
        <f t="shared" si="12"/>
        <v>0</v>
      </c>
      <c r="AV98" s="116">
        <f t="shared" si="12"/>
        <v>0</v>
      </c>
      <c r="AW98" s="116">
        <f t="shared" si="12"/>
        <v>0</v>
      </c>
      <c r="AX98" s="116">
        <f t="shared" si="12"/>
        <v>0</v>
      </c>
      <c r="AY98" s="116">
        <f t="shared" si="12"/>
        <v>0</v>
      </c>
      <c r="AZ98" s="116">
        <f t="shared" si="12"/>
        <v>0</v>
      </c>
      <c r="BA98" s="116">
        <f t="shared" si="12"/>
        <v>21</v>
      </c>
      <c r="BB98" s="117">
        <f t="shared" si="10"/>
        <v>21</v>
      </c>
    </row>
    <row r="99" spans="1:54" ht="32.1" customHeight="1">
      <c r="B99" s="112">
        <v>91</v>
      </c>
      <c r="C99" s="121">
        <f>+'[7]PLANILLA YEMI '!C58</f>
        <v>52317516</v>
      </c>
      <c r="D99" s="122" t="str">
        <f>IFERROR(VLOOKUP($C99,'[7]PLANILLA YEMI '!$C$9:$F$60,2,0),"NO BD")</f>
        <v xml:space="preserve">MARTINEZ CICHACA JOSEFINA  </v>
      </c>
      <c r="E99" s="123" t="s">
        <v>585</v>
      </c>
      <c r="F99" s="114" t="str">
        <f>IFERROR(VLOOKUP($C99,[7]BD!$B$3:$O$213,3,0),"")</f>
        <v>OPERARIA DE ASEO Y CAFETERIA</v>
      </c>
      <c r="G99" s="124" t="s">
        <v>182</v>
      </c>
      <c r="H99" s="114" t="str">
        <f>IFERROR(VLOOKUP($C99,[7]BD!$B$3:$O$203,14,0),"")</f>
        <v>3112226086</v>
      </c>
      <c r="I99" s="114" t="str">
        <f>IFERROR(VLOOKUP($C99,[7]BD!$B$3:$O$203,4,0),"")</f>
        <v>18/10/2025</v>
      </c>
      <c r="J99" s="97" t="str">
        <f>INDEX('[7]PLANILLA YEMI '!C58:AK112,1,6)</f>
        <v>OK</v>
      </c>
      <c r="K99" s="97" t="str">
        <f>INDEX('[7]PLANILLA YEMI '!D58:AL112,1,6)</f>
        <v>OK</v>
      </c>
      <c r="L99" s="97" t="str">
        <f>INDEX('[7]PLANILLA YEMI '!E58:AM112,1,6)</f>
        <v>OK</v>
      </c>
      <c r="M99" s="97" t="str">
        <f>INDEX('[7]PLANILLA YEMI '!F58:AN112,1,6)</f>
        <v>OK</v>
      </c>
      <c r="N99" s="97" t="str">
        <f>INDEX('[7]PLANILLA YEMI '!G58:AO112,1,6)</f>
        <v>OK</v>
      </c>
      <c r="O99" s="97" t="str">
        <f>INDEX('[7]PLANILLA YEMI '!H58:AP112,1,6)</f>
        <v>OK</v>
      </c>
      <c r="P99" s="97" t="str">
        <f>INDEX('[7]PLANILLA YEMI '!I58:AQ112,1,6)</f>
        <v>OK</v>
      </c>
      <c r="Q99" s="97" t="str">
        <f>INDEX('[7]PLANILLA YEMI '!J58:AR112,1,6)</f>
        <v>OK</v>
      </c>
      <c r="R99" s="97" t="str">
        <f>INDEX('[7]PLANILLA YEMI '!K58:AS112,1,6)</f>
        <v>OK</v>
      </c>
      <c r="S99" s="97" t="str">
        <f>INDEX('[7]PLANILLA YEMI '!L58:AT112,1,6)</f>
        <v>OK</v>
      </c>
      <c r="T99" s="97" t="str">
        <f>INDEX('[7]PLANILLA YEMI '!M58:AU112,1,6)</f>
        <v>OK</v>
      </c>
      <c r="U99" s="97" t="str">
        <f>INDEX('[7]PLANILLA YEMI '!N58:AV112,1,6)</f>
        <v>OK</v>
      </c>
      <c r="V99" s="97" t="str">
        <f>INDEX('[7]PLANILLA YEMI '!O58:AW112,1,6)</f>
        <v>OK</v>
      </c>
      <c r="W99" s="97" t="str">
        <f>INDEX('[7]PLANILLA YEMI '!P58:AX112,1,6)</f>
        <v>OK</v>
      </c>
      <c r="X99" s="97" t="str">
        <f>INDEX('[7]PLANILLA YEMI '!Q58:AY112,1,6)</f>
        <v>OK</v>
      </c>
      <c r="Y99" s="97" t="str">
        <f>INDEX('[7]PLANILLA YEMI '!R58:AZ112,1,6)</f>
        <v>OK</v>
      </c>
      <c r="Z99" s="97" t="str">
        <f>INDEX('[7]PLANILLA YEMI '!S58:BA112,1,6)</f>
        <v>OK</v>
      </c>
      <c r="AA99" s="97" t="str">
        <f>INDEX('[7]PLANILLA YEMI '!T58:BB112,1,6)</f>
        <v>OK</v>
      </c>
      <c r="AB99" s="97" t="str">
        <f>INDEX('[7]PLANILLA YEMI '!U58:BC112,1,6)</f>
        <v>OK</v>
      </c>
      <c r="AC99" s="97" t="str">
        <f>INDEX('[7]PLANILLA YEMI '!V58:BD112,1,6)</f>
        <v>OK</v>
      </c>
      <c r="AD99" s="97" t="str">
        <f>INDEX('[7]PLANILLA YEMI '!W58:BE112,1,6)</f>
        <v>OK</v>
      </c>
      <c r="AE99" s="97">
        <f>INDEX('[7]PLANILLA YEMI '!X58:BF112,1,6)</f>
        <v>0</v>
      </c>
      <c r="AF99" s="97">
        <f>INDEX('[7]PLANILLA YEMI '!Y58:BG112,1,6)</f>
        <v>0</v>
      </c>
      <c r="AG99" s="97">
        <f>INDEX('[7]PLANILLA YEMI '!Z58:BH112,1,6)</f>
        <v>0</v>
      </c>
      <c r="AH99" s="97">
        <f>INDEX('[7]PLANILLA YEMI '!AA58:BI112,1,6)</f>
        <v>0</v>
      </c>
      <c r="AI99" s="97">
        <f>INDEX('[7]PLANILLA YEMI '!AB58:BJ112,1,6)</f>
        <v>0</v>
      </c>
      <c r="AJ99" s="97">
        <f>INDEX('[7]PLANILLA YEMI '!AC58:BK112,1,6)</f>
        <v>0</v>
      </c>
      <c r="AK99" s="97">
        <f>INDEX('[7]PLANILLA YEMI '!AD58:BL112,1,6)</f>
        <v>0</v>
      </c>
      <c r="AL99" s="97">
        <f>INDEX('[7]PLANILLA YEMI '!AE58:BM112,1,6)</f>
        <v>0</v>
      </c>
      <c r="AM99" s="97">
        <f>INDEX('[7]PLANILLA YEMI '!AF58:BN112,1,6)</f>
        <v>0</v>
      </c>
      <c r="AO99" s="116">
        <f t="shared" si="12"/>
        <v>0</v>
      </c>
      <c r="AP99" s="116">
        <f t="shared" si="12"/>
        <v>0</v>
      </c>
      <c r="AQ99" s="116">
        <f t="shared" si="12"/>
        <v>0</v>
      </c>
      <c r="AR99" s="116">
        <f t="shared" si="12"/>
        <v>0</v>
      </c>
      <c r="AS99" s="116">
        <f t="shared" si="12"/>
        <v>0</v>
      </c>
      <c r="AT99" s="116">
        <f t="shared" si="12"/>
        <v>0</v>
      </c>
      <c r="AU99" s="116">
        <f t="shared" si="12"/>
        <v>0</v>
      </c>
      <c r="AV99" s="116">
        <f t="shared" si="12"/>
        <v>0</v>
      </c>
      <c r="AW99" s="116">
        <f t="shared" si="12"/>
        <v>0</v>
      </c>
      <c r="AX99" s="116">
        <f t="shared" si="12"/>
        <v>0</v>
      </c>
      <c r="AY99" s="116">
        <f t="shared" si="12"/>
        <v>0</v>
      </c>
      <c r="AZ99" s="116">
        <f t="shared" si="12"/>
        <v>0</v>
      </c>
      <c r="BA99" s="116">
        <f t="shared" si="12"/>
        <v>21</v>
      </c>
      <c r="BB99" s="117">
        <f t="shared" si="10"/>
        <v>21</v>
      </c>
    </row>
    <row r="100" spans="1:54" ht="15.95" customHeight="1">
      <c r="B100" s="112">
        <v>92</v>
      </c>
      <c r="C100" s="121">
        <f>+'[7]PLANILLA YEMI '!C59</f>
        <v>28868060</v>
      </c>
      <c r="D100" s="122" t="str">
        <f>IFERROR(VLOOKUP($C100,'[7]PLANILLA YEMI '!$C$9:$F$60,2,0),"NO BD")</f>
        <v xml:space="preserve">MONTIEL MENDEZ ANA MARIA </v>
      </c>
      <c r="E100" s="123" t="s">
        <v>585</v>
      </c>
      <c r="F100" s="114" t="str">
        <f>IFERROR(VLOOKUP($C100,[7]BD!$B$3:$O$213,3,0),"")</f>
        <v>OPERARIA DE ASEO Y CAFETERIA</v>
      </c>
      <c r="G100" s="124" t="s">
        <v>591</v>
      </c>
      <c r="H100" s="114" t="str">
        <f>IFERROR(VLOOKUP($C100,[7]BD!$B$3:$O$203,14,0),"")</f>
        <v>3123627867</v>
      </c>
      <c r="I100" s="114" t="str">
        <f>IFERROR(VLOOKUP($C100,[7]BD!$B$3:$O$203,4,0),"")</f>
        <v>24/03/2026</v>
      </c>
      <c r="J100" s="97" t="str">
        <f>INDEX('[7]PLANILLA YEMI '!C59:AK113,1,6)</f>
        <v>OK</v>
      </c>
      <c r="K100" s="97" t="str">
        <f>INDEX('[7]PLANILLA YEMI '!D59:AL113,1,6)</f>
        <v>OK</v>
      </c>
      <c r="L100" s="97" t="str">
        <f>INDEX('[7]PLANILLA YEMI '!E59:AM113,1,6)</f>
        <v>OK</v>
      </c>
      <c r="M100" s="97" t="str">
        <f>INDEX('[7]PLANILLA YEMI '!F59:AN113,1,6)</f>
        <v>OK</v>
      </c>
      <c r="N100" s="97" t="str">
        <f>INDEX('[7]PLANILLA YEMI '!G59:AO113,1,6)</f>
        <v>OK</v>
      </c>
      <c r="O100" s="97" t="str">
        <f>INDEX('[7]PLANILLA YEMI '!H59:AP113,1,6)</f>
        <v>OK</v>
      </c>
      <c r="P100" s="97" t="str">
        <f>INDEX('[7]PLANILLA YEMI '!I59:AQ113,1,6)</f>
        <v>OK</v>
      </c>
      <c r="Q100" s="97" t="str">
        <f>INDEX('[7]PLANILLA YEMI '!J59:AR113,1,6)</f>
        <v>OK</v>
      </c>
      <c r="R100" s="97" t="str">
        <f>INDEX('[7]PLANILLA YEMI '!K59:AS113,1,6)</f>
        <v>OK</v>
      </c>
      <c r="S100" s="97" t="str">
        <f>INDEX('[7]PLANILLA YEMI '!L59:AT113,1,6)</f>
        <v>OK</v>
      </c>
      <c r="T100" s="97" t="str">
        <f>INDEX('[7]PLANILLA YEMI '!M59:AU113,1,6)</f>
        <v>OK</v>
      </c>
      <c r="U100" s="97" t="str">
        <f>INDEX('[7]PLANILLA YEMI '!N59:AV113,1,6)</f>
        <v>OK</v>
      </c>
      <c r="V100" s="97" t="str">
        <f>INDEX('[7]PLANILLA YEMI '!O59:AW113,1,6)</f>
        <v>OK</v>
      </c>
      <c r="W100" s="97" t="str">
        <f>INDEX('[7]PLANILLA YEMI '!P59:AX113,1,6)</f>
        <v>OK</v>
      </c>
      <c r="X100" s="97" t="str">
        <f>INDEX('[7]PLANILLA YEMI '!Q59:AY113,1,6)</f>
        <v>OK</v>
      </c>
      <c r="Y100" s="97" t="str">
        <f>INDEX('[7]PLANILLA YEMI '!R59:AZ113,1,6)</f>
        <v>OK</v>
      </c>
      <c r="Z100" s="97" t="str">
        <f>INDEX('[7]PLANILLA YEMI '!S59:BA113,1,6)</f>
        <v>OK</v>
      </c>
      <c r="AA100" s="97" t="str">
        <f>INDEX('[7]PLANILLA YEMI '!T59:BB113,1,6)</f>
        <v>OK</v>
      </c>
      <c r="AB100" s="97" t="str">
        <f>INDEX('[7]PLANILLA YEMI '!U59:BC113,1,6)</f>
        <v>OK</v>
      </c>
      <c r="AC100" s="97" t="str">
        <f>INDEX('[7]PLANILLA YEMI '!V59:BD113,1,6)</f>
        <v>OK</v>
      </c>
      <c r="AD100" s="97" t="str">
        <f>INDEX('[7]PLANILLA YEMI '!W59:BE113,1,6)</f>
        <v>OK</v>
      </c>
      <c r="AE100" s="97">
        <f>INDEX('[7]PLANILLA YEMI '!X59:BF113,1,6)</f>
        <v>0</v>
      </c>
      <c r="AF100" s="97">
        <f>INDEX('[7]PLANILLA YEMI '!Y59:BG113,1,6)</f>
        <v>0</v>
      </c>
      <c r="AG100" s="97">
        <f>INDEX('[7]PLANILLA YEMI '!Z59:BH113,1,6)</f>
        <v>0</v>
      </c>
      <c r="AH100" s="97">
        <f>INDEX('[7]PLANILLA YEMI '!AA59:BI113,1,6)</f>
        <v>0</v>
      </c>
      <c r="AI100" s="97">
        <f>INDEX('[7]PLANILLA YEMI '!AB59:BJ113,1,6)</f>
        <v>0</v>
      </c>
      <c r="AJ100" s="97">
        <f>INDEX('[7]PLANILLA YEMI '!AC59:BK113,1,6)</f>
        <v>0</v>
      </c>
      <c r="AK100" s="97">
        <f>INDEX('[7]PLANILLA YEMI '!AD59:BL113,1,6)</f>
        <v>0</v>
      </c>
      <c r="AL100" s="97">
        <f>INDEX('[7]PLANILLA YEMI '!AE59:BM113,1,6)</f>
        <v>0</v>
      </c>
      <c r="AM100" s="97">
        <f>INDEX('[7]PLANILLA YEMI '!AF59:BN113,1,6)</f>
        <v>0</v>
      </c>
      <c r="AO100" s="116">
        <f t="shared" si="12"/>
        <v>0</v>
      </c>
      <c r="AP100" s="116">
        <f t="shared" si="12"/>
        <v>0</v>
      </c>
      <c r="AQ100" s="116">
        <f t="shared" si="12"/>
        <v>0</v>
      </c>
      <c r="AR100" s="116">
        <f t="shared" si="12"/>
        <v>0</v>
      </c>
      <c r="AS100" s="116">
        <f t="shared" si="12"/>
        <v>0</v>
      </c>
      <c r="AT100" s="116">
        <f t="shared" si="12"/>
        <v>0</v>
      </c>
      <c r="AU100" s="116">
        <f t="shared" si="12"/>
        <v>0</v>
      </c>
      <c r="AV100" s="116">
        <f t="shared" si="12"/>
        <v>0</v>
      </c>
      <c r="AW100" s="116">
        <f t="shared" si="12"/>
        <v>0</v>
      </c>
      <c r="AX100" s="116">
        <f t="shared" si="12"/>
        <v>0</v>
      </c>
      <c r="AY100" s="116">
        <f t="shared" si="12"/>
        <v>0</v>
      </c>
      <c r="AZ100" s="116">
        <f t="shared" si="12"/>
        <v>0</v>
      </c>
      <c r="BA100" s="116">
        <f t="shared" si="12"/>
        <v>21</v>
      </c>
      <c r="BB100" s="117">
        <f t="shared" si="10"/>
        <v>21</v>
      </c>
    </row>
    <row r="101" spans="1:54" ht="15.95" customHeight="1">
      <c r="B101" s="112">
        <v>93</v>
      </c>
      <c r="C101" s="121">
        <f>+'[7]PLANILLA YEMI '!C60</f>
        <v>53093292</v>
      </c>
      <c r="D101" s="122" t="str">
        <f>IFERROR(VLOOKUP($C101,'[7]PLANILLA YEMI '!$C$9:$F$60,2,0),"NO BD")</f>
        <v xml:space="preserve">MORENO MELO YEIMI CATALINA </v>
      </c>
      <c r="E101" s="123" t="s">
        <v>585</v>
      </c>
      <c r="F101" s="114" t="str">
        <f>IFERROR(VLOOKUP($C101,[7]BD!$B$3:$O$213,3,0),"")</f>
        <v>SUPERVISOR</v>
      </c>
      <c r="G101" s="124" t="s">
        <v>483</v>
      </c>
      <c r="H101" s="114" t="str">
        <f>IFERROR(VLOOKUP($C101,[7]BD!$B$3:$O$203,14,0),"")</f>
        <v>3133337120</v>
      </c>
      <c r="I101" s="114" t="str">
        <f>IFERROR(VLOOKUP($C101,[7]BD!$B$3:$O$203,4,0),"")</f>
        <v>27/10/2025</v>
      </c>
      <c r="J101" s="97" t="str">
        <f>INDEX('[7]PLANILLA YEMI '!C60:AK114,1,6)</f>
        <v>OK</v>
      </c>
      <c r="K101" s="97" t="str">
        <f>INDEX('[7]PLANILLA YEMI '!D60:AL114,1,6)</f>
        <v>OK</v>
      </c>
      <c r="L101" s="97" t="str">
        <f>INDEX('[7]PLANILLA YEMI '!E60:AM114,1,6)</f>
        <v>OK</v>
      </c>
      <c r="M101" s="97" t="str">
        <f>INDEX('[7]PLANILLA YEMI '!F60:AN114,1,6)</f>
        <v>OK</v>
      </c>
      <c r="N101" s="97" t="str">
        <f>INDEX('[7]PLANILLA YEMI '!G60:AO114,1,6)</f>
        <v>OK</v>
      </c>
      <c r="O101" s="97" t="str">
        <f>INDEX('[7]PLANILLA YEMI '!H60:AP114,1,6)</f>
        <v>OK</v>
      </c>
      <c r="P101" s="97" t="str">
        <f>INDEX('[7]PLANILLA YEMI '!I60:AQ114,1,6)</f>
        <v>OK</v>
      </c>
      <c r="Q101" s="97" t="str">
        <f>INDEX('[7]PLANILLA YEMI '!J60:AR114,1,6)</f>
        <v>OK</v>
      </c>
      <c r="R101" s="97" t="str">
        <f>INDEX('[7]PLANILLA YEMI '!K60:AS114,1,6)</f>
        <v>OK</v>
      </c>
      <c r="S101" s="97" t="str">
        <f>INDEX('[7]PLANILLA YEMI '!L60:AT114,1,6)</f>
        <v>OK</v>
      </c>
      <c r="T101" s="97" t="str">
        <f>INDEX('[7]PLANILLA YEMI '!M60:AU114,1,6)</f>
        <v>OK</v>
      </c>
      <c r="U101" s="97" t="str">
        <f>INDEX('[7]PLANILLA YEMI '!N60:AV114,1,6)</f>
        <v>OK</v>
      </c>
      <c r="V101" s="97" t="str">
        <f>INDEX('[7]PLANILLA YEMI '!O60:AW114,1,6)</f>
        <v>OK</v>
      </c>
      <c r="W101" s="97" t="str">
        <f>INDEX('[7]PLANILLA YEMI '!P60:AX114,1,6)</f>
        <v>OK</v>
      </c>
      <c r="X101" s="97" t="str">
        <f>INDEX('[7]PLANILLA YEMI '!Q60:AY114,1,6)</f>
        <v>OK</v>
      </c>
      <c r="Y101" s="97" t="str">
        <f>INDEX('[7]PLANILLA YEMI '!R60:AZ114,1,6)</f>
        <v>OK</v>
      </c>
      <c r="Z101" s="97" t="str">
        <f>INDEX('[7]PLANILLA YEMI '!S60:BA114,1,6)</f>
        <v>OK</v>
      </c>
      <c r="AA101" s="97" t="str">
        <f>INDEX('[7]PLANILLA YEMI '!T60:BB114,1,6)</f>
        <v>OK</v>
      </c>
      <c r="AB101" s="97" t="str">
        <f>INDEX('[7]PLANILLA YEMI '!U60:BC114,1,6)</f>
        <v>OK</v>
      </c>
      <c r="AC101" s="97" t="str">
        <f>INDEX('[7]PLANILLA YEMI '!V60:BD114,1,6)</f>
        <v>OK</v>
      </c>
      <c r="AD101" s="97" t="str">
        <f>INDEX('[7]PLANILLA YEMI '!W60:BE114,1,6)</f>
        <v>OK</v>
      </c>
      <c r="AE101" s="97">
        <f>INDEX('[7]PLANILLA YEMI '!X60:BF114,1,6)</f>
        <v>0</v>
      </c>
      <c r="AF101" s="97">
        <f>INDEX('[7]PLANILLA YEMI '!Y60:BG114,1,6)</f>
        <v>0</v>
      </c>
      <c r="AG101" s="97">
        <f>INDEX('[7]PLANILLA YEMI '!Z60:BH114,1,6)</f>
        <v>0</v>
      </c>
      <c r="AH101" s="97">
        <f>INDEX('[7]PLANILLA YEMI '!AA60:BI114,1,6)</f>
        <v>0</v>
      </c>
      <c r="AI101" s="97">
        <f>INDEX('[7]PLANILLA YEMI '!AB60:BJ114,1,6)</f>
        <v>0</v>
      </c>
      <c r="AJ101" s="97">
        <f>INDEX('[7]PLANILLA YEMI '!AC60:BK114,1,6)</f>
        <v>0</v>
      </c>
      <c r="AK101" s="97">
        <f>INDEX('[7]PLANILLA YEMI '!AD60:BL114,1,6)</f>
        <v>0</v>
      </c>
      <c r="AL101" s="97">
        <f>INDEX('[7]PLANILLA YEMI '!AE60:BM114,1,6)</f>
        <v>0</v>
      </c>
      <c r="AM101" s="97">
        <f>INDEX('[7]PLANILLA YEMI '!AF60:BN114,1,6)</f>
        <v>0</v>
      </c>
      <c r="AO101" s="116">
        <f t="shared" si="12"/>
        <v>0</v>
      </c>
      <c r="AP101" s="116">
        <f t="shared" si="12"/>
        <v>0</v>
      </c>
      <c r="AQ101" s="116">
        <f t="shared" si="12"/>
        <v>0</v>
      </c>
      <c r="AR101" s="116">
        <f t="shared" si="12"/>
        <v>0</v>
      </c>
      <c r="AS101" s="116">
        <f t="shared" si="12"/>
        <v>0</v>
      </c>
      <c r="AT101" s="116">
        <f t="shared" si="12"/>
        <v>0</v>
      </c>
      <c r="AU101" s="116">
        <f t="shared" si="12"/>
        <v>0</v>
      </c>
      <c r="AV101" s="116">
        <f t="shared" si="12"/>
        <v>0</v>
      </c>
      <c r="AW101" s="116">
        <f t="shared" si="12"/>
        <v>0</v>
      </c>
      <c r="AX101" s="116">
        <f t="shared" si="12"/>
        <v>0</v>
      </c>
      <c r="AY101" s="116">
        <f t="shared" si="12"/>
        <v>0</v>
      </c>
      <c r="AZ101" s="116">
        <f t="shared" si="12"/>
        <v>0</v>
      </c>
      <c r="BA101" s="116">
        <f t="shared" si="12"/>
        <v>21</v>
      </c>
      <c r="BB101" s="117">
        <f t="shared" si="10"/>
        <v>21</v>
      </c>
    </row>
    <row r="102" spans="1:54" ht="15.95" customHeight="1">
      <c r="B102" s="112">
        <v>94</v>
      </c>
      <c r="C102" s="133">
        <f>+'[7]PLANILLA EDNA '!C9</f>
        <v>51907172</v>
      </c>
      <c r="D102" s="114" t="str">
        <f>IFERROR(VLOOKUP($C102,'[7]PLANILLA EDNA '!$C$9:$F$100,2,0),"NO BD")</f>
        <v xml:space="preserve">CASAS CASAS DORIS HELENA </v>
      </c>
      <c r="E102" s="134" t="s">
        <v>592</v>
      </c>
      <c r="F102" s="114" t="str">
        <f>IFERROR(VLOOKUP($C102,[7]BD!$B$3:$O$213,3,0),"")</f>
        <v>OPERARIA DE ASEO Y CAFETERIA</v>
      </c>
      <c r="G102" s="114" t="str">
        <f>IFERROR(VLOOKUP($C102,'[7]PLANILLA EDNA '!$C$9:$F$100,4,0),"NO BD")</f>
        <v>SEDE 1 - MANZANA LIEVANO - ALCALDÍA MAYOR</v>
      </c>
      <c r="H102" s="114" t="str">
        <f>IFERROR(VLOOKUP($C102,[7]BD!$B$3:$O$203,14,0),"")</f>
        <v>3202101872</v>
      </c>
      <c r="I102" s="114" t="str">
        <f>IFERROR(VLOOKUP($C102,[7]BD!$B$3:$O$203,4,0),"")</f>
        <v>18/10/2025</v>
      </c>
      <c r="J102" s="97" t="str">
        <f>INDEX('[7]PLANILLA EDNA '!C7:AK95,3,6)</f>
        <v>OK</v>
      </c>
      <c r="K102" s="97" t="str">
        <f>INDEX('[7]PLANILLA EDNA '!D7:AL95,3,6)</f>
        <v>D</v>
      </c>
      <c r="L102" s="97" t="str">
        <f>INDEX('[7]PLANILLA EDNA '!E7:AM95,3,6)</f>
        <v>D</v>
      </c>
      <c r="M102" s="97" t="str">
        <f>INDEX('[7]PLANILLA EDNA '!F7:AN95,3,6)</f>
        <v>OK</v>
      </c>
      <c r="N102" s="97" t="str">
        <f>INDEX('[7]PLANILLA EDNA '!G7:AO95,3,6)</f>
        <v>D</v>
      </c>
      <c r="O102" s="97" t="str">
        <f>INDEX('[7]PLANILLA EDNA '!H7:AP95,3,6)</f>
        <v>OK</v>
      </c>
      <c r="P102" s="97" t="str">
        <f>INDEX('[7]PLANILLA EDNA '!I7:AQ95,3,6)</f>
        <v>OK</v>
      </c>
      <c r="Q102" s="97" t="str">
        <f>INDEX('[7]PLANILLA EDNA '!J7:AR95,3,6)</f>
        <v>OK</v>
      </c>
      <c r="R102" s="97" t="str">
        <f>INDEX('[7]PLANILLA EDNA '!K7:AS95,3,6)</f>
        <v>OK</v>
      </c>
      <c r="S102" s="97" t="str">
        <f>INDEX('[7]PLANILLA EDNA '!L7:AT95,3,6)</f>
        <v>OK</v>
      </c>
      <c r="T102" s="97" t="str">
        <f>INDEX('[7]PLANILLA EDNA '!M7:AU95,3,6)</f>
        <v>OK</v>
      </c>
      <c r="U102" s="97" t="str">
        <f>INDEX('[7]PLANILLA EDNA '!N7:AV95,3,6)</f>
        <v>D</v>
      </c>
      <c r="V102" s="97" t="str">
        <f>INDEX('[7]PLANILLA EDNA '!O7:AW95,3,6)</f>
        <v>OK</v>
      </c>
      <c r="W102" s="97" t="str">
        <f>INDEX('[7]PLANILLA EDNA '!P7:AX95,3,6)</f>
        <v>OK</v>
      </c>
      <c r="X102" s="97" t="str">
        <f>INDEX('[7]PLANILLA EDNA '!Q7:AY95,3,6)</f>
        <v>OK</v>
      </c>
      <c r="Y102" s="97" t="str">
        <f>INDEX('[7]PLANILLA EDNA '!R7:AZ95,3,6)</f>
        <v>OK</v>
      </c>
      <c r="Z102" s="97" t="str">
        <f>INDEX('[7]PLANILLA EDNA '!S7:BA95,3,6)</f>
        <v>OK</v>
      </c>
      <c r="AA102" s="97" t="str">
        <f>INDEX('[7]PLANILLA EDNA '!T7:BB95,3,6)</f>
        <v>OK</v>
      </c>
      <c r="AB102" s="97" t="str">
        <f>INDEX('[7]PLANILLA EDNA '!U7:BC95,3,6)</f>
        <v>D</v>
      </c>
      <c r="AC102" s="97" t="str">
        <f>INDEX('[7]PLANILLA EDNA '!V7:BD95,3,6)</f>
        <v>OK</v>
      </c>
      <c r="AD102" s="97" t="str">
        <f>INDEX('[7]PLANILLA EDNA '!W7:BE95,3,6)</f>
        <v>OK</v>
      </c>
      <c r="AE102" s="97" t="str">
        <f>INDEX('[7]PLANILLA EDNA '!X7:BF95,3,6)</f>
        <v>OK</v>
      </c>
      <c r="AF102" s="97">
        <f>INDEX('[7]PLANILLA EDNA '!Y7:BG95,3,6)</f>
        <v>0</v>
      </c>
      <c r="AG102" s="97">
        <f>INDEX('[7]PLANILLA EDNA '!Z7:BH95,3,6)</f>
        <v>0</v>
      </c>
      <c r="AH102" s="97">
        <f>INDEX('[7]PLANILLA EDNA '!AA7:BI95,3,6)</f>
        <v>0</v>
      </c>
      <c r="AI102" s="97">
        <f>INDEX('[7]PLANILLA EDNA '!AB7:BJ95,3,6)</f>
        <v>0</v>
      </c>
      <c r="AJ102" s="97">
        <f>INDEX('[7]PLANILLA EDNA '!AC7:BK95,3,6)</f>
        <v>0</v>
      </c>
      <c r="AK102" s="97">
        <f>INDEX('[7]PLANILLA EDNA '!AD7:BL95,3,6)</f>
        <v>0</v>
      </c>
      <c r="AL102" s="97">
        <f>INDEX('[7]PLANILLA EDNA '!AE7:BM95,3,6)</f>
        <v>0</v>
      </c>
      <c r="AM102" s="97">
        <f>INDEX('[7]PLANILLA EDNA '!AF7:BN95,3,6)</f>
        <v>0</v>
      </c>
      <c r="AO102" s="116">
        <f t="shared" si="12"/>
        <v>0</v>
      </c>
      <c r="AP102" s="116">
        <f t="shared" si="12"/>
        <v>0</v>
      </c>
      <c r="AQ102" s="116">
        <f t="shared" si="12"/>
        <v>5</v>
      </c>
      <c r="AR102" s="116">
        <f t="shared" si="12"/>
        <v>0</v>
      </c>
      <c r="AS102" s="116">
        <f t="shared" si="12"/>
        <v>0</v>
      </c>
      <c r="AT102" s="116">
        <f t="shared" si="12"/>
        <v>0</v>
      </c>
      <c r="AU102" s="116">
        <f t="shared" si="12"/>
        <v>0</v>
      </c>
      <c r="AV102" s="116">
        <f t="shared" si="12"/>
        <v>0</v>
      </c>
      <c r="AW102" s="116">
        <f t="shared" si="12"/>
        <v>0</v>
      </c>
      <c r="AX102" s="116">
        <f t="shared" si="12"/>
        <v>0</v>
      </c>
      <c r="AY102" s="116">
        <f t="shared" si="12"/>
        <v>0</v>
      </c>
      <c r="AZ102" s="116">
        <f t="shared" si="12"/>
        <v>0</v>
      </c>
      <c r="BA102" s="116">
        <f t="shared" si="12"/>
        <v>17</v>
      </c>
      <c r="BB102" s="117">
        <f t="shared" si="10"/>
        <v>22</v>
      </c>
    </row>
    <row r="103" spans="1:54" ht="15.95" customHeight="1">
      <c r="B103" s="112">
        <v>95</v>
      </c>
      <c r="C103" s="133">
        <f>+'[7]PLANILLA EDNA '!C10</f>
        <v>1026279093</v>
      </c>
      <c r="D103" s="114" t="str">
        <f>IFERROR(VLOOKUP($C103,'[7]PLANILLA EDNA '!$C$9:$F$100,2,0),"NO BD")</f>
        <v xml:space="preserve">RODRIGUEZ MATEUS NASLY JULIETH </v>
      </c>
      <c r="E103" s="134" t="s">
        <v>592</v>
      </c>
      <c r="F103" s="114" t="str">
        <f>IFERROR(VLOOKUP($C103,[7]BD!$B$3:$O$213,3,0),"")</f>
        <v>OPERARIA DE ASEO Y CAFETERIA</v>
      </c>
      <c r="G103" s="114" t="str">
        <f>IFERROR(VLOOKUP($C103,'[7]PLANILLA EDNA '!$C$9:$F$100,4,0),"NO BD")</f>
        <v>SEDE 1 - MANZANA LIEVANO - ALCALDÍA MAYOR</v>
      </c>
      <c r="H103" s="114" t="str">
        <f>IFERROR(VLOOKUP($C103,[7]BD!$B$3:$O$203,14,0),"")</f>
        <v>3228841284</v>
      </c>
      <c r="I103" s="114" t="str">
        <f>IFERROR(VLOOKUP($C103,[7]BD!$B$3:$O$203,4,0),"")</f>
        <v>18/10/2025</v>
      </c>
      <c r="J103" s="97" t="str">
        <f>INDEX('[7]PLANILLA EDNA '!C8:AK96,3,6)</f>
        <v>OK</v>
      </c>
      <c r="K103" s="97" t="str">
        <f>INDEX('[7]PLANILLA EDNA '!D8:AL96,3,6)</f>
        <v>D</v>
      </c>
      <c r="L103" s="97" t="str">
        <f>INDEX('[7]PLANILLA EDNA '!E8:AM96,3,6)</f>
        <v>D</v>
      </c>
      <c r="M103" s="97" t="str">
        <f>INDEX('[7]PLANILLA EDNA '!F8:AN96,3,6)</f>
        <v>OK</v>
      </c>
      <c r="N103" s="97" t="str">
        <f>INDEX('[7]PLANILLA EDNA '!G8:AO96,3,6)</f>
        <v>D</v>
      </c>
      <c r="O103" s="97" t="str">
        <f>INDEX('[7]PLANILLA EDNA '!H8:AP96,3,6)</f>
        <v>OK</v>
      </c>
      <c r="P103" s="97" t="str">
        <f>INDEX('[7]PLANILLA EDNA '!I8:AQ96,3,6)</f>
        <v>OK</v>
      </c>
      <c r="Q103" s="97" t="str">
        <f>INDEX('[7]PLANILLA EDNA '!J8:AR96,3,6)</f>
        <v>OK</v>
      </c>
      <c r="R103" s="97" t="str">
        <f>INDEX('[7]PLANILLA EDNA '!K8:AS96,3,6)</f>
        <v>OK</v>
      </c>
      <c r="S103" s="97" t="str">
        <f>INDEX('[7]PLANILLA EDNA '!L8:AT96,3,6)</f>
        <v>OK</v>
      </c>
      <c r="T103" s="97" t="str">
        <f>INDEX('[7]PLANILLA EDNA '!M8:AU96,3,6)</f>
        <v>OK</v>
      </c>
      <c r="U103" s="97" t="str">
        <f>INDEX('[7]PLANILLA EDNA '!N8:AV96,3,6)</f>
        <v>D</v>
      </c>
      <c r="V103" s="97" t="str">
        <f>INDEX('[7]PLANILLA EDNA '!O8:AW96,3,6)</f>
        <v>OK</v>
      </c>
      <c r="W103" s="97" t="str">
        <f>INDEX('[7]PLANILLA EDNA '!P8:AX96,3,6)</f>
        <v>OK</v>
      </c>
      <c r="X103" s="97" t="str">
        <f>INDEX('[7]PLANILLA EDNA '!Q8:AY96,3,6)</f>
        <v>OK</v>
      </c>
      <c r="Y103" s="97" t="str">
        <f>INDEX('[7]PLANILLA EDNA '!R8:AZ96,3,6)</f>
        <v>OK</v>
      </c>
      <c r="Z103" s="97" t="str">
        <f>INDEX('[7]PLANILLA EDNA '!S8:BA96,3,6)</f>
        <v>OK</v>
      </c>
      <c r="AA103" s="97" t="str">
        <f>INDEX('[7]PLANILLA EDNA '!T8:BB96,3,6)</f>
        <v>OK</v>
      </c>
      <c r="AB103" s="97" t="str">
        <f>INDEX('[7]PLANILLA EDNA '!U8:BC96,3,6)</f>
        <v>D</v>
      </c>
      <c r="AC103" s="97" t="str">
        <f>INDEX('[7]PLANILLA EDNA '!V8:BD96,3,6)</f>
        <v>OK</v>
      </c>
      <c r="AD103" s="97" t="str">
        <f>INDEX('[7]PLANILLA EDNA '!W8:BE96,3,6)</f>
        <v>OK</v>
      </c>
      <c r="AE103" s="97" t="str">
        <f>INDEX('[7]PLANILLA EDNA '!X8:BF96,3,6)</f>
        <v>OK</v>
      </c>
      <c r="AF103" s="97">
        <f>INDEX('[7]PLANILLA EDNA '!Y8:BG96,3,6)</f>
        <v>0</v>
      </c>
      <c r="AG103" s="97">
        <f>INDEX('[7]PLANILLA EDNA '!Z8:BH96,3,6)</f>
        <v>0</v>
      </c>
      <c r="AH103" s="97">
        <f>INDEX('[7]PLANILLA EDNA '!AA8:BI96,3,6)</f>
        <v>0</v>
      </c>
      <c r="AI103" s="97">
        <f>INDEX('[7]PLANILLA EDNA '!AB8:BJ96,3,6)</f>
        <v>0</v>
      </c>
      <c r="AJ103" s="97">
        <f>INDEX('[7]PLANILLA EDNA '!AC8:BK96,3,6)</f>
        <v>0</v>
      </c>
      <c r="AK103" s="97">
        <f>INDEX('[7]PLANILLA EDNA '!AD8:BL96,3,6)</f>
        <v>0</v>
      </c>
      <c r="AL103" s="97">
        <f>INDEX('[7]PLANILLA EDNA '!AE8:BM96,3,6)</f>
        <v>0</v>
      </c>
      <c r="AM103" s="97">
        <f>INDEX('[7]PLANILLA EDNA '!AF8:BN96,3,6)</f>
        <v>0</v>
      </c>
      <c r="AO103" s="116">
        <f t="shared" si="12"/>
        <v>0</v>
      </c>
      <c r="AP103" s="116">
        <f t="shared" si="12"/>
        <v>0</v>
      </c>
      <c r="AQ103" s="116">
        <f t="shared" si="12"/>
        <v>5</v>
      </c>
      <c r="AR103" s="116">
        <f t="shared" si="12"/>
        <v>0</v>
      </c>
      <c r="AS103" s="116">
        <f t="shared" si="12"/>
        <v>0</v>
      </c>
      <c r="AT103" s="116">
        <f t="shared" si="12"/>
        <v>0</v>
      </c>
      <c r="AU103" s="116">
        <f t="shared" si="12"/>
        <v>0</v>
      </c>
      <c r="AV103" s="116">
        <f t="shared" si="12"/>
        <v>0</v>
      </c>
      <c r="AW103" s="116">
        <f t="shared" ref="AW103:BA103" si="13">COUNTIF($J103:$AM103,AW$7)</f>
        <v>0</v>
      </c>
      <c r="AX103" s="116">
        <f t="shared" si="13"/>
        <v>0</v>
      </c>
      <c r="AY103" s="116">
        <f t="shared" si="13"/>
        <v>0</v>
      </c>
      <c r="AZ103" s="116">
        <f t="shared" si="13"/>
        <v>0</v>
      </c>
      <c r="BA103" s="116">
        <f t="shared" si="13"/>
        <v>17</v>
      </c>
      <c r="BB103" s="117">
        <f t="shared" si="10"/>
        <v>22</v>
      </c>
    </row>
    <row r="104" spans="1:54" ht="15.95" customHeight="1">
      <c r="B104" s="112">
        <v>96</v>
      </c>
      <c r="C104" s="133">
        <f>+'[7]PLANILLA EDNA '!C11</f>
        <v>1013612458</v>
      </c>
      <c r="D104" s="114" t="str">
        <f>IFERROR(VLOOKUP($C104,'[7]PLANILLA EDNA '!$C$9:$F$100,2,0),"NO BD")</f>
        <v xml:space="preserve">TORRES GOMEZ SANDI YUSVELI </v>
      </c>
      <c r="E104" s="134" t="s">
        <v>592</v>
      </c>
      <c r="F104" s="114" t="str">
        <f>IFERROR(VLOOKUP($C104,[7]BD!$B$3:$O$213,3,0),"")</f>
        <v>OPERARIA DE ASEO Y CAFETERIA</v>
      </c>
      <c r="G104" s="114" t="str">
        <f>IFERROR(VLOOKUP($C104,'[7]PLANILLA EDNA '!$C$9:$F$100,4,0),"NO BD")</f>
        <v xml:space="preserve">SEDE 4 - SEDE ALTERNA RESTREPO </v>
      </c>
      <c r="H104" s="114" t="str">
        <f>IFERROR(VLOOKUP($C104,[7]BD!$B$3:$O$203,14,0),"")</f>
        <v>3209567199</v>
      </c>
      <c r="I104" s="114" t="str">
        <f>IFERROR(VLOOKUP($C104,[7]BD!$B$3:$O$203,4,0),"")</f>
        <v>18/10/2025</v>
      </c>
      <c r="J104" s="97" t="str">
        <f>INDEX('[7]PLANILLA EDNA '!C9:AK97,3,6)</f>
        <v>OK</v>
      </c>
      <c r="K104" s="97" t="str">
        <f>INDEX('[7]PLANILLA EDNA '!D9:AL97,3,6)</f>
        <v>D</v>
      </c>
      <c r="L104" s="97" t="str">
        <f>INDEX('[7]PLANILLA EDNA '!E9:AM97,3,6)</f>
        <v>D</v>
      </c>
      <c r="M104" s="97" t="str">
        <f>INDEX('[7]PLANILLA EDNA '!F9:AN97,3,6)</f>
        <v>OK</v>
      </c>
      <c r="N104" s="97" t="str">
        <f>INDEX('[7]PLANILLA EDNA '!G9:AO97,3,6)</f>
        <v>D</v>
      </c>
      <c r="O104" s="97" t="str">
        <f>INDEX('[7]PLANILLA EDNA '!H9:AP97,3,6)</f>
        <v>OK</v>
      </c>
      <c r="P104" s="97" t="str">
        <f>INDEX('[7]PLANILLA EDNA '!I9:AQ97,3,6)</f>
        <v>OK</v>
      </c>
      <c r="Q104" s="97" t="str">
        <f>INDEX('[7]PLANILLA EDNA '!J9:AR97,3,6)</f>
        <v>OK</v>
      </c>
      <c r="R104" s="97" t="str">
        <f>INDEX('[7]PLANILLA EDNA '!K9:AS97,3,6)</f>
        <v>OK</v>
      </c>
      <c r="S104" s="97" t="str">
        <f>INDEX('[7]PLANILLA EDNA '!L9:AT97,3,6)</f>
        <v>OK</v>
      </c>
      <c r="T104" s="97" t="str">
        <f>INDEX('[7]PLANILLA EDNA '!M9:AU97,3,6)</f>
        <v>OK</v>
      </c>
      <c r="U104" s="97" t="str">
        <f>INDEX('[7]PLANILLA EDNA '!N9:AV97,3,6)</f>
        <v>D</v>
      </c>
      <c r="V104" s="97" t="str">
        <f>INDEX('[7]PLANILLA EDNA '!O9:AW97,3,6)</f>
        <v>OK</v>
      </c>
      <c r="W104" s="97" t="str">
        <f>INDEX('[7]PLANILLA EDNA '!P9:AX97,3,6)</f>
        <v>OK</v>
      </c>
      <c r="X104" s="97" t="str">
        <f>INDEX('[7]PLANILLA EDNA '!Q9:AY97,3,6)</f>
        <v>OK</v>
      </c>
      <c r="Y104" s="97" t="str">
        <f>INDEX('[7]PLANILLA EDNA '!R9:AZ97,3,6)</f>
        <v>OK</v>
      </c>
      <c r="Z104" s="97" t="str">
        <f>INDEX('[7]PLANILLA EDNA '!S9:BA97,3,6)</f>
        <v>OK</v>
      </c>
      <c r="AA104" s="97" t="str">
        <f>INDEX('[7]PLANILLA EDNA '!T9:BB97,3,6)</f>
        <v>OK</v>
      </c>
      <c r="AB104" s="97" t="str">
        <f>INDEX('[7]PLANILLA EDNA '!U9:BC97,3,6)</f>
        <v>D</v>
      </c>
      <c r="AC104" s="97" t="str">
        <f>INDEX('[7]PLANILLA EDNA '!V9:BD97,3,6)</f>
        <v>LT</v>
      </c>
      <c r="AD104" s="97" t="str">
        <f>INDEX('[7]PLANILLA EDNA '!W9:BE97,3,6)</f>
        <v>LT</v>
      </c>
      <c r="AE104" s="97" t="str">
        <f>INDEX('[7]PLANILLA EDNA '!X9:BF97,3,6)</f>
        <v>LT</v>
      </c>
      <c r="AF104" s="97" t="str">
        <f>INDEX('[7]PLANILLA EDNA '!Y9:BG97,3,6)</f>
        <v>LT</v>
      </c>
      <c r="AG104" s="97" t="str">
        <f>INDEX('[7]PLANILLA EDNA '!Z9:BH97,3,6)</f>
        <v>LT</v>
      </c>
      <c r="AH104" s="97">
        <f>INDEX('[7]PLANILLA EDNA '!AA9:BI97,3,6)</f>
        <v>0</v>
      </c>
      <c r="AI104" s="97">
        <f>INDEX('[7]PLANILLA EDNA '!AB9:BJ97,3,6)</f>
        <v>0</v>
      </c>
      <c r="AJ104" s="97">
        <f>INDEX('[7]PLANILLA EDNA '!AC9:BK97,3,6)</f>
        <v>0</v>
      </c>
      <c r="AK104" s="97">
        <f>INDEX('[7]PLANILLA EDNA '!AD9:BL97,3,6)</f>
        <v>0</v>
      </c>
      <c r="AL104" s="97">
        <f>INDEX('[7]PLANILLA EDNA '!AE9:BM97,3,6)</f>
        <v>0</v>
      </c>
      <c r="AM104" s="97">
        <f>INDEX('[7]PLANILLA EDNA '!AF9:BN97,3,6)</f>
        <v>0</v>
      </c>
      <c r="AO104" s="116">
        <f t="shared" ref="AO104:BA123" si="14">COUNTIF($J104:$AM104,AO$7)</f>
        <v>0</v>
      </c>
      <c r="AP104" s="116">
        <f t="shared" si="14"/>
        <v>0</v>
      </c>
      <c r="AQ104" s="116">
        <f t="shared" si="14"/>
        <v>5</v>
      </c>
      <c r="AR104" s="116">
        <f t="shared" si="14"/>
        <v>0</v>
      </c>
      <c r="AS104" s="116">
        <f t="shared" si="14"/>
        <v>0</v>
      </c>
      <c r="AT104" s="116">
        <f t="shared" si="14"/>
        <v>0</v>
      </c>
      <c r="AU104" s="116">
        <f t="shared" si="14"/>
        <v>0</v>
      </c>
      <c r="AV104" s="116">
        <f t="shared" si="14"/>
        <v>0</v>
      </c>
      <c r="AW104" s="116">
        <f t="shared" si="14"/>
        <v>0</v>
      </c>
      <c r="AX104" s="116">
        <f t="shared" si="14"/>
        <v>0</v>
      </c>
      <c r="AY104" s="116">
        <f t="shared" si="14"/>
        <v>5</v>
      </c>
      <c r="AZ104" s="116">
        <f t="shared" si="14"/>
        <v>0</v>
      </c>
      <c r="BA104" s="116">
        <f t="shared" si="14"/>
        <v>14</v>
      </c>
      <c r="BB104" s="117">
        <f t="shared" si="10"/>
        <v>19</v>
      </c>
    </row>
    <row r="105" spans="1:54" ht="15.95" customHeight="1">
      <c r="B105" s="112">
        <v>97</v>
      </c>
      <c r="C105" s="133">
        <f>+'[7]PLANILLA EDNA '!C12</f>
        <v>1073599974</v>
      </c>
      <c r="D105" s="114" t="str">
        <f>IFERROR(VLOOKUP($C105,'[7]PLANILLA EDNA '!$C$9:$F$100,2,0),"NO BD")</f>
        <v xml:space="preserve">GARZON LUGO EDWARD MIGUEL </v>
      </c>
      <c r="E105" s="134" t="s">
        <v>592</v>
      </c>
      <c r="F105" s="114" t="str">
        <f>IFERROR(VLOOKUP($C105,[7]BD!$B$3:$O$213,3,0),"")</f>
        <v>OPERARIO DE MANTENIMIENTO</v>
      </c>
      <c r="G105" s="114" t="str">
        <f>IFERROR(VLOOKUP($C105,'[7]PLANILLA EDNA '!$C$9:$F$100,4,0),"NO BD")</f>
        <v>SEDE 1 - MANZANA LIEVANO - ALCALDÍA MAYOR</v>
      </c>
      <c r="H105" s="114" t="str">
        <f>IFERROR(VLOOKUP($C105,[7]BD!$B$3:$O$203,14,0),"")</f>
        <v>3219008529</v>
      </c>
      <c r="I105" s="114" t="str">
        <f>IFERROR(VLOOKUP($C105,[7]BD!$B$3:$O$203,4,0),"")</f>
        <v>18/10/2025</v>
      </c>
      <c r="J105" s="97" t="str">
        <f>INDEX('[7]PLANILLA EDNA '!C10:AK98,3,6)</f>
        <v>OK</v>
      </c>
      <c r="K105" s="97" t="str">
        <f>INDEX('[7]PLANILLA EDNA '!D10:AL98,3,6)</f>
        <v>D</v>
      </c>
      <c r="L105" s="97" t="str">
        <f>INDEX('[7]PLANILLA EDNA '!E10:AM98,3,6)</f>
        <v>D</v>
      </c>
      <c r="M105" s="97" t="str">
        <f>INDEX('[7]PLANILLA EDNA '!F10:AN98,3,6)</f>
        <v>OK</v>
      </c>
      <c r="N105" s="97" t="str">
        <f>INDEX('[7]PLANILLA EDNA '!G10:AO98,3,6)</f>
        <v>D</v>
      </c>
      <c r="O105" s="97" t="str">
        <f>INDEX('[7]PLANILLA EDNA '!H10:AP98,3,6)</f>
        <v>OK</v>
      </c>
      <c r="P105" s="97" t="str">
        <f>INDEX('[7]PLANILLA EDNA '!I10:AQ98,3,6)</f>
        <v>OK</v>
      </c>
      <c r="Q105" s="97" t="str">
        <f>INDEX('[7]PLANILLA EDNA '!J10:AR98,3,6)</f>
        <v>OK</v>
      </c>
      <c r="R105" s="97" t="str">
        <f>INDEX('[7]PLANILLA EDNA '!K10:AS98,3,6)</f>
        <v>OK</v>
      </c>
      <c r="S105" s="97" t="str">
        <f>INDEX('[7]PLANILLA EDNA '!L10:AT98,3,6)</f>
        <v>OK</v>
      </c>
      <c r="T105" s="97" t="str">
        <f>INDEX('[7]PLANILLA EDNA '!M10:AU98,3,6)</f>
        <v>OK</v>
      </c>
      <c r="U105" s="97" t="str">
        <f>INDEX('[7]PLANILLA EDNA '!N10:AV98,3,6)</f>
        <v>D</v>
      </c>
      <c r="V105" s="97" t="str">
        <f>INDEX('[7]PLANILLA EDNA '!O10:AW98,3,6)</f>
        <v>LT</v>
      </c>
      <c r="W105" s="97" t="str">
        <f>INDEX('[7]PLANILLA EDNA '!P10:AX98,3,6)</f>
        <v>LT</v>
      </c>
      <c r="X105" s="97" t="str">
        <f>INDEX('[7]PLANILLA EDNA '!Q10:AY98,3,6)</f>
        <v>LT</v>
      </c>
      <c r="Y105" s="97" t="str">
        <f>INDEX('[7]PLANILLA EDNA '!R10:AZ98,3,6)</f>
        <v>LT</v>
      </c>
      <c r="Z105" s="97" t="str">
        <f>INDEX('[7]PLANILLA EDNA '!S10:BA98,3,6)</f>
        <v>LT</v>
      </c>
      <c r="AA105" s="97" t="str">
        <f>INDEX('[7]PLANILLA EDNA '!T10:BB98,3,6)</f>
        <v>OK</v>
      </c>
      <c r="AB105" s="97" t="str">
        <f>INDEX('[7]PLANILLA EDNA '!U10:BC98,3,6)</f>
        <v>D</v>
      </c>
      <c r="AC105" s="97" t="str">
        <f>INDEX('[7]PLANILLA EDNA '!V10:BD98,3,6)</f>
        <v>OK</v>
      </c>
      <c r="AD105" s="97" t="str">
        <f>INDEX('[7]PLANILLA EDNA '!W10:BE98,3,6)</f>
        <v>OK</v>
      </c>
      <c r="AE105" s="97" t="str">
        <f>INDEX('[7]PLANILLA EDNA '!X10:BF98,3,6)</f>
        <v>OK</v>
      </c>
      <c r="AF105" s="97">
        <f>INDEX('[7]PLANILLA EDNA '!Y10:BG98,3,6)</f>
        <v>0</v>
      </c>
      <c r="AG105" s="97">
        <f>INDEX('[7]PLANILLA EDNA '!Z10:BH98,3,6)</f>
        <v>0</v>
      </c>
      <c r="AH105" s="97">
        <f>INDEX('[7]PLANILLA EDNA '!AA10:BI98,3,6)</f>
        <v>0</v>
      </c>
      <c r="AI105" s="97">
        <f>INDEX('[7]PLANILLA EDNA '!AB10:BJ98,3,6)</f>
        <v>0</v>
      </c>
      <c r="AJ105" s="97">
        <f>INDEX('[7]PLANILLA EDNA '!AC10:BK98,3,6)</f>
        <v>0</v>
      </c>
      <c r="AK105" s="97">
        <f>INDEX('[7]PLANILLA EDNA '!AD10:BL98,3,6)</f>
        <v>0</v>
      </c>
      <c r="AL105" s="97">
        <f>INDEX('[7]PLANILLA EDNA '!AE10:BM98,3,6)</f>
        <v>0</v>
      </c>
      <c r="AM105" s="97">
        <f>INDEX('[7]PLANILLA EDNA '!AF10:BN98,3,6)</f>
        <v>0</v>
      </c>
      <c r="AO105" s="116">
        <f t="shared" si="14"/>
        <v>0</v>
      </c>
      <c r="AP105" s="116">
        <f t="shared" si="14"/>
        <v>0</v>
      </c>
      <c r="AQ105" s="116">
        <f t="shared" si="14"/>
        <v>5</v>
      </c>
      <c r="AR105" s="116">
        <f t="shared" si="14"/>
        <v>0</v>
      </c>
      <c r="AS105" s="116">
        <f t="shared" si="14"/>
        <v>0</v>
      </c>
      <c r="AT105" s="116">
        <f t="shared" si="14"/>
        <v>0</v>
      </c>
      <c r="AU105" s="116">
        <f t="shared" si="14"/>
        <v>0</v>
      </c>
      <c r="AV105" s="116">
        <f t="shared" si="14"/>
        <v>0</v>
      </c>
      <c r="AW105" s="116">
        <f t="shared" si="14"/>
        <v>0</v>
      </c>
      <c r="AX105" s="116">
        <f t="shared" si="14"/>
        <v>0</v>
      </c>
      <c r="AY105" s="116">
        <f t="shared" si="14"/>
        <v>5</v>
      </c>
      <c r="AZ105" s="116">
        <f t="shared" si="14"/>
        <v>0</v>
      </c>
      <c r="BA105" s="116">
        <f t="shared" si="14"/>
        <v>12</v>
      </c>
      <c r="BB105" s="117">
        <f t="shared" si="10"/>
        <v>17</v>
      </c>
    </row>
    <row r="106" spans="1:54" ht="15.95" customHeight="1">
      <c r="B106" s="112">
        <v>98</v>
      </c>
      <c r="C106" s="133">
        <f>+'[7]PLANILLA EDNA '!C13</f>
        <v>52381579</v>
      </c>
      <c r="D106" s="114" t="str">
        <f>IFERROR(VLOOKUP($C106,'[7]PLANILLA EDNA '!$C$9:$F$100,2,0),"NO BD")</f>
        <v xml:space="preserve">ALTURO FLORIAN JACQUELINE  </v>
      </c>
      <c r="E106" s="134" t="s">
        <v>592</v>
      </c>
      <c r="F106" s="114" t="str">
        <f>IFERROR(VLOOKUP($C106,[7]BD!$B$3:$O$213,3,0),"")</f>
        <v>OPERARIA DE ASEO Y CAFETERIA</v>
      </c>
      <c r="G106" s="114" t="str">
        <f>IFERROR(VLOOKUP($C106,'[7]PLANILLA EDNA '!$C$9:$F$100,4,0),"NO BD")</f>
        <v>SEDE 1 - MANZANA LIEVANO - ALCALDÍA MAYOR</v>
      </c>
      <c r="H106" s="114" t="str">
        <f>IFERROR(VLOOKUP($C106,[7]BD!$B$3:$O$203,14,0),"")</f>
        <v>3114788014</v>
      </c>
      <c r="I106" s="114" t="str">
        <f>IFERROR(VLOOKUP($C106,[7]BD!$B$3:$O$203,4,0),"")</f>
        <v>18/10/2025</v>
      </c>
      <c r="J106" s="97" t="str">
        <f>INDEX('[7]PLANILLA EDNA '!C11:AK99,3,6)</f>
        <v>OK</v>
      </c>
      <c r="K106" s="97" t="str">
        <f>INDEX('[7]PLANILLA EDNA '!D11:AL99,3,6)</f>
        <v>D</v>
      </c>
      <c r="L106" s="97" t="str">
        <f>INDEX('[7]PLANILLA EDNA '!E11:AM99,3,6)</f>
        <v>D</v>
      </c>
      <c r="M106" s="97" t="str">
        <f>INDEX('[7]PLANILLA EDNA '!F11:AN99,3,6)</f>
        <v>OK</v>
      </c>
      <c r="N106" s="97" t="str">
        <f>INDEX('[7]PLANILLA EDNA '!G11:AO99,3,6)</f>
        <v>D</v>
      </c>
      <c r="O106" s="97" t="str">
        <f>INDEX('[7]PLANILLA EDNA '!H11:AP99,3,6)</f>
        <v>OK</v>
      </c>
      <c r="P106" s="97" t="str">
        <f>INDEX('[7]PLANILLA EDNA '!I11:AQ99,3,6)</f>
        <v>OK</v>
      </c>
      <c r="Q106" s="97" t="str">
        <f>INDEX('[7]PLANILLA EDNA '!J11:AR99,3,6)</f>
        <v>OK</v>
      </c>
      <c r="R106" s="97" t="str">
        <f>INDEX('[7]PLANILLA EDNA '!K11:AS99,3,6)</f>
        <v>OK</v>
      </c>
      <c r="S106" s="97" t="str">
        <f>INDEX('[7]PLANILLA EDNA '!L11:AT99,3,6)</f>
        <v>OK</v>
      </c>
      <c r="T106" s="97" t="str">
        <f>INDEX('[7]PLANILLA EDNA '!M11:AU99,3,6)</f>
        <v>OK</v>
      </c>
      <c r="U106" s="97" t="str">
        <f>INDEX('[7]PLANILLA EDNA '!N11:AV99,3,6)</f>
        <v>D</v>
      </c>
      <c r="V106" s="97" t="str">
        <f>INDEX('[7]PLANILLA EDNA '!O11:AW99,3,6)</f>
        <v>OK</v>
      </c>
      <c r="W106" s="97" t="str">
        <f>INDEX('[7]PLANILLA EDNA '!P11:AX99,3,6)</f>
        <v>OK</v>
      </c>
      <c r="X106" s="97" t="str">
        <f>INDEX('[7]PLANILLA EDNA '!Q11:AY99,3,6)</f>
        <v>OK</v>
      </c>
      <c r="Y106" s="97" t="str">
        <f>INDEX('[7]PLANILLA EDNA '!R11:AZ99,3,6)</f>
        <v>OK</v>
      </c>
      <c r="Z106" s="97" t="str">
        <f>INDEX('[7]PLANILLA EDNA '!S11:BA99,3,6)</f>
        <v>OK</v>
      </c>
      <c r="AA106" s="97" t="str">
        <f>INDEX('[7]PLANILLA EDNA '!T11:BB99,3,6)</f>
        <v>OK</v>
      </c>
      <c r="AB106" s="97" t="str">
        <f>INDEX('[7]PLANILLA EDNA '!U11:BC99,3,6)</f>
        <v>D</v>
      </c>
      <c r="AC106" s="97" t="str">
        <f>INDEX('[7]PLANILLA EDNA '!V11:BD99,3,6)</f>
        <v>OK</v>
      </c>
      <c r="AD106" s="97" t="str">
        <f>INDEX('[7]PLANILLA EDNA '!W11:BE99,3,6)</f>
        <v>OK</v>
      </c>
      <c r="AE106" s="97" t="str">
        <f>INDEX('[7]PLANILLA EDNA '!X11:BF99,3,6)</f>
        <v>OK</v>
      </c>
      <c r="AF106" s="97">
        <f>INDEX('[7]PLANILLA EDNA '!Y11:BG99,3,6)</f>
        <v>0</v>
      </c>
      <c r="AG106" s="97">
        <f>INDEX('[7]PLANILLA EDNA '!Z11:BH99,3,6)</f>
        <v>0</v>
      </c>
      <c r="AH106" s="97">
        <f>INDEX('[7]PLANILLA EDNA '!AA11:BI99,3,6)</f>
        <v>0</v>
      </c>
      <c r="AI106" s="97">
        <f>INDEX('[7]PLANILLA EDNA '!AB11:BJ99,3,6)</f>
        <v>0</v>
      </c>
      <c r="AJ106" s="97">
        <f>INDEX('[7]PLANILLA EDNA '!AC11:BK99,3,6)</f>
        <v>0</v>
      </c>
      <c r="AK106" s="97">
        <f>INDEX('[7]PLANILLA EDNA '!AD11:BL99,3,6)</f>
        <v>0</v>
      </c>
      <c r="AL106" s="97">
        <f>INDEX('[7]PLANILLA EDNA '!AE11:BM99,3,6)</f>
        <v>0</v>
      </c>
      <c r="AM106" s="97">
        <f>INDEX('[7]PLANILLA EDNA '!AF11:BN99,3,6)</f>
        <v>0</v>
      </c>
      <c r="AO106" s="116">
        <f t="shared" si="14"/>
        <v>0</v>
      </c>
      <c r="AP106" s="116">
        <f t="shared" si="14"/>
        <v>0</v>
      </c>
      <c r="AQ106" s="116">
        <f t="shared" si="14"/>
        <v>5</v>
      </c>
      <c r="AR106" s="116">
        <f t="shared" si="14"/>
        <v>0</v>
      </c>
      <c r="AS106" s="116">
        <f t="shared" si="14"/>
        <v>0</v>
      </c>
      <c r="AT106" s="116">
        <f t="shared" si="14"/>
        <v>0</v>
      </c>
      <c r="AU106" s="116">
        <f t="shared" si="14"/>
        <v>0</v>
      </c>
      <c r="AV106" s="116">
        <f t="shared" si="14"/>
        <v>0</v>
      </c>
      <c r="AW106" s="116">
        <f t="shared" si="14"/>
        <v>0</v>
      </c>
      <c r="AX106" s="116">
        <f t="shared" si="14"/>
        <v>0</v>
      </c>
      <c r="AY106" s="116">
        <f t="shared" si="14"/>
        <v>0</v>
      </c>
      <c r="AZ106" s="116">
        <f t="shared" si="14"/>
        <v>0</v>
      </c>
      <c r="BA106" s="116">
        <f t="shared" si="14"/>
        <v>17</v>
      </c>
      <c r="BB106" s="117">
        <f t="shared" si="10"/>
        <v>22</v>
      </c>
    </row>
    <row r="107" spans="1:54" ht="15.95" customHeight="1">
      <c r="B107" s="112">
        <v>99</v>
      </c>
      <c r="C107" s="133">
        <f>+'[7]PLANILLA EDNA '!C14</f>
        <v>52927563</v>
      </c>
      <c r="D107" s="114" t="str">
        <f>IFERROR(VLOOKUP($C107,'[7]PLANILLA EDNA '!$C$9:$F$100,2,0),"NO BD")</f>
        <v xml:space="preserve">BAENA JIMENEZ GINA ISABEL </v>
      </c>
      <c r="E107" s="134" t="s">
        <v>592</v>
      </c>
      <c r="F107" s="114" t="str">
        <f>IFERROR(VLOOKUP($C107,[7]BD!$B$3:$O$213,3,0),"")</f>
        <v>OPERARIA DE ASEO Y CAFETERIA</v>
      </c>
      <c r="G107" s="114" t="str">
        <f>IFERROR(VLOOKUP($C107,'[7]PLANILLA EDNA '!$C$9:$F$100,4,0),"NO BD")</f>
        <v>SEDE 1 - MANZANA LIEVANO - ALCALDÍA MAYOR</v>
      </c>
      <c r="H107" s="114" t="str">
        <f>IFERROR(VLOOKUP($C107,[7]BD!$B$3:$O$203,14,0),"")</f>
        <v>3223120404</v>
      </c>
      <c r="I107" s="114" t="str">
        <f>IFERROR(VLOOKUP($C107,[7]BD!$B$3:$O$203,4,0),"")</f>
        <v>18/10/2025</v>
      </c>
      <c r="J107" s="97" t="str">
        <f>INDEX('[7]PLANILLA EDNA '!C12:AK100,3,6)</f>
        <v>OK</v>
      </c>
      <c r="K107" s="97" t="str">
        <f>INDEX('[7]PLANILLA EDNA '!D12:AL100,3,6)</f>
        <v>D</v>
      </c>
      <c r="L107" s="97" t="str">
        <f>INDEX('[7]PLANILLA EDNA '!E12:AM100,3,6)</f>
        <v>D</v>
      </c>
      <c r="M107" s="97" t="str">
        <f>INDEX('[7]PLANILLA EDNA '!F12:AN100,3,6)</f>
        <v>OK</v>
      </c>
      <c r="N107" s="97" t="str">
        <f>INDEX('[7]PLANILLA EDNA '!G12:AO100,3,6)</f>
        <v>D</v>
      </c>
      <c r="O107" s="97" t="str">
        <f>INDEX('[7]PLANILLA EDNA '!H12:AP100,3,6)</f>
        <v>OK</v>
      </c>
      <c r="P107" s="97" t="str">
        <f>INDEX('[7]PLANILLA EDNA '!I12:AQ100,3,6)</f>
        <v>OK</v>
      </c>
      <c r="Q107" s="97" t="str">
        <f>INDEX('[7]PLANILLA EDNA '!J12:AR100,3,6)</f>
        <v>OK</v>
      </c>
      <c r="R107" s="97" t="str">
        <f>INDEX('[7]PLANILLA EDNA '!K12:AS100,3,6)</f>
        <v>OK</v>
      </c>
      <c r="S107" s="97" t="str">
        <f>INDEX('[7]PLANILLA EDNA '!L12:AT100,3,6)</f>
        <v>OK</v>
      </c>
      <c r="T107" s="97" t="str">
        <f>INDEX('[7]PLANILLA EDNA '!M12:AU100,3,6)</f>
        <v>OK</v>
      </c>
      <c r="U107" s="97" t="str">
        <f>INDEX('[7]PLANILLA EDNA '!N12:AV100,3,6)</f>
        <v>D</v>
      </c>
      <c r="V107" s="97" t="str">
        <f>INDEX('[7]PLANILLA EDNA '!O12:AW100,3,6)</f>
        <v>OK</v>
      </c>
      <c r="W107" s="97" t="str">
        <f>INDEX('[7]PLANILLA EDNA '!P12:AX100,3,6)</f>
        <v>OK</v>
      </c>
      <c r="X107" s="97" t="str">
        <f>INDEX('[7]PLANILLA EDNA '!Q12:AY100,3,6)</f>
        <v>OK</v>
      </c>
      <c r="Y107" s="97" t="str">
        <f>INDEX('[7]PLANILLA EDNA '!R12:AZ100,3,6)</f>
        <v>OK</v>
      </c>
      <c r="Z107" s="97" t="str">
        <f>INDEX('[7]PLANILLA EDNA '!S12:BA100,3,6)</f>
        <v>OK</v>
      </c>
      <c r="AA107" s="97" t="str">
        <f>INDEX('[7]PLANILLA EDNA '!T12:BB100,3,6)</f>
        <v>OK</v>
      </c>
      <c r="AB107" s="97" t="str">
        <f>INDEX('[7]PLANILLA EDNA '!U12:BC100,3,6)</f>
        <v>D</v>
      </c>
      <c r="AC107" s="97" t="str">
        <f>INDEX('[7]PLANILLA EDNA '!V12:BD100,3,6)</f>
        <v>OK</v>
      </c>
      <c r="AD107" s="97" t="str">
        <f>INDEX('[7]PLANILLA EDNA '!W12:BE100,3,6)</f>
        <v>OK</v>
      </c>
      <c r="AE107" s="97" t="str">
        <f>INDEX('[7]PLANILLA EDNA '!X12:BF100,3,6)</f>
        <v>OK</v>
      </c>
      <c r="AF107" s="97">
        <f>INDEX('[7]PLANILLA EDNA '!Y12:BG100,3,6)</f>
        <v>0</v>
      </c>
      <c r="AG107" s="97">
        <f>INDEX('[7]PLANILLA EDNA '!Z12:BH100,3,6)</f>
        <v>0</v>
      </c>
      <c r="AH107" s="97">
        <f>INDEX('[7]PLANILLA EDNA '!AA12:BI100,3,6)</f>
        <v>0</v>
      </c>
      <c r="AI107" s="97">
        <f>INDEX('[7]PLANILLA EDNA '!AB12:BJ100,3,6)</f>
        <v>0</v>
      </c>
      <c r="AJ107" s="97">
        <f>INDEX('[7]PLANILLA EDNA '!AC12:BK100,3,6)</f>
        <v>0</v>
      </c>
      <c r="AK107" s="97">
        <f>INDEX('[7]PLANILLA EDNA '!AD12:BL100,3,6)</f>
        <v>0</v>
      </c>
      <c r="AL107" s="97">
        <f>INDEX('[7]PLANILLA EDNA '!AE12:BM100,3,6)</f>
        <v>0</v>
      </c>
      <c r="AM107" s="97">
        <f>INDEX('[7]PLANILLA EDNA '!AF12:BN100,3,6)</f>
        <v>0</v>
      </c>
      <c r="AO107" s="116">
        <f t="shared" si="14"/>
        <v>0</v>
      </c>
      <c r="AP107" s="116">
        <f t="shared" si="14"/>
        <v>0</v>
      </c>
      <c r="AQ107" s="116">
        <f t="shared" si="14"/>
        <v>5</v>
      </c>
      <c r="AR107" s="116">
        <f t="shared" si="14"/>
        <v>0</v>
      </c>
      <c r="AS107" s="116">
        <f t="shared" si="14"/>
        <v>0</v>
      </c>
      <c r="AT107" s="116">
        <f t="shared" si="14"/>
        <v>0</v>
      </c>
      <c r="AU107" s="116">
        <f t="shared" si="14"/>
        <v>0</v>
      </c>
      <c r="AV107" s="116">
        <f t="shared" si="14"/>
        <v>0</v>
      </c>
      <c r="AW107" s="116">
        <f t="shared" si="14"/>
        <v>0</v>
      </c>
      <c r="AX107" s="116">
        <f t="shared" si="14"/>
        <v>0</v>
      </c>
      <c r="AY107" s="116">
        <f t="shared" si="14"/>
        <v>0</v>
      </c>
      <c r="AZ107" s="116">
        <f t="shared" si="14"/>
        <v>0</v>
      </c>
      <c r="BA107" s="116">
        <f t="shared" si="14"/>
        <v>17</v>
      </c>
      <c r="BB107" s="117">
        <f t="shared" si="10"/>
        <v>22</v>
      </c>
    </row>
    <row r="108" spans="1:54" ht="15.95" customHeight="1">
      <c r="B108" s="112">
        <v>100</v>
      </c>
      <c r="C108" s="133">
        <f>+'[7]PLANILLA EDNA '!C15</f>
        <v>79453613</v>
      </c>
      <c r="D108" s="114" t="str">
        <f>IFERROR(VLOOKUP($C108,'[7]PLANILLA EDNA '!$C$9:$F$100,2,0),"NO BD")</f>
        <v xml:space="preserve">MEDINA ANGEL GILBERTO  </v>
      </c>
      <c r="E108" s="134" t="s">
        <v>592</v>
      </c>
      <c r="F108" s="114" t="str">
        <f>IFERROR(VLOOKUP($C108,[7]BD!$B$3:$O$213,3,0),"")</f>
        <v>OPERARIO DE MANTENIMIENTO</v>
      </c>
      <c r="G108" s="114" t="str">
        <f>IFERROR(VLOOKUP($C108,'[7]PLANILLA EDNA '!$C$9:$F$100,4,0),"NO BD")</f>
        <v>SEDE 1 - MANZANA LIEVANO - ALCALDÍA MAYOR</v>
      </c>
      <c r="H108" s="114" t="str">
        <f>IFERROR(VLOOKUP($C108,[7]BD!$B$3:$O$203,14,0),"")</f>
        <v>3123921438</v>
      </c>
      <c r="I108" s="114" t="str">
        <f>IFERROR(VLOOKUP($C108,[7]BD!$B$3:$O$203,4,0),"")</f>
        <v>18/10/2025</v>
      </c>
      <c r="J108" s="97" t="str">
        <f>INDEX('[7]PLANILLA EDNA '!C13:AK101,3,6)</f>
        <v>OK</v>
      </c>
      <c r="K108" s="97" t="str">
        <f>INDEX('[7]PLANILLA EDNA '!D13:AL101,3,6)</f>
        <v>D</v>
      </c>
      <c r="L108" s="97" t="str">
        <f>INDEX('[7]PLANILLA EDNA '!E13:AM101,3,6)</f>
        <v>D</v>
      </c>
      <c r="M108" s="97" t="str">
        <f>INDEX('[7]PLANILLA EDNA '!F13:AN101,3,6)</f>
        <v>OK</v>
      </c>
      <c r="N108" s="97" t="str">
        <f>INDEX('[7]PLANILLA EDNA '!G13:AO101,3,6)</f>
        <v>D</v>
      </c>
      <c r="O108" s="97" t="str">
        <f>INDEX('[7]PLANILLA EDNA '!H13:AP101,3,6)</f>
        <v>OK</v>
      </c>
      <c r="P108" s="97" t="str">
        <f>INDEX('[7]PLANILLA EDNA '!I13:AQ101,3,6)</f>
        <v>OK</v>
      </c>
      <c r="Q108" s="97" t="str">
        <f>INDEX('[7]PLANILLA EDNA '!J13:AR101,3,6)</f>
        <v>OK</v>
      </c>
      <c r="R108" s="97" t="str">
        <f>INDEX('[7]PLANILLA EDNA '!K13:AS101,3,6)</f>
        <v>OK</v>
      </c>
      <c r="S108" s="97" t="str">
        <f>INDEX('[7]PLANILLA EDNA '!L13:AT101,3,6)</f>
        <v>OK</v>
      </c>
      <c r="T108" s="97" t="str">
        <f>INDEX('[7]PLANILLA EDNA '!M13:AU101,3,6)</f>
        <v>OK</v>
      </c>
      <c r="U108" s="97" t="str">
        <f>INDEX('[7]PLANILLA EDNA '!N13:AV101,3,6)</f>
        <v>D</v>
      </c>
      <c r="V108" s="97" t="str">
        <f>INDEX('[7]PLANILLA EDNA '!O13:AW101,3,6)</f>
        <v>OK</v>
      </c>
      <c r="W108" s="97" t="str">
        <f>INDEX('[7]PLANILLA EDNA '!P13:AX101,3,6)</f>
        <v>OK</v>
      </c>
      <c r="X108" s="97" t="str">
        <f>INDEX('[7]PLANILLA EDNA '!Q13:AY101,3,6)</f>
        <v>OK</v>
      </c>
      <c r="Y108" s="97" t="str">
        <f>INDEX('[7]PLANILLA EDNA '!R13:AZ101,3,6)</f>
        <v>OK</v>
      </c>
      <c r="Z108" s="97" t="str">
        <f>INDEX('[7]PLANILLA EDNA '!S13:BA101,3,6)</f>
        <v>OK</v>
      </c>
      <c r="AA108" s="97" t="str">
        <f>INDEX('[7]PLANILLA EDNA '!T13:BB101,3,6)</f>
        <v>OK</v>
      </c>
      <c r="AB108" s="97" t="str">
        <f>INDEX('[7]PLANILLA EDNA '!U13:BC101,3,6)</f>
        <v>D</v>
      </c>
      <c r="AC108" s="97" t="str">
        <f>INDEX('[7]PLANILLA EDNA '!V13:BD101,3,6)</f>
        <v>OK</v>
      </c>
      <c r="AD108" s="97" t="str">
        <f>INDEX('[7]PLANILLA EDNA '!W13:BE101,3,6)</f>
        <v>OK</v>
      </c>
      <c r="AE108" s="97" t="str">
        <f>INDEX('[7]PLANILLA EDNA '!X13:BF101,3,6)</f>
        <v>OK</v>
      </c>
      <c r="AF108" s="97">
        <f>INDEX('[7]PLANILLA EDNA '!Y13:BG101,3,6)</f>
        <v>0</v>
      </c>
      <c r="AG108" s="97">
        <f>INDEX('[7]PLANILLA EDNA '!Z13:BH101,3,6)</f>
        <v>0</v>
      </c>
      <c r="AH108" s="97">
        <f>INDEX('[7]PLANILLA EDNA '!AA13:BI101,3,6)</f>
        <v>0</v>
      </c>
      <c r="AI108" s="97">
        <f>INDEX('[7]PLANILLA EDNA '!AB13:BJ101,3,6)</f>
        <v>0</v>
      </c>
      <c r="AJ108" s="97">
        <f>INDEX('[7]PLANILLA EDNA '!AC13:BK101,3,6)</f>
        <v>0</v>
      </c>
      <c r="AK108" s="97">
        <f>INDEX('[7]PLANILLA EDNA '!AD13:BL101,3,6)</f>
        <v>0</v>
      </c>
      <c r="AL108" s="97">
        <f>INDEX('[7]PLANILLA EDNA '!AE13:BM101,3,6)</f>
        <v>0</v>
      </c>
      <c r="AM108" s="97">
        <f>INDEX('[7]PLANILLA EDNA '!AF13:BN101,3,6)</f>
        <v>0</v>
      </c>
      <c r="AO108" s="116">
        <f t="shared" si="14"/>
        <v>0</v>
      </c>
      <c r="AP108" s="116">
        <f t="shared" si="14"/>
        <v>0</v>
      </c>
      <c r="AQ108" s="116">
        <f t="shared" si="14"/>
        <v>5</v>
      </c>
      <c r="AR108" s="116">
        <f t="shared" si="14"/>
        <v>0</v>
      </c>
      <c r="AS108" s="116">
        <f t="shared" si="14"/>
        <v>0</v>
      </c>
      <c r="AT108" s="116">
        <f t="shared" si="14"/>
        <v>0</v>
      </c>
      <c r="AU108" s="116">
        <f t="shared" si="14"/>
        <v>0</v>
      </c>
      <c r="AV108" s="116">
        <f t="shared" si="14"/>
        <v>0</v>
      </c>
      <c r="AW108" s="116">
        <f t="shared" si="14"/>
        <v>0</v>
      </c>
      <c r="AX108" s="116">
        <f t="shared" si="14"/>
        <v>0</v>
      </c>
      <c r="AY108" s="116">
        <f t="shared" si="14"/>
        <v>0</v>
      </c>
      <c r="AZ108" s="116">
        <f t="shared" si="14"/>
        <v>0</v>
      </c>
      <c r="BA108" s="116">
        <f t="shared" si="14"/>
        <v>17</v>
      </c>
      <c r="BB108" s="117">
        <f t="shared" si="10"/>
        <v>22</v>
      </c>
    </row>
    <row r="109" spans="1:54" ht="15.95" customHeight="1">
      <c r="B109" s="112">
        <v>101</v>
      </c>
      <c r="C109" s="133">
        <f>+'[7]PLANILLA EDNA '!C16</f>
        <v>52550381</v>
      </c>
      <c r="D109" s="114" t="str">
        <f>IFERROR(VLOOKUP($C109,'[7]PLANILLA EDNA '!$C$9:$F$100,2,0),"NO BD")</f>
        <v xml:space="preserve">GUZMAN RODRIGUEZ AINED LORENA </v>
      </c>
      <c r="E109" s="134" t="s">
        <v>592</v>
      </c>
      <c r="F109" s="114" t="str">
        <f>IFERROR(VLOOKUP($C109,[7]BD!$B$3:$O$213,3,0),"")</f>
        <v>OPERARIA DE ASEO Y CAFETERIA</v>
      </c>
      <c r="G109" s="114" t="str">
        <f>IFERROR(VLOOKUP($C109,'[7]PLANILLA EDNA '!$C$9:$F$100,4,0),"NO BD")</f>
        <v>SEDE 1 - MANZANA LIEVANO - ALCALDÍA MAYOR</v>
      </c>
      <c r="H109" s="114" t="str">
        <f>IFERROR(VLOOKUP($C109,[7]BD!$B$3:$O$203,14,0),"")</f>
        <v>3143404528</v>
      </c>
      <c r="I109" s="114" t="str">
        <f>IFERROR(VLOOKUP($C109,[7]BD!$B$3:$O$203,4,0),"")</f>
        <v>18/10/2025</v>
      </c>
      <c r="J109" s="97" t="str">
        <f>INDEX('[7]PLANILLA EDNA '!C14:AK102,3,6)</f>
        <v>OK</v>
      </c>
      <c r="K109" s="97" t="str">
        <f>INDEX('[7]PLANILLA EDNA '!D14:AL102,3,6)</f>
        <v>D</v>
      </c>
      <c r="L109" s="97" t="str">
        <f>INDEX('[7]PLANILLA EDNA '!E14:AM102,3,6)</f>
        <v>D</v>
      </c>
      <c r="M109" s="97" t="str">
        <f>INDEX('[7]PLANILLA EDNA '!F14:AN102,3,6)</f>
        <v>OK</v>
      </c>
      <c r="N109" s="97" t="str">
        <f>INDEX('[7]PLANILLA EDNA '!G14:AO102,3,6)</f>
        <v>D</v>
      </c>
      <c r="O109" s="97" t="str">
        <f>INDEX('[7]PLANILLA EDNA '!H14:AP102,3,6)</f>
        <v>OK</v>
      </c>
      <c r="P109" s="97" t="str">
        <f>INDEX('[7]PLANILLA EDNA '!I14:AQ102,3,6)</f>
        <v>OK</v>
      </c>
      <c r="Q109" s="97" t="str">
        <f>INDEX('[7]PLANILLA EDNA '!J14:AR102,3,6)</f>
        <v>OK</v>
      </c>
      <c r="R109" s="97" t="str">
        <f>INDEX('[7]PLANILLA EDNA '!K14:AS102,3,6)</f>
        <v>OK</v>
      </c>
      <c r="S109" s="97" t="str">
        <f>INDEX('[7]PLANILLA EDNA '!L14:AT102,3,6)</f>
        <v>OK</v>
      </c>
      <c r="T109" s="97" t="str">
        <f>INDEX('[7]PLANILLA EDNA '!M14:AU102,3,6)</f>
        <v>OK</v>
      </c>
      <c r="U109" s="97" t="str">
        <f>INDEX('[7]PLANILLA EDNA '!N14:AV102,3,6)</f>
        <v>D</v>
      </c>
      <c r="V109" s="97" t="str">
        <f>INDEX('[7]PLANILLA EDNA '!O14:AW102,3,6)</f>
        <v>OK</v>
      </c>
      <c r="W109" s="97" t="str">
        <f>INDEX('[7]PLANILLA EDNA '!P14:AX102,3,6)</f>
        <v>OK</v>
      </c>
      <c r="X109" s="97" t="str">
        <f>INDEX('[7]PLANILLA EDNA '!Q14:AY102,3,6)</f>
        <v>OK</v>
      </c>
      <c r="Y109" s="97" t="str">
        <f>INDEX('[7]PLANILLA EDNA '!R14:AZ102,3,6)</f>
        <v>OK</v>
      </c>
      <c r="Z109" s="97" t="str">
        <f>INDEX('[7]PLANILLA EDNA '!S14:BA102,3,6)</f>
        <v>OK</v>
      </c>
      <c r="AA109" s="97" t="str">
        <f>INDEX('[7]PLANILLA EDNA '!T14:BB102,3,6)</f>
        <v>OK</v>
      </c>
      <c r="AB109" s="97" t="str">
        <f>INDEX('[7]PLANILLA EDNA '!U14:BC102,3,6)</f>
        <v>D</v>
      </c>
      <c r="AC109" s="97" t="str">
        <f>INDEX('[7]PLANILLA EDNA '!V14:BD102,3,6)</f>
        <v>OK</v>
      </c>
      <c r="AD109" s="97" t="str">
        <f>INDEX('[7]PLANILLA EDNA '!W14:BE102,3,6)</f>
        <v>OK</v>
      </c>
      <c r="AE109" s="97" t="str">
        <f>INDEX('[7]PLANILLA EDNA '!X14:BF102,3,6)</f>
        <v>OK</v>
      </c>
      <c r="AF109" s="97">
        <f>INDEX('[7]PLANILLA EDNA '!Y14:BG102,3,6)</f>
        <v>0</v>
      </c>
      <c r="AG109" s="97">
        <f>INDEX('[7]PLANILLA EDNA '!Z14:BH102,3,6)</f>
        <v>0</v>
      </c>
      <c r="AH109" s="97">
        <f>INDEX('[7]PLANILLA EDNA '!AA14:BI102,3,6)</f>
        <v>0</v>
      </c>
      <c r="AI109" s="97">
        <f>INDEX('[7]PLANILLA EDNA '!AB14:BJ102,3,6)</f>
        <v>0</v>
      </c>
      <c r="AJ109" s="97">
        <f>INDEX('[7]PLANILLA EDNA '!AC14:BK102,3,6)</f>
        <v>0</v>
      </c>
      <c r="AK109" s="97">
        <f>INDEX('[7]PLANILLA EDNA '!AD14:BL102,3,6)</f>
        <v>0</v>
      </c>
      <c r="AL109" s="97">
        <f>INDEX('[7]PLANILLA EDNA '!AE14:BM102,3,6)</f>
        <v>0</v>
      </c>
      <c r="AM109" s="97">
        <f>INDEX('[7]PLANILLA EDNA '!AF14:BN102,3,6)</f>
        <v>0</v>
      </c>
      <c r="AO109" s="116">
        <f t="shared" si="14"/>
        <v>0</v>
      </c>
      <c r="AP109" s="116">
        <f t="shared" si="14"/>
        <v>0</v>
      </c>
      <c r="AQ109" s="116">
        <f t="shared" si="14"/>
        <v>5</v>
      </c>
      <c r="AR109" s="116">
        <f t="shared" si="14"/>
        <v>0</v>
      </c>
      <c r="AS109" s="116">
        <f t="shared" si="14"/>
        <v>0</v>
      </c>
      <c r="AT109" s="116">
        <f t="shared" si="14"/>
        <v>0</v>
      </c>
      <c r="AU109" s="116">
        <f t="shared" si="14"/>
        <v>0</v>
      </c>
      <c r="AV109" s="116">
        <f t="shared" si="14"/>
        <v>0</v>
      </c>
      <c r="AW109" s="116">
        <f t="shared" si="14"/>
        <v>0</v>
      </c>
      <c r="AX109" s="116">
        <f t="shared" si="14"/>
        <v>0</v>
      </c>
      <c r="AY109" s="116">
        <f t="shared" si="14"/>
        <v>0</v>
      </c>
      <c r="AZ109" s="116">
        <f t="shared" si="14"/>
        <v>0</v>
      </c>
      <c r="BA109" s="116">
        <f t="shared" si="14"/>
        <v>17</v>
      </c>
      <c r="BB109" s="117">
        <f t="shared" si="10"/>
        <v>22</v>
      </c>
    </row>
    <row r="110" spans="1:54" ht="15.95" customHeight="1">
      <c r="B110" s="112">
        <v>102</v>
      </c>
      <c r="C110" s="133">
        <f>+'[7]PLANILLA EDNA '!C17</f>
        <v>1065626457</v>
      </c>
      <c r="D110" s="114" t="str">
        <f>IFERROR(VLOOKUP($C110,'[7]PLANILLA EDNA '!$C$9:$F$100,2,0),"NO BD")</f>
        <v xml:space="preserve">ROMERO SERRANO JAIME LUIS </v>
      </c>
      <c r="E110" s="134" t="s">
        <v>592</v>
      </c>
      <c r="F110" s="114" t="str">
        <f>IFERROR(VLOOKUP($C110,[7]BD!$B$3:$O$213,3,0),"")</f>
        <v>OPERARIO DE MANTENIMIENTO</v>
      </c>
      <c r="G110" s="114" t="str">
        <f>IFERROR(VLOOKUP($C110,'[7]PLANILLA EDNA '!$C$9:$F$100,4,0),"NO BD")</f>
        <v>SEDE 1 - MANZANA LIEVANO - ALCALDÍA MAYOR</v>
      </c>
      <c r="H110" s="114" t="str">
        <f>IFERROR(VLOOKUP($C110,[7]BD!$B$3:$O$203,14,0),"")</f>
        <v>3206857725</v>
      </c>
      <c r="I110" s="114" t="str">
        <f>IFERROR(VLOOKUP($C110,[7]BD!$B$3:$O$203,4,0),"")</f>
        <v>18/10/2025</v>
      </c>
      <c r="J110" s="97" t="str">
        <f>INDEX('[7]PLANILLA EDNA '!C15:AK103,3,6)</f>
        <v>OK</v>
      </c>
      <c r="K110" s="97" t="str">
        <f>INDEX('[7]PLANILLA EDNA '!D15:AL103,3,6)</f>
        <v>D</v>
      </c>
      <c r="L110" s="97" t="str">
        <f>INDEX('[7]PLANILLA EDNA '!E15:AM103,3,6)</f>
        <v>D</v>
      </c>
      <c r="M110" s="97" t="str">
        <f>INDEX('[7]PLANILLA EDNA '!F15:AN103,3,6)</f>
        <v>OK</v>
      </c>
      <c r="N110" s="97" t="str">
        <f>INDEX('[7]PLANILLA EDNA '!G15:AO103,3,6)</f>
        <v>D</v>
      </c>
      <c r="O110" s="97" t="str">
        <f>INDEX('[7]PLANILLA EDNA '!H15:AP103,3,6)</f>
        <v>OK</v>
      </c>
      <c r="P110" s="97" t="str">
        <f>INDEX('[7]PLANILLA EDNA '!I15:AQ103,3,6)</f>
        <v>OK</v>
      </c>
      <c r="Q110" s="97" t="str">
        <f>INDEX('[7]PLANILLA EDNA '!J15:AR103,3,6)</f>
        <v>OK</v>
      </c>
      <c r="R110" s="97" t="str">
        <f>INDEX('[7]PLANILLA EDNA '!K15:AS103,3,6)</f>
        <v>OK</v>
      </c>
      <c r="S110" s="97" t="str">
        <f>INDEX('[7]PLANILLA EDNA '!L15:AT103,3,6)</f>
        <v>OK</v>
      </c>
      <c r="T110" s="97" t="str">
        <f>INDEX('[7]PLANILLA EDNA '!M15:AU103,3,6)</f>
        <v>OK</v>
      </c>
      <c r="U110" s="97" t="str">
        <f>INDEX('[7]PLANILLA EDNA '!N15:AV103,3,6)</f>
        <v>D</v>
      </c>
      <c r="V110" s="97" t="str">
        <f>INDEX('[7]PLANILLA EDNA '!O15:AW103,3,6)</f>
        <v>OK</v>
      </c>
      <c r="W110" s="97" t="str">
        <f>INDEX('[7]PLANILLA EDNA '!P15:AX103,3,6)</f>
        <v>OK</v>
      </c>
      <c r="X110" s="97" t="str">
        <f>INDEX('[7]PLANILLA EDNA '!Q15:AY103,3,6)</f>
        <v>OK</v>
      </c>
      <c r="Y110" s="97" t="str">
        <f>INDEX('[7]PLANILLA EDNA '!R15:AZ103,3,6)</f>
        <v>OK</v>
      </c>
      <c r="Z110" s="97" t="str">
        <f>INDEX('[7]PLANILLA EDNA '!S15:BA103,3,6)</f>
        <v>OK</v>
      </c>
      <c r="AA110" s="97" t="str">
        <f>INDEX('[7]PLANILLA EDNA '!T15:BB103,3,6)</f>
        <v>OK</v>
      </c>
      <c r="AB110" s="97" t="str">
        <f>INDEX('[7]PLANILLA EDNA '!U15:BC103,3,6)</f>
        <v>D</v>
      </c>
      <c r="AC110" s="97" t="str">
        <f>INDEX('[7]PLANILLA EDNA '!V15:BD103,3,6)</f>
        <v>OK</v>
      </c>
      <c r="AD110" s="97" t="str">
        <f>INDEX('[7]PLANILLA EDNA '!W15:BE103,3,6)</f>
        <v>OK</v>
      </c>
      <c r="AE110" s="97" t="str">
        <f>INDEX('[7]PLANILLA EDNA '!X15:BF103,3,6)</f>
        <v>OK</v>
      </c>
      <c r="AF110" s="97">
        <f>INDEX('[7]PLANILLA EDNA '!Y15:BG103,3,6)</f>
        <v>0</v>
      </c>
      <c r="AG110" s="97">
        <f>INDEX('[7]PLANILLA EDNA '!Z15:BH103,3,6)</f>
        <v>0</v>
      </c>
      <c r="AH110" s="97">
        <f>INDEX('[7]PLANILLA EDNA '!AA15:BI103,3,6)</f>
        <v>0</v>
      </c>
      <c r="AI110" s="97">
        <f>INDEX('[7]PLANILLA EDNA '!AB15:BJ103,3,6)</f>
        <v>0</v>
      </c>
      <c r="AJ110" s="97">
        <f>INDEX('[7]PLANILLA EDNA '!AC15:BK103,3,6)</f>
        <v>0</v>
      </c>
      <c r="AK110" s="97">
        <f>INDEX('[7]PLANILLA EDNA '!AD15:BL103,3,6)</f>
        <v>0</v>
      </c>
      <c r="AL110" s="97">
        <f>INDEX('[7]PLANILLA EDNA '!AE15:BM103,3,6)</f>
        <v>0</v>
      </c>
      <c r="AM110" s="97">
        <f>INDEX('[7]PLANILLA EDNA '!AF15:BN103,3,6)</f>
        <v>0</v>
      </c>
      <c r="AO110" s="116">
        <f t="shared" si="14"/>
        <v>0</v>
      </c>
      <c r="AP110" s="116">
        <f t="shared" si="14"/>
        <v>0</v>
      </c>
      <c r="AQ110" s="116">
        <f t="shared" si="14"/>
        <v>5</v>
      </c>
      <c r="AR110" s="116">
        <f t="shared" si="14"/>
        <v>0</v>
      </c>
      <c r="AS110" s="116">
        <f t="shared" si="14"/>
        <v>0</v>
      </c>
      <c r="AT110" s="116">
        <f t="shared" si="14"/>
        <v>0</v>
      </c>
      <c r="AU110" s="116">
        <f t="shared" si="14"/>
        <v>0</v>
      </c>
      <c r="AV110" s="116">
        <f t="shared" si="14"/>
        <v>0</v>
      </c>
      <c r="AW110" s="116">
        <f t="shared" si="14"/>
        <v>0</v>
      </c>
      <c r="AX110" s="116">
        <f t="shared" si="14"/>
        <v>0</v>
      </c>
      <c r="AY110" s="116">
        <f t="shared" si="14"/>
        <v>0</v>
      </c>
      <c r="AZ110" s="116">
        <f t="shared" si="14"/>
        <v>0</v>
      </c>
      <c r="BA110" s="116">
        <f t="shared" si="14"/>
        <v>17</v>
      </c>
      <c r="BB110" s="117">
        <f t="shared" si="10"/>
        <v>22</v>
      </c>
    </row>
    <row r="111" spans="1:54" ht="15.95" customHeight="1">
      <c r="B111" s="112">
        <v>103</v>
      </c>
      <c r="C111" s="133">
        <f>+'[7]PLANILLA EDNA '!C18</f>
        <v>1023881249</v>
      </c>
      <c r="D111" s="114" t="str">
        <f>IFERROR(VLOOKUP($C111,'[7]PLANILLA EDNA '!$C$9:$F$100,2,0),"NO BD")</f>
        <v xml:space="preserve">POVEDA GONZALEZ MIGUEL ANGEL </v>
      </c>
      <c r="E111" s="134" t="s">
        <v>592</v>
      </c>
      <c r="F111" s="114" t="str">
        <f>IFERROR(VLOOKUP($C111,[7]BD!$B$3:$O$213,3,0),"")</f>
        <v>OPERARIO DE MANTENIMIENTO</v>
      </c>
      <c r="G111" s="114" t="str">
        <f>IFERROR(VLOOKUP($C111,'[7]PLANILLA EDNA '!$C$9:$F$100,4,0),"NO BD")</f>
        <v>SEDE 1 - MANZANA LIEVANO - ALCALDÍA MAYOR</v>
      </c>
      <c r="H111" s="114" t="str">
        <f>IFERROR(VLOOKUP($C111,[7]BD!$B$3:$O$203,14,0),"")</f>
        <v>3219768700</v>
      </c>
      <c r="I111" s="114" t="str">
        <f>IFERROR(VLOOKUP($C111,[7]BD!$B$3:$O$203,4,0),"")</f>
        <v>18/10/2025</v>
      </c>
      <c r="J111" s="97" t="str">
        <f>INDEX('[7]PLANILLA EDNA '!C16:AK104,3,6)</f>
        <v>OK</v>
      </c>
      <c r="K111" s="97" t="str">
        <f>INDEX('[7]PLANILLA EDNA '!D16:AL104,3,6)</f>
        <v>D</v>
      </c>
      <c r="L111" s="97" t="str">
        <f>INDEX('[7]PLANILLA EDNA '!E16:AM104,3,6)</f>
        <v>D</v>
      </c>
      <c r="M111" s="97" t="str">
        <f>INDEX('[7]PLANILLA EDNA '!F16:AN104,3,6)</f>
        <v>OK</v>
      </c>
      <c r="N111" s="97" t="str">
        <f>INDEX('[7]PLANILLA EDNA '!G16:AO104,3,6)</f>
        <v>D</v>
      </c>
      <c r="O111" s="97" t="str">
        <f>INDEX('[7]PLANILLA EDNA '!H16:AP104,3,6)</f>
        <v>OK</v>
      </c>
      <c r="P111" s="97" t="str">
        <f>INDEX('[7]PLANILLA EDNA '!I16:AQ104,3,6)</f>
        <v>OK</v>
      </c>
      <c r="Q111" s="97" t="str">
        <f>INDEX('[7]PLANILLA EDNA '!J16:AR104,3,6)</f>
        <v>OK</v>
      </c>
      <c r="R111" s="97" t="str">
        <f>INDEX('[7]PLANILLA EDNA '!K16:AS104,3,6)</f>
        <v>OK</v>
      </c>
      <c r="S111" s="97" t="str">
        <f>INDEX('[7]PLANILLA EDNA '!L16:AT104,3,6)</f>
        <v>OK</v>
      </c>
      <c r="T111" s="97" t="str">
        <f>INDEX('[7]PLANILLA EDNA '!M16:AU104,3,6)</f>
        <v>OK</v>
      </c>
      <c r="U111" s="97" t="str">
        <f>INDEX('[7]PLANILLA EDNA '!N16:AV104,3,6)</f>
        <v>D</v>
      </c>
      <c r="V111" s="97" t="str">
        <f>INDEX('[7]PLANILLA EDNA '!O16:AW104,3,6)</f>
        <v>OK</v>
      </c>
      <c r="W111" s="97" t="str">
        <f>INDEX('[7]PLANILLA EDNA '!P16:AX104,3,6)</f>
        <v>OK</v>
      </c>
      <c r="X111" s="97" t="str">
        <f>INDEX('[7]PLANILLA EDNA '!Q16:AY104,3,6)</f>
        <v>OK</v>
      </c>
      <c r="Y111" s="97" t="str">
        <f>INDEX('[7]PLANILLA EDNA '!R16:AZ104,3,6)</f>
        <v>OK</v>
      </c>
      <c r="Z111" s="97" t="str">
        <f>INDEX('[7]PLANILLA EDNA '!S16:BA104,3,6)</f>
        <v>OK</v>
      </c>
      <c r="AA111" s="97" t="str">
        <f>INDEX('[7]PLANILLA EDNA '!T16:BB104,3,6)</f>
        <v>OK</v>
      </c>
      <c r="AB111" s="97" t="str">
        <f>INDEX('[7]PLANILLA EDNA '!U16:BC104,3,6)</f>
        <v>D</v>
      </c>
      <c r="AC111" s="97" t="str">
        <f>INDEX('[7]PLANILLA EDNA '!V16:BD104,3,6)</f>
        <v>OK</v>
      </c>
      <c r="AD111" s="97" t="str">
        <f>INDEX('[7]PLANILLA EDNA '!W16:BE104,3,6)</f>
        <v>OK</v>
      </c>
      <c r="AE111" s="97" t="str">
        <f>INDEX('[7]PLANILLA EDNA '!X16:BF104,3,6)</f>
        <v>OK</v>
      </c>
      <c r="AF111" s="97">
        <f>INDEX('[7]PLANILLA EDNA '!Y16:BG104,3,6)</f>
        <v>0</v>
      </c>
      <c r="AG111" s="97">
        <f>INDEX('[7]PLANILLA EDNA '!Z16:BH104,3,6)</f>
        <v>0</v>
      </c>
      <c r="AH111" s="97">
        <f>INDEX('[7]PLANILLA EDNA '!AA16:BI104,3,6)</f>
        <v>0</v>
      </c>
      <c r="AI111" s="97">
        <f>INDEX('[7]PLANILLA EDNA '!AB16:BJ104,3,6)</f>
        <v>0</v>
      </c>
      <c r="AJ111" s="97">
        <f>INDEX('[7]PLANILLA EDNA '!AC16:BK104,3,6)</f>
        <v>0</v>
      </c>
      <c r="AK111" s="97">
        <f>INDEX('[7]PLANILLA EDNA '!AD16:BL104,3,6)</f>
        <v>0</v>
      </c>
      <c r="AL111" s="97">
        <f>INDEX('[7]PLANILLA EDNA '!AE16:BM104,3,6)</f>
        <v>0</v>
      </c>
      <c r="AM111" s="97">
        <f>INDEX('[7]PLANILLA EDNA '!AF16:BN104,3,6)</f>
        <v>0</v>
      </c>
      <c r="AO111" s="116">
        <f t="shared" si="14"/>
        <v>0</v>
      </c>
      <c r="AP111" s="116">
        <f t="shared" si="14"/>
        <v>0</v>
      </c>
      <c r="AQ111" s="116">
        <f t="shared" si="14"/>
        <v>5</v>
      </c>
      <c r="AR111" s="116">
        <f t="shared" si="14"/>
        <v>0</v>
      </c>
      <c r="AS111" s="116">
        <f t="shared" si="14"/>
        <v>0</v>
      </c>
      <c r="AT111" s="116">
        <f t="shared" si="14"/>
        <v>0</v>
      </c>
      <c r="AU111" s="116">
        <f t="shared" si="14"/>
        <v>0</v>
      </c>
      <c r="AV111" s="116">
        <f t="shared" si="14"/>
        <v>0</v>
      </c>
      <c r="AW111" s="116">
        <f t="shared" si="14"/>
        <v>0</v>
      </c>
      <c r="AX111" s="116">
        <f t="shared" si="14"/>
        <v>0</v>
      </c>
      <c r="AY111" s="116">
        <f t="shared" si="14"/>
        <v>0</v>
      </c>
      <c r="AZ111" s="116">
        <f t="shared" si="14"/>
        <v>0</v>
      </c>
      <c r="BA111" s="116">
        <f t="shared" si="14"/>
        <v>17</v>
      </c>
      <c r="BB111" s="117">
        <f t="shared" si="10"/>
        <v>22</v>
      </c>
    </row>
    <row r="112" spans="1:54" ht="15.95" customHeight="1">
      <c r="A112" s="119" t="s">
        <v>583</v>
      </c>
      <c r="B112" s="112">
        <v>104</v>
      </c>
      <c r="C112" s="133">
        <f>+'[7]PLANILLA EDNA '!C19</f>
        <v>1007186042</v>
      </c>
      <c r="D112" s="114" t="str">
        <f>IFERROR(VLOOKUP($C112,'[7]PLANILLA EDNA '!$C$9:$F$100,2,0),"NO BD")</f>
        <v xml:space="preserve">ALARCON HERNANDEZ YENNY MARCELA </v>
      </c>
      <c r="E112" s="134" t="s">
        <v>592</v>
      </c>
      <c r="F112" s="114" t="str">
        <f>IFERROR(VLOOKUP($C112,[7]BD!$B$3:$O$213,3,0),"")</f>
        <v>OPERARIA DE ASEO Y CAFETERIA</v>
      </c>
      <c r="G112" s="114" t="str">
        <f>IFERROR(VLOOKUP($C112,'[7]PLANILLA EDNA '!$C$9:$F$100,4,0),"NO BD")</f>
        <v>SEDE 1 - MANZANA LIEVANO - ALCALDÍA MAYOR</v>
      </c>
      <c r="H112" s="114" t="str">
        <f>IFERROR(VLOOKUP($C112,[7]BD!$B$3:$O$203,14,0),"")</f>
        <v>3222575884</v>
      </c>
      <c r="I112" s="114" t="str">
        <f>IFERROR(VLOOKUP($C112,[7]BD!$B$3:$O$203,4,0),"")</f>
        <v>18/10/2025</v>
      </c>
      <c r="J112" s="97" t="str">
        <f>INDEX('[7]PLANILLA EDNA '!C17:AK105,3,6)</f>
        <v>OK</v>
      </c>
      <c r="K112" s="97" t="str">
        <f>INDEX('[7]PLANILLA EDNA '!D17:AL105,3,6)</f>
        <v>D</v>
      </c>
      <c r="L112" s="97" t="str">
        <f>INDEX('[7]PLANILLA EDNA '!E17:AM105,3,6)</f>
        <v>D</v>
      </c>
      <c r="M112" s="97" t="str">
        <f>INDEX('[7]PLANILLA EDNA '!F17:AN105,3,6)</f>
        <v>OK</v>
      </c>
      <c r="N112" s="97" t="str">
        <f>INDEX('[7]PLANILLA EDNA '!G17:AO105,3,6)</f>
        <v>D</v>
      </c>
      <c r="O112" s="97" t="str">
        <f>INDEX('[7]PLANILLA EDNA '!H17:AP105,3,6)</f>
        <v>OK</v>
      </c>
      <c r="P112" s="97" t="str">
        <f>INDEX('[7]PLANILLA EDNA '!I17:AQ105,3,6)</f>
        <v>OK</v>
      </c>
      <c r="Q112" s="97" t="str">
        <f>INDEX('[7]PLANILLA EDNA '!J17:AR105,3,6)</f>
        <v>INC</v>
      </c>
      <c r="R112" s="97" t="str">
        <f>INDEX('[7]PLANILLA EDNA '!K17:AS105,3,6)</f>
        <v>INC</v>
      </c>
      <c r="S112" s="97" t="str">
        <f>INDEX('[7]PLANILLA EDNA '!L17:AT105,3,6)</f>
        <v>OK</v>
      </c>
      <c r="T112" s="97" t="str">
        <f>INDEX('[7]PLANILLA EDNA '!M17:AU105,3,6)</f>
        <v>OK</v>
      </c>
      <c r="U112" s="97" t="str">
        <f>INDEX('[7]PLANILLA EDNA '!N17:AV105,3,6)</f>
        <v>D</v>
      </c>
      <c r="V112" s="97" t="str">
        <f>INDEX('[7]PLANILLA EDNA '!O17:AW105,3,6)</f>
        <v>OK</v>
      </c>
      <c r="W112" s="97" t="str">
        <f>INDEX('[7]PLANILLA EDNA '!P17:AX105,3,6)</f>
        <v>OK</v>
      </c>
      <c r="X112" s="97" t="str">
        <f>INDEX('[7]PLANILLA EDNA '!Q17:AY105,3,6)</f>
        <v>OK</v>
      </c>
      <c r="Y112" s="97" t="str">
        <f>INDEX('[7]PLANILLA EDNA '!R17:AZ105,3,6)</f>
        <v>AUS</v>
      </c>
      <c r="Z112" s="97" t="str">
        <f>INDEX('[7]PLANILLA EDNA '!S17:BA105,3,6)</f>
        <v>TS</v>
      </c>
      <c r="AA112" s="97" t="str">
        <f>INDEX('[7]PLANILLA EDNA '!T17:BB105,3,6)</f>
        <v>TS</v>
      </c>
      <c r="AB112" s="97" t="str">
        <f>INDEX('[7]PLANILLA EDNA '!U17:BC105,3,6)</f>
        <v>TS</v>
      </c>
      <c r="AC112" s="97" t="str">
        <f>INDEX('[7]PLANILLA EDNA '!V17:BD105,3,6)</f>
        <v>TS</v>
      </c>
      <c r="AD112" s="97" t="str">
        <f>INDEX('[7]PLANILLA EDNA '!W17:BE105,3,6)</f>
        <v>TS</v>
      </c>
      <c r="AE112" s="97" t="str">
        <f>INDEX('[7]PLANILLA EDNA '!X17:BF105,3,6)</f>
        <v>TS</v>
      </c>
      <c r="AF112" s="97" t="str">
        <f>INDEX('[7]PLANILLA EDNA '!Y17:BG105,3,6)</f>
        <v>TS</v>
      </c>
      <c r="AG112" s="97" t="str">
        <f>INDEX('[7]PLANILLA EDNA '!Z17:BH105,3,6)</f>
        <v>TS</v>
      </c>
      <c r="AH112" s="97" t="str">
        <f>INDEX('[7]PLANILLA EDNA '!AA17:BI105,3,6)</f>
        <v>TS</v>
      </c>
      <c r="AI112" s="97" t="str">
        <f>INDEX('[7]PLANILLA EDNA '!AB17:BJ105,3,6)</f>
        <v>TS</v>
      </c>
      <c r="AJ112" s="97" t="str">
        <f>INDEX('[7]PLANILLA EDNA '!AC17:BK105,3,6)</f>
        <v>TS</v>
      </c>
      <c r="AK112" s="97" t="str">
        <f>INDEX('[7]PLANILLA EDNA '!AD17:BL105,3,6)</f>
        <v>TS</v>
      </c>
      <c r="AL112" s="97" t="str">
        <f>INDEX('[7]PLANILLA EDNA '!AE17:BM105,3,6)</f>
        <v>TS</v>
      </c>
      <c r="AM112" s="97" t="str">
        <f>INDEX('[7]PLANILLA EDNA '!AF17:BN105,3,6)</f>
        <v>TS</v>
      </c>
      <c r="AO112" s="116">
        <f t="shared" si="14"/>
        <v>1</v>
      </c>
      <c r="AP112" s="116">
        <f t="shared" si="14"/>
        <v>0</v>
      </c>
      <c r="AQ112" s="116">
        <f t="shared" si="14"/>
        <v>4</v>
      </c>
      <c r="AR112" s="116">
        <f t="shared" si="14"/>
        <v>2</v>
      </c>
      <c r="AS112" s="116">
        <f t="shared" si="14"/>
        <v>0</v>
      </c>
      <c r="AT112" s="116">
        <f t="shared" si="14"/>
        <v>0</v>
      </c>
      <c r="AU112" s="116">
        <f t="shared" si="14"/>
        <v>0</v>
      </c>
      <c r="AV112" s="116">
        <f t="shared" si="14"/>
        <v>0</v>
      </c>
      <c r="AW112" s="116">
        <f t="shared" si="14"/>
        <v>0</v>
      </c>
      <c r="AX112" s="116">
        <f t="shared" si="14"/>
        <v>0</v>
      </c>
      <c r="AY112" s="116">
        <f t="shared" si="14"/>
        <v>0</v>
      </c>
      <c r="AZ112" s="116">
        <f t="shared" si="14"/>
        <v>14</v>
      </c>
      <c r="BA112" s="116">
        <f t="shared" si="14"/>
        <v>9</v>
      </c>
      <c r="BB112" s="117">
        <f t="shared" si="10"/>
        <v>13</v>
      </c>
    </row>
    <row r="113" spans="2:54" ht="15.95" customHeight="1">
      <c r="B113" s="112">
        <v>105</v>
      </c>
      <c r="C113" s="133">
        <f>+'[7]PLANILLA EDNA '!C20</f>
        <v>52164356</v>
      </c>
      <c r="D113" s="114" t="str">
        <f>IFERROR(VLOOKUP($C113,'[7]PLANILLA EDNA '!$C$9:$F$100,2,0),"NO BD")</f>
        <v xml:space="preserve">CATUCHE PIAMBA LUZ MARINA </v>
      </c>
      <c r="E113" s="134" t="s">
        <v>592</v>
      </c>
      <c r="F113" s="114" t="str">
        <f>IFERROR(VLOOKUP($C113,[7]BD!$B$3:$O$213,3,0),"")</f>
        <v>OPERARIA DE ASEO Y CAFETERIA</v>
      </c>
      <c r="G113" s="114" t="str">
        <f>IFERROR(VLOOKUP($C113,'[7]PLANILLA EDNA '!$C$9:$F$100,4,0),"NO BD")</f>
        <v>SEDE 1 - MANZANA LIEVANO - ALCALDÍA MAYOR</v>
      </c>
      <c r="H113" s="114" t="str">
        <f>IFERROR(VLOOKUP($C113,[7]BD!$B$3:$O$203,14,0),"")</f>
        <v>3202450652</v>
      </c>
      <c r="I113" s="114" t="str">
        <f>IFERROR(VLOOKUP($C113,[7]BD!$B$3:$O$203,4,0),"")</f>
        <v>18/10/2025</v>
      </c>
      <c r="J113" s="97" t="str">
        <f>INDEX('[7]PLANILLA EDNA '!C18:AK106,3,6)</f>
        <v>OK</v>
      </c>
      <c r="K113" s="97" t="str">
        <f>INDEX('[7]PLANILLA EDNA '!D18:AL106,3,6)</f>
        <v>D</v>
      </c>
      <c r="L113" s="97" t="str">
        <f>INDEX('[7]PLANILLA EDNA '!E18:AM106,3,6)</f>
        <v>D</v>
      </c>
      <c r="M113" s="97" t="str">
        <f>INDEX('[7]PLANILLA EDNA '!F18:AN106,3,6)</f>
        <v>OK</v>
      </c>
      <c r="N113" s="97" t="str">
        <f>INDEX('[7]PLANILLA EDNA '!G18:AO106,3,6)</f>
        <v>D</v>
      </c>
      <c r="O113" s="97" t="str">
        <f>INDEX('[7]PLANILLA EDNA '!H18:AP106,3,6)</f>
        <v>OK</v>
      </c>
      <c r="P113" s="97" t="str">
        <f>INDEX('[7]PLANILLA EDNA '!I18:AQ106,3,6)</f>
        <v>OK</v>
      </c>
      <c r="Q113" s="97" t="str">
        <f>INDEX('[7]PLANILLA EDNA '!J18:AR106,3,6)</f>
        <v>OK</v>
      </c>
      <c r="R113" s="97" t="str">
        <f>INDEX('[7]PLANILLA EDNA '!K18:AS106,3,6)</f>
        <v>OK</v>
      </c>
      <c r="S113" s="97" t="str">
        <f>INDEX('[7]PLANILLA EDNA '!L18:AT106,3,6)</f>
        <v>OK</v>
      </c>
      <c r="T113" s="97" t="str">
        <f>INDEX('[7]PLANILLA EDNA '!M18:AU106,3,6)</f>
        <v>OK</v>
      </c>
      <c r="U113" s="97" t="str">
        <f>INDEX('[7]PLANILLA EDNA '!N18:AV106,3,6)</f>
        <v>D</v>
      </c>
      <c r="V113" s="97" t="str">
        <f>INDEX('[7]PLANILLA EDNA '!O18:AW106,3,6)</f>
        <v>OK</v>
      </c>
      <c r="W113" s="97" t="str">
        <f>INDEX('[7]PLANILLA EDNA '!P18:AX106,3,6)</f>
        <v>OK</v>
      </c>
      <c r="X113" s="97" t="str">
        <f>INDEX('[7]PLANILLA EDNA '!Q18:AY106,3,6)</f>
        <v>OK</v>
      </c>
      <c r="Y113" s="97" t="str">
        <f>INDEX('[7]PLANILLA EDNA '!R18:AZ106,3,6)</f>
        <v>OK</v>
      </c>
      <c r="Z113" s="97" t="str">
        <f>INDEX('[7]PLANILLA EDNA '!S18:BA106,3,6)</f>
        <v>OK</v>
      </c>
      <c r="AA113" s="97" t="str">
        <f>INDEX('[7]PLANILLA EDNA '!T18:BB106,3,6)</f>
        <v>OK</v>
      </c>
      <c r="AB113" s="97" t="str">
        <f>INDEX('[7]PLANILLA EDNA '!U18:BC106,3,6)</f>
        <v>D</v>
      </c>
      <c r="AC113" s="97" t="str">
        <f>INDEX('[7]PLANILLA EDNA '!V18:BD106,3,6)</f>
        <v>OK</v>
      </c>
      <c r="AD113" s="97" t="str">
        <f>INDEX('[7]PLANILLA EDNA '!W18:BE106,3,6)</f>
        <v>OK</v>
      </c>
      <c r="AE113" s="97" t="str">
        <f>INDEX('[7]PLANILLA EDNA '!X18:BF106,3,6)</f>
        <v>OK</v>
      </c>
      <c r="AF113" s="97">
        <f>INDEX('[7]PLANILLA EDNA '!Y18:BG106,3,6)</f>
        <v>0</v>
      </c>
      <c r="AG113" s="97">
        <f>INDEX('[7]PLANILLA EDNA '!Z18:BH106,3,6)</f>
        <v>0</v>
      </c>
      <c r="AH113" s="97">
        <f>INDEX('[7]PLANILLA EDNA '!AA18:BI106,3,6)</f>
        <v>0</v>
      </c>
      <c r="AI113" s="97">
        <f>INDEX('[7]PLANILLA EDNA '!AB18:BJ106,3,6)</f>
        <v>0</v>
      </c>
      <c r="AJ113" s="97">
        <f>INDEX('[7]PLANILLA EDNA '!AC18:BK106,3,6)</f>
        <v>0</v>
      </c>
      <c r="AK113" s="97">
        <f>INDEX('[7]PLANILLA EDNA '!AD18:BL106,3,6)</f>
        <v>0</v>
      </c>
      <c r="AL113" s="97">
        <f>INDEX('[7]PLANILLA EDNA '!AE18:BM106,3,6)</f>
        <v>0</v>
      </c>
      <c r="AM113" s="97">
        <f>INDEX('[7]PLANILLA EDNA '!AF18:BN106,3,6)</f>
        <v>0</v>
      </c>
      <c r="AO113" s="116">
        <f t="shared" si="14"/>
        <v>0</v>
      </c>
      <c r="AP113" s="116">
        <f t="shared" si="14"/>
        <v>0</v>
      </c>
      <c r="AQ113" s="116">
        <f t="shared" si="14"/>
        <v>5</v>
      </c>
      <c r="AR113" s="116">
        <f t="shared" si="14"/>
        <v>0</v>
      </c>
      <c r="AS113" s="116">
        <f t="shared" si="14"/>
        <v>0</v>
      </c>
      <c r="AT113" s="116">
        <f t="shared" si="14"/>
        <v>0</v>
      </c>
      <c r="AU113" s="116">
        <f t="shared" si="14"/>
        <v>0</v>
      </c>
      <c r="AV113" s="116">
        <f t="shared" si="14"/>
        <v>0</v>
      </c>
      <c r="AW113" s="116">
        <f t="shared" si="14"/>
        <v>0</v>
      </c>
      <c r="AX113" s="116">
        <f t="shared" si="14"/>
        <v>0</v>
      </c>
      <c r="AY113" s="116">
        <f t="shared" si="14"/>
        <v>0</v>
      </c>
      <c r="AZ113" s="116">
        <f t="shared" si="14"/>
        <v>0</v>
      </c>
      <c r="BA113" s="116">
        <f t="shared" si="14"/>
        <v>17</v>
      </c>
      <c r="BB113" s="117">
        <f t="shared" si="10"/>
        <v>22</v>
      </c>
    </row>
    <row r="114" spans="2:54" ht="15.95" customHeight="1">
      <c r="B114" s="112">
        <v>106</v>
      </c>
      <c r="C114" s="133">
        <f>+'[7]PLANILLA EDNA '!C21</f>
        <v>28057943</v>
      </c>
      <c r="D114" s="114" t="str">
        <f>IFERROR(VLOOKUP($C114,'[7]PLANILLA EDNA '!$C$9:$F$100,2,0),"NO BD")</f>
        <v xml:space="preserve">CUADROS VALDERRAMA FRANCEID  </v>
      </c>
      <c r="E114" s="134" t="s">
        <v>592</v>
      </c>
      <c r="F114" s="114" t="str">
        <f>IFERROR(VLOOKUP($C114,[7]BD!$B$3:$O$213,3,0),"")</f>
        <v>OPERARIA DE ASEO Y CAFETERIA</v>
      </c>
      <c r="G114" s="114" t="str">
        <f>IFERROR(VLOOKUP($C114,'[7]PLANILLA EDNA '!$C$9:$F$100,4,0),"NO BD")</f>
        <v>SEDE 1 - MANZANA LIEVANO - ALCALDÍA MAYOR</v>
      </c>
      <c r="H114" s="114" t="str">
        <f>IFERROR(VLOOKUP($C114,[7]BD!$B$3:$O$203,14,0),"")</f>
        <v>3016896216</v>
      </c>
      <c r="I114" s="114" t="str">
        <f>IFERROR(VLOOKUP($C114,[7]BD!$B$3:$O$203,4,0),"")</f>
        <v>18/10/2025</v>
      </c>
      <c r="J114" s="97" t="str">
        <f>INDEX('[7]PLANILLA EDNA '!C19:AK107,3,6)</f>
        <v>OK</v>
      </c>
      <c r="K114" s="97" t="str">
        <f>INDEX('[7]PLANILLA EDNA '!D19:AL107,3,6)</f>
        <v>D</v>
      </c>
      <c r="L114" s="97" t="str">
        <f>INDEX('[7]PLANILLA EDNA '!E19:AM107,3,6)</f>
        <v>D</v>
      </c>
      <c r="M114" s="97" t="str">
        <f>INDEX('[7]PLANILLA EDNA '!F19:AN107,3,6)</f>
        <v>OK</v>
      </c>
      <c r="N114" s="97" t="str">
        <f>INDEX('[7]PLANILLA EDNA '!G19:AO107,3,6)</f>
        <v>D</v>
      </c>
      <c r="O114" s="97" t="str">
        <f>INDEX('[7]PLANILLA EDNA '!H19:AP107,3,6)</f>
        <v>OK</v>
      </c>
      <c r="P114" s="97" t="str">
        <f>INDEX('[7]PLANILLA EDNA '!I19:AQ107,3,6)</f>
        <v>OK</v>
      </c>
      <c r="Q114" s="97" t="str">
        <f>INDEX('[7]PLANILLA EDNA '!J19:AR107,3,6)</f>
        <v>OK</v>
      </c>
      <c r="R114" s="97" t="str">
        <f>INDEX('[7]PLANILLA EDNA '!K19:AS107,3,6)</f>
        <v>OK</v>
      </c>
      <c r="S114" s="97" t="str">
        <f>INDEX('[7]PLANILLA EDNA '!L19:AT107,3,6)</f>
        <v>OK</v>
      </c>
      <c r="T114" s="97" t="str">
        <f>INDEX('[7]PLANILLA EDNA '!M19:AU107,3,6)</f>
        <v>OK</v>
      </c>
      <c r="U114" s="97" t="str">
        <f>INDEX('[7]PLANILLA EDNA '!N19:AV107,3,6)</f>
        <v>D</v>
      </c>
      <c r="V114" s="97" t="str">
        <f>INDEX('[7]PLANILLA EDNA '!O19:AW107,3,6)</f>
        <v>OK</v>
      </c>
      <c r="W114" s="97" t="str">
        <f>INDEX('[7]PLANILLA EDNA '!P19:AX107,3,6)</f>
        <v>OK</v>
      </c>
      <c r="X114" s="97" t="str">
        <f>INDEX('[7]PLANILLA EDNA '!Q19:AY107,3,6)</f>
        <v>OK</v>
      </c>
      <c r="Y114" s="97" t="str">
        <f>INDEX('[7]PLANILLA EDNA '!R19:AZ107,3,6)</f>
        <v>OK</v>
      </c>
      <c r="Z114" s="97" t="str">
        <f>INDEX('[7]PLANILLA EDNA '!S19:BA107,3,6)</f>
        <v>OK</v>
      </c>
      <c r="AA114" s="97" t="str">
        <f>INDEX('[7]PLANILLA EDNA '!T19:BB107,3,6)</f>
        <v>OK</v>
      </c>
      <c r="AB114" s="97" t="str">
        <f>INDEX('[7]PLANILLA EDNA '!U19:BC107,3,6)</f>
        <v>D</v>
      </c>
      <c r="AC114" s="97" t="str">
        <f>INDEX('[7]PLANILLA EDNA '!V19:BD107,3,6)</f>
        <v>OK</v>
      </c>
      <c r="AD114" s="97" t="str">
        <f>INDEX('[7]PLANILLA EDNA '!W19:BE107,3,6)</f>
        <v>OK</v>
      </c>
      <c r="AE114" s="97" t="str">
        <f>INDEX('[7]PLANILLA EDNA '!X19:BF107,3,6)</f>
        <v>OK</v>
      </c>
      <c r="AF114" s="97">
        <f>INDEX('[7]PLANILLA EDNA '!Y19:BG107,3,6)</f>
        <v>0</v>
      </c>
      <c r="AG114" s="97">
        <f>INDEX('[7]PLANILLA EDNA '!Z19:BH107,3,6)</f>
        <v>0</v>
      </c>
      <c r="AH114" s="97">
        <f>INDEX('[7]PLANILLA EDNA '!AA19:BI107,3,6)</f>
        <v>0</v>
      </c>
      <c r="AI114" s="97">
        <f>INDEX('[7]PLANILLA EDNA '!AB19:BJ107,3,6)</f>
        <v>0</v>
      </c>
      <c r="AJ114" s="97">
        <f>INDEX('[7]PLANILLA EDNA '!AC19:BK107,3,6)</f>
        <v>0</v>
      </c>
      <c r="AK114" s="97">
        <f>INDEX('[7]PLANILLA EDNA '!AD19:BL107,3,6)</f>
        <v>0</v>
      </c>
      <c r="AL114" s="97">
        <f>INDEX('[7]PLANILLA EDNA '!AE19:BM107,3,6)</f>
        <v>0</v>
      </c>
      <c r="AM114" s="97">
        <f>INDEX('[7]PLANILLA EDNA '!AF19:BN107,3,6)</f>
        <v>0</v>
      </c>
      <c r="AO114" s="116">
        <f t="shared" si="14"/>
        <v>0</v>
      </c>
      <c r="AP114" s="116">
        <f t="shared" si="14"/>
        <v>0</v>
      </c>
      <c r="AQ114" s="116">
        <f t="shared" si="14"/>
        <v>5</v>
      </c>
      <c r="AR114" s="116">
        <f t="shared" si="14"/>
        <v>0</v>
      </c>
      <c r="AS114" s="116">
        <f t="shared" si="14"/>
        <v>0</v>
      </c>
      <c r="AT114" s="116">
        <f t="shared" si="14"/>
        <v>0</v>
      </c>
      <c r="AU114" s="116">
        <f t="shared" si="14"/>
        <v>0</v>
      </c>
      <c r="AV114" s="116">
        <f t="shared" si="14"/>
        <v>0</v>
      </c>
      <c r="AW114" s="116">
        <f t="shared" si="14"/>
        <v>0</v>
      </c>
      <c r="AX114" s="116">
        <f t="shared" si="14"/>
        <v>0</v>
      </c>
      <c r="AY114" s="116">
        <f t="shared" si="14"/>
        <v>0</v>
      </c>
      <c r="AZ114" s="116">
        <f t="shared" si="14"/>
        <v>0</v>
      </c>
      <c r="BA114" s="116">
        <f t="shared" si="14"/>
        <v>17</v>
      </c>
      <c r="BB114" s="117">
        <f t="shared" si="10"/>
        <v>22</v>
      </c>
    </row>
    <row r="115" spans="2:54" ht="15.95" customHeight="1">
      <c r="B115" s="112">
        <v>107</v>
      </c>
      <c r="C115" s="133">
        <f>+'[7]PLANILLA EDNA '!C22</f>
        <v>39659470</v>
      </c>
      <c r="D115" s="114" t="str">
        <f>IFERROR(VLOOKUP($C115,'[7]PLANILLA EDNA '!$C$9:$F$100,2,0),"NO BD")</f>
        <v xml:space="preserve">GUAYARA MOSCOSO MARIS MELDA </v>
      </c>
      <c r="E115" s="134" t="s">
        <v>592</v>
      </c>
      <c r="F115" s="114" t="str">
        <f>IFERROR(VLOOKUP($C115,[7]BD!$B$3:$O$213,3,0),"")</f>
        <v>OPERARIA DE ASEO Y CAFETERIA</v>
      </c>
      <c r="G115" s="114" t="str">
        <f>IFERROR(VLOOKUP($C115,'[7]PLANILLA EDNA '!$C$9:$F$100,4,0),"NO BD")</f>
        <v>SEDE 1 - MANZANA LIEVANO - ALCALDÍA MAYOR</v>
      </c>
      <c r="H115" s="114" t="str">
        <f>IFERROR(VLOOKUP($C115,[7]BD!$B$3:$O$203,14,0),"")</f>
        <v>3208232057</v>
      </c>
      <c r="I115" s="114" t="str">
        <f>IFERROR(VLOOKUP($C115,[7]BD!$B$3:$O$203,4,0),"")</f>
        <v>18/10/2025</v>
      </c>
      <c r="J115" s="97" t="str">
        <f>INDEX('[7]PLANILLA EDNA '!C20:AK108,3,6)</f>
        <v>OK</v>
      </c>
      <c r="K115" s="97" t="str">
        <f>INDEX('[7]PLANILLA EDNA '!D20:AL108,3,6)</f>
        <v>D</v>
      </c>
      <c r="L115" s="97" t="str">
        <f>INDEX('[7]PLANILLA EDNA '!E20:AM108,3,6)</f>
        <v>D</v>
      </c>
      <c r="M115" s="97" t="str">
        <f>INDEX('[7]PLANILLA EDNA '!F20:AN108,3,6)</f>
        <v>OK</v>
      </c>
      <c r="N115" s="97" t="str">
        <f>INDEX('[7]PLANILLA EDNA '!G20:AO108,3,6)</f>
        <v>D</v>
      </c>
      <c r="O115" s="97" t="str">
        <f>INDEX('[7]PLANILLA EDNA '!H20:AP108,3,6)</f>
        <v>OK</v>
      </c>
      <c r="P115" s="97" t="str">
        <f>INDEX('[7]PLANILLA EDNA '!I20:AQ108,3,6)</f>
        <v>OK</v>
      </c>
      <c r="Q115" s="97" t="str">
        <f>INDEX('[7]PLANILLA EDNA '!J20:AR108,3,6)</f>
        <v>OK</v>
      </c>
      <c r="R115" s="97" t="str">
        <f>INDEX('[7]PLANILLA EDNA '!K20:AS108,3,6)</f>
        <v>OK</v>
      </c>
      <c r="S115" s="97" t="str">
        <f>INDEX('[7]PLANILLA EDNA '!L20:AT108,3,6)</f>
        <v>OK</v>
      </c>
      <c r="T115" s="97" t="str">
        <f>INDEX('[7]PLANILLA EDNA '!M20:AU108,3,6)</f>
        <v>OK</v>
      </c>
      <c r="U115" s="97" t="str">
        <f>INDEX('[7]PLANILLA EDNA '!N20:AV108,3,6)</f>
        <v>D</v>
      </c>
      <c r="V115" s="97" t="str">
        <f>INDEX('[7]PLANILLA EDNA '!O20:AW108,3,6)</f>
        <v>OK</v>
      </c>
      <c r="W115" s="97" t="str">
        <f>INDEX('[7]PLANILLA EDNA '!P20:AX108,3,6)</f>
        <v>OK</v>
      </c>
      <c r="X115" s="97" t="str">
        <f>INDEX('[7]PLANILLA EDNA '!Q20:AY108,3,6)</f>
        <v>OK</v>
      </c>
      <c r="Y115" s="97" t="str">
        <f>INDEX('[7]PLANILLA EDNA '!R20:AZ108,3,6)</f>
        <v>OK</v>
      </c>
      <c r="Z115" s="97" t="str">
        <f>INDEX('[7]PLANILLA EDNA '!S20:BA108,3,6)</f>
        <v>OK</v>
      </c>
      <c r="AA115" s="97" t="str">
        <f>INDEX('[7]PLANILLA EDNA '!T20:BB108,3,6)</f>
        <v>OK</v>
      </c>
      <c r="AB115" s="97" t="str">
        <f>INDEX('[7]PLANILLA EDNA '!U20:BC108,3,6)</f>
        <v>D</v>
      </c>
      <c r="AC115" s="97" t="str">
        <f>INDEX('[7]PLANILLA EDNA '!V20:BD108,3,6)</f>
        <v>OK</v>
      </c>
      <c r="AD115" s="97" t="str">
        <f>INDEX('[7]PLANILLA EDNA '!W20:BE108,3,6)</f>
        <v>OK</v>
      </c>
      <c r="AE115" s="97" t="str">
        <f>INDEX('[7]PLANILLA EDNA '!X20:BF108,3,6)</f>
        <v>OK</v>
      </c>
      <c r="AF115" s="97">
        <f>INDEX('[7]PLANILLA EDNA '!Y20:BG108,3,6)</f>
        <v>0</v>
      </c>
      <c r="AG115" s="97">
        <f>INDEX('[7]PLANILLA EDNA '!Z20:BH108,3,6)</f>
        <v>0</v>
      </c>
      <c r="AH115" s="97">
        <f>INDEX('[7]PLANILLA EDNA '!AA20:BI108,3,6)</f>
        <v>0</v>
      </c>
      <c r="AI115" s="97">
        <f>INDEX('[7]PLANILLA EDNA '!AB20:BJ108,3,6)</f>
        <v>0</v>
      </c>
      <c r="AJ115" s="97">
        <f>INDEX('[7]PLANILLA EDNA '!AC20:BK108,3,6)</f>
        <v>0</v>
      </c>
      <c r="AK115" s="97">
        <f>INDEX('[7]PLANILLA EDNA '!AD20:BL108,3,6)</f>
        <v>0</v>
      </c>
      <c r="AL115" s="97">
        <f>INDEX('[7]PLANILLA EDNA '!AE20:BM108,3,6)</f>
        <v>0</v>
      </c>
      <c r="AM115" s="97">
        <f>INDEX('[7]PLANILLA EDNA '!AF20:BN108,3,6)</f>
        <v>0</v>
      </c>
      <c r="AO115" s="116">
        <f t="shared" si="14"/>
        <v>0</v>
      </c>
      <c r="AP115" s="116">
        <f t="shared" si="14"/>
        <v>0</v>
      </c>
      <c r="AQ115" s="116">
        <f t="shared" si="14"/>
        <v>5</v>
      </c>
      <c r="AR115" s="116">
        <f t="shared" si="14"/>
        <v>0</v>
      </c>
      <c r="AS115" s="116">
        <f t="shared" si="14"/>
        <v>0</v>
      </c>
      <c r="AT115" s="116">
        <f t="shared" si="14"/>
        <v>0</v>
      </c>
      <c r="AU115" s="116">
        <f t="shared" si="14"/>
        <v>0</v>
      </c>
      <c r="AV115" s="116">
        <f t="shared" si="14"/>
        <v>0</v>
      </c>
      <c r="AW115" s="116">
        <f t="shared" si="14"/>
        <v>0</v>
      </c>
      <c r="AX115" s="116">
        <f t="shared" si="14"/>
        <v>0</v>
      </c>
      <c r="AY115" s="116">
        <f t="shared" si="14"/>
        <v>0</v>
      </c>
      <c r="AZ115" s="116">
        <f t="shared" si="14"/>
        <v>0</v>
      </c>
      <c r="BA115" s="116">
        <f t="shared" si="14"/>
        <v>17</v>
      </c>
      <c r="BB115" s="117">
        <f t="shared" si="10"/>
        <v>22</v>
      </c>
    </row>
    <row r="116" spans="2:54" ht="32.1" customHeight="1">
      <c r="B116" s="112">
        <v>108</v>
      </c>
      <c r="C116" s="133">
        <f>+'[7]PLANILLA EDNA '!C23</f>
        <v>1001171553</v>
      </c>
      <c r="D116" s="114" t="str">
        <f>IFERROR(VLOOKUP($C116,'[7]PLANILLA EDNA '!$C$9:$F$100,2,0),"NO BD")</f>
        <v xml:space="preserve">GONZALEZ GUTIERREZ MICHAEL STIVEN </v>
      </c>
      <c r="E116" s="134" t="s">
        <v>592</v>
      </c>
      <c r="F116" s="114" t="str">
        <f>IFERROR(VLOOKUP($C116,[7]BD!$B$3:$O$213,3,0),"")</f>
        <v>OPERARIO DE MANTENIMIENTO</v>
      </c>
      <c r="G116" s="114" t="str">
        <f>IFERROR(VLOOKUP($C116,'[7]PLANILLA EDNA '!$C$9:$F$100,4,0),"NO BD")</f>
        <v xml:space="preserve">SEDE 2- DIRECCIÓN DISTRITAL DE ARCHIVO DE  BOGOTA </v>
      </c>
      <c r="H116" s="114" t="str">
        <f>IFERROR(VLOOKUP($C116,[7]BD!$B$3:$O$203,14,0),"")</f>
        <v>3204873500</v>
      </c>
      <c r="I116" s="114" t="str">
        <f>IFERROR(VLOOKUP($C116,[7]BD!$B$3:$O$203,4,0),"")</f>
        <v>18/10/2025</v>
      </c>
      <c r="J116" s="97" t="str">
        <f>INDEX('[7]PLANILLA EDNA '!C21:AK109,3,6)</f>
        <v>OK</v>
      </c>
      <c r="K116" s="97" t="str">
        <f>INDEX('[7]PLANILLA EDNA '!D21:AL109,3,6)</f>
        <v>D</v>
      </c>
      <c r="L116" s="97" t="str">
        <f>INDEX('[7]PLANILLA EDNA '!E21:AM109,3,6)</f>
        <v>D</v>
      </c>
      <c r="M116" s="97" t="str">
        <f>INDEX('[7]PLANILLA EDNA '!F21:AN109,3,6)</f>
        <v>OK</v>
      </c>
      <c r="N116" s="97" t="str">
        <f>INDEX('[7]PLANILLA EDNA '!G21:AO109,3,6)</f>
        <v>D</v>
      </c>
      <c r="O116" s="97" t="str">
        <f>INDEX('[7]PLANILLA EDNA '!H21:AP109,3,6)</f>
        <v>OK</v>
      </c>
      <c r="P116" s="97" t="str">
        <f>INDEX('[7]PLANILLA EDNA '!I21:AQ109,3,6)</f>
        <v>OK</v>
      </c>
      <c r="Q116" s="97" t="str">
        <f>INDEX('[7]PLANILLA EDNA '!J21:AR109,3,6)</f>
        <v>OK</v>
      </c>
      <c r="R116" s="97" t="str">
        <f>INDEX('[7]PLANILLA EDNA '!K21:AS109,3,6)</f>
        <v>OK</v>
      </c>
      <c r="S116" s="97" t="str">
        <f>INDEX('[7]PLANILLA EDNA '!L21:AT109,3,6)</f>
        <v>OK</v>
      </c>
      <c r="T116" s="97" t="str">
        <f>INDEX('[7]PLANILLA EDNA '!M21:AU109,3,6)</f>
        <v>OK</v>
      </c>
      <c r="U116" s="97" t="str">
        <f>INDEX('[7]PLANILLA EDNA '!N21:AV109,3,6)</f>
        <v>D</v>
      </c>
      <c r="V116" s="97" t="str">
        <f>INDEX('[7]PLANILLA EDNA '!O21:AW109,3,6)</f>
        <v>OK</v>
      </c>
      <c r="W116" s="97" t="str">
        <f>INDEX('[7]PLANILLA EDNA '!P21:AX109,3,6)</f>
        <v>OK</v>
      </c>
      <c r="X116" s="97" t="str">
        <f>INDEX('[7]PLANILLA EDNA '!Q21:AY109,3,6)</f>
        <v>OK</v>
      </c>
      <c r="Y116" s="97" t="str">
        <f>INDEX('[7]PLANILLA EDNA '!R21:AZ109,3,6)</f>
        <v>OK</v>
      </c>
      <c r="Z116" s="97" t="str">
        <f>INDEX('[7]PLANILLA EDNA '!S21:BA109,3,6)</f>
        <v>OK</v>
      </c>
      <c r="AA116" s="97" t="str">
        <f>INDEX('[7]PLANILLA EDNA '!T21:BB109,3,6)</f>
        <v>OK</v>
      </c>
      <c r="AB116" s="97" t="str">
        <f>INDEX('[7]PLANILLA EDNA '!U21:BC109,3,6)</f>
        <v>D</v>
      </c>
      <c r="AC116" s="97" t="str">
        <f>INDEX('[7]PLANILLA EDNA '!V21:BD109,3,6)</f>
        <v>OK</v>
      </c>
      <c r="AD116" s="97" t="str">
        <f>INDEX('[7]PLANILLA EDNA '!W21:BE109,3,6)</f>
        <v>OK</v>
      </c>
      <c r="AE116" s="97" t="str">
        <f>INDEX('[7]PLANILLA EDNA '!X21:BF109,3,6)</f>
        <v>OK</v>
      </c>
      <c r="AF116" s="97">
        <f>INDEX('[7]PLANILLA EDNA '!Y21:BG109,3,6)</f>
        <v>0</v>
      </c>
      <c r="AG116" s="97">
        <f>INDEX('[7]PLANILLA EDNA '!Z21:BH109,3,6)</f>
        <v>0</v>
      </c>
      <c r="AH116" s="97">
        <f>INDEX('[7]PLANILLA EDNA '!AA21:BI109,3,6)</f>
        <v>0</v>
      </c>
      <c r="AI116" s="97">
        <f>INDEX('[7]PLANILLA EDNA '!AB21:BJ109,3,6)</f>
        <v>0</v>
      </c>
      <c r="AJ116" s="97">
        <f>INDEX('[7]PLANILLA EDNA '!AC21:BK109,3,6)</f>
        <v>0</v>
      </c>
      <c r="AK116" s="97">
        <f>INDEX('[7]PLANILLA EDNA '!AD21:BL109,3,6)</f>
        <v>0</v>
      </c>
      <c r="AL116" s="97">
        <f>INDEX('[7]PLANILLA EDNA '!AE21:BM109,3,6)</f>
        <v>0</v>
      </c>
      <c r="AM116" s="97">
        <f>INDEX('[7]PLANILLA EDNA '!AF21:BN109,3,6)</f>
        <v>0</v>
      </c>
      <c r="AO116" s="116">
        <f t="shared" si="14"/>
        <v>0</v>
      </c>
      <c r="AP116" s="116">
        <f t="shared" si="14"/>
        <v>0</v>
      </c>
      <c r="AQ116" s="116">
        <f t="shared" si="14"/>
        <v>5</v>
      </c>
      <c r="AR116" s="116">
        <f t="shared" si="14"/>
        <v>0</v>
      </c>
      <c r="AS116" s="116">
        <f t="shared" si="14"/>
        <v>0</v>
      </c>
      <c r="AT116" s="116">
        <f t="shared" si="14"/>
        <v>0</v>
      </c>
      <c r="AU116" s="116">
        <f t="shared" si="14"/>
        <v>0</v>
      </c>
      <c r="AV116" s="116">
        <f t="shared" si="14"/>
        <v>0</v>
      </c>
      <c r="AW116" s="116">
        <f t="shared" si="14"/>
        <v>0</v>
      </c>
      <c r="AX116" s="116">
        <f t="shared" si="14"/>
        <v>0</v>
      </c>
      <c r="AY116" s="116">
        <f t="shared" si="14"/>
        <v>0</v>
      </c>
      <c r="AZ116" s="116">
        <f t="shared" si="14"/>
        <v>0</v>
      </c>
      <c r="BA116" s="116">
        <f t="shared" si="14"/>
        <v>17</v>
      </c>
      <c r="BB116" s="117">
        <f t="shared" si="10"/>
        <v>22</v>
      </c>
    </row>
    <row r="117" spans="2:54" ht="32.1" customHeight="1">
      <c r="B117" s="112">
        <v>109</v>
      </c>
      <c r="C117" s="133">
        <f>+'[7]PLANILLA EDNA '!C24</f>
        <v>52028199</v>
      </c>
      <c r="D117" s="114" t="str">
        <f>IFERROR(VLOOKUP($C117,'[7]PLANILLA EDNA '!$C$9:$F$100,2,0),"NO BD")</f>
        <v xml:space="preserve">LADINO ARDILA DAMARIS  </v>
      </c>
      <c r="E117" s="134" t="s">
        <v>592</v>
      </c>
      <c r="F117" s="114" t="str">
        <f>IFERROR(VLOOKUP($C117,[7]BD!$B$3:$O$213,3,0),"")</f>
        <v>OPERARIA DE ASEO Y CAFETERIA</v>
      </c>
      <c r="G117" s="114" t="str">
        <f>IFERROR(VLOOKUP($C117,'[7]PLANILLA EDNA '!$C$9:$F$100,4,0),"NO BD")</f>
        <v xml:space="preserve">SEDE 2- DIRECCIÓN DISTRITAL DE ARCHIVO DE  BOGOTA </v>
      </c>
      <c r="H117" s="114" t="str">
        <f>IFERROR(VLOOKUP($C117,[7]BD!$B$3:$O$203,14,0),"")</f>
        <v>3102549778</v>
      </c>
      <c r="I117" s="114" t="str">
        <f>IFERROR(VLOOKUP($C117,[7]BD!$B$3:$O$203,4,0),"")</f>
        <v>18/10/2025</v>
      </c>
      <c r="J117" s="97" t="str">
        <f>INDEX('[7]PLANILLA EDNA '!C22:AK110,3,6)</f>
        <v>OK</v>
      </c>
      <c r="K117" s="97" t="str">
        <f>INDEX('[7]PLANILLA EDNA '!D22:AL110,3,6)</f>
        <v>D</v>
      </c>
      <c r="L117" s="97" t="str">
        <f>INDEX('[7]PLANILLA EDNA '!E22:AM110,3,6)</f>
        <v>D</v>
      </c>
      <c r="M117" s="97" t="str">
        <f>INDEX('[7]PLANILLA EDNA '!F22:AN110,3,6)</f>
        <v>OK</v>
      </c>
      <c r="N117" s="97" t="str">
        <f>INDEX('[7]PLANILLA EDNA '!G22:AO110,3,6)</f>
        <v>D</v>
      </c>
      <c r="O117" s="97" t="str">
        <f>INDEX('[7]PLANILLA EDNA '!H22:AP110,3,6)</f>
        <v>OK</v>
      </c>
      <c r="P117" s="97" t="str">
        <f>INDEX('[7]PLANILLA EDNA '!I22:AQ110,3,6)</f>
        <v>OK</v>
      </c>
      <c r="Q117" s="97" t="str">
        <f>INDEX('[7]PLANILLA EDNA '!J22:AR110,3,6)</f>
        <v>OK</v>
      </c>
      <c r="R117" s="97" t="str">
        <f>INDEX('[7]PLANILLA EDNA '!K22:AS110,3,6)</f>
        <v>OK</v>
      </c>
      <c r="S117" s="97" t="str">
        <f>INDEX('[7]PLANILLA EDNA '!L22:AT110,3,6)</f>
        <v>OK</v>
      </c>
      <c r="T117" s="97" t="str">
        <f>INDEX('[7]PLANILLA EDNA '!M22:AU110,3,6)</f>
        <v>OK</v>
      </c>
      <c r="U117" s="97" t="str">
        <f>INDEX('[7]PLANILLA EDNA '!N22:AV110,3,6)</f>
        <v>D</v>
      </c>
      <c r="V117" s="97" t="str">
        <f>INDEX('[7]PLANILLA EDNA '!O22:AW110,3,6)</f>
        <v>OK</v>
      </c>
      <c r="W117" s="97" t="str">
        <f>INDEX('[7]PLANILLA EDNA '!P22:AX110,3,6)</f>
        <v>OK</v>
      </c>
      <c r="X117" s="97" t="str">
        <f>INDEX('[7]PLANILLA EDNA '!Q22:AY110,3,6)</f>
        <v>OK</v>
      </c>
      <c r="Y117" s="97" t="str">
        <f>INDEX('[7]PLANILLA EDNA '!R22:AZ110,3,6)</f>
        <v>OK</v>
      </c>
      <c r="Z117" s="97" t="str">
        <f>INDEX('[7]PLANILLA EDNA '!S22:BA110,3,6)</f>
        <v>OK</v>
      </c>
      <c r="AA117" s="97" t="str">
        <f>INDEX('[7]PLANILLA EDNA '!T22:BB110,3,6)</f>
        <v>OK</v>
      </c>
      <c r="AB117" s="97" t="str">
        <f>INDEX('[7]PLANILLA EDNA '!U22:BC110,3,6)</f>
        <v>D</v>
      </c>
      <c r="AC117" s="97" t="str">
        <f>INDEX('[7]PLANILLA EDNA '!V22:BD110,3,6)</f>
        <v>OK</v>
      </c>
      <c r="AD117" s="97" t="str">
        <f>INDEX('[7]PLANILLA EDNA '!W22:BE110,3,6)</f>
        <v>OK</v>
      </c>
      <c r="AE117" s="97" t="str">
        <f>INDEX('[7]PLANILLA EDNA '!X22:BF110,3,6)</f>
        <v>OK</v>
      </c>
      <c r="AF117" s="97">
        <f>INDEX('[7]PLANILLA EDNA '!Y22:BG110,3,6)</f>
        <v>0</v>
      </c>
      <c r="AG117" s="97">
        <f>INDEX('[7]PLANILLA EDNA '!Z22:BH110,3,6)</f>
        <v>0</v>
      </c>
      <c r="AH117" s="97">
        <f>INDEX('[7]PLANILLA EDNA '!AA22:BI110,3,6)</f>
        <v>0</v>
      </c>
      <c r="AI117" s="97">
        <f>INDEX('[7]PLANILLA EDNA '!AB22:BJ110,3,6)</f>
        <v>0</v>
      </c>
      <c r="AJ117" s="97">
        <f>INDEX('[7]PLANILLA EDNA '!AC22:BK110,3,6)</f>
        <v>0</v>
      </c>
      <c r="AK117" s="97">
        <f>INDEX('[7]PLANILLA EDNA '!AD22:BL110,3,6)</f>
        <v>0</v>
      </c>
      <c r="AL117" s="97">
        <f>INDEX('[7]PLANILLA EDNA '!AE22:BM110,3,6)</f>
        <v>0</v>
      </c>
      <c r="AM117" s="97">
        <f>INDEX('[7]PLANILLA EDNA '!AF22:BN110,3,6)</f>
        <v>0</v>
      </c>
      <c r="AO117" s="116">
        <f t="shared" si="14"/>
        <v>0</v>
      </c>
      <c r="AP117" s="116">
        <f t="shared" si="14"/>
        <v>0</v>
      </c>
      <c r="AQ117" s="116">
        <f t="shared" si="14"/>
        <v>5</v>
      </c>
      <c r="AR117" s="116">
        <f t="shared" si="14"/>
        <v>0</v>
      </c>
      <c r="AS117" s="116">
        <f t="shared" si="14"/>
        <v>0</v>
      </c>
      <c r="AT117" s="116">
        <f t="shared" si="14"/>
        <v>0</v>
      </c>
      <c r="AU117" s="116">
        <f t="shared" si="14"/>
        <v>0</v>
      </c>
      <c r="AV117" s="116">
        <f t="shared" si="14"/>
        <v>0</v>
      </c>
      <c r="AW117" s="116">
        <f t="shared" si="14"/>
        <v>0</v>
      </c>
      <c r="AX117" s="116">
        <f t="shared" si="14"/>
        <v>0</v>
      </c>
      <c r="AY117" s="116">
        <f t="shared" si="14"/>
        <v>0</v>
      </c>
      <c r="AZ117" s="116">
        <f t="shared" si="14"/>
        <v>0</v>
      </c>
      <c r="BA117" s="116">
        <f t="shared" si="14"/>
        <v>17</v>
      </c>
      <c r="BB117" s="117">
        <f t="shared" si="10"/>
        <v>22</v>
      </c>
    </row>
    <row r="118" spans="2:54" ht="15.95" customHeight="1">
      <c r="B118" s="112">
        <v>110</v>
      </c>
      <c r="C118" s="133">
        <f>+'[7]PLANILLA EDNA '!C25</f>
        <v>1033681788</v>
      </c>
      <c r="D118" s="114" t="str">
        <f>IFERROR(VLOOKUP($C118,'[7]PLANILLA EDNA '!$C$9:$F$100,2,0),"NO BD")</f>
        <v xml:space="preserve">LOAIZA PERDOMO MARITZA FERNANDA </v>
      </c>
      <c r="E118" s="134" t="s">
        <v>592</v>
      </c>
      <c r="F118" s="114" t="str">
        <f>IFERROR(VLOOKUP($C118,[7]BD!$B$3:$O$213,3,0),"")</f>
        <v>OPERARIA DE ASEO Y CAFETERIA</v>
      </c>
      <c r="G118" s="114" t="str">
        <f>IFERROR(VLOOKUP($C118,'[7]PLANILLA EDNA '!$C$9:$F$100,4,0),"NO BD")</f>
        <v>SEDE 1 - MANZANA LIEVANO - ALCALDÍA MAYOR</v>
      </c>
      <c r="H118" s="114" t="str">
        <f>IFERROR(VLOOKUP($C118,[7]BD!$B$3:$O$203,14,0),"")</f>
        <v>3228994379</v>
      </c>
      <c r="I118" s="114" t="str">
        <f>IFERROR(VLOOKUP($C118,[7]BD!$B$3:$O$203,4,0),"")</f>
        <v>18/10/2025</v>
      </c>
      <c r="J118" s="97" t="str">
        <f>INDEX('[7]PLANILLA EDNA '!C23:AK111,3,6)</f>
        <v>OK</v>
      </c>
      <c r="K118" s="97" t="str">
        <f>INDEX('[7]PLANILLA EDNA '!D23:AL111,3,6)</f>
        <v>D</v>
      </c>
      <c r="L118" s="97" t="str">
        <f>INDEX('[7]PLANILLA EDNA '!E23:AM111,3,6)</f>
        <v>D</v>
      </c>
      <c r="M118" s="97" t="str">
        <f>INDEX('[7]PLANILLA EDNA '!F23:AN111,3,6)</f>
        <v>OK</v>
      </c>
      <c r="N118" s="97" t="str">
        <f>INDEX('[7]PLANILLA EDNA '!G23:AO111,3,6)</f>
        <v>D</v>
      </c>
      <c r="O118" s="97" t="str">
        <f>INDEX('[7]PLANILLA EDNA '!H23:AP111,3,6)</f>
        <v>OK</v>
      </c>
      <c r="P118" s="97" t="str">
        <f>INDEX('[7]PLANILLA EDNA '!I23:AQ111,3,6)</f>
        <v>OK</v>
      </c>
      <c r="Q118" s="97" t="str">
        <f>INDEX('[7]PLANILLA EDNA '!J23:AR111,3,6)</f>
        <v>OK</v>
      </c>
      <c r="R118" s="97" t="str">
        <f>INDEX('[7]PLANILLA EDNA '!K23:AS111,3,6)</f>
        <v>OK</v>
      </c>
      <c r="S118" s="97" t="str">
        <f>INDEX('[7]PLANILLA EDNA '!L23:AT111,3,6)</f>
        <v>OK</v>
      </c>
      <c r="T118" s="97" t="str">
        <f>INDEX('[7]PLANILLA EDNA '!M23:AU111,3,6)</f>
        <v>OK</v>
      </c>
      <c r="U118" s="97" t="str">
        <f>INDEX('[7]PLANILLA EDNA '!N23:AV111,3,6)</f>
        <v>D</v>
      </c>
      <c r="V118" s="97" t="str">
        <f>INDEX('[7]PLANILLA EDNA '!O23:AW111,3,6)</f>
        <v>OK</v>
      </c>
      <c r="W118" s="97" t="str">
        <f>INDEX('[7]PLANILLA EDNA '!P23:AX111,3,6)</f>
        <v>OK</v>
      </c>
      <c r="X118" s="97" t="str">
        <f>INDEX('[7]PLANILLA EDNA '!Q23:AY111,3,6)</f>
        <v>OK</v>
      </c>
      <c r="Y118" s="97" t="str">
        <f>INDEX('[7]PLANILLA EDNA '!R23:AZ111,3,6)</f>
        <v>OK</v>
      </c>
      <c r="Z118" s="97" t="str">
        <f>INDEX('[7]PLANILLA EDNA '!S23:BA111,3,6)</f>
        <v>OK</v>
      </c>
      <c r="AA118" s="97" t="str">
        <f>INDEX('[7]PLANILLA EDNA '!T23:BB111,3,6)</f>
        <v>OK</v>
      </c>
      <c r="AB118" s="97" t="str">
        <f>INDEX('[7]PLANILLA EDNA '!U23:BC111,3,6)</f>
        <v>D</v>
      </c>
      <c r="AC118" s="97" t="str">
        <f>INDEX('[7]PLANILLA EDNA '!V23:BD111,3,6)</f>
        <v>OK</v>
      </c>
      <c r="AD118" s="97" t="str">
        <f>INDEX('[7]PLANILLA EDNA '!W23:BE111,3,6)</f>
        <v>OK</v>
      </c>
      <c r="AE118" s="97" t="str">
        <f>INDEX('[7]PLANILLA EDNA '!X23:BF111,3,6)</f>
        <v>CD</v>
      </c>
      <c r="AF118" s="97">
        <f>INDEX('[7]PLANILLA EDNA '!Y23:BG111,3,6)</f>
        <v>0</v>
      </c>
      <c r="AG118" s="97">
        <f>INDEX('[7]PLANILLA EDNA '!Z23:BH111,3,6)</f>
        <v>0</v>
      </c>
      <c r="AH118" s="97">
        <f>INDEX('[7]PLANILLA EDNA '!AA23:BI111,3,6)</f>
        <v>0</v>
      </c>
      <c r="AI118" s="97">
        <f>INDEX('[7]PLANILLA EDNA '!AB23:BJ111,3,6)</f>
        <v>0</v>
      </c>
      <c r="AJ118" s="97">
        <f>INDEX('[7]PLANILLA EDNA '!AC23:BK111,3,6)</f>
        <v>0</v>
      </c>
      <c r="AK118" s="97">
        <f>INDEX('[7]PLANILLA EDNA '!AD23:BL111,3,6)</f>
        <v>0</v>
      </c>
      <c r="AL118" s="97">
        <f>INDEX('[7]PLANILLA EDNA '!AE23:BM111,3,6)</f>
        <v>0</v>
      </c>
      <c r="AM118" s="97">
        <f>INDEX('[7]PLANILLA EDNA '!AF23:BN111,3,6)</f>
        <v>0</v>
      </c>
      <c r="AO118" s="116">
        <f t="shared" si="14"/>
        <v>0</v>
      </c>
      <c r="AP118" s="116">
        <f t="shared" si="14"/>
        <v>0</v>
      </c>
      <c r="AQ118" s="116">
        <f t="shared" si="14"/>
        <v>5</v>
      </c>
      <c r="AR118" s="116">
        <f t="shared" si="14"/>
        <v>0</v>
      </c>
      <c r="AS118" s="116">
        <f t="shared" si="14"/>
        <v>0</v>
      </c>
      <c r="AT118" s="116">
        <f t="shared" si="14"/>
        <v>0</v>
      </c>
      <c r="AU118" s="116">
        <f t="shared" si="14"/>
        <v>0</v>
      </c>
      <c r="AV118" s="116">
        <f t="shared" si="14"/>
        <v>1</v>
      </c>
      <c r="AW118" s="116">
        <f t="shared" si="14"/>
        <v>0</v>
      </c>
      <c r="AX118" s="116">
        <f t="shared" si="14"/>
        <v>0</v>
      </c>
      <c r="AY118" s="116">
        <f t="shared" si="14"/>
        <v>0</v>
      </c>
      <c r="AZ118" s="116">
        <f t="shared" si="14"/>
        <v>0</v>
      </c>
      <c r="BA118" s="116">
        <f t="shared" si="14"/>
        <v>16</v>
      </c>
      <c r="BB118" s="117">
        <f t="shared" si="10"/>
        <v>21</v>
      </c>
    </row>
    <row r="119" spans="2:54" ht="15.95" customHeight="1">
      <c r="B119" s="112">
        <v>111</v>
      </c>
      <c r="C119" s="133">
        <f>+'[7]PLANILLA EDNA '!C26</f>
        <v>1063148543</v>
      </c>
      <c r="D119" s="114" t="str">
        <f>IFERROR(VLOOKUP($C119,'[7]PLANILLA EDNA '!$C$9:$F$100,2,0),"NO BD")</f>
        <v xml:space="preserve">LOPEZ DORIA PEDRO ANTONIO </v>
      </c>
      <c r="E119" s="134" t="s">
        <v>592</v>
      </c>
      <c r="F119" s="114" t="str">
        <f>IFERROR(VLOOKUP($C119,[7]BD!$B$3:$O$213,3,0),"")</f>
        <v>OPERARIO DE MANTENIMIENTO</v>
      </c>
      <c r="G119" s="114" t="str">
        <f>IFERROR(VLOOKUP($C119,'[7]PLANILLA EDNA '!$C$9:$F$100,4,0),"NO BD")</f>
        <v>SEDE 1 - MANZANA LIEVANO - ALCALDÍA MAYOR</v>
      </c>
      <c r="H119" s="114" t="str">
        <f>IFERROR(VLOOKUP($C119,[7]BD!$B$3:$O$203,14,0),"")</f>
        <v>3154054819</v>
      </c>
      <c r="I119" s="114" t="str">
        <f>IFERROR(VLOOKUP($C119,[7]BD!$B$3:$O$203,4,0),"")</f>
        <v>18/10/2025</v>
      </c>
      <c r="J119" s="97" t="str">
        <f>INDEX('[7]PLANILLA EDNA '!C24:AK112,3,6)</f>
        <v>OK</v>
      </c>
      <c r="K119" s="97" t="str">
        <f>INDEX('[7]PLANILLA EDNA '!D24:AL112,3,6)</f>
        <v>D</v>
      </c>
      <c r="L119" s="97" t="str">
        <f>INDEX('[7]PLANILLA EDNA '!E24:AM112,3,6)</f>
        <v>D</v>
      </c>
      <c r="M119" s="97" t="str">
        <f>INDEX('[7]PLANILLA EDNA '!F24:AN112,3,6)</f>
        <v>OK</v>
      </c>
      <c r="N119" s="97" t="str">
        <f>INDEX('[7]PLANILLA EDNA '!G24:AO112,3,6)</f>
        <v>D</v>
      </c>
      <c r="O119" s="97" t="str">
        <f>INDEX('[7]PLANILLA EDNA '!H24:AP112,3,6)</f>
        <v>OK</v>
      </c>
      <c r="P119" s="97" t="str">
        <f>INDEX('[7]PLANILLA EDNA '!I24:AQ112,3,6)</f>
        <v>OK</v>
      </c>
      <c r="Q119" s="97" t="str">
        <f>INDEX('[7]PLANILLA EDNA '!J24:AR112,3,6)</f>
        <v>OK</v>
      </c>
      <c r="R119" s="97" t="str">
        <f>INDEX('[7]PLANILLA EDNA '!K24:AS112,3,6)</f>
        <v>OK</v>
      </c>
      <c r="S119" s="97" t="str">
        <f>INDEX('[7]PLANILLA EDNA '!L24:AT112,3,6)</f>
        <v>OK</v>
      </c>
      <c r="T119" s="97" t="str">
        <f>INDEX('[7]PLANILLA EDNA '!M24:AU112,3,6)</f>
        <v>OK</v>
      </c>
      <c r="U119" s="97" t="str">
        <f>INDEX('[7]PLANILLA EDNA '!N24:AV112,3,6)</f>
        <v>D</v>
      </c>
      <c r="V119" s="97" t="str">
        <f>INDEX('[7]PLANILLA EDNA '!O24:AW112,3,6)</f>
        <v>OK</v>
      </c>
      <c r="W119" s="97" t="str">
        <f>INDEX('[7]PLANILLA EDNA '!P24:AX112,3,6)</f>
        <v>OK</v>
      </c>
      <c r="X119" s="97" t="str">
        <f>INDEX('[7]PLANILLA EDNA '!Q24:AY112,3,6)</f>
        <v>OK</v>
      </c>
      <c r="Y119" s="97" t="str">
        <f>INDEX('[7]PLANILLA EDNA '!R24:AZ112,3,6)</f>
        <v>OK</v>
      </c>
      <c r="Z119" s="97" t="str">
        <f>INDEX('[7]PLANILLA EDNA '!S24:BA112,3,6)</f>
        <v>OK</v>
      </c>
      <c r="AA119" s="97" t="str">
        <f>INDEX('[7]PLANILLA EDNA '!T24:BB112,3,6)</f>
        <v>OK</v>
      </c>
      <c r="AB119" s="97" t="str">
        <f>INDEX('[7]PLANILLA EDNA '!U24:BC112,3,6)</f>
        <v>D</v>
      </c>
      <c r="AC119" s="97" t="str">
        <f>INDEX('[7]PLANILLA EDNA '!V24:BD112,3,6)</f>
        <v>OK</v>
      </c>
      <c r="AD119" s="97" t="str">
        <f>INDEX('[7]PLANILLA EDNA '!W24:BE112,3,6)</f>
        <v>OK</v>
      </c>
      <c r="AE119" s="97" t="str">
        <f>INDEX('[7]PLANILLA EDNA '!X24:BF112,3,6)</f>
        <v>OK</v>
      </c>
      <c r="AF119" s="97">
        <f>INDEX('[7]PLANILLA EDNA '!Y24:BG112,3,6)</f>
        <v>0</v>
      </c>
      <c r="AG119" s="97">
        <f>INDEX('[7]PLANILLA EDNA '!Z24:BH112,3,6)</f>
        <v>0</v>
      </c>
      <c r="AH119" s="97">
        <f>INDEX('[7]PLANILLA EDNA '!AA24:BI112,3,6)</f>
        <v>0</v>
      </c>
      <c r="AI119" s="97">
        <f>INDEX('[7]PLANILLA EDNA '!AB24:BJ112,3,6)</f>
        <v>0</v>
      </c>
      <c r="AJ119" s="97">
        <f>INDEX('[7]PLANILLA EDNA '!AC24:BK112,3,6)</f>
        <v>0</v>
      </c>
      <c r="AK119" s="97">
        <f>INDEX('[7]PLANILLA EDNA '!AD24:BL112,3,6)</f>
        <v>0</v>
      </c>
      <c r="AL119" s="97">
        <f>INDEX('[7]PLANILLA EDNA '!AE24:BM112,3,6)</f>
        <v>0</v>
      </c>
      <c r="AM119" s="97">
        <f>INDEX('[7]PLANILLA EDNA '!AF24:BN112,3,6)</f>
        <v>0</v>
      </c>
      <c r="AO119" s="116">
        <f t="shared" si="14"/>
        <v>0</v>
      </c>
      <c r="AP119" s="116">
        <f t="shared" si="14"/>
        <v>0</v>
      </c>
      <c r="AQ119" s="116">
        <f t="shared" si="14"/>
        <v>5</v>
      </c>
      <c r="AR119" s="116">
        <f t="shared" si="14"/>
        <v>0</v>
      </c>
      <c r="AS119" s="116">
        <f t="shared" si="14"/>
        <v>0</v>
      </c>
      <c r="AT119" s="116">
        <f t="shared" si="14"/>
        <v>0</v>
      </c>
      <c r="AU119" s="116">
        <f t="shared" si="14"/>
        <v>0</v>
      </c>
      <c r="AV119" s="116">
        <f t="shared" si="14"/>
        <v>0</v>
      </c>
      <c r="AW119" s="116">
        <f t="shared" si="14"/>
        <v>0</v>
      </c>
      <c r="AX119" s="116">
        <f t="shared" si="14"/>
        <v>0</v>
      </c>
      <c r="AY119" s="116">
        <f t="shared" si="14"/>
        <v>0</v>
      </c>
      <c r="AZ119" s="116">
        <f t="shared" si="14"/>
        <v>0</v>
      </c>
      <c r="BA119" s="116">
        <f t="shared" si="14"/>
        <v>17</v>
      </c>
      <c r="BB119" s="117">
        <f t="shared" si="10"/>
        <v>22</v>
      </c>
    </row>
    <row r="120" spans="2:54" ht="15.95" customHeight="1">
      <c r="B120" s="112">
        <v>112</v>
      </c>
      <c r="C120" s="133">
        <f>+'[7]PLANILLA EDNA '!C27</f>
        <v>51893138</v>
      </c>
      <c r="D120" s="114" t="str">
        <f>IFERROR(VLOOKUP($C120,'[7]PLANILLA EDNA '!$C$9:$F$100,2,0),"NO BD")</f>
        <v xml:space="preserve">PARRA RINCON GLORIA  </v>
      </c>
      <c r="E120" s="134" t="s">
        <v>592</v>
      </c>
      <c r="F120" s="114" t="str">
        <f>IFERROR(VLOOKUP($C120,[7]BD!$B$3:$O$213,3,0),"")</f>
        <v>OPERARIA DE ASEO Y CAFETERIA</v>
      </c>
      <c r="G120" s="114" t="str">
        <f>IFERROR(VLOOKUP($C120,'[7]PLANILLA EDNA '!$C$9:$F$100,4,0),"NO BD")</f>
        <v>SEDE 1 - MANZANA LIEVANO - ALCALDÍA MAYOR</v>
      </c>
      <c r="H120" s="114" t="str">
        <f>IFERROR(VLOOKUP($C120,[7]BD!$B$3:$O$203,14,0),"")</f>
        <v>3208107667</v>
      </c>
      <c r="I120" s="114" t="str">
        <f>IFERROR(VLOOKUP($C120,[7]BD!$B$3:$O$203,4,0),"")</f>
        <v>18/10/2025</v>
      </c>
      <c r="J120" s="97" t="str">
        <f>INDEX('[7]PLANILLA EDNA '!C25:AK113,3,6)</f>
        <v>OK</v>
      </c>
      <c r="K120" s="97" t="str">
        <f>INDEX('[7]PLANILLA EDNA '!D25:AL113,3,6)</f>
        <v>D</v>
      </c>
      <c r="L120" s="97" t="str">
        <f>INDEX('[7]PLANILLA EDNA '!E25:AM113,3,6)</f>
        <v>D</v>
      </c>
      <c r="M120" s="97" t="str">
        <f>INDEX('[7]PLANILLA EDNA '!F25:AN113,3,6)</f>
        <v>OK</v>
      </c>
      <c r="N120" s="97" t="str">
        <f>INDEX('[7]PLANILLA EDNA '!G25:AO113,3,6)</f>
        <v>D</v>
      </c>
      <c r="O120" s="97" t="str">
        <f>INDEX('[7]PLANILLA EDNA '!H25:AP113,3,6)</f>
        <v>OK</v>
      </c>
      <c r="P120" s="97" t="str">
        <f>INDEX('[7]PLANILLA EDNA '!I25:AQ113,3,6)</f>
        <v>OK</v>
      </c>
      <c r="Q120" s="97" t="str">
        <f>INDEX('[7]PLANILLA EDNA '!J25:AR113,3,6)</f>
        <v>OK</v>
      </c>
      <c r="R120" s="97" t="str">
        <f>INDEX('[7]PLANILLA EDNA '!K25:AS113,3,6)</f>
        <v>OK</v>
      </c>
      <c r="S120" s="97" t="str">
        <f>INDEX('[7]PLANILLA EDNA '!L25:AT113,3,6)</f>
        <v>OK</v>
      </c>
      <c r="T120" s="97" t="str">
        <f>INDEX('[7]PLANILLA EDNA '!M25:AU113,3,6)</f>
        <v>OK</v>
      </c>
      <c r="U120" s="97" t="str">
        <f>INDEX('[7]PLANILLA EDNA '!N25:AV113,3,6)</f>
        <v>D</v>
      </c>
      <c r="V120" s="97" t="str">
        <f>INDEX('[7]PLANILLA EDNA '!O25:AW113,3,6)</f>
        <v>OK</v>
      </c>
      <c r="W120" s="97" t="str">
        <f>INDEX('[7]PLANILLA EDNA '!P25:AX113,3,6)</f>
        <v>OK</v>
      </c>
      <c r="X120" s="97" t="str">
        <f>INDEX('[7]PLANILLA EDNA '!Q25:AY113,3,6)</f>
        <v>OK</v>
      </c>
      <c r="Y120" s="97" t="str">
        <f>INDEX('[7]PLANILLA EDNA '!R25:AZ113,3,6)</f>
        <v>OK</v>
      </c>
      <c r="Z120" s="97" t="str">
        <f>INDEX('[7]PLANILLA EDNA '!S25:BA113,3,6)</f>
        <v>OK</v>
      </c>
      <c r="AA120" s="97" t="str">
        <f>INDEX('[7]PLANILLA EDNA '!T25:BB113,3,6)</f>
        <v>OK</v>
      </c>
      <c r="AB120" s="97" t="str">
        <f>INDEX('[7]PLANILLA EDNA '!U25:BC113,3,6)</f>
        <v>D</v>
      </c>
      <c r="AC120" s="97" t="str">
        <f>INDEX('[7]PLANILLA EDNA '!V25:BD113,3,6)</f>
        <v>OK</v>
      </c>
      <c r="AD120" s="97" t="str">
        <f>INDEX('[7]PLANILLA EDNA '!W25:BE113,3,6)</f>
        <v>OK</v>
      </c>
      <c r="AE120" s="97" t="str">
        <f>INDEX('[7]PLANILLA EDNA '!X25:BF113,3,6)</f>
        <v>OK</v>
      </c>
      <c r="AF120" s="97">
        <f>INDEX('[7]PLANILLA EDNA '!Y25:BG113,3,6)</f>
        <v>0</v>
      </c>
      <c r="AG120" s="97">
        <f>INDEX('[7]PLANILLA EDNA '!Z25:BH113,3,6)</f>
        <v>0</v>
      </c>
      <c r="AH120" s="97">
        <f>INDEX('[7]PLANILLA EDNA '!AA25:BI113,3,6)</f>
        <v>0</v>
      </c>
      <c r="AI120" s="97">
        <f>INDEX('[7]PLANILLA EDNA '!AB25:BJ113,3,6)</f>
        <v>0</v>
      </c>
      <c r="AJ120" s="97">
        <f>INDEX('[7]PLANILLA EDNA '!AC25:BK113,3,6)</f>
        <v>0</v>
      </c>
      <c r="AK120" s="97">
        <f>INDEX('[7]PLANILLA EDNA '!AD25:BL113,3,6)</f>
        <v>0</v>
      </c>
      <c r="AL120" s="97">
        <f>INDEX('[7]PLANILLA EDNA '!AE25:BM113,3,6)</f>
        <v>0</v>
      </c>
      <c r="AM120" s="97">
        <f>INDEX('[7]PLANILLA EDNA '!AF25:BN113,3,6)</f>
        <v>0</v>
      </c>
      <c r="AO120" s="116">
        <f t="shared" si="14"/>
        <v>0</v>
      </c>
      <c r="AP120" s="116">
        <f t="shared" si="14"/>
        <v>0</v>
      </c>
      <c r="AQ120" s="116">
        <f t="shared" si="14"/>
        <v>5</v>
      </c>
      <c r="AR120" s="116">
        <f t="shared" si="14"/>
        <v>0</v>
      </c>
      <c r="AS120" s="116">
        <f t="shared" si="14"/>
        <v>0</v>
      </c>
      <c r="AT120" s="116">
        <f t="shared" si="14"/>
        <v>0</v>
      </c>
      <c r="AU120" s="116">
        <f t="shared" si="14"/>
        <v>0</v>
      </c>
      <c r="AV120" s="116">
        <f t="shared" si="14"/>
        <v>0</v>
      </c>
      <c r="AW120" s="116">
        <f t="shared" si="14"/>
        <v>0</v>
      </c>
      <c r="AX120" s="116">
        <f t="shared" si="14"/>
        <v>0</v>
      </c>
      <c r="AY120" s="116">
        <f t="shared" si="14"/>
        <v>0</v>
      </c>
      <c r="AZ120" s="116">
        <f t="shared" si="14"/>
        <v>0</v>
      </c>
      <c r="BA120" s="116">
        <f t="shared" si="14"/>
        <v>17</v>
      </c>
      <c r="BB120" s="117">
        <f t="shared" si="10"/>
        <v>22</v>
      </c>
    </row>
    <row r="121" spans="2:54" ht="15.95" customHeight="1">
      <c r="B121" s="112">
        <v>113</v>
      </c>
      <c r="C121" s="133">
        <f>+'[7]PLANILLA EDNA '!C28</f>
        <v>1012327473</v>
      </c>
      <c r="D121" s="114" t="str">
        <f>IFERROR(VLOOKUP($C121,'[7]PLANILLA EDNA '!$C$9:$F$100,2,0),"NO BD")</f>
        <v xml:space="preserve">SALGUERO VASCO ALISON DAYANA </v>
      </c>
      <c r="E121" s="134" t="s">
        <v>592</v>
      </c>
      <c r="F121" s="114" t="str">
        <f>IFERROR(VLOOKUP($C121,[7]BD!$B$3:$O$213,3,0),"")</f>
        <v>OPERARIA DE ASEO Y CAFETERIA</v>
      </c>
      <c r="G121" s="114" t="str">
        <f>IFERROR(VLOOKUP($C121,'[7]PLANILLA EDNA '!$C$9:$F$100,4,0),"NO BD")</f>
        <v>SEDE 1 - MANZANA LIEVANO - ALCALDÍA MAYOR</v>
      </c>
      <c r="H121" s="114" t="str">
        <f>IFERROR(VLOOKUP($C121,[7]BD!$B$3:$O$203,14,0),"")</f>
        <v>3102870395</v>
      </c>
      <c r="I121" s="114" t="str">
        <f>IFERROR(VLOOKUP($C121,[7]BD!$B$3:$O$203,4,0),"")</f>
        <v>18/10/2025</v>
      </c>
      <c r="J121" s="97" t="str">
        <f>INDEX('[7]PLANILLA EDNA '!C26:AK114,3,6)</f>
        <v>OK</v>
      </c>
      <c r="K121" s="97" t="str">
        <f>INDEX('[7]PLANILLA EDNA '!D26:AL114,3,6)</f>
        <v>D</v>
      </c>
      <c r="L121" s="97" t="str">
        <f>INDEX('[7]PLANILLA EDNA '!E26:AM114,3,6)</f>
        <v>D</v>
      </c>
      <c r="M121" s="97" t="str">
        <f>INDEX('[7]PLANILLA EDNA '!F26:AN114,3,6)</f>
        <v>OK</v>
      </c>
      <c r="N121" s="97" t="str">
        <f>INDEX('[7]PLANILLA EDNA '!G26:AO114,3,6)</f>
        <v>D</v>
      </c>
      <c r="O121" s="97" t="str">
        <f>INDEX('[7]PLANILLA EDNA '!H26:AP114,3,6)</f>
        <v>OK</v>
      </c>
      <c r="P121" s="97" t="str">
        <f>INDEX('[7]PLANILLA EDNA '!I26:AQ114,3,6)</f>
        <v>OK</v>
      </c>
      <c r="Q121" s="97" t="str">
        <f>INDEX('[7]PLANILLA EDNA '!J26:AR114,3,6)</f>
        <v>OK</v>
      </c>
      <c r="R121" s="97" t="str">
        <f>INDEX('[7]PLANILLA EDNA '!K26:AS114,3,6)</f>
        <v>OK</v>
      </c>
      <c r="S121" s="97" t="str">
        <f>INDEX('[7]PLANILLA EDNA '!L26:AT114,3,6)</f>
        <v>OK</v>
      </c>
      <c r="T121" s="97" t="str">
        <f>INDEX('[7]PLANILLA EDNA '!M26:AU114,3,6)</f>
        <v>OK</v>
      </c>
      <c r="U121" s="97" t="str">
        <f>INDEX('[7]PLANILLA EDNA '!N26:AV114,3,6)</f>
        <v>D</v>
      </c>
      <c r="V121" s="97" t="str">
        <f>INDEX('[7]PLANILLA EDNA '!O26:AW114,3,6)</f>
        <v>OK</v>
      </c>
      <c r="W121" s="97" t="str">
        <f>INDEX('[7]PLANILLA EDNA '!P26:AX114,3,6)</f>
        <v>OK</v>
      </c>
      <c r="X121" s="97" t="str">
        <f>INDEX('[7]PLANILLA EDNA '!Q26:AY114,3,6)</f>
        <v>OK</v>
      </c>
      <c r="Y121" s="97" t="str">
        <f>INDEX('[7]PLANILLA EDNA '!R26:AZ114,3,6)</f>
        <v>OK</v>
      </c>
      <c r="Z121" s="97" t="str">
        <f>INDEX('[7]PLANILLA EDNA '!S26:BA114,3,6)</f>
        <v>OK</v>
      </c>
      <c r="AA121" s="97" t="str">
        <f>INDEX('[7]PLANILLA EDNA '!T26:BB114,3,6)</f>
        <v>OK</v>
      </c>
      <c r="AB121" s="97" t="str">
        <f>INDEX('[7]PLANILLA EDNA '!U26:BC114,3,6)</f>
        <v>D</v>
      </c>
      <c r="AC121" s="97" t="str">
        <f>INDEX('[7]PLANILLA EDNA '!V26:BD114,3,6)</f>
        <v>OK</v>
      </c>
      <c r="AD121" s="97" t="str">
        <f>INDEX('[7]PLANILLA EDNA '!W26:BE114,3,6)</f>
        <v>OK</v>
      </c>
      <c r="AE121" s="97" t="str">
        <f>INDEX('[7]PLANILLA EDNA '!X26:BF114,3,6)</f>
        <v>OK</v>
      </c>
      <c r="AF121" s="97">
        <f>INDEX('[7]PLANILLA EDNA '!Y26:BG114,3,6)</f>
        <v>0</v>
      </c>
      <c r="AG121" s="97">
        <f>INDEX('[7]PLANILLA EDNA '!Z26:BH114,3,6)</f>
        <v>0</v>
      </c>
      <c r="AH121" s="97">
        <f>INDEX('[7]PLANILLA EDNA '!AA26:BI114,3,6)</f>
        <v>0</v>
      </c>
      <c r="AI121" s="97">
        <f>INDEX('[7]PLANILLA EDNA '!AB26:BJ114,3,6)</f>
        <v>0</v>
      </c>
      <c r="AJ121" s="97">
        <f>INDEX('[7]PLANILLA EDNA '!AC26:BK114,3,6)</f>
        <v>0</v>
      </c>
      <c r="AK121" s="97">
        <f>INDEX('[7]PLANILLA EDNA '!AD26:BL114,3,6)</f>
        <v>0</v>
      </c>
      <c r="AL121" s="97">
        <f>INDEX('[7]PLANILLA EDNA '!AE26:BM114,3,6)</f>
        <v>0</v>
      </c>
      <c r="AM121" s="97">
        <f>INDEX('[7]PLANILLA EDNA '!AF26:BN114,3,6)</f>
        <v>0</v>
      </c>
      <c r="AO121" s="116">
        <f t="shared" si="14"/>
        <v>0</v>
      </c>
      <c r="AP121" s="116">
        <f t="shared" si="14"/>
        <v>0</v>
      </c>
      <c r="AQ121" s="116">
        <f t="shared" si="14"/>
        <v>5</v>
      </c>
      <c r="AR121" s="116">
        <f t="shared" si="14"/>
        <v>0</v>
      </c>
      <c r="AS121" s="116">
        <f t="shared" si="14"/>
        <v>0</v>
      </c>
      <c r="AT121" s="116">
        <f t="shared" si="14"/>
        <v>0</v>
      </c>
      <c r="AU121" s="116">
        <f t="shared" si="14"/>
        <v>0</v>
      </c>
      <c r="AV121" s="116">
        <f t="shared" si="14"/>
        <v>0</v>
      </c>
      <c r="AW121" s="116">
        <f t="shared" si="14"/>
        <v>0</v>
      </c>
      <c r="AX121" s="116">
        <f t="shared" si="14"/>
        <v>0</v>
      </c>
      <c r="AY121" s="116">
        <f t="shared" si="14"/>
        <v>0</v>
      </c>
      <c r="AZ121" s="116">
        <f t="shared" si="14"/>
        <v>0</v>
      </c>
      <c r="BA121" s="116">
        <f t="shared" si="14"/>
        <v>17</v>
      </c>
      <c r="BB121" s="117">
        <f t="shared" si="10"/>
        <v>22</v>
      </c>
    </row>
    <row r="122" spans="2:54" ht="15.95" customHeight="1">
      <c r="B122" s="112">
        <v>114</v>
      </c>
      <c r="C122" s="133">
        <f>+'[7]PLANILLA EDNA '!C29</f>
        <v>52973679</v>
      </c>
      <c r="D122" s="114" t="str">
        <f>IFERROR(VLOOKUP($C122,'[7]PLANILLA EDNA '!$C$9:$F$100,2,0),"NO BD")</f>
        <v xml:space="preserve">SOTO BARRIOS ANA MERCEDES </v>
      </c>
      <c r="E122" s="134" t="s">
        <v>592</v>
      </c>
      <c r="F122" s="114" t="str">
        <f>IFERROR(VLOOKUP($C122,[7]BD!$B$3:$O$213,3,0),"")</f>
        <v>OPERARIA DE ASEO Y CAFETERIA</v>
      </c>
      <c r="G122" s="114" t="str">
        <f>IFERROR(VLOOKUP($C122,'[7]PLANILLA EDNA '!$C$9:$F$100,4,0),"NO BD")</f>
        <v>SEDE 1 - MANZANA LIEVANO - ALCALDÍA MAYOR</v>
      </c>
      <c r="H122" s="114" t="str">
        <f>IFERROR(VLOOKUP($C122,[7]BD!$B$3:$O$203,14,0),"")</f>
        <v>3144022071</v>
      </c>
      <c r="I122" s="114" t="str">
        <f>IFERROR(VLOOKUP($C122,[7]BD!$B$3:$O$203,4,0),"")</f>
        <v>18/10/2025</v>
      </c>
      <c r="J122" s="97" t="str">
        <f>INDEX('[7]PLANILLA EDNA '!C27:AK115,3,6)</f>
        <v>OK</v>
      </c>
      <c r="K122" s="97" t="str">
        <f>INDEX('[7]PLANILLA EDNA '!D27:AL115,3,6)</f>
        <v>D</v>
      </c>
      <c r="L122" s="97" t="str">
        <f>INDEX('[7]PLANILLA EDNA '!E27:AM115,3,6)</f>
        <v>D</v>
      </c>
      <c r="M122" s="97" t="str">
        <f>INDEX('[7]PLANILLA EDNA '!F27:AN115,3,6)</f>
        <v>OK</v>
      </c>
      <c r="N122" s="97" t="str">
        <f>INDEX('[7]PLANILLA EDNA '!G27:AO115,3,6)</f>
        <v>D</v>
      </c>
      <c r="O122" s="97" t="str">
        <f>INDEX('[7]PLANILLA EDNA '!H27:AP115,3,6)</f>
        <v>OK</v>
      </c>
      <c r="P122" s="97" t="str">
        <f>INDEX('[7]PLANILLA EDNA '!I27:AQ115,3,6)</f>
        <v>OK</v>
      </c>
      <c r="Q122" s="97" t="str">
        <f>INDEX('[7]PLANILLA EDNA '!J27:AR115,3,6)</f>
        <v>OK</v>
      </c>
      <c r="R122" s="97" t="str">
        <f>INDEX('[7]PLANILLA EDNA '!K27:AS115,3,6)</f>
        <v>OK</v>
      </c>
      <c r="S122" s="97" t="str">
        <f>INDEX('[7]PLANILLA EDNA '!L27:AT115,3,6)</f>
        <v>OK</v>
      </c>
      <c r="T122" s="97" t="str">
        <f>INDEX('[7]PLANILLA EDNA '!M27:AU115,3,6)</f>
        <v>OK</v>
      </c>
      <c r="U122" s="97" t="str">
        <f>INDEX('[7]PLANILLA EDNA '!N27:AV115,3,6)</f>
        <v>D</v>
      </c>
      <c r="V122" s="97" t="str">
        <f>INDEX('[7]PLANILLA EDNA '!O27:AW115,3,6)</f>
        <v>OK</v>
      </c>
      <c r="W122" s="97" t="str">
        <f>INDEX('[7]PLANILLA EDNA '!P27:AX115,3,6)</f>
        <v>OK</v>
      </c>
      <c r="X122" s="97" t="str">
        <f>INDEX('[7]PLANILLA EDNA '!Q27:AY115,3,6)</f>
        <v>OK</v>
      </c>
      <c r="Y122" s="97" t="str">
        <f>INDEX('[7]PLANILLA EDNA '!R27:AZ115,3,6)</f>
        <v>OK</v>
      </c>
      <c r="Z122" s="97" t="str">
        <f>INDEX('[7]PLANILLA EDNA '!S27:BA115,3,6)</f>
        <v>OK</v>
      </c>
      <c r="AA122" s="97" t="str">
        <f>INDEX('[7]PLANILLA EDNA '!T27:BB115,3,6)</f>
        <v>OK</v>
      </c>
      <c r="AB122" s="97" t="str">
        <f>INDEX('[7]PLANILLA EDNA '!U27:BC115,3,6)</f>
        <v>D</v>
      </c>
      <c r="AC122" s="97" t="str">
        <f>INDEX('[7]PLANILLA EDNA '!V27:BD115,3,6)</f>
        <v>OK</v>
      </c>
      <c r="AD122" s="97" t="str">
        <f>INDEX('[7]PLANILLA EDNA '!W27:BE115,3,6)</f>
        <v>OK</v>
      </c>
      <c r="AE122" s="97" t="str">
        <f>INDEX('[7]PLANILLA EDNA '!X27:BF115,3,6)</f>
        <v>OK</v>
      </c>
      <c r="AF122" s="97">
        <f>INDEX('[7]PLANILLA EDNA '!Y27:BG115,3,6)</f>
        <v>0</v>
      </c>
      <c r="AG122" s="97">
        <f>INDEX('[7]PLANILLA EDNA '!Z27:BH115,3,6)</f>
        <v>0</v>
      </c>
      <c r="AH122" s="97">
        <f>INDEX('[7]PLANILLA EDNA '!AA27:BI115,3,6)</f>
        <v>0</v>
      </c>
      <c r="AI122" s="97">
        <f>INDEX('[7]PLANILLA EDNA '!AB27:BJ115,3,6)</f>
        <v>0</v>
      </c>
      <c r="AJ122" s="97">
        <f>INDEX('[7]PLANILLA EDNA '!AC27:BK115,3,6)</f>
        <v>0</v>
      </c>
      <c r="AK122" s="97">
        <f>INDEX('[7]PLANILLA EDNA '!AD27:BL115,3,6)</f>
        <v>0</v>
      </c>
      <c r="AL122" s="97">
        <f>INDEX('[7]PLANILLA EDNA '!AE27:BM115,3,6)</f>
        <v>0</v>
      </c>
      <c r="AM122" s="97">
        <f>INDEX('[7]PLANILLA EDNA '!AF27:BN115,3,6)</f>
        <v>0</v>
      </c>
      <c r="AO122" s="116">
        <f t="shared" si="14"/>
        <v>0</v>
      </c>
      <c r="AP122" s="116">
        <f t="shared" si="14"/>
        <v>0</v>
      </c>
      <c r="AQ122" s="116">
        <f t="shared" si="14"/>
        <v>5</v>
      </c>
      <c r="AR122" s="116">
        <f t="shared" si="14"/>
        <v>0</v>
      </c>
      <c r="AS122" s="116">
        <f t="shared" si="14"/>
        <v>0</v>
      </c>
      <c r="AT122" s="116">
        <f t="shared" si="14"/>
        <v>0</v>
      </c>
      <c r="AU122" s="116">
        <f t="shared" si="14"/>
        <v>0</v>
      </c>
      <c r="AV122" s="116">
        <f t="shared" si="14"/>
        <v>0</v>
      </c>
      <c r="AW122" s="116">
        <f t="shared" si="14"/>
        <v>0</v>
      </c>
      <c r="AX122" s="116">
        <f t="shared" si="14"/>
        <v>0</v>
      </c>
      <c r="AY122" s="116">
        <f t="shared" si="14"/>
        <v>0</v>
      </c>
      <c r="AZ122" s="116">
        <f t="shared" si="14"/>
        <v>0</v>
      </c>
      <c r="BA122" s="116">
        <f t="shared" si="14"/>
        <v>17</v>
      </c>
      <c r="BB122" s="117">
        <f t="shared" si="10"/>
        <v>22</v>
      </c>
    </row>
    <row r="123" spans="2:54" ht="15.95" customHeight="1">
      <c r="B123" s="112">
        <v>115</v>
      </c>
      <c r="C123" s="133">
        <f>+'[7]PLANILLA EDNA '!C30</f>
        <v>30350065</v>
      </c>
      <c r="D123" s="114" t="str">
        <f>IFERROR(VLOOKUP($C123,'[7]PLANILLA EDNA '!$C$9:$F$100,2,0),"NO BD")</f>
        <v xml:space="preserve">TRIANA MANCILLA ANA EGRID </v>
      </c>
      <c r="E123" s="134" t="s">
        <v>592</v>
      </c>
      <c r="F123" s="114" t="str">
        <f>IFERROR(VLOOKUP($C123,[7]BD!$B$3:$O$213,3,0),"")</f>
        <v>OPERARIA DE ASEO Y CAFETERIA</v>
      </c>
      <c r="G123" s="114" t="str">
        <f>IFERROR(VLOOKUP($C123,'[7]PLANILLA EDNA '!$C$9:$F$100,4,0),"NO BD")</f>
        <v>SEDE 1 - MANZANA LIEVANO - ALCALDÍA MAYOR</v>
      </c>
      <c r="H123" s="114" t="str">
        <f>IFERROR(VLOOKUP($C123,[7]BD!$B$3:$O$203,14,0),"")</f>
        <v>3107991322</v>
      </c>
      <c r="I123" s="114" t="str">
        <f>IFERROR(VLOOKUP($C123,[7]BD!$B$3:$O$203,4,0),"")</f>
        <v>18/10/2025</v>
      </c>
      <c r="J123" s="97" t="str">
        <f>INDEX('[7]PLANILLA EDNA '!C28:AK116,3,6)</f>
        <v>OK</v>
      </c>
      <c r="K123" s="97" t="str">
        <f>INDEX('[7]PLANILLA EDNA '!D28:AL116,3,6)</f>
        <v>D</v>
      </c>
      <c r="L123" s="97" t="str">
        <f>INDEX('[7]PLANILLA EDNA '!E28:AM116,3,6)</f>
        <v>D</v>
      </c>
      <c r="M123" s="97" t="str">
        <f>INDEX('[7]PLANILLA EDNA '!F28:AN116,3,6)</f>
        <v>OK</v>
      </c>
      <c r="N123" s="97" t="str">
        <f>INDEX('[7]PLANILLA EDNA '!G28:AO116,3,6)</f>
        <v>D</v>
      </c>
      <c r="O123" s="97" t="str">
        <f>INDEX('[7]PLANILLA EDNA '!H28:AP116,3,6)</f>
        <v>OK</v>
      </c>
      <c r="P123" s="97" t="str">
        <f>INDEX('[7]PLANILLA EDNA '!I28:AQ116,3,6)</f>
        <v>OK</v>
      </c>
      <c r="Q123" s="97" t="str">
        <f>INDEX('[7]PLANILLA EDNA '!J28:AR116,3,6)</f>
        <v>OK</v>
      </c>
      <c r="R123" s="97" t="str">
        <f>INDEX('[7]PLANILLA EDNA '!K28:AS116,3,6)</f>
        <v>OK</v>
      </c>
      <c r="S123" s="97" t="str">
        <f>INDEX('[7]PLANILLA EDNA '!L28:AT116,3,6)</f>
        <v>OK</v>
      </c>
      <c r="T123" s="97" t="str">
        <f>INDEX('[7]PLANILLA EDNA '!M28:AU116,3,6)</f>
        <v>OK</v>
      </c>
      <c r="U123" s="97" t="str">
        <f>INDEX('[7]PLANILLA EDNA '!N28:AV116,3,6)</f>
        <v>D</v>
      </c>
      <c r="V123" s="97" t="str">
        <f>INDEX('[7]PLANILLA EDNA '!O28:AW116,3,6)</f>
        <v>OK</v>
      </c>
      <c r="W123" s="97" t="str">
        <f>INDEX('[7]PLANILLA EDNA '!P28:AX116,3,6)</f>
        <v>OK</v>
      </c>
      <c r="X123" s="97" t="str">
        <f>INDEX('[7]PLANILLA EDNA '!Q28:AY116,3,6)</f>
        <v>OK</v>
      </c>
      <c r="Y123" s="97" t="str">
        <f>INDEX('[7]PLANILLA EDNA '!R28:AZ116,3,6)</f>
        <v>OK</v>
      </c>
      <c r="Z123" s="97" t="str">
        <f>INDEX('[7]PLANILLA EDNA '!S28:BA116,3,6)</f>
        <v>OK</v>
      </c>
      <c r="AA123" s="97" t="str">
        <f>INDEX('[7]PLANILLA EDNA '!T28:BB116,3,6)</f>
        <v>OK</v>
      </c>
      <c r="AB123" s="97" t="str">
        <f>INDEX('[7]PLANILLA EDNA '!U28:BC116,3,6)</f>
        <v>D</v>
      </c>
      <c r="AC123" s="97" t="str">
        <f>INDEX('[7]PLANILLA EDNA '!V28:BD116,3,6)</f>
        <v>OK</v>
      </c>
      <c r="AD123" s="97" t="str">
        <f>INDEX('[7]PLANILLA EDNA '!W28:BE116,3,6)</f>
        <v>OK</v>
      </c>
      <c r="AE123" s="97" t="str">
        <f>INDEX('[7]PLANILLA EDNA '!X28:BF116,3,6)</f>
        <v>OK</v>
      </c>
      <c r="AF123" s="97">
        <f>INDEX('[7]PLANILLA EDNA '!Y28:BG116,3,6)</f>
        <v>0</v>
      </c>
      <c r="AG123" s="97">
        <f>INDEX('[7]PLANILLA EDNA '!Z28:BH116,3,6)</f>
        <v>0</v>
      </c>
      <c r="AH123" s="97">
        <f>INDEX('[7]PLANILLA EDNA '!AA28:BI116,3,6)</f>
        <v>0</v>
      </c>
      <c r="AI123" s="97">
        <f>INDEX('[7]PLANILLA EDNA '!AB28:BJ116,3,6)</f>
        <v>0</v>
      </c>
      <c r="AJ123" s="97">
        <f>INDEX('[7]PLANILLA EDNA '!AC28:BK116,3,6)</f>
        <v>0</v>
      </c>
      <c r="AK123" s="97">
        <f>INDEX('[7]PLANILLA EDNA '!AD28:BL116,3,6)</f>
        <v>0</v>
      </c>
      <c r="AL123" s="97">
        <f>INDEX('[7]PLANILLA EDNA '!AE28:BM116,3,6)</f>
        <v>0</v>
      </c>
      <c r="AM123" s="97">
        <f>INDEX('[7]PLANILLA EDNA '!AF28:BN116,3,6)</f>
        <v>0</v>
      </c>
      <c r="AO123" s="116">
        <f t="shared" si="14"/>
        <v>0</v>
      </c>
      <c r="AP123" s="116">
        <f t="shared" si="14"/>
        <v>0</v>
      </c>
      <c r="AQ123" s="116">
        <f t="shared" si="14"/>
        <v>5</v>
      </c>
      <c r="AR123" s="116">
        <f t="shared" si="14"/>
        <v>0</v>
      </c>
      <c r="AS123" s="116">
        <f t="shared" si="14"/>
        <v>0</v>
      </c>
      <c r="AT123" s="116">
        <f t="shared" si="14"/>
        <v>0</v>
      </c>
      <c r="AU123" s="116">
        <f t="shared" si="14"/>
        <v>0</v>
      </c>
      <c r="AV123" s="116">
        <f t="shared" si="14"/>
        <v>0</v>
      </c>
      <c r="AW123" s="116">
        <f t="shared" ref="AW123:BA123" si="15">COUNTIF($J123:$AM123,AW$7)</f>
        <v>0</v>
      </c>
      <c r="AX123" s="116">
        <f t="shared" si="15"/>
        <v>0</v>
      </c>
      <c r="AY123" s="116">
        <f t="shared" si="15"/>
        <v>0</v>
      </c>
      <c r="AZ123" s="116">
        <f t="shared" si="15"/>
        <v>0</v>
      </c>
      <c r="BA123" s="116">
        <f t="shared" si="15"/>
        <v>17</v>
      </c>
      <c r="BB123" s="117">
        <f t="shared" si="10"/>
        <v>22</v>
      </c>
    </row>
    <row r="124" spans="2:54" ht="15.95" customHeight="1">
      <c r="B124" s="112">
        <v>116</v>
      </c>
      <c r="C124" s="133">
        <f>+'[7]PLANILLA EDNA '!C31</f>
        <v>1078689395</v>
      </c>
      <c r="D124" s="114" t="str">
        <f>IFERROR(VLOOKUP($C124,'[7]PLANILLA EDNA '!$C$9:$F$100,2,0),"NO BD")</f>
        <v xml:space="preserve">ALBORNOZ MINA MARIA ELVIA </v>
      </c>
      <c r="E124" s="134" t="s">
        <v>592</v>
      </c>
      <c r="F124" s="114" t="str">
        <f>IFERROR(VLOOKUP($C124,[7]BD!$B$3:$O$213,3,0),"")</f>
        <v>OPERARIA DE ASEO Y CAFETERIA</v>
      </c>
      <c r="G124" s="114" t="str">
        <f>IFERROR(VLOOKUP($C124,'[7]PLANILLA EDNA '!$C$9:$F$100,4,0),"NO BD")</f>
        <v>SEDE 1 - MANZANA LIEVANO - ALCALDÍA MAYOR</v>
      </c>
      <c r="H124" s="114" t="str">
        <f>IFERROR(VLOOKUP($C124,[7]BD!$B$3:$O$203,14,0),"")</f>
        <v>3232930382</v>
      </c>
      <c r="I124" s="114" t="str">
        <f>IFERROR(VLOOKUP($C124,[7]BD!$B$3:$O$203,4,0),"")</f>
        <v>18/10/2025</v>
      </c>
      <c r="J124" s="97" t="str">
        <f>INDEX('[7]PLANILLA EDNA '!C29:AK117,3,6)</f>
        <v>OK</v>
      </c>
      <c r="K124" s="97" t="str">
        <f>INDEX('[7]PLANILLA EDNA '!D29:AL117,3,6)</f>
        <v>D</v>
      </c>
      <c r="L124" s="97" t="str">
        <f>INDEX('[7]PLANILLA EDNA '!E29:AM117,3,6)</f>
        <v>D</v>
      </c>
      <c r="M124" s="97" t="str">
        <f>INDEX('[7]PLANILLA EDNA '!F29:AN117,3,6)</f>
        <v>OK</v>
      </c>
      <c r="N124" s="97" t="str">
        <f>INDEX('[7]PLANILLA EDNA '!G29:AO117,3,6)</f>
        <v>D</v>
      </c>
      <c r="O124" s="97" t="str">
        <f>INDEX('[7]PLANILLA EDNA '!H29:AP117,3,6)</f>
        <v>OK</v>
      </c>
      <c r="P124" s="97" t="str">
        <f>INDEX('[7]PLANILLA EDNA '!I29:AQ117,3,6)</f>
        <v>OK</v>
      </c>
      <c r="Q124" s="97" t="str">
        <f>INDEX('[7]PLANILLA EDNA '!J29:AR117,3,6)</f>
        <v>OK</v>
      </c>
      <c r="R124" s="97" t="str">
        <f>INDEX('[7]PLANILLA EDNA '!K29:AS117,3,6)</f>
        <v>OK</v>
      </c>
      <c r="S124" s="97" t="str">
        <f>INDEX('[7]PLANILLA EDNA '!L29:AT117,3,6)</f>
        <v>OK</v>
      </c>
      <c r="T124" s="97" t="str">
        <f>INDEX('[7]PLANILLA EDNA '!M29:AU117,3,6)</f>
        <v>OK</v>
      </c>
      <c r="U124" s="97" t="str">
        <f>INDEX('[7]PLANILLA EDNA '!N29:AV117,3,6)</f>
        <v>D</v>
      </c>
      <c r="V124" s="97" t="str">
        <f>INDEX('[7]PLANILLA EDNA '!O29:AW117,3,6)</f>
        <v>OK</v>
      </c>
      <c r="W124" s="97" t="str">
        <f>INDEX('[7]PLANILLA EDNA '!P29:AX117,3,6)</f>
        <v>OK</v>
      </c>
      <c r="X124" s="97" t="str">
        <f>INDEX('[7]PLANILLA EDNA '!Q29:AY117,3,6)</f>
        <v>OK</v>
      </c>
      <c r="Y124" s="97" t="str">
        <f>INDEX('[7]PLANILLA EDNA '!R29:AZ117,3,6)</f>
        <v>OK</v>
      </c>
      <c r="Z124" s="97" t="str">
        <f>INDEX('[7]PLANILLA EDNA '!S29:BA117,3,6)</f>
        <v>OK</v>
      </c>
      <c r="AA124" s="97" t="str">
        <f>INDEX('[7]PLANILLA EDNA '!T29:BB117,3,6)</f>
        <v>OK</v>
      </c>
      <c r="AB124" s="97" t="str">
        <f>INDEX('[7]PLANILLA EDNA '!U29:BC117,3,6)</f>
        <v>D</v>
      </c>
      <c r="AC124" s="97" t="str">
        <f>INDEX('[7]PLANILLA EDNA '!V29:BD117,3,6)</f>
        <v xml:space="preserve">OK </v>
      </c>
      <c r="AD124" s="97" t="str">
        <f>INDEX('[7]PLANILLA EDNA '!W29:BE117,3,6)</f>
        <v>OK</v>
      </c>
      <c r="AE124" s="97" t="str">
        <f>INDEX('[7]PLANILLA EDNA '!X29:BF117,3,6)</f>
        <v>OK</v>
      </c>
      <c r="AF124" s="97">
        <f>INDEX('[7]PLANILLA EDNA '!Y29:BG117,3,6)</f>
        <v>0</v>
      </c>
      <c r="AG124" s="97">
        <f>INDEX('[7]PLANILLA EDNA '!Z29:BH117,3,6)</f>
        <v>0</v>
      </c>
      <c r="AH124" s="97">
        <f>INDEX('[7]PLANILLA EDNA '!AA29:BI117,3,6)</f>
        <v>0</v>
      </c>
      <c r="AI124" s="97">
        <f>INDEX('[7]PLANILLA EDNA '!AB29:BJ117,3,6)</f>
        <v>0</v>
      </c>
      <c r="AJ124" s="97">
        <f>INDEX('[7]PLANILLA EDNA '!AC29:BK117,3,6)</f>
        <v>0</v>
      </c>
      <c r="AK124" s="97">
        <f>INDEX('[7]PLANILLA EDNA '!AD29:BL117,3,6)</f>
        <v>0</v>
      </c>
      <c r="AL124" s="97">
        <f>INDEX('[7]PLANILLA EDNA '!AE29:BM117,3,6)</f>
        <v>0</v>
      </c>
      <c r="AM124" s="97">
        <f>INDEX('[7]PLANILLA EDNA '!AF29:BN117,3,6)</f>
        <v>0</v>
      </c>
      <c r="AO124" s="116">
        <f t="shared" ref="AO124:BA143" si="16">COUNTIF($J124:$AM124,AO$7)</f>
        <v>0</v>
      </c>
      <c r="AP124" s="116">
        <f t="shared" si="16"/>
        <v>0</v>
      </c>
      <c r="AQ124" s="116">
        <f t="shared" si="16"/>
        <v>5</v>
      </c>
      <c r="AR124" s="116">
        <f t="shared" si="16"/>
        <v>0</v>
      </c>
      <c r="AS124" s="116">
        <f t="shared" si="16"/>
        <v>0</v>
      </c>
      <c r="AT124" s="116">
        <f t="shared" si="16"/>
        <v>0</v>
      </c>
      <c r="AU124" s="116">
        <f t="shared" si="16"/>
        <v>0</v>
      </c>
      <c r="AV124" s="116">
        <f t="shared" si="16"/>
        <v>0</v>
      </c>
      <c r="AW124" s="116">
        <f t="shared" si="16"/>
        <v>0</v>
      </c>
      <c r="AX124" s="116">
        <f t="shared" si="16"/>
        <v>0</v>
      </c>
      <c r="AY124" s="116">
        <f t="shared" si="16"/>
        <v>0</v>
      </c>
      <c r="AZ124" s="116">
        <f t="shared" si="16"/>
        <v>0</v>
      </c>
      <c r="BA124" s="116">
        <f t="shared" si="16"/>
        <v>16</v>
      </c>
      <c r="BB124" s="117">
        <f t="shared" si="10"/>
        <v>21</v>
      </c>
    </row>
    <row r="125" spans="2:54" ht="15.95" customHeight="1">
      <c r="B125" s="112">
        <v>117</v>
      </c>
      <c r="C125" s="133">
        <f>+'[7]PLANILLA EDNA '!C32</f>
        <v>79385309</v>
      </c>
      <c r="D125" s="114" t="str">
        <f>IFERROR(VLOOKUP($C125,'[7]PLANILLA EDNA '!$C$9:$F$100,2,0),"NO BD")</f>
        <v xml:space="preserve">TOVAR CONTRERAS HECTOR RICARDO </v>
      </c>
      <c r="E125" s="134" t="s">
        <v>592</v>
      </c>
      <c r="F125" s="114" t="str">
        <f>IFERROR(VLOOKUP($C125,[7]BD!$B$3:$O$213,3,0),"")</f>
        <v>OPERARIO DE MANTENIMIENTO</v>
      </c>
      <c r="G125" s="114" t="str">
        <f>IFERROR(VLOOKUP($C125,'[7]PLANILLA EDNA '!$C$9:$F$100,4,0),"NO BD")</f>
        <v>SEDE 1 - MANZANA LIEVANO - ALCALDÍA MAYOR</v>
      </c>
      <c r="H125" s="114" t="str">
        <f>IFERROR(VLOOKUP($C125,[7]BD!$B$3:$O$203,14,0),"")</f>
        <v>3185879016</v>
      </c>
      <c r="I125" s="114" t="str">
        <f>IFERROR(VLOOKUP($C125,[7]BD!$B$3:$O$203,4,0),"")</f>
        <v>18/10/2025</v>
      </c>
      <c r="J125" s="97" t="str">
        <f>INDEX('[7]PLANILLA EDNA '!C30:AK118,3,6)</f>
        <v>OK</v>
      </c>
      <c r="K125" s="97" t="str">
        <f>INDEX('[7]PLANILLA EDNA '!D30:AL118,3,6)</f>
        <v>D</v>
      </c>
      <c r="L125" s="97" t="str">
        <f>INDEX('[7]PLANILLA EDNA '!E30:AM118,3,6)</f>
        <v>D</v>
      </c>
      <c r="M125" s="97" t="str">
        <f>INDEX('[7]PLANILLA EDNA '!F30:AN118,3,6)</f>
        <v>OK</v>
      </c>
      <c r="N125" s="97" t="str">
        <f>INDEX('[7]PLANILLA EDNA '!G30:AO118,3,6)</f>
        <v>D</v>
      </c>
      <c r="O125" s="97" t="str">
        <f>INDEX('[7]PLANILLA EDNA '!H30:AP118,3,6)</f>
        <v>OK</v>
      </c>
      <c r="P125" s="97" t="str">
        <f>INDEX('[7]PLANILLA EDNA '!I30:AQ118,3,6)</f>
        <v>OK</v>
      </c>
      <c r="Q125" s="97" t="str">
        <f>INDEX('[7]PLANILLA EDNA '!J30:AR118,3,6)</f>
        <v>OK</v>
      </c>
      <c r="R125" s="97" t="str">
        <f>INDEX('[7]PLANILLA EDNA '!K30:AS118,3,6)</f>
        <v>OK</v>
      </c>
      <c r="S125" s="97" t="str">
        <f>INDEX('[7]PLANILLA EDNA '!L30:AT118,3,6)</f>
        <v>OK</v>
      </c>
      <c r="T125" s="97" t="str">
        <f>INDEX('[7]PLANILLA EDNA '!M30:AU118,3,6)</f>
        <v>OK</v>
      </c>
      <c r="U125" s="97" t="str">
        <f>INDEX('[7]PLANILLA EDNA '!N30:AV118,3,6)</f>
        <v>D</v>
      </c>
      <c r="V125" s="97" t="str">
        <f>INDEX('[7]PLANILLA EDNA '!O30:AW118,3,6)</f>
        <v>OK</v>
      </c>
      <c r="W125" s="97" t="str">
        <f>INDEX('[7]PLANILLA EDNA '!P30:AX118,3,6)</f>
        <v>OK</v>
      </c>
      <c r="X125" s="97" t="str">
        <f>INDEX('[7]PLANILLA EDNA '!Q30:AY118,3,6)</f>
        <v>OK</v>
      </c>
      <c r="Y125" s="97" t="str">
        <f>INDEX('[7]PLANILLA EDNA '!R30:AZ118,3,6)</f>
        <v>OK</v>
      </c>
      <c r="Z125" s="97" t="str">
        <f>INDEX('[7]PLANILLA EDNA '!S30:BA118,3,6)</f>
        <v>OK</v>
      </c>
      <c r="AA125" s="97" t="str">
        <f>INDEX('[7]PLANILLA EDNA '!T30:BB118,3,6)</f>
        <v>OK</v>
      </c>
      <c r="AB125" s="97" t="str">
        <f>INDEX('[7]PLANILLA EDNA '!U30:BC118,3,6)</f>
        <v>D</v>
      </c>
      <c r="AC125" s="97" t="str">
        <f>INDEX('[7]PLANILLA EDNA '!V30:BD118,3,6)</f>
        <v>OK</v>
      </c>
      <c r="AD125" s="97" t="str">
        <f>INDEX('[7]PLANILLA EDNA '!W30:BE118,3,6)</f>
        <v>OK</v>
      </c>
      <c r="AE125" s="97" t="str">
        <f>INDEX('[7]PLANILLA EDNA '!X30:BF118,3,6)</f>
        <v>OK</v>
      </c>
      <c r="AF125" s="97">
        <f>INDEX('[7]PLANILLA EDNA '!Y30:BG118,3,6)</f>
        <v>0</v>
      </c>
      <c r="AG125" s="97">
        <f>INDEX('[7]PLANILLA EDNA '!Z30:BH118,3,6)</f>
        <v>0</v>
      </c>
      <c r="AH125" s="97">
        <f>INDEX('[7]PLANILLA EDNA '!AA30:BI118,3,6)</f>
        <v>0</v>
      </c>
      <c r="AI125" s="97">
        <f>INDEX('[7]PLANILLA EDNA '!AB30:BJ118,3,6)</f>
        <v>0</v>
      </c>
      <c r="AJ125" s="97">
        <f>INDEX('[7]PLANILLA EDNA '!AC30:BK118,3,6)</f>
        <v>0</v>
      </c>
      <c r="AK125" s="97">
        <f>INDEX('[7]PLANILLA EDNA '!AD30:BL118,3,6)</f>
        <v>0</v>
      </c>
      <c r="AL125" s="97">
        <f>INDEX('[7]PLANILLA EDNA '!AE30:BM118,3,6)</f>
        <v>0</v>
      </c>
      <c r="AM125" s="97">
        <f>INDEX('[7]PLANILLA EDNA '!AF30:BN118,3,6)</f>
        <v>0</v>
      </c>
      <c r="AO125" s="116">
        <f t="shared" si="16"/>
        <v>0</v>
      </c>
      <c r="AP125" s="116">
        <f t="shared" si="16"/>
        <v>0</v>
      </c>
      <c r="AQ125" s="116">
        <f t="shared" si="16"/>
        <v>5</v>
      </c>
      <c r="AR125" s="116">
        <f t="shared" si="16"/>
        <v>0</v>
      </c>
      <c r="AS125" s="116">
        <f t="shared" si="16"/>
        <v>0</v>
      </c>
      <c r="AT125" s="116">
        <f t="shared" si="16"/>
        <v>0</v>
      </c>
      <c r="AU125" s="116">
        <f t="shared" si="16"/>
        <v>0</v>
      </c>
      <c r="AV125" s="116">
        <f t="shared" si="16"/>
        <v>0</v>
      </c>
      <c r="AW125" s="116">
        <f t="shared" si="16"/>
        <v>0</v>
      </c>
      <c r="AX125" s="116">
        <f t="shared" si="16"/>
        <v>0</v>
      </c>
      <c r="AY125" s="116">
        <f t="shared" si="16"/>
        <v>0</v>
      </c>
      <c r="AZ125" s="116">
        <f t="shared" si="16"/>
        <v>0</v>
      </c>
      <c r="BA125" s="116">
        <f t="shared" si="16"/>
        <v>17</v>
      </c>
      <c r="BB125" s="117">
        <f t="shared" si="10"/>
        <v>22</v>
      </c>
    </row>
    <row r="126" spans="2:54" ht="15.95" customHeight="1">
      <c r="B126" s="112">
        <v>118</v>
      </c>
      <c r="C126" s="133">
        <f>+'[7]PLANILLA EDNA '!C33</f>
        <v>79771060</v>
      </c>
      <c r="D126" s="114" t="str">
        <f>IFERROR(VLOOKUP($C126,'[7]PLANILLA EDNA '!$C$9:$F$100,2,0),"NO BD")</f>
        <v xml:space="preserve">CITA MARTINEZ ORLANDO  </v>
      </c>
      <c r="E126" s="134" t="s">
        <v>592</v>
      </c>
      <c r="F126" s="114" t="str">
        <f>IFERROR(VLOOKUP($C126,[7]BD!$B$3:$O$213,3,0),"")</f>
        <v>JARDINERO</v>
      </c>
      <c r="G126" s="114" t="str">
        <f>IFERROR(VLOOKUP($C126,'[7]PLANILLA EDNA '!$C$9:$F$100,4,0),"NO BD")</f>
        <v>SEDE 1 - MANZANA LIEVANO - ALCALDÍA MAYOR</v>
      </c>
      <c r="H126" s="114" t="str">
        <f>IFERROR(VLOOKUP($C126,[7]BD!$B$3:$O$203,14,0),"")</f>
        <v>3214213047</v>
      </c>
      <c r="I126" s="114" t="str">
        <f>IFERROR(VLOOKUP($C126,[7]BD!$B$3:$O$203,4,0),"")</f>
        <v>18/10/2025</v>
      </c>
      <c r="J126" s="97" t="str">
        <f>INDEX('[7]PLANILLA EDNA '!C31:AK119,3,6)</f>
        <v>OK</v>
      </c>
      <c r="K126" s="97" t="str">
        <f>INDEX('[7]PLANILLA EDNA '!D31:AL119,3,6)</f>
        <v>D</v>
      </c>
      <c r="L126" s="97" t="str">
        <f>INDEX('[7]PLANILLA EDNA '!E31:AM119,3,6)</f>
        <v>D</v>
      </c>
      <c r="M126" s="97" t="str">
        <f>INDEX('[7]PLANILLA EDNA '!F31:AN119,3,6)</f>
        <v>OK</v>
      </c>
      <c r="N126" s="97" t="str">
        <f>INDEX('[7]PLANILLA EDNA '!G31:AO119,3,6)</f>
        <v>D</v>
      </c>
      <c r="O126" s="97" t="str">
        <f>INDEX('[7]PLANILLA EDNA '!H31:AP119,3,6)</f>
        <v>OK</v>
      </c>
      <c r="P126" s="97" t="str">
        <f>INDEX('[7]PLANILLA EDNA '!I31:AQ119,3,6)</f>
        <v>OK</v>
      </c>
      <c r="Q126" s="97" t="str">
        <f>INDEX('[7]PLANILLA EDNA '!J31:AR119,3,6)</f>
        <v>OK</v>
      </c>
      <c r="R126" s="97" t="str">
        <f>INDEX('[7]PLANILLA EDNA '!K31:AS119,3,6)</f>
        <v>OK</v>
      </c>
      <c r="S126" s="97" t="str">
        <f>INDEX('[7]PLANILLA EDNA '!L31:AT119,3,6)</f>
        <v>OK</v>
      </c>
      <c r="T126" s="97" t="str">
        <f>INDEX('[7]PLANILLA EDNA '!M31:AU119,3,6)</f>
        <v>OK</v>
      </c>
      <c r="U126" s="97" t="str">
        <f>INDEX('[7]PLANILLA EDNA '!N31:AV119,3,6)</f>
        <v>D</v>
      </c>
      <c r="V126" s="97" t="str">
        <f>INDEX('[7]PLANILLA EDNA '!O31:AW119,3,6)</f>
        <v>OK</v>
      </c>
      <c r="W126" s="97" t="str">
        <f>INDEX('[7]PLANILLA EDNA '!P31:AX119,3,6)</f>
        <v>OK</v>
      </c>
      <c r="X126" s="97" t="str">
        <f>INDEX('[7]PLANILLA EDNA '!Q31:AY119,3,6)</f>
        <v>OK</v>
      </c>
      <c r="Y126" s="97" t="str">
        <f>INDEX('[7]PLANILLA EDNA '!R31:AZ119,3,6)</f>
        <v>OK</v>
      </c>
      <c r="Z126" s="97" t="str">
        <f>INDEX('[7]PLANILLA EDNA '!S31:BA119,3,6)</f>
        <v>OK</v>
      </c>
      <c r="AA126" s="97" t="str">
        <f>INDEX('[7]PLANILLA EDNA '!T31:BB119,3,6)</f>
        <v>OK</v>
      </c>
      <c r="AB126" s="97" t="str">
        <f>INDEX('[7]PLANILLA EDNA '!U31:BC119,3,6)</f>
        <v>D</v>
      </c>
      <c r="AC126" s="97" t="str">
        <f>INDEX('[7]PLANILLA EDNA '!V31:BD119,3,6)</f>
        <v>OK</v>
      </c>
      <c r="AD126" s="97" t="str">
        <f>INDEX('[7]PLANILLA EDNA '!W31:BE119,3,6)</f>
        <v>OK</v>
      </c>
      <c r="AE126" s="97" t="str">
        <f>INDEX('[7]PLANILLA EDNA '!X31:BF119,3,6)</f>
        <v>OK</v>
      </c>
      <c r="AF126" s="97">
        <f>INDEX('[7]PLANILLA EDNA '!Y31:BG119,3,6)</f>
        <v>0</v>
      </c>
      <c r="AG126" s="97">
        <f>INDEX('[7]PLANILLA EDNA '!Z31:BH119,3,6)</f>
        <v>0</v>
      </c>
      <c r="AH126" s="97">
        <f>INDEX('[7]PLANILLA EDNA '!AA31:BI119,3,6)</f>
        <v>0</v>
      </c>
      <c r="AI126" s="97">
        <f>INDEX('[7]PLANILLA EDNA '!AB31:BJ119,3,6)</f>
        <v>0</v>
      </c>
      <c r="AJ126" s="97">
        <f>INDEX('[7]PLANILLA EDNA '!AC31:BK119,3,6)</f>
        <v>0</v>
      </c>
      <c r="AK126" s="97">
        <f>INDEX('[7]PLANILLA EDNA '!AD31:BL119,3,6)</f>
        <v>0</v>
      </c>
      <c r="AL126" s="97">
        <f>INDEX('[7]PLANILLA EDNA '!AE31:BM119,3,6)</f>
        <v>0</v>
      </c>
      <c r="AM126" s="97">
        <f>INDEX('[7]PLANILLA EDNA '!AF31:BN119,3,6)</f>
        <v>0</v>
      </c>
      <c r="AO126" s="116">
        <f t="shared" si="16"/>
        <v>0</v>
      </c>
      <c r="AP126" s="116">
        <f t="shared" si="16"/>
        <v>0</v>
      </c>
      <c r="AQ126" s="116">
        <f t="shared" si="16"/>
        <v>5</v>
      </c>
      <c r="AR126" s="116">
        <f t="shared" si="16"/>
        <v>0</v>
      </c>
      <c r="AS126" s="116">
        <f t="shared" si="16"/>
        <v>0</v>
      </c>
      <c r="AT126" s="116">
        <f t="shared" si="16"/>
        <v>0</v>
      </c>
      <c r="AU126" s="116">
        <f t="shared" si="16"/>
        <v>0</v>
      </c>
      <c r="AV126" s="116">
        <f t="shared" si="16"/>
        <v>0</v>
      </c>
      <c r="AW126" s="116">
        <f t="shared" si="16"/>
        <v>0</v>
      </c>
      <c r="AX126" s="116">
        <f t="shared" si="16"/>
        <v>0</v>
      </c>
      <c r="AY126" s="116">
        <f t="shared" si="16"/>
        <v>0</v>
      </c>
      <c r="AZ126" s="116">
        <f t="shared" si="16"/>
        <v>0</v>
      </c>
      <c r="BA126" s="116">
        <f t="shared" si="16"/>
        <v>17</v>
      </c>
      <c r="BB126" s="117">
        <f t="shared" si="10"/>
        <v>22</v>
      </c>
    </row>
    <row r="127" spans="2:54" ht="32.1" customHeight="1">
      <c r="B127" s="112">
        <v>119</v>
      </c>
      <c r="C127" s="133">
        <f>+'[7]PLANILLA EDNA '!C34</f>
        <v>52776187</v>
      </c>
      <c r="D127" s="114" t="str">
        <f>IFERROR(VLOOKUP($C127,'[7]PLANILLA EDNA '!$C$9:$F$100,2,0),"NO BD")</f>
        <v xml:space="preserve">TIQUE  MARIA NURY </v>
      </c>
      <c r="E127" s="134" t="s">
        <v>592</v>
      </c>
      <c r="F127" s="114" t="str">
        <f>IFERROR(VLOOKUP($C127,[7]BD!$B$3:$O$213,3,0),"")</f>
        <v>OPERARIA DE ASEO Y CAFETERIA</v>
      </c>
      <c r="G127" s="114" t="str">
        <f>IFERROR(VLOOKUP($C127,'[7]PLANILLA EDNA '!$C$9:$F$100,4,0),"NO BD")</f>
        <v xml:space="preserve">SEDE 2- DIRECCIÓN DISTRITAL DE ARCHIVO DE  BOGOTA </v>
      </c>
      <c r="H127" s="114" t="str">
        <f>IFERROR(VLOOKUP($C127,[7]BD!$B$3:$O$203,14,0),"")</f>
        <v>3228078172</v>
      </c>
      <c r="I127" s="114" t="str">
        <f>IFERROR(VLOOKUP($C127,[7]BD!$B$3:$O$203,4,0),"")</f>
        <v>18/10/2025</v>
      </c>
      <c r="J127" s="97" t="str">
        <f>INDEX('[7]PLANILLA EDNA '!C32:AK120,3,6)</f>
        <v>OK</v>
      </c>
      <c r="K127" s="97" t="str">
        <f>INDEX('[7]PLANILLA EDNA '!D32:AL120,3,6)</f>
        <v>D</v>
      </c>
      <c r="L127" s="97" t="str">
        <f>INDEX('[7]PLANILLA EDNA '!E32:AM120,3,6)</f>
        <v>D</v>
      </c>
      <c r="M127" s="97" t="str">
        <f>INDEX('[7]PLANILLA EDNA '!F32:AN120,3,6)</f>
        <v>OK</v>
      </c>
      <c r="N127" s="97" t="str">
        <f>INDEX('[7]PLANILLA EDNA '!G32:AO120,3,6)</f>
        <v>D</v>
      </c>
      <c r="O127" s="97" t="str">
        <f>INDEX('[7]PLANILLA EDNA '!H32:AP120,3,6)</f>
        <v>OK</v>
      </c>
      <c r="P127" s="97" t="str">
        <f>INDEX('[7]PLANILLA EDNA '!I32:AQ120,3,6)</f>
        <v>OK</v>
      </c>
      <c r="Q127" s="97" t="str">
        <f>INDEX('[7]PLANILLA EDNA '!J32:AR120,3,6)</f>
        <v>OK</v>
      </c>
      <c r="R127" s="97" t="str">
        <f>INDEX('[7]PLANILLA EDNA '!K32:AS120,3,6)</f>
        <v>OK</v>
      </c>
      <c r="S127" s="97" t="str">
        <f>INDEX('[7]PLANILLA EDNA '!L32:AT120,3,6)</f>
        <v>OK</v>
      </c>
      <c r="T127" s="97" t="str">
        <f>INDEX('[7]PLANILLA EDNA '!M32:AU120,3,6)</f>
        <v>OK</v>
      </c>
      <c r="U127" s="97" t="str">
        <f>INDEX('[7]PLANILLA EDNA '!N32:AV120,3,6)</f>
        <v>D</v>
      </c>
      <c r="V127" s="97" t="str">
        <f>INDEX('[7]PLANILLA EDNA '!O32:AW120,3,6)</f>
        <v>OK</v>
      </c>
      <c r="W127" s="97" t="str">
        <f>INDEX('[7]PLANILLA EDNA '!P32:AX120,3,6)</f>
        <v>OK</v>
      </c>
      <c r="X127" s="97" t="str">
        <f>INDEX('[7]PLANILLA EDNA '!Q32:AY120,3,6)</f>
        <v>OK</v>
      </c>
      <c r="Y127" s="97" t="str">
        <f>INDEX('[7]PLANILLA EDNA '!R32:AZ120,3,6)</f>
        <v>OK</v>
      </c>
      <c r="Z127" s="97" t="str">
        <f>INDEX('[7]PLANILLA EDNA '!S32:BA120,3,6)</f>
        <v>OK</v>
      </c>
      <c r="AA127" s="97" t="str">
        <f>INDEX('[7]PLANILLA EDNA '!T32:BB120,3,6)</f>
        <v>OK</v>
      </c>
      <c r="AB127" s="97" t="str">
        <f>INDEX('[7]PLANILLA EDNA '!U32:BC120,3,6)</f>
        <v>D</v>
      </c>
      <c r="AC127" s="97" t="str">
        <f>INDEX('[7]PLANILLA EDNA '!V32:BD120,3,6)</f>
        <v>OK</v>
      </c>
      <c r="AD127" s="97" t="str">
        <f>INDEX('[7]PLANILLA EDNA '!W32:BE120,3,6)</f>
        <v>OK</v>
      </c>
      <c r="AE127" s="97" t="str">
        <f>INDEX('[7]PLANILLA EDNA '!X32:BF120,3,6)</f>
        <v>OK</v>
      </c>
      <c r="AF127" s="97">
        <f>INDEX('[7]PLANILLA EDNA '!Y32:BG120,3,6)</f>
        <v>0</v>
      </c>
      <c r="AG127" s="97">
        <f>INDEX('[7]PLANILLA EDNA '!Z32:BH120,3,6)</f>
        <v>0</v>
      </c>
      <c r="AH127" s="97">
        <f>INDEX('[7]PLANILLA EDNA '!AA32:BI120,3,6)</f>
        <v>0</v>
      </c>
      <c r="AI127" s="97">
        <f>INDEX('[7]PLANILLA EDNA '!AB32:BJ120,3,6)</f>
        <v>0</v>
      </c>
      <c r="AJ127" s="97">
        <f>INDEX('[7]PLANILLA EDNA '!AC32:BK120,3,6)</f>
        <v>0</v>
      </c>
      <c r="AK127" s="97">
        <f>INDEX('[7]PLANILLA EDNA '!AD32:BL120,3,6)</f>
        <v>0</v>
      </c>
      <c r="AL127" s="97">
        <f>INDEX('[7]PLANILLA EDNA '!AE32:BM120,3,6)</f>
        <v>0</v>
      </c>
      <c r="AM127" s="97">
        <f>INDEX('[7]PLANILLA EDNA '!AF32:BN120,3,6)</f>
        <v>0</v>
      </c>
      <c r="AO127" s="116">
        <f t="shared" si="16"/>
        <v>0</v>
      </c>
      <c r="AP127" s="116">
        <f t="shared" si="16"/>
        <v>0</v>
      </c>
      <c r="AQ127" s="116">
        <f t="shared" si="16"/>
        <v>5</v>
      </c>
      <c r="AR127" s="116">
        <f t="shared" si="16"/>
        <v>0</v>
      </c>
      <c r="AS127" s="116">
        <f t="shared" si="16"/>
        <v>0</v>
      </c>
      <c r="AT127" s="116">
        <f t="shared" si="16"/>
        <v>0</v>
      </c>
      <c r="AU127" s="116">
        <f t="shared" si="16"/>
        <v>0</v>
      </c>
      <c r="AV127" s="116">
        <f t="shared" si="16"/>
        <v>0</v>
      </c>
      <c r="AW127" s="116">
        <f t="shared" si="16"/>
        <v>0</v>
      </c>
      <c r="AX127" s="116">
        <f t="shared" si="16"/>
        <v>0</v>
      </c>
      <c r="AY127" s="116">
        <f t="shared" si="16"/>
        <v>0</v>
      </c>
      <c r="AZ127" s="116">
        <f t="shared" si="16"/>
        <v>0</v>
      </c>
      <c r="BA127" s="116">
        <f t="shared" si="16"/>
        <v>17</v>
      </c>
      <c r="BB127" s="117">
        <f t="shared" si="10"/>
        <v>22</v>
      </c>
    </row>
    <row r="128" spans="2:54" ht="15.95" customHeight="1">
      <c r="B128" s="112">
        <v>120</v>
      </c>
      <c r="C128" s="133">
        <f>+'[7]PLANILLA EDNA '!C35</f>
        <v>53048357</v>
      </c>
      <c r="D128" s="114" t="str">
        <f>IFERROR(VLOOKUP($C128,'[7]PLANILLA EDNA '!$C$9:$F$100,2,0),"NO BD")</f>
        <v xml:space="preserve">LOPEZ SANCHEZ MARIA DEL PILAR </v>
      </c>
      <c r="E128" s="134" t="s">
        <v>592</v>
      </c>
      <c r="F128" s="114" t="str">
        <f>IFERROR(VLOOKUP($C128,[7]BD!$B$3:$O$213,3,0),"")</f>
        <v>OPERARIA DE ASEO Y CAFETERIA</v>
      </c>
      <c r="G128" s="114" t="str">
        <f>IFERROR(VLOOKUP($C128,'[7]PLANILLA EDNA '!$C$9:$F$100,4,0),"NO BD")</f>
        <v>SEDE 3 - IMPRENTA DISTRITAL</v>
      </c>
      <c r="H128" s="114" t="str">
        <f>IFERROR(VLOOKUP($C128,[7]BD!$B$3:$O$203,14,0),"")</f>
        <v>3212444338</v>
      </c>
      <c r="I128" s="114" t="str">
        <f>IFERROR(VLOOKUP($C128,[7]BD!$B$3:$O$203,4,0),"")</f>
        <v>18/10/2025</v>
      </c>
      <c r="J128" s="97" t="str">
        <f>INDEX('[7]PLANILLA EDNA '!C33:AK121,3,6)</f>
        <v>OK</v>
      </c>
      <c r="K128" s="97" t="str">
        <f>INDEX('[7]PLANILLA EDNA '!D33:AL121,3,6)</f>
        <v>D</v>
      </c>
      <c r="L128" s="97" t="str">
        <f>INDEX('[7]PLANILLA EDNA '!E33:AM121,3,6)</f>
        <v>D</v>
      </c>
      <c r="M128" s="97" t="str">
        <f>INDEX('[7]PLANILLA EDNA '!F33:AN121,3,6)</f>
        <v>OK</v>
      </c>
      <c r="N128" s="97" t="str">
        <f>INDEX('[7]PLANILLA EDNA '!G33:AO121,3,6)</f>
        <v>D</v>
      </c>
      <c r="O128" s="97" t="str">
        <f>INDEX('[7]PLANILLA EDNA '!H33:AP121,3,6)</f>
        <v>OK</v>
      </c>
      <c r="P128" s="97" t="str">
        <f>INDEX('[7]PLANILLA EDNA '!I33:AQ121,3,6)</f>
        <v>OK</v>
      </c>
      <c r="Q128" s="97" t="str">
        <f>INDEX('[7]PLANILLA EDNA '!J33:AR121,3,6)</f>
        <v>OK</v>
      </c>
      <c r="R128" s="97" t="str">
        <f>INDEX('[7]PLANILLA EDNA '!K33:AS121,3,6)</f>
        <v>OK</v>
      </c>
      <c r="S128" s="97" t="str">
        <f>INDEX('[7]PLANILLA EDNA '!L33:AT121,3,6)</f>
        <v>OK</v>
      </c>
      <c r="T128" s="97" t="str">
        <f>INDEX('[7]PLANILLA EDNA '!M33:AU121,3,6)</f>
        <v>OK</v>
      </c>
      <c r="U128" s="97" t="str">
        <f>INDEX('[7]PLANILLA EDNA '!N33:AV121,3,6)</f>
        <v>D</v>
      </c>
      <c r="V128" s="97" t="str">
        <f>INDEX('[7]PLANILLA EDNA '!O33:AW121,3,6)</f>
        <v>OK</v>
      </c>
      <c r="W128" s="97" t="str">
        <f>INDEX('[7]PLANILLA EDNA '!P33:AX121,3,6)</f>
        <v>OK</v>
      </c>
      <c r="X128" s="97" t="str">
        <f>INDEX('[7]PLANILLA EDNA '!Q33:AY121,3,6)</f>
        <v>OK</v>
      </c>
      <c r="Y128" s="97" t="str">
        <f>INDEX('[7]PLANILLA EDNA '!R33:AZ121,3,6)</f>
        <v>OK</v>
      </c>
      <c r="Z128" s="97" t="str">
        <f>INDEX('[7]PLANILLA EDNA '!S33:BA121,3,6)</f>
        <v>OK</v>
      </c>
      <c r="AA128" s="97" t="str">
        <f>INDEX('[7]PLANILLA EDNA '!T33:BB121,3,6)</f>
        <v>OK</v>
      </c>
      <c r="AB128" s="97" t="str">
        <f>INDEX('[7]PLANILLA EDNA '!U33:BC121,3,6)</f>
        <v>D</v>
      </c>
      <c r="AC128" s="97" t="str">
        <f>INDEX('[7]PLANILLA EDNA '!V33:BD121,3,6)</f>
        <v>OK</v>
      </c>
      <c r="AD128" s="97" t="str">
        <f>INDEX('[7]PLANILLA EDNA '!W33:BE121,3,6)</f>
        <v>OK</v>
      </c>
      <c r="AE128" s="97" t="str">
        <f>INDEX('[7]PLANILLA EDNA '!X33:BF121,3,6)</f>
        <v>OK</v>
      </c>
      <c r="AF128" s="97">
        <f>INDEX('[7]PLANILLA EDNA '!Y33:BG121,3,6)</f>
        <v>0</v>
      </c>
      <c r="AG128" s="97">
        <f>INDEX('[7]PLANILLA EDNA '!Z33:BH121,3,6)</f>
        <v>0</v>
      </c>
      <c r="AH128" s="97">
        <f>INDEX('[7]PLANILLA EDNA '!AA33:BI121,3,6)</f>
        <v>0</v>
      </c>
      <c r="AI128" s="97">
        <f>INDEX('[7]PLANILLA EDNA '!AB33:BJ121,3,6)</f>
        <v>0</v>
      </c>
      <c r="AJ128" s="97">
        <f>INDEX('[7]PLANILLA EDNA '!AC33:BK121,3,6)</f>
        <v>0</v>
      </c>
      <c r="AK128" s="97">
        <f>INDEX('[7]PLANILLA EDNA '!AD33:BL121,3,6)</f>
        <v>0</v>
      </c>
      <c r="AL128" s="97">
        <f>INDEX('[7]PLANILLA EDNA '!AE33:BM121,3,6)</f>
        <v>0</v>
      </c>
      <c r="AM128" s="97">
        <f>INDEX('[7]PLANILLA EDNA '!AF33:BN121,3,6)</f>
        <v>0</v>
      </c>
      <c r="AO128" s="116">
        <f t="shared" si="16"/>
        <v>0</v>
      </c>
      <c r="AP128" s="116">
        <f t="shared" si="16"/>
        <v>0</v>
      </c>
      <c r="AQ128" s="116">
        <f t="shared" si="16"/>
        <v>5</v>
      </c>
      <c r="AR128" s="116">
        <f t="shared" si="16"/>
        <v>0</v>
      </c>
      <c r="AS128" s="116">
        <f t="shared" si="16"/>
        <v>0</v>
      </c>
      <c r="AT128" s="116">
        <f t="shared" si="16"/>
        <v>0</v>
      </c>
      <c r="AU128" s="116">
        <f t="shared" si="16"/>
        <v>0</v>
      </c>
      <c r="AV128" s="116">
        <f t="shared" si="16"/>
        <v>0</v>
      </c>
      <c r="AW128" s="116">
        <f t="shared" si="16"/>
        <v>0</v>
      </c>
      <c r="AX128" s="116">
        <f t="shared" si="16"/>
        <v>0</v>
      </c>
      <c r="AY128" s="116">
        <f t="shared" si="16"/>
        <v>0</v>
      </c>
      <c r="AZ128" s="116">
        <f t="shared" si="16"/>
        <v>0</v>
      </c>
      <c r="BA128" s="116">
        <f t="shared" si="16"/>
        <v>17</v>
      </c>
      <c r="BB128" s="117">
        <f t="shared" si="10"/>
        <v>22</v>
      </c>
    </row>
    <row r="129" spans="2:54" ht="15.95" customHeight="1">
      <c r="B129" s="112">
        <v>121</v>
      </c>
      <c r="C129" s="133">
        <f>+'[7]PLANILLA EDNA '!C36</f>
        <v>79667853</v>
      </c>
      <c r="D129" s="114" t="str">
        <f>IFERROR(VLOOKUP($C129,'[7]PLANILLA EDNA '!$C$9:$F$100,2,0),"NO BD")</f>
        <v xml:space="preserve">RUBIO HERRERA WILLIAM ALEJANDRO </v>
      </c>
      <c r="E129" s="134" t="s">
        <v>592</v>
      </c>
      <c r="F129" s="114" t="str">
        <f>IFERROR(VLOOKUP($C129,[7]BD!$B$3:$O$213,3,0),"")</f>
        <v>OPERARIO DE MANTENIMIENTO</v>
      </c>
      <c r="G129" s="114" t="str">
        <f>IFERROR(VLOOKUP($C129,'[7]PLANILLA EDNA '!$C$9:$F$100,4,0),"NO BD")</f>
        <v>SEDE 3 - IMPRENTA DISTRITAL</v>
      </c>
      <c r="H129" s="114" t="str">
        <f>IFERROR(VLOOKUP($C129,[7]BD!$B$3:$O$203,14,0),"")</f>
        <v>3222853281</v>
      </c>
      <c r="I129" s="114" t="str">
        <f>IFERROR(VLOOKUP($C129,[7]BD!$B$3:$O$203,4,0),"")</f>
        <v>18/10/2025</v>
      </c>
      <c r="J129" s="97" t="str">
        <f>INDEX('[7]PLANILLA EDNA '!C34:AK122,3,6)</f>
        <v>OK</v>
      </c>
      <c r="K129" s="97" t="str">
        <f>INDEX('[7]PLANILLA EDNA '!D34:AL122,3,6)</f>
        <v>D</v>
      </c>
      <c r="L129" s="97" t="str">
        <f>INDEX('[7]PLANILLA EDNA '!E34:AM122,3,6)</f>
        <v>D</v>
      </c>
      <c r="M129" s="97" t="str">
        <f>INDEX('[7]PLANILLA EDNA '!F34:AN122,3,6)</f>
        <v>OK</v>
      </c>
      <c r="N129" s="97" t="str">
        <f>INDEX('[7]PLANILLA EDNA '!G34:AO122,3,6)</f>
        <v>D</v>
      </c>
      <c r="O129" s="97" t="str">
        <f>INDEX('[7]PLANILLA EDNA '!H34:AP122,3,6)</f>
        <v>OK</v>
      </c>
      <c r="P129" s="97" t="str">
        <f>INDEX('[7]PLANILLA EDNA '!I34:AQ122,3,6)</f>
        <v>OK</v>
      </c>
      <c r="Q129" s="97" t="str">
        <f>INDEX('[7]PLANILLA EDNA '!J34:AR122,3,6)</f>
        <v>OK</v>
      </c>
      <c r="R129" s="97" t="str">
        <f>INDEX('[7]PLANILLA EDNA '!K34:AS122,3,6)</f>
        <v>OK</v>
      </c>
      <c r="S129" s="97" t="str">
        <f>INDEX('[7]PLANILLA EDNA '!L34:AT122,3,6)</f>
        <v>OK</v>
      </c>
      <c r="T129" s="97" t="str">
        <f>INDEX('[7]PLANILLA EDNA '!M34:AU122,3,6)</f>
        <v>OK</v>
      </c>
      <c r="U129" s="97" t="str">
        <f>INDEX('[7]PLANILLA EDNA '!N34:AV122,3,6)</f>
        <v>D</v>
      </c>
      <c r="V129" s="97" t="str">
        <f>INDEX('[7]PLANILLA EDNA '!O34:AW122,3,6)</f>
        <v>OK</v>
      </c>
      <c r="W129" s="97" t="str">
        <f>INDEX('[7]PLANILLA EDNA '!P34:AX122,3,6)</f>
        <v>OK</v>
      </c>
      <c r="X129" s="97" t="str">
        <f>INDEX('[7]PLANILLA EDNA '!Q34:AY122,3,6)</f>
        <v>OK</v>
      </c>
      <c r="Y129" s="97" t="str">
        <f>INDEX('[7]PLANILLA EDNA '!R34:AZ122,3,6)</f>
        <v>OK</v>
      </c>
      <c r="Z129" s="97" t="str">
        <f>INDEX('[7]PLANILLA EDNA '!S34:BA122,3,6)</f>
        <v>OK</v>
      </c>
      <c r="AA129" s="97" t="str">
        <f>INDEX('[7]PLANILLA EDNA '!T34:BB122,3,6)</f>
        <v>OK</v>
      </c>
      <c r="AB129" s="97" t="str">
        <f>INDEX('[7]PLANILLA EDNA '!U34:BC122,3,6)</f>
        <v>D</v>
      </c>
      <c r="AC129" s="97" t="str">
        <f>INDEX('[7]PLANILLA EDNA '!V34:BD122,3,6)</f>
        <v>OK</v>
      </c>
      <c r="AD129" s="97" t="str">
        <f>INDEX('[7]PLANILLA EDNA '!W34:BE122,3,6)</f>
        <v>OK</v>
      </c>
      <c r="AE129" s="97" t="str">
        <f>INDEX('[7]PLANILLA EDNA '!X34:BF122,3,6)</f>
        <v>OK</v>
      </c>
      <c r="AF129" s="97">
        <f>INDEX('[7]PLANILLA EDNA '!Y34:BG122,3,6)</f>
        <v>0</v>
      </c>
      <c r="AG129" s="97">
        <f>INDEX('[7]PLANILLA EDNA '!Z34:BH122,3,6)</f>
        <v>0</v>
      </c>
      <c r="AH129" s="97">
        <f>INDEX('[7]PLANILLA EDNA '!AA34:BI122,3,6)</f>
        <v>0</v>
      </c>
      <c r="AI129" s="97">
        <f>INDEX('[7]PLANILLA EDNA '!AB34:BJ122,3,6)</f>
        <v>0</v>
      </c>
      <c r="AJ129" s="97">
        <f>INDEX('[7]PLANILLA EDNA '!AC34:BK122,3,6)</f>
        <v>0</v>
      </c>
      <c r="AK129" s="97">
        <f>INDEX('[7]PLANILLA EDNA '!AD34:BL122,3,6)</f>
        <v>0</v>
      </c>
      <c r="AL129" s="97">
        <f>INDEX('[7]PLANILLA EDNA '!AE34:BM122,3,6)</f>
        <v>0</v>
      </c>
      <c r="AM129" s="97">
        <f>INDEX('[7]PLANILLA EDNA '!AF34:BN122,3,6)</f>
        <v>0</v>
      </c>
      <c r="AO129" s="116">
        <f t="shared" si="16"/>
        <v>0</v>
      </c>
      <c r="AP129" s="116">
        <f t="shared" si="16"/>
        <v>0</v>
      </c>
      <c r="AQ129" s="116">
        <f t="shared" si="16"/>
        <v>5</v>
      </c>
      <c r="AR129" s="116">
        <f t="shared" si="16"/>
        <v>0</v>
      </c>
      <c r="AS129" s="116">
        <f t="shared" si="16"/>
        <v>0</v>
      </c>
      <c r="AT129" s="116">
        <f t="shared" si="16"/>
        <v>0</v>
      </c>
      <c r="AU129" s="116">
        <f t="shared" si="16"/>
        <v>0</v>
      </c>
      <c r="AV129" s="116">
        <f t="shared" si="16"/>
        <v>0</v>
      </c>
      <c r="AW129" s="116">
        <f t="shared" si="16"/>
        <v>0</v>
      </c>
      <c r="AX129" s="116">
        <f t="shared" si="16"/>
        <v>0</v>
      </c>
      <c r="AY129" s="116">
        <f t="shared" si="16"/>
        <v>0</v>
      </c>
      <c r="AZ129" s="116">
        <f t="shared" si="16"/>
        <v>0</v>
      </c>
      <c r="BA129" s="116">
        <f t="shared" si="16"/>
        <v>17</v>
      </c>
      <c r="BB129" s="117">
        <f t="shared" si="10"/>
        <v>22</v>
      </c>
    </row>
    <row r="130" spans="2:54" ht="15.95" customHeight="1">
      <c r="B130" s="112">
        <v>122</v>
      </c>
      <c r="C130" s="133">
        <f>+'[7]PLANILLA EDNA '!C37</f>
        <v>79960184</v>
      </c>
      <c r="D130" s="114" t="str">
        <f>IFERROR(VLOOKUP($C130,'[7]PLANILLA EDNA '!$C$9:$F$100,2,0),"NO BD")</f>
        <v xml:space="preserve">VILLANUEVA VALENCIA JOSE DANIEL </v>
      </c>
      <c r="E130" s="134" t="s">
        <v>592</v>
      </c>
      <c r="F130" s="114" t="str">
        <f>IFERROR(VLOOKUP($C130,[7]BD!$B$3:$O$213,3,0),"")</f>
        <v>JARDINERO</v>
      </c>
      <c r="G130" s="114" t="str">
        <f>IFERROR(VLOOKUP($C130,'[7]PLANILLA EDNA '!$C$9:$F$100,4,0),"NO BD")</f>
        <v xml:space="preserve">SEDE 2- DIRECCIÓN DISTRITAL DE ARCHIVO DE  BOGOTA </v>
      </c>
      <c r="H130" s="114" t="str">
        <f>IFERROR(VLOOKUP($C130,[7]BD!$B$3:$O$203,14,0),"")</f>
        <v>3123017813</v>
      </c>
      <c r="I130" s="114" t="str">
        <f>IFERROR(VLOOKUP($C130,[7]BD!$B$3:$O$203,4,0),"")</f>
        <v>18/10/2025</v>
      </c>
      <c r="J130" s="97" t="str">
        <f>INDEX('[7]PLANILLA EDNA '!C35:AK123,3,6)</f>
        <v>OK</v>
      </c>
      <c r="K130" s="97" t="str">
        <f>INDEX('[7]PLANILLA EDNA '!D35:AL123,3,6)</f>
        <v>D</v>
      </c>
      <c r="L130" s="97" t="str">
        <f>INDEX('[7]PLANILLA EDNA '!E35:AM123,3,6)</f>
        <v>D</v>
      </c>
      <c r="M130" s="97" t="str">
        <f>INDEX('[7]PLANILLA EDNA '!F35:AN123,3,6)</f>
        <v>OK</v>
      </c>
      <c r="N130" s="97" t="str">
        <f>INDEX('[7]PLANILLA EDNA '!G35:AO123,3,6)</f>
        <v>D</v>
      </c>
      <c r="O130" s="97" t="str">
        <f>INDEX('[7]PLANILLA EDNA '!H35:AP123,3,6)</f>
        <v>OK</v>
      </c>
      <c r="P130" s="97" t="str">
        <f>INDEX('[7]PLANILLA EDNA '!I35:AQ123,3,6)</f>
        <v>OK</v>
      </c>
      <c r="Q130" s="97" t="str">
        <f>INDEX('[7]PLANILLA EDNA '!J35:AR123,3,6)</f>
        <v>OK</v>
      </c>
      <c r="R130" s="97" t="str">
        <f>INDEX('[7]PLANILLA EDNA '!K35:AS123,3,6)</f>
        <v>OK</v>
      </c>
      <c r="S130" s="97" t="str">
        <f>INDEX('[7]PLANILLA EDNA '!L35:AT123,3,6)</f>
        <v>OK</v>
      </c>
      <c r="T130" s="97" t="str">
        <f>INDEX('[7]PLANILLA EDNA '!M35:AU123,3,6)</f>
        <v>OK</v>
      </c>
      <c r="U130" s="97" t="str">
        <f>INDEX('[7]PLANILLA EDNA '!N35:AV123,3,6)</f>
        <v>D</v>
      </c>
      <c r="V130" s="97" t="str">
        <f>INDEX('[7]PLANILLA EDNA '!O35:AW123,3,6)</f>
        <v>OK</v>
      </c>
      <c r="W130" s="97" t="str">
        <f>INDEX('[7]PLANILLA EDNA '!P35:AX123,3,6)</f>
        <v>OK</v>
      </c>
      <c r="X130" s="97" t="str">
        <f>INDEX('[7]PLANILLA EDNA '!Q35:AY123,3,6)</f>
        <v>OK</v>
      </c>
      <c r="Y130" s="97" t="str">
        <f>INDEX('[7]PLANILLA EDNA '!R35:AZ123,3,6)</f>
        <v>OK</v>
      </c>
      <c r="Z130" s="97" t="str">
        <f>INDEX('[7]PLANILLA EDNA '!S35:BA123,3,6)</f>
        <v>OK</v>
      </c>
      <c r="AA130" s="97" t="str">
        <f>INDEX('[7]PLANILLA EDNA '!T35:BB123,3,6)</f>
        <v>OK</v>
      </c>
      <c r="AB130" s="97" t="str">
        <f>INDEX('[7]PLANILLA EDNA '!U35:BC123,3,6)</f>
        <v>D</v>
      </c>
      <c r="AC130" s="97" t="str">
        <f>INDEX('[7]PLANILLA EDNA '!V35:BD123,3,6)</f>
        <v>OK</v>
      </c>
      <c r="AD130" s="97" t="str">
        <f>INDEX('[7]PLANILLA EDNA '!W35:BE123,3,6)</f>
        <v>OK</v>
      </c>
      <c r="AE130" s="97" t="str">
        <f>INDEX('[7]PLANILLA EDNA '!X35:BF123,3,6)</f>
        <v>OK</v>
      </c>
      <c r="AF130" s="97">
        <f>INDEX('[7]PLANILLA EDNA '!Y35:BG123,3,6)</f>
        <v>0</v>
      </c>
      <c r="AG130" s="97">
        <f>INDEX('[7]PLANILLA EDNA '!Z35:BH123,3,6)</f>
        <v>0</v>
      </c>
      <c r="AH130" s="97">
        <f>INDEX('[7]PLANILLA EDNA '!AA35:BI123,3,6)</f>
        <v>0</v>
      </c>
      <c r="AI130" s="97">
        <f>INDEX('[7]PLANILLA EDNA '!AB35:BJ123,3,6)</f>
        <v>0</v>
      </c>
      <c r="AJ130" s="97">
        <f>INDEX('[7]PLANILLA EDNA '!AC35:BK123,3,6)</f>
        <v>0</v>
      </c>
      <c r="AK130" s="97">
        <f>INDEX('[7]PLANILLA EDNA '!AD35:BL123,3,6)</f>
        <v>0</v>
      </c>
      <c r="AL130" s="97">
        <f>INDEX('[7]PLANILLA EDNA '!AE35:BM123,3,6)</f>
        <v>0</v>
      </c>
      <c r="AM130" s="97">
        <f>INDEX('[7]PLANILLA EDNA '!AF35:BN123,3,6)</f>
        <v>0</v>
      </c>
      <c r="AO130" s="116">
        <f t="shared" si="16"/>
        <v>0</v>
      </c>
      <c r="AP130" s="116">
        <f t="shared" si="16"/>
        <v>0</v>
      </c>
      <c r="AQ130" s="116">
        <f t="shared" si="16"/>
        <v>5</v>
      </c>
      <c r="AR130" s="116">
        <f t="shared" si="16"/>
        <v>0</v>
      </c>
      <c r="AS130" s="116">
        <f t="shared" si="16"/>
        <v>0</v>
      </c>
      <c r="AT130" s="116">
        <f t="shared" si="16"/>
        <v>0</v>
      </c>
      <c r="AU130" s="116">
        <f t="shared" si="16"/>
        <v>0</v>
      </c>
      <c r="AV130" s="116">
        <f t="shared" si="16"/>
        <v>0</v>
      </c>
      <c r="AW130" s="116">
        <f t="shared" si="16"/>
        <v>0</v>
      </c>
      <c r="AX130" s="116">
        <f t="shared" si="16"/>
        <v>0</v>
      </c>
      <c r="AY130" s="116">
        <f t="shared" si="16"/>
        <v>0</v>
      </c>
      <c r="AZ130" s="116">
        <f t="shared" si="16"/>
        <v>0</v>
      </c>
      <c r="BA130" s="116">
        <f t="shared" si="16"/>
        <v>17</v>
      </c>
      <c r="BB130" s="117">
        <f t="shared" si="10"/>
        <v>22</v>
      </c>
    </row>
    <row r="131" spans="2:54" ht="32.1" customHeight="1">
      <c r="B131" s="112">
        <v>123</v>
      </c>
      <c r="C131" s="133">
        <f>+'[7]PLANILLA EDNA '!C38</f>
        <v>52038209</v>
      </c>
      <c r="D131" s="114" t="str">
        <f>IFERROR(VLOOKUP($C131,'[7]PLANILLA EDNA '!$C$9:$F$100,2,0),"NO BD")</f>
        <v xml:space="preserve">PUENTES CORREDOR DORA  </v>
      </c>
      <c r="E131" s="134" t="s">
        <v>592</v>
      </c>
      <c r="F131" s="114" t="str">
        <f>IFERROR(VLOOKUP($C131,[7]BD!$B$3:$O$213,3,0),"")</f>
        <v>OPERARIA DE ASEO Y CAFETERIA</v>
      </c>
      <c r="G131" s="114" t="str">
        <f>IFERROR(VLOOKUP($C131,'[7]PLANILLA EDNA '!$C$9:$F$100,4,0),"NO BD")</f>
        <v xml:space="preserve">SEDE 2- DIRECCIÓN DISTRITAL DE ARCHIVO DE  BOGOTA </v>
      </c>
      <c r="H131" s="114" t="str">
        <f>IFERROR(VLOOKUP($C131,[7]BD!$B$3:$O$203,14,0),"")</f>
        <v>3125879804</v>
      </c>
      <c r="I131" s="114" t="str">
        <f>IFERROR(VLOOKUP($C131,[7]BD!$B$3:$O$203,4,0),"")</f>
        <v>18/10/2025</v>
      </c>
      <c r="J131" s="97" t="str">
        <f>INDEX('[7]PLANILLA EDNA '!C36:AK124,3,6)</f>
        <v>OK</v>
      </c>
      <c r="K131" s="97" t="str">
        <f>INDEX('[7]PLANILLA EDNA '!D36:AL124,3,6)</f>
        <v>D</v>
      </c>
      <c r="L131" s="97" t="str">
        <f>INDEX('[7]PLANILLA EDNA '!E36:AM124,3,6)</f>
        <v>D</v>
      </c>
      <c r="M131" s="97" t="str">
        <f>INDEX('[7]PLANILLA EDNA '!F36:AN124,3,6)</f>
        <v>OK</v>
      </c>
      <c r="N131" s="97" t="str">
        <f>INDEX('[7]PLANILLA EDNA '!G36:AO124,3,6)</f>
        <v>D</v>
      </c>
      <c r="O131" s="97" t="str">
        <f>INDEX('[7]PLANILLA EDNA '!H36:AP124,3,6)</f>
        <v>OK</v>
      </c>
      <c r="P131" s="97" t="str">
        <f>INDEX('[7]PLANILLA EDNA '!I36:AQ124,3,6)</f>
        <v>OK</v>
      </c>
      <c r="Q131" s="97" t="str">
        <f>INDEX('[7]PLANILLA EDNA '!J36:AR124,3,6)</f>
        <v>OK</v>
      </c>
      <c r="R131" s="97" t="str">
        <f>INDEX('[7]PLANILLA EDNA '!K36:AS124,3,6)</f>
        <v>OK</v>
      </c>
      <c r="S131" s="97" t="str">
        <f>INDEX('[7]PLANILLA EDNA '!L36:AT124,3,6)</f>
        <v>OK</v>
      </c>
      <c r="T131" s="97" t="str">
        <f>INDEX('[7]PLANILLA EDNA '!M36:AU124,3,6)</f>
        <v>OK</v>
      </c>
      <c r="U131" s="97" t="str">
        <f>INDEX('[7]PLANILLA EDNA '!N36:AV124,3,6)</f>
        <v>D</v>
      </c>
      <c r="V131" s="97" t="str">
        <f>INDEX('[7]PLANILLA EDNA '!O36:AW124,3,6)</f>
        <v>OK</v>
      </c>
      <c r="W131" s="97" t="str">
        <f>INDEX('[7]PLANILLA EDNA '!P36:AX124,3,6)</f>
        <v>OK</v>
      </c>
      <c r="X131" s="97" t="str">
        <f>INDEX('[7]PLANILLA EDNA '!Q36:AY124,3,6)</f>
        <v>OK</v>
      </c>
      <c r="Y131" s="97" t="str">
        <f>INDEX('[7]PLANILLA EDNA '!R36:AZ124,3,6)</f>
        <v>OK</v>
      </c>
      <c r="Z131" s="97" t="str">
        <f>INDEX('[7]PLANILLA EDNA '!S36:BA124,3,6)</f>
        <v>OK</v>
      </c>
      <c r="AA131" s="97" t="str">
        <f>INDEX('[7]PLANILLA EDNA '!T36:BB124,3,6)</f>
        <v>OK</v>
      </c>
      <c r="AB131" s="97" t="str">
        <f>INDEX('[7]PLANILLA EDNA '!U36:BC124,3,6)</f>
        <v>D</v>
      </c>
      <c r="AC131" s="97" t="str">
        <f>INDEX('[7]PLANILLA EDNA '!V36:BD124,3,6)</f>
        <v>OK</v>
      </c>
      <c r="AD131" s="97" t="str">
        <f>INDEX('[7]PLANILLA EDNA '!W36:BE124,3,6)</f>
        <v>OK</v>
      </c>
      <c r="AE131" s="97" t="str">
        <f>INDEX('[7]PLANILLA EDNA '!X36:BF124,3,6)</f>
        <v>OK</v>
      </c>
      <c r="AF131" s="97">
        <f>INDEX('[7]PLANILLA EDNA '!Y36:BG124,3,6)</f>
        <v>0</v>
      </c>
      <c r="AG131" s="97">
        <f>INDEX('[7]PLANILLA EDNA '!Z36:BH124,3,6)</f>
        <v>0</v>
      </c>
      <c r="AH131" s="97">
        <f>INDEX('[7]PLANILLA EDNA '!AA36:BI124,3,6)</f>
        <v>0</v>
      </c>
      <c r="AI131" s="97">
        <f>INDEX('[7]PLANILLA EDNA '!AB36:BJ124,3,6)</f>
        <v>0</v>
      </c>
      <c r="AJ131" s="97">
        <f>INDEX('[7]PLANILLA EDNA '!AC36:BK124,3,6)</f>
        <v>0</v>
      </c>
      <c r="AK131" s="97">
        <f>INDEX('[7]PLANILLA EDNA '!AD36:BL124,3,6)</f>
        <v>0</v>
      </c>
      <c r="AL131" s="97">
        <f>INDEX('[7]PLANILLA EDNA '!AE36:BM124,3,6)</f>
        <v>0</v>
      </c>
      <c r="AM131" s="97">
        <f>INDEX('[7]PLANILLA EDNA '!AF36:BN124,3,6)</f>
        <v>0</v>
      </c>
      <c r="AO131" s="116">
        <f t="shared" si="16"/>
        <v>0</v>
      </c>
      <c r="AP131" s="116">
        <f t="shared" si="16"/>
        <v>0</v>
      </c>
      <c r="AQ131" s="116">
        <f t="shared" si="16"/>
        <v>5</v>
      </c>
      <c r="AR131" s="116">
        <f t="shared" si="16"/>
        <v>0</v>
      </c>
      <c r="AS131" s="116">
        <f t="shared" si="16"/>
        <v>0</v>
      </c>
      <c r="AT131" s="116">
        <f t="shared" si="16"/>
        <v>0</v>
      </c>
      <c r="AU131" s="116">
        <f t="shared" si="16"/>
        <v>0</v>
      </c>
      <c r="AV131" s="116">
        <f t="shared" si="16"/>
        <v>0</v>
      </c>
      <c r="AW131" s="116">
        <f t="shared" si="16"/>
        <v>0</v>
      </c>
      <c r="AX131" s="116">
        <f t="shared" si="16"/>
        <v>0</v>
      </c>
      <c r="AY131" s="116">
        <f t="shared" si="16"/>
        <v>0</v>
      </c>
      <c r="AZ131" s="116">
        <f t="shared" si="16"/>
        <v>0</v>
      </c>
      <c r="BA131" s="116">
        <f t="shared" si="16"/>
        <v>17</v>
      </c>
      <c r="BB131" s="117">
        <f t="shared" si="10"/>
        <v>22</v>
      </c>
    </row>
    <row r="132" spans="2:54" ht="32.1" customHeight="1">
      <c r="B132" s="112">
        <v>124</v>
      </c>
      <c r="C132" s="133">
        <f>+'[7]PLANILLA EDNA '!C39</f>
        <v>51970521</v>
      </c>
      <c r="D132" s="114" t="str">
        <f>IFERROR(VLOOKUP($C132,'[7]PLANILLA EDNA '!$C$9:$F$100,2,0),"NO BD")</f>
        <v xml:space="preserve">HERNANDEZ LUNA MARIBEL  </v>
      </c>
      <c r="E132" s="134" t="s">
        <v>592</v>
      </c>
      <c r="F132" s="114" t="str">
        <f>IFERROR(VLOOKUP($C132,[7]BD!$B$3:$O$213,3,0),"")</f>
        <v>OPERARIA DE ASEO Y CAFETERIA</v>
      </c>
      <c r="G132" s="114" t="str">
        <f>IFERROR(VLOOKUP($C132,'[7]PLANILLA EDNA '!$C$9:$F$100,4,0),"NO BD")</f>
        <v xml:space="preserve">SEDE 2- DIRECCIÓN DISTRITAL DE ARCHIVO DE  BOGOTA </v>
      </c>
      <c r="H132" s="114" t="str">
        <f>IFERROR(VLOOKUP($C132,[7]BD!$B$3:$O$203,14,0),"")</f>
        <v>3134219368</v>
      </c>
      <c r="I132" s="114" t="str">
        <f>IFERROR(VLOOKUP($C132,[7]BD!$B$3:$O$203,4,0),"")</f>
        <v>18/10/2025</v>
      </c>
      <c r="J132" s="97" t="str">
        <f>INDEX('[7]PLANILLA EDNA '!C37:AK125,3,6)</f>
        <v>OK</v>
      </c>
      <c r="K132" s="97" t="str">
        <f>INDEX('[7]PLANILLA EDNA '!D37:AL125,3,6)</f>
        <v>D</v>
      </c>
      <c r="L132" s="97" t="str">
        <f>INDEX('[7]PLANILLA EDNA '!E37:AM125,3,6)</f>
        <v>D</v>
      </c>
      <c r="M132" s="97" t="str">
        <f>INDEX('[7]PLANILLA EDNA '!F37:AN125,3,6)</f>
        <v>OK</v>
      </c>
      <c r="N132" s="97" t="str">
        <f>INDEX('[7]PLANILLA EDNA '!G37:AO125,3,6)</f>
        <v>D</v>
      </c>
      <c r="O132" s="97" t="str">
        <f>INDEX('[7]PLANILLA EDNA '!H37:AP125,3,6)</f>
        <v>OK</v>
      </c>
      <c r="P132" s="97" t="str">
        <f>INDEX('[7]PLANILLA EDNA '!I37:AQ125,3,6)</f>
        <v>OK</v>
      </c>
      <c r="Q132" s="97" t="str">
        <f>INDEX('[7]PLANILLA EDNA '!J37:AR125,3,6)</f>
        <v>OK</v>
      </c>
      <c r="R132" s="97" t="str">
        <f>INDEX('[7]PLANILLA EDNA '!K37:AS125,3,6)</f>
        <v>OK</v>
      </c>
      <c r="S132" s="97" t="str">
        <f>INDEX('[7]PLANILLA EDNA '!L37:AT125,3,6)</f>
        <v>OK</v>
      </c>
      <c r="T132" s="97" t="str">
        <f>INDEX('[7]PLANILLA EDNA '!M37:AU125,3,6)</f>
        <v>OK</v>
      </c>
      <c r="U132" s="97" t="str">
        <f>INDEX('[7]PLANILLA EDNA '!N37:AV125,3,6)</f>
        <v>D</v>
      </c>
      <c r="V132" s="97" t="str">
        <f>INDEX('[7]PLANILLA EDNA '!O37:AW125,3,6)</f>
        <v>OK</v>
      </c>
      <c r="W132" s="97" t="str">
        <f>INDEX('[7]PLANILLA EDNA '!P37:AX125,3,6)</f>
        <v>OK</v>
      </c>
      <c r="X132" s="97" t="str">
        <f>INDEX('[7]PLANILLA EDNA '!Q37:AY125,3,6)</f>
        <v>OK</v>
      </c>
      <c r="Y132" s="97" t="str">
        <f>INDEX('[7]PLANILLA EDNA '!R37:AZ125,3,6)</f>
        <v>OK</v>
      </c>
      <c r="Z132" s="97" t="str">
        <f>INDEX('[7]PLANILLA EDNA '!S37:BA125,3,6)</f>
        <v>OK</v>
      </c>
      <c r="AA132" s="97" t="str">
        <f>INDEX('[7]PLANILLA EDNA '!T37:BB125,3,6)</f>
        <v>OK</v>
      </c>
      <c r="AB132" s="97" t="str">
        <f>INDEX('[7]PLANILLA EDNA '!U37:BC125,3,6)</f>
        <v>D</v>
      </c>
      <c r="AC132" s="97" t="str">
        <f>INDEX('[7]PLANILLA EDNA '!V37:BD125,3,6)</f>
        <v>OK</v>
      </c>
      <c r="AD132" s="97" t="str">
        <f>INDEX('[7]PLANILLA EDNA '!W37:BE125,3,6)</f>
        <v>OK</v>
      </c>
      <c r="AE132" s="97" t="str">
        <f>INDEX('[7]PLANILLA EDNA '!X37:BF125,3,6)</f>
        <v>OK</v>
      </c>
      <c r="AF132" s="97">
        <f>INDEX('[7]PLANILLA EDNA '!Y37:BG125,3,6)</f>
        <v>0</v>
      </c>
      <c r="AG132" s="97">
        <f>INDEX('[7]PLANILLA EDNA '!Z37:BH125,3,6)</f>
        <v>0</v>
      </c>
      <c r="AH132" s="97">
        <f>INDEX('[7]PLANILLA EDNA '!AA37:BI125,3,6)</f>
        <v>0</v>
      </c>
      <c r="AI132" s="97">
        <f>INDEX('[7]PLANILLA EDNA '!AB37:BJ125,3,6)</f>
        <v>0</v>
      </c>
      <c r="AJ132" s="97">
        <f>INDEX('[7]PLANILLA EDNA '!AC37:BK125,3,6)</f>
        <v>0</v>
      </c>
      <c r="AK132" s="97">
        <f>INDEX('[7]PLANILLA EDNA '!AD37:BL125,3,6)</f>
        <v>0</v>
      </c>
      <c r="AL132" s="97">
        <f>INDEX('[7]PLANILLA EDNA '!AE37:BM125,3,6)</f>
        <v>0</v>
      </c>
      <c r="AM132" s="97">
        <f>INDEX('[7]PLANILLA EDNA '!AF37:BN125,3,6)</f>
        <v>0</v>
      </c>
      <c r="AO132" s="116">
        <f t="shared" si="16"/>
        <v>0</v>
      </c>
      <c r="AP132" s="116">
        <f t="shared" si="16"/>
        <v>0</v>
      </c>
      <c r="AQ132" s="116">
        <f t="shared" si="16"/>
        <v>5</v>
      </c>
      <c r="AR132" s="116">
        <f t="shared" si="16"/>
        <v>0</v>
      </c>
      <c r="AS132" s="116">
        <f t="shared" si="16"/>
        <v>0</v>
      </c>
      <c r="AT132" s="116">
        <f t="shared" si="16"/>
        <v>0</v>
      </c>
      <c r="AU132" s="116">
        <f t="shared" si="16"/>
        <v>0</v>
      </c>
      <c r="AV132" s="116">
        <f t="shared" si="16"/>
        <v>0</v>
      </c>
      <c r="AW132" s="116">
        <f t="shared" si="16"/>
        <v>0</v>
      </c>
      <c r="AX132" s="116">
        <f t="shared" si="16"/>
        <v>0</v>
      </c>
      <c r="AY132" s="116">
        <f t="shared" si="16"/>
        <v>0</v>
      </c>
      <c r="AZ132" s="116">
        <f t="shared" si="16"/>
        <v>0</v>
      </c>
      <c r="BA132" s="116">
        <f t="shared" si="16"/>
        <v>17</v>
      </c>
      <c r="BB132" s="117">
        <f t="shared" si="10"/>
        <v>22</v>
      </c>
    </row>
    <row r="133" spans="2:54" ht="15.95" customHeight="1">
      <c r="B133" s="112">
        <v>125</v>
      </c>
      <c r="C133" s="133">
        <f>+'[7]PLANILLA EDNA '!C40</f>
        <v>52295952</v>
      </c>
      <c r="D133" s="114" t="str">
        <f>IFERROR(VLOOKUP($C133,'[7]PLANILLA EDNA '!$C$9:$F$100,2,0),"NO BD")</f>
        <v xml:space="preserve">MARTINEZ HERNANDEZ MARITZA  </v>
      </c>
      <c r="E133" s="134" t="s">
        <v>592</v>
      </c>
      <c r="F133" s="114" t="str">
        <f>IFERROR(VLOOKUP($C133,[7]BD!$B$3:$O$213,3,0),"")</f>
        <v>OPERARIA DE ASEO Y CAFETERIA</v>
      </c>
      <c r="G133" s="114" t="str">
        <f>IFERROR(VLOOKUP($C133,'[7]PLANILLA EDNA '!$C$9:$F$100,4,0),"NO BD")</f>
        <v>SEDE 1 - MANZANA LIEVANO - ALCALDÍA MAYOR</v>
      </c>
      <c r="H133" s="114" t="str">
        <f>IFERROR(VLOOKUP($C133,[7]BD!$B$3:$O$203,14,0),"")</f>
        <v>3012369349</v>
      </c>
      <c r="I133" s="114" t="str">
        <f>IFERROR(VLOOKUP($C133,[7]BD!$B$3:$O$203,4,0),"")</f>
        <v>18/10/2025</v>
      </c>
      <c r="J133" s="97" t="str">
        <f>INDEX('[7]PLANILLA EDNA '!C38:AK126,3,6)</f>
        <v>OK</v>
      </c>
      <c r="K133" s="97" t="str">
        <f>INDEX('[7]PLANILLA EDNA '!D38:AL126,3,6)</f>
        <v>D</v>
      </c>
      <c r="L133" s="97" t="str">
        <f>INDEX('[7]PLANILLA EDNA '!E38:AM126,3,6)</f>
        <v>D</v>
      </c>
      <c r="M133" s="97" t="str">
        <f>INDEX('[7]PLANILLA EDNA '!F38:AN126,3,6)</f>
        <v>OK</v>
      </c>
      <c r="N133" s="97" t="str">
        <f>INDEX('[7]PLANILLA EDNA '!G38:AO126,3,6)</f>
        <v>D</v>
      </c>
      <c r="O133" s="97" t="str">
        <f>INDEX('[7]PLANILLA EDNA '!H38:AP126,3,6)</f>
        <v>OK</v>
      </c>
      <c r="P133" s="97" t="str">
        <f>INDEX('[7]PLANILLA EDNA '!I38:AQ126,3,6)</f>
        <v>OK</v>
      </c>
      <c r="Q133" s="97" t="str">
        <f>INDEX('[7]PLANILLA EDNA '!J38:AR126,3,6)</f>
        <v>OK</v>
      </c>
      <c r="R133" s="97" t="str">
        <f>INDEX('[7]PLANILLA EDNA '!K38:AS126,3,6)</f>
        <v>OK</v>
      </c>
      <c r="S133" s="97" t="str">
        <f>INDEX('[7]PLANILLA EDNA '!L38:AT126,3,6)</f>
        <v>OK</v>
      </c>
      <c r="T133" s="97" t="str">
        <f>INDEX('[7]PLANILLA EDNA '!M38:AU126,3,6)</f>
        <v>OK</v>
      </c>
      <c r="U133" s="97" t="str">
        <f>INDEX('[7]PLANILLA EDNA '!N38:AV126,3,6)</f>
        <v>D</v>
      </c>
      <c r="V133" s="97" t="str">
        <f>INDEX('[7]PLANILLA EDNA '!O38:AW126,3,6)</f>
        <v>OK</v>
      </c>
      <c r="W133" s="97" t="str">
        <f>INDEX('[7]PLANILLA EDNA '!P38:AX126,3,6)</f>
        <v>OK</v>
      </c>
      <c r="X133" s="97" t="str">
        <f>INDEX('[7]PLANILLA EDNA '!Q38:AY126,3,6)</f>
        <v>OK</v>
      </c>
      <c r="Y133" s="97" t="str">
        <f>INDEX('[7]PLANILLA EDNA '!R38:AZ126,3,6)</f>
        <v>OK</v>
      </c>
      <c r="Z133" s="97" t="str">
        <f>INDEX('[7]PLANILLA EDNA '!S38:BA126,3,6)</f>
        <v>OK</v>
      </c>
      <c r="AA133" s="97" t="str">
        <f>INDEX('[7]PLANILLA EDNA '!T38:BB126,3,6)</f>
        <v>OK</v>
      </c>
      <c r="AB133" s="97" t="str">
        <f>INDEX('[7]PLANILLA EDNA '!U38:BC126,3,6)</f>
        <v>D</v>
      </c>
      <c r="AC133" s="97" t="str">
        <f>INDEX('[7]PLANILLA EDNA '!V38:BD126,3,6)</f>
        <v>OK</v>
      </c>
      <c r="AD133" s="97" t="str">
        <f>INDEX('[7]PLANILLA EDNA '!W38:BE126,3,6)</f>
        <v>OK</v>
      </c>
      <c r="AE133" s="97" t="str">
        <f>INDEX('[7]PLANILLA EDNA '!X38:BF126,3,6)</f>
        <v>OK</v>
      </c>
      <c r="AF133" s="97">
        <f>INDEX('[7]PLANILLA EDNA '!Y38:BG126,3,6)</f>
        <v>0</v>
      </c>
      <c r="AG133" s="97">
        <f>INDEX('[7]PLANILLA EDNA '!Z38:BH126,3,6)</f>
        <v>0</v>
      </c>
      <c r="AH133" s="97">
        <f>INDEX('[7]PLANILLA EDNA '!AA38:BI126,3,6)</f>
        <v>0</v>
      </c>
      <c r="AI133" s="97">
        <f>INDEX('[7]PLANILLA EDNA '!AB38:BJ126,3,6)</f>
        <v>0</v>
      </c>
      <c r="AJ133" s="97">
        <f>INDEX('[7]PLANILLA EDNA '!AC38:BK126,3,6)</f>
        <v>0</v>
      </c>
      <c r="AK133" s="97">
        <f>INDEX('[7]PLANILLA EDNA '!AD38:BL126,3,6)</f>
        <v>0</v>
      </c>
      <c r="AL133" s="97">
        <f>INDEX('[7]PLANILLA EDNA '!AE38:BM126,3,6)</f>
        <v>0</v>
      </c>
      <c r="AM133" s="97">
        <f>INDEX('[7]PLANILLA EDNA '!AF38:BN126,3,6)</f>
        <v>0</v>
      </c>
      <c r="AO133" s="116">
        <f t="shared" si="16"/>
        <v>0</v>
      </c>
      <c r="AP133" s="116">
        <f t="shared" si="16"/>
        <v>0</v>
      </c>
      <c r="AQ133" s="116">
        <f t="shared" si="16"/>
        <v>5</v>
      </c>
      <c r="AR133" s="116">
        <f t="shared" si="16"/>
        <v>0</v>
      </c>
      <c r="AS133" s="116">
        <f t="shared" si="16"/>
        <v>0</v>
      </c>
      <c r="AT133" s="116">
        <f t="shared" si="16"/>
        <v>0</v>
      </c>
      <c r="AU133" s="116">
        <f t="shared" si="16"/>
        <v>0</v>
      </c>
      <c r="AV133" s="116">
        <f t="shared" si="16"/>
        <v>0</v>
      </c>
      <c r="AW133" s="116">
        <f t="shared" si="16"/>
        <v>0</v>
      </c>
      <c r="AX133" s="116">
        <f t="shared" si="16"/>
        <v>0</v>
      </c>
      <c r="AY133" s="116">
        <f t="shared" si="16"/>
        <v>0</v>
      </c>
      <c r="AZ133" s="116">
        <f t="shared" si="16"/>
        <v>0</v>
      </c>
      <c r="BA133" s="116">
        <f t="shared" si="16"/>
        <v>17</v>
      </c>
      <c r="BB133" s="117">
        <f t="shared" si="10"/>
        <v>22</v>
      </c>
    </row>
    <row r="134" spans="2:54" ht="15.95" customHeight="1">
      <c r="B134" s="112">
        <v>126</v>
      </c>
      <c r="C134" s="133">
        <f>+'[7]PLANILLA EDNA '!C41</f>
        <v>30225706</v>
      </c>
      <c r="D134" s="114" t="str">
        <f>IFERROR(VLOOKUP($C134,'[7]PLANILLA EDNA '!$C$9:$F$100,2,0),"NO BD")</f>
        <v xml:space="preserve">MUNOZ QUINTERO GLORIA ESPERANZA </v>
      </c>
      <c r="E134" s="134" t="s">
        <v>592</v>
      </c>
      <c r="F134" s="114" t="str">
        <f>IFERROR(VLOOKUP($C134,[7]BD!$B$3:$O$213,3,0),"")</f>
        <v>OPERARIA DE ASEO Y CAFETERIA</v>
      </c>
      <c r="G134" s="114" t="str">
        <f>IFERROR(VLOOKUP($C134,'[7]PLANILLA EDNA '!$C$9:$F$100,4,0),"NO BD")</f>
        <v xml:space="preserve">SEDE 2- DIRECCIÓN DISTRITAL DE ARCHIVO DE  BOGOTA </v>
      </c>
      <c r="H134" s="114" t="str">
        <f>IFERROR(VLOOKUP($C134,[7]BD!$B$3:$O$203,14,0),"")</f>
        <v>3011868966</v>
      </c>
      <c r="I134" s="114" t="str">
        <f>IFERROR(VLOOKUP($C134,[7]BD!$B$3:$O$203,4,0),"")</f>
        <v>18/10/2025</v>
      </c>
      <c r="J134" s="97" t="str">
        <f>INDEX('[7]PLANILLA EDNA '!C39:AK127,3,6)</f>
        <v>OK</v>
      </c>
      <c r="K134" s="97" t="str">
        <f>INDEX('[7]PLANILLA EDNA '!D39:AL127,3,6)</f>
        <v>D</v>
      </c>
      <c r="L134" s="97" t="str">
        <f>INDEX('[7]PLANILLA EDNA '!E39:AM127,3,6)</f>
        <v>D</v>
      </c>
      <c r="M134" s="97" t="str">
        <f>INDEX('[7]PLANILLA EDNA '!F39:AN127,3,6)</f>
        <v>OK</v>
      </c>
      <c r="N134" s="97" t="str">
        <f>INDEX('[7]PLANILLA EDNA '!G39:AO127,3,6)</f>
        <v>D</v>
      </c>
      <c r="O134" s="97" t="str">
        <f>INDEX('[7]PLANILLA EDNA '!H39:AP127,3,6)</f>
        <v>OK</v>
      </c>
      <c r="P134" s="97" t="str">
        <f>INDEX('[7]PLANILLA EDNA '!I39:AQ127,3,6)</f>
        <v>OK</v>
      </c>
      <c r="Q134" s="97" t="str">
        <f>INDEX('[7]PLANILLA EDNA '!J39:AR127,3,6)</f>
        <v>OK</v>
      </c>
      <c r="R134" s="97" t="str">
        <f>INDEX('[7]PLANILLA EDNA '!K39:AS127,3,6)</f>
        <v>OK</v>
      </c>
      <c r="S134" s="97" t="str">
        <f>INDEX('[7]PLANILLA EDNA '!L39:AT127,3,6)</f>
        <v>OK</v>
      </c>
      <c r="T134" s="97" t="str">
        <f>INDEX('[7]PLANILLA EDNA '!M39:AU127,3,6)</f>
        <v>OK</v>
      </c>
      <c r="U134" s="97" t="str">
        <f>INDEX('[7]PLANILLA EDNA '!N39:AV127,3,6)</f>
        <v>D</v>
      </c>
      <c r="V134" s="97" t="str">
        <f>INDEX('[7]PLANILLA EDNA '!O39:AW127,3,6)</f>
        <v>OK</v>
      </c>
      <c r="W134" s="97" t="str">
        <f>INDEX('[7]PLANILLA EDNA '!P39:AX127,3,6)</f>
        <v>OK</v>
      </c>
      <c r="X134" s="97" t="str">
        <f>INDEX('[7]PLANILLA EDNA '!Q39:AY127,3,6)</f>
        <v>OK</v>
      </c>
      <c r="Y134" s="97" t="str">
        <f>INDEX('[7]PLANILLA EDNA '!R39:AZ127,3,6)</f>
        <v>OK</v>
      </c>
      <c r="Z134" s="97" t="str">
        <f>INDEX('[7]PLANILLA EDNA '!S39:BA127,3,6)</f>
        <v>OK</v>
      </c>
      <c r="AA134" s="97" t="str">
        <f>INDEX('[7]PLANILLA EDNA '!T39:BB127,3,6)</f>
        <v>OK</v>
      </c>
      <c r="AB134" s="97" t="str">
        <f>INDEX('[7]PLANILLA EDNA '!U39:BC127,3,6)</f>
        <v>D</v>
      </c>
      <c r="AC134" s="97" t="str">
        <f>INDEX('[7]PLANILLA EDNA '!V39:BD127,3,6)</f>
        <v>OK</v>
      </c>
      <c r="AD134" s="97" t="str">
        <f>INDEX('[7]PLANILLA EDNA '!W39:BE127,3,6)</f>
        <v>OK</v>
      </c>
      <c r="AE134" s="97" t="str">
        <f>INDEX('[7]PLANILLA EDNA '!X39:BF127,3,6)</f>
        <v>OK</v>
      </c>
      <c r="AF134" s="97">
        <f>INDEX('[7]PLANILLA EDNA '!Y39:BG127,3,6)</f>
        <v>0</v>
      </c>
      <c r="AG134" s="97">
        <f>INDEX('[7]PLANILLA EDNA '!Z39:BH127,3,6)</f>
        <v>0</v>
      </c>
      <c r="AH134" s="97">
        <f>INDEX('[7]PLANILLA EDNA '!AA39:BI127,3,6)</f>
        <v>0</v>
      </c>
      <c r="AI134" s="97">
        <f>INDEX('[7]PLANILLA EDNA '!AB39:BJ127,3,6)</f>
        <v>0</v>
      </c>
      <c r="AJ134" s="97">
        <f>INDEX('[7]PLANILLA EDNA '!AC39:BK127,3,6)</f>
        <v>0</v>
      </c>
      <c r="AK134" s="97">
        <f>INDEX('[7]PLANILLA EDNA '!AD39:BL127,3,6)</f>
        <v>0</v>
      </c>
      <c r="AL134" s="97">
        <f>INDEX('[7]PLANILLA EDNA '!AE39:BM127,3,6)</f>
        <v>0</v>
      </c>
      <c r="AM134" s="97">
        <f>INDEX('[7]PLANILLA EDNA '!AF39:BN127,3,6)</f>
        <v>0</v>
      </c>
      <c r="AO134" s="116">
        <f t="shared" si="16"/>
        <v>0</v>
      </c>
      <c r="AP134" s="116">
        <f t="shared" si="16"/>
        <v>0</v>
      </c>
      <c r="AQ134" s="116">
        <f t="shared" si="16"/>
        <v>5</v>
      </c>
      <c r="AR134" s="116">
        <f t="shared" si="16"/>
        <v>0</v>
      </c>
      <c r="AS134" s="116">
        <f t="shared" si="16"/>
        <v>0</v>
      </c>
      <c r="AT134" s="116">
        <f t="shared" si="16"/>
        <v>0</v>
      </c>
      <c r="AU134" s="116">
        <f t="shared" si="16"/>
        <v>0</v>
      </c>
      <c r="AV134" s="116">
        <f t="shared" si="16"/>
        <v>0</v>
      </c>
      <c r="AW134" s="116">
        <f t="shared" si="16"/>
        <v>0</v>
      </c>
      <c r="AX134" s="116">
        <f t="shared" si="16"/>
        <v>0</v>
      </c>
      <c r="AY134" s="116">
        <f t="shared" si="16"/>
        <v>0</v>
      </c>
      <c r="AZ134" s="116">
        <f t="shared" si="16"/>
        <v>0</v>
      </c>
      <c r="BA134" s="116">
        <f t="shared" si="16"/>
        <v>17</v>
      </c>
      <c r="BB134" s="117">
        <f t="shared" si="10"/>
        <v>22</v>
      </c>
    </row>
    <row r="135" spans="2:54" ht="32.1" customHeight="1">
      <c r="B135" s="112">
        <v>127</v>
      </c>
      <c r="C135" s="133">
        <f>+'[7]PLANILLA EDNA '!C42</f>
        <v>1002269813</v>
      </c>
      <c r="D135" s="114" t="str">
        <f>IFERROR(VLOOKUP($C135,'[7]PLANILLA EDNA '!$C$9:$F$100,2,0),"NO BD")</f>
        <v xml:space="preserve">ALARCON URA MINI JOHANA </v>
      </c>
      <c r="E135" s="134" t="s">
        <v>592</v>
      </c>
      <c r="F135" s="114" t="str">
        <f>IFERROR(VLOOKUP($C135,[7]BD!$B$3:$O$213,3,0),"")</f>
        <v>OPERARIA DE ASEO Y CAFETERIA</v>
      </c>
      <c r="G135" s="114" t="str">
        <f>IFERROR(VLOOKUP($C135,'[7]PLANILLA EDNA '!$C$9:$F$100,4,0),"NO BD")</f>
        <v xml:space="preserve">SEDE 2- DIRECCIÓN DISTRITAL DE ARCHIVO DE  BOGOTA </v>
      </c>
      <c r="H135" s="114" t="str">
        <f>IFERROR(VLOOKUP($C135,[7]BD!$B$3:$O$203,14,0),"")</f>
        <v>3194618677</v>
      </c>
      <c r="I135" s="114" t="str">
        <f>IFERROR(VLOOKUP($C135,[7]BD!$B$3:$O$203,4,0),"")</f>
        <v>18/10/2025</v>
      </c>
      <c r="J135" s="97" t="str">
        <f>INDEX('[7]PLANILLA EDNA '!C40:AK128,3,6)</f>
        <v>OK</v>
      </c>
      <c r="K135" s="97" t="str">
        <f>INDEX('[7]PLANILLA EDNA '!D40:AL128,3,6)</f>
        <v>D</v>
      </c>
      <c r="L135" s="97" t="str">
        <f>INDEX('[7]PLANILLA EDNA '!E40:AM128,3,6)</f>
        <v>D</v>
      </c>
      <c r="M135" s="97" t="str">
        <f>INDEX('[7]PLANILLA EDNA '!F40:AN128,3,6)</f>
        <v>OK</v>
      </c>
      <c r="N135" s="97" t="str">
        <f>INDEX('[7]PLANILLA EDNA '!G40:AO128,3,6)</f>
        <v>D</v>
      </c>
      <c r="O135" s="97" t="str">
        <f>INDEX('[7]PLANILLA EDNA '!H40:AP128,3,6)</f>
        <v>OK</v>
      </c>
      <c r="P135" s="97" t="str">
        <f>INDEX('[7]PLANILLA EDNA '!I40:AQ128,3,6)</f>
        <v>OK</v>
      </c>
      <c r="Q135" s="97" t="str">
        <f>INDEX('[7]PLANILLA EDNA '!J40:AR128,3,6)</f>
        <v>OK</v>
      </c>
      <c r="R135" s="97" t="str">
        <f>INDEX('[7]PLANILLA EDNA '!K40:AS128,3,6)</f>
        <v>OK</v>
      </c>
      <c r="S135" s="97" t="str">
        <f>INDEX('[7]PLANILLA EDNA '!L40:AT128,3,6)</f>
        <v>OK</v>
      </c>
      <c r="T135" s="97" t="str">
        <f>INDEX('[7]PLANILLA EDNA '!M40:AU128,3,6)</f>
        <v>OK</v>
      </c>
      <c r="U135" s="97" t="str">
        <f>INDEX('[7]PLANILLA EDNA '!N40:AV128,3,6)</f>
        <v>D</v>
      </c>
      <c r="V135" s="97" t="str">
        <f>INDEX('[7]PLANILLA EDNA '!O40:AW128,3,6)</f>
        <v>OK</v>
      </c>
      <c r="W135" s="97" t="str">
        <f>INDEX('[7]PLANILLA EDNA '!P40:AX128,3,6)</f>
        <v>OK</v>
      </c>
      <c r="X135" s="97" t="str">
        <f>INDEX('[7]PLANILLA EDNA '!Q40:AY128,3,6)</f>
        <v>OK</v>
      </c>
      <c r="Y135" s="97" t="str">
        <f>INDEX('[7]PLANILLA EDNA '!R40:AZ128,3,6)</f>
        <v>OK</v>
      </c>
      <c r="Z135" s="97" t="str">
        <f>INDEX('[7]PLANILLA EDNA '!S40:BA128,3,6)</f>
        <v>OK</v>
      </c>
      <c r="AA135" s="97" t="str">
        <f>INDEX('[7]PLANILLA EDNA '!T40:BB128,3,6)</f>
        <v>OK</v>
      </c>
      <c r="AB135" s="97" t="str">
        <f>INDEX('[7]PLANILLA EDNA '!U40:BC128,3,6)</f>
        <v>D</v>
      </c>
      <c r="AC135" s="97" t="str">
        <f>INDEX('[7]PLANILLA EDNA '!V40:BD128,3,6)</f>
        <v>OK</v>
      </c>
      <c r="AD135" s="97" t="str">
        <f>INDEX('[7]PLANILLA EDNA '!W40:BE128,3,6)</f>
        <v>OK</v>
      </c>
      <c r="AE135" s="97" t="str">
        <f>INDEX('[7]PLANILLA EDNA '!X40:BF128,3,6)</f>
        <v>OK</v>
      </c>
      <c r="AF135" s="97">
        <f>INDEX('[7]PLANILLA EDNA '!Y40:BG128,3,6)</f>
        <v>0</v>
      </c>
      <c r="AG135" s="97">
        <f>INDEX('[7]PLANILLA EDNA '!Z40:BH128,3,6)</f>
        <v>0</v>
      </c>
      <c r="AH135" s="97">
        <f>INDEX('[7]PLANILLA EDNA '!AA40:BI128,3,6)</f>
        <v>0</v>
      </c>
      <c r="AI135" s="97">
        <f>INDEX('[7]PLANILLA EDNA '!AB40:BJ128,3,6)</f>
        <v>0</v>
      </c>
      <c r="AJ135" s="97">
        <f>INDEX('[7]PLANILLA EDNA '!AC40:BK128,3,6)</f>
        <v>0</v>
      </c>
      <c r="AK135" s="97">
        <f>INDEX('[7]PLANILLA EDNA '!AD40:BL128,3,6)</f>
        <v>0</v>
      </c>
      <c r="AL135" s="97">
        <f>INDEX('[7]PLANILLA EDNA '!AE40:BM128,3,6)</f>
        <v>0</v>
      </c>
      <c r="AM135" s="97">
        <f>INDEX('[7]PLANILLA EDNA '!AF40:BN128,3,6)</f>
        <v>0</v>
      </c>
      <c r="AO135" s="116">
        <f t="shared" si="16"/>
        <v>0</v>
      </c>
      <c r="AP135" s="116">
        <f t="shared" si="16"/>
        <v>0</v>
      </c>
      <c r="AQ135" s="116">
        <f t="shared" si="16"/>
        <v>5</v>
      </c>
      <c r="AR135" s="116">
        <f t="shared" si="16"/>
        <v>0</v>
      </c>
      <c r="AS135" s="116">
        <f t="shared" si="16"/>
        <v>0</v>
      </c>
      <c r="AT135" s="116">
        <f t="shared" si="16"/>
        <v>0</v>
      </c>
      <c r="AU135" s="116">
        <f t="shared" si="16"/>
        <v>0</v>
      </c>
      <c r="AV135" s="116">
        <f t="shared" si="16"/>
        <v>0</v>
      </c>
      <c r="AW135" s="116">
        <f t="shared" si="16"/>
        <v>0</v>
      </c>
      <c r="AX135" s="116">
        <f t="shared" si="16"/>
        <v>0</v>
      </c>
      <c r="AY135" s="116">
        <f t="shared" si="16"/>
        <v>0</v>
      </c>
      <c r="AZ135" s="116">
        <f t="shared" si="16"/>
        <v>0</v>
      </c>
      <c r="BA135" s="116">
        <f t="shared" si="16"/>
        <v>17</v>
      </c>
      <c r="BB135" s="117">
        <f t="shared" si="10"/>
        <v>22</v>
      </c>
    </row>
    <row r="136" spans="2:54" ht="32.1" customHeight="1">
      <c r="B136" s="112">
        <v>128</v>
      </c>
      <c r="C136" s="133">
        <f>+'[7]PLANILLA EDNA '!C43</f>
        <v>1022985784</v>
      </c>
      <c r="D136" s="114" t="str">
        <f>IFERROR(VLOOKUP($C136,'[7]PLANILLA EDNA '!$C$9:$F$100,2,0),"NO BD")</f>
        <v xml:space="preserve">PERALTA GUTIERREZ OSCAR HUMBERTO </v>
      </c>
      <c r="E136" s="134" t="s">
        <v>592</v>
      </c>
      <c r="F136" s="114" t="str">
        <f>IFERROR(VLOOKUP($C136,[7]BD!$B$3:$O$213,3,0),"")</f>
        <v>OPERARIO DE MANTENIMIENTO</v>
      </c>
      <c r="G136" s="114" t="str">
        <f>IFERROR(VLOOKUP($C136,'[7]PLANILLA EDNA '!$C$9:$F$100,4,0),"NO BD")</f>
        <v>SEDE 1 - MANZANA LIEVANO - ALCALDÍA MAYOR</v>
      </c>
      <c r="H136" s="114" t="str">
        <f>IFERROR(VLOOKUP($C136,[7]BD!$B$3:$O$203,14,0),"")</f>
        <v>3196483500</v>
      </c>
      <c r="I136" s="114" t="str">
        <f>IFERROR(VLOOKUP($C136,[7]BD!$B$3:$O$203,4,0),"")</f>
        <v>18/10/2025</v>
      </c>
      <c r="J136" s="97" t="str">
        <f>INDEX('[7]PLANILLA EDNA '!C41:AK129,3,6)</f>
        <v>OK</v>
      </c>
      <c r="K136" s="97" t="str">
        <f>INDEX('[7]PLANILLA EDNA '!D41:AL129,3,6)</f>
        <v>D</v>
      </c>
      <c r="L136" s="97" t="str">
        <f>INDEX('[7]PLANILLA EDNA '!E41:AM129,3,6)</f>
        <v>D</v>
      </c>
      <c r="M136" s="97" t="str">
        <f>INDEX('[7]PLANILLA EDNA '!F41:AN129,3,6)</f>
        <v>OK</v>
      </c>
      <c r="N136" s="97" t="str">
        <f>INDEX('[7]PLANILLA EDNA '!G41:AO129,3,6)</f>
        <v>D</v>
      </c>
      <c r="O136" s="97" t="str">
        <f>INDEX('[7]PLANILLA EDNA '!H41:AP129,3,6)</f>
        <v>OK</v>
      </c>
      <c r="P136" s="97" t="str">
        <f>INDEX('[7]PLANILLA EDNA '!I41:AQ129,3,6)</f>
        <v>OK</v>
      </c>
      <c r="Q136" s="97" t="str">
        <f>INDEX('[7]PLANILLA EDNA '!J41:AR129,3,6)</f>
        <v>OK</v>
      </c>
      <c r="R136" s="97" t="str">
        <f>INDEX('[7]PLANILLA EDNA '!K41:AS129,3,6)</f>
        <v>OK</v>
      </c>
      <c r="S136" s="97" t="str">
        <f>INDEX('[7]PLANILLA EDNA '!L41:AT129,3,6)</f>
        <v>OK</v>
      </c>
      <c r="T136" s="97" t="str">
        <f>INDEX('[7]PLANILLA EDNA '!M41:AU129,3,6)</f>
        <v>OK</v>
      </c>
      <c r="U136" s="97" t="str">
        <f>INDEX('[7]PLANILLA EDNA '!N41:AV129,3,6)</f>
        <v>D</v>
      </c>
      <c r="V136" s="97" t="str">
        <f>INDEX('[7]PLANILLA EDNA '!O41:AW129,3,6)</f>
        <v>CD</v>
      </c>
      <c r="W136" s="97" t="str">
        <f>INDEX('[7]PLANILLA EDNA '!P41:AX129,3,6)</f>
        <v>OK</v>
      </c>
      <c r="X136" s="97" t="str">
        <f>INDEX('[7]PLANILLA EDNA '!Q41:AY129,3,6)</f>
        <v>OK</v>
      </c>
      <c r="Y136" s="97" t="str">
        <f>INDEX('[7]PLANILLA EDNA '!R41:AZ129,3,6)</f>
        <v>OK</v>
      </c>
      <c r="Z136" s="97" t="str">
        <f>INDEX('[7]PLANILLA EDNA '!S41:BA129,3,6)</f>
        <v>OK</v>
      </c>
      <c r="AA136" s="97" t="str">
        <f>INDEX('[7]PLANILLA EDNA '!T41:BB129,3,6)</f>
        <v>OK</v>
      </c>
      <c r="AB136" s="97" t="str">
        <f>INDEX('[7]PLANILLA EDNA '!U41:BC129,3,6)</f>
        <v>D</v>
      </c>
      <c r="AC136" s="97" t="str">
        <f>INDEX('[7]PLANILLA EDNA '!V41:BD129,3,6)</f>
        <v>OK</v>
      </c>
      <c r="AD136" s="97" t="str">
        <f>INDEX('[7]PLANILLA EDNA '!W41:BE129,3,6)</f>
        <v>OK</v>
      </c>
      <c r="AE136" s="97" t="str">
        <f>INDEX('[7]PLANILLA EDNA '!X41:BF129,3,6)</f>
        <v>OK</v>
      </c>
      <c r="AF136" s="97">
        <f>INDEX('[7]PLANILLA EDNA '!Y41:BG129,3,6)</f>
        <v>0</v>
      </c>
      <c r="AG136" s="97">
        <f>INDEX('[7]PLANILLA EDNA '!Z41:BH129,3,6)</f>
        <v>0</v>
      </c>
      <c r="AH136" s="97">
        <f>INDEX('[7]PLANILLA EDNA '!AA41:BI129,3,6)</f>
        <v>0</v>
      </c>
      <c r="AI136" s="97">
        <f>INDEX('[7]PLANILLA EDNA '!AB41:BJ129,3,6)</f>
        <v>0</v>
      </c>
      <c r="AJ136" s="97">
        <f>INDEX('[7]PLANILLA EDNA '!AC41:BK129,3,6)</f>
        <v>0</v>
      </c>
      <c r="AK136" s="97">
        <f>INDEX('[7]PLANILLA EDNA '!AD41:BL129,3,6)</f>
        <v>0</v>
      </c>
      <c r="AL136" s="97">
        <f>INDEX('[7]PLANILLA EDNA '!AE41:BM129,3,6)</f>
        <v>0</v>
      </c>
      <c r="AM136" s="97">
        <f>INDEX('[7]PLANILLA EDNA '!AF41:BN129,3,6)</f>
        <v>0</v>
      </c>
      <c r="AO136" s="116">
        <f t="shared" si="16"/>
        <v>0</v>
      </c>
      <c r="AP136" s="116">
        <f t="shared" si="16"/>
        <v>0</v>
      </c>
      <c r="AQ136" s="116">
        <f t="shared" si="16"/>
        <v>5</v>
      </c>
      <c r="AR136" s="116">
        <f t="shared" si="16"/>
        <v>0</v>
      </c>
      <c r="AS136" s="116">
        <f t="shared" si="16"/>
        <v>0</v>
      </c>
      <c r="AT136" s="116">
        <f t="shared" si="16"/>
        <v>0</v>
      </c>
      <c r="AU136" s="116">
        <f t="shared" si="16"/>
        <v>0</v>
      </c>
      <c r="AV136" s="116">
        <f t="shared" si="16"/>
        <v>1</v>
      </c>
      <c r="AW136" s="116">
        <f t="shared" si="16"/>
        <v>0</v>
      </c>
      <c r="AX136" s="116">
        <f t="shared" si="16"/>
        <v>0</v>
      </c>
      <c r="AY136" s="116">
        <f t="shared" si="16"/>
        <v>0</v>
      </c>
      <c r="AZ136" s="116">
        <f t="shared" si="16"/>
        <v>0</v>
      </c>
      <c r="BA136" s="116">
        <f t="shared" si="16"/>
        <v>16</v>
      </c>
      <c r="BB136" s="117">
        <f t="shared" si="10"/>
        <v>21</v>
      </c>
    </row>
    <row r="137" spans="2:54" ht="15.95" customHeight="1">
      <c r="B137" s="112">
        <v>129</v>
      </c>
      <c r="C137" s="133">
        <f>+'[7]PLANILLA EDNA '!C44</f>
        <v>28915752</v>
      </c>
      <c r="D137" s="114" t="str">
        <f>IFERROR(VLOOKUP($C137,'[7]PLANILLA EDNA '!$C$9:$F$100,2,0),"NO BD")</f>
        <v xml:space="preserve">CALDERON APONTE YANED  </v>
      </c>
      <c r="E137" s="134" t="s">
        <v>592</v>
      </c>
      <c r="F137" s="114" t="str">
        <f>IFERROR(VLOOKUP($C137,[7]BD!$B$3:$O$213,3,0),"")</f>
        <v>OPERARIA DE ASEO Y CAFETERIA</v>
      </c>
      <c r="G137" s="114" t="str">
        <f>IFERROR(VLOOKUP($C137,'[7]PLANILLA EDNA '!$C$9:$F$100,4,0),"NO BD")</f>
        <v>SEDE 1 - MANZANA LIEVANO - ALCALDÍA MAYOR</v>
      </c>
      <c r="H137" s="114" t="str">
        <f>IFERROR(VLOOKUP($C137,[7]BD!$B$3:$O$203,14,0),"")</f>
        <v>3127020342</v>
      </c>
      <c r="I137" s="114" t="str">
        <f>IFERROR(VLOOKUP($C137,[7]BD!$B$3:$O$203,4,0),"")</f>
        <v>18/10/2025</v>
      </c>
      <c r="J137" s="97" t="str">
        <f>INDEX('[7]PLANILLA EDNA '!C42:AK130,3,6)</f>
        <v>OK</v>
      </c>
      <c r="K137" s="97" t="str">
        <f>INDEX('[7]PLANILLA EDNA '!D42:AL130,3,6)</f>
        <v>D</v>
      </c>
      <c r="L137" s="97" t="str">
        <f>INDEX('[7]PLANILLA EDNA '!E42:AM130,3,6)</f>
        <v>D</v>
      </c>
      <c r="M137" s="97" t="str">
        <f>INDEX('[7]PLANILLA EDNA '!F42:AN130,3,6)</f>
        <v>OK</v>
      </c>
      <c r="N137" s="97" t="str">
        <f>INDEX('[7]PLANILLA EDNA '!G42:AO130,3,6)</f>
        <v>D</v>
      </c>
      <c r="O137" s="97" t="str">
        <f>INDEX('[7]PLANILLA EDNA '!H42:AP130,3,6)</f>
        <v>OK</v>
      </c>
      <c r="P137" s="97" t="str">
        <f>INDEX('[7]PLANILLA EDNA '!I42:AQ130,3,6)</f>
        <v>OK</v>
      </c>
      <c r="Q137" s="97" t="str">
        <f>INDEX('[7]PLANILLA EDNA '!J42:AR130,3,6)</f>
        <v>OK</v>
      </c>
      <c r="R137" s="97" t="str">
        <f>INDEX('[7]PLANILLA EDNA '!K42:AS130,3,6)</f>
        <v>OK</v>
      </c>
      <c r="S137" s="97" t="str">
        <f>INDEX('[7]PLANILLA EDNA '!L42:AT130,3,6)</f>
        <v>OK</v>
      </c>
      <c r="T137" s="97" t="str">
        <f>INDEX('[7]PLANILLA EDNA '!M42:AU130,3,6)</f>
        <v>OK</v>
      </c>
      <c r="U137" s="97" t="str">
        <f>INDEX('[7]PLANILLA EDNA '!N42:AV130,3,6)</f>
        <v>D</v>
      </c>
      <c r="V137" s="97" t="str">
        <f>INDEX('[7]PLANILLA EDNA '!O42:AW130,3,6)</f>
        <v>OK</v>
      </c>
      <c r="W137" s="97" t="str">
        <f>INDEX('[7]PLANILLA EDNA '!P42:AX130,3,6)</f>
        <v>OK</v>
      </c>
      <c r="X137" s="97" t="str">
        <f>INDEX('[7]PLANILLA EDNA '!Q42:AY130,3,6)</f>
        <v>OK</v>
      </c>
      <c r="Y137" s="97" t="str">
        <f>INDEX('[7]PLANILLA EDNA '!R42:AZ130,3,6)</f>
        <v>OK</v>
      </c>
      <c r="Z137" s="97" t="str">
        <f>INDEX('[7]PLANILLA EDNA '!S42:BA130,3,6)</f>
        <v>OK</v>
      </c>
      <c r="AA137" s="97" t="str">
        <f>INDEX('[7]PLANILLA EDNA '!T42:BB130,3,6)</f>
        <v>OK</v>
      </c>
      <c r="AB137" s="97" t="str">
        <f>INDEX('[7]PLANILLA EDNA '!U42:BC130,3,6)</f>
        <v>D</v>
      </c>
      <c r="AC137" s="97" t="str">
        <f>INDEX('[7]PLANILLA EDNA '!V42:BD130,3,6)</f>
        <v>OK</v>
      </c>
      <c r="AD137" s="97" t="str">
        <f>INDEX('[7]PLANILLA EDNA '!W42:BE130,3,6)</f>
        <v>OK</v>
      </c>
      <c r="AE137" s="97" t="str">
        <f>INDEX('[7]PLANILLA EDNA '!X42:BF130,3,6)</f>
        <v>OK</v>
      </c>
      <c r="AF137" s="97">
        <f>INDEX('[7]PLANILLA EDNA '!Y42:BG130,3,6)</f>
        <v>0</v>
      </c>
      <c r="AG137" s="97">
        <f>INDEX('[7]PLANILLA EDNA '!Z42:BH130,3,6)</f>
        <v>0</v>
      </c>
      <c r="AH137" s="97">
        <f>INDEX('[7]PLANILLA EDNA '!AA42:BI130,3,6)</f>
        <v>0</v>
      </c>
      <c r="AI137" s="97">
        <f>INDEX('[7]PLANILLA EDNA '!AB42:BJ130,3,6)</f>
        <v>0</v>
      </c>
      <c r="AJ137" s="97">
        <f>INDEX('[7]PLANILLA EDNA '!AC42:BK130,3,6)</f>
        <v>0</v>
      </c>
      <c r="AK137" s="97">
        <f>INDEX('[7]PLANILLA EDNA '!AD42:BL130,3,6)</f>
        <v>0</v>
      </c>
      <c r="AL137" s="97">
        <f>INDEX('[7]PLANILLA EDNA '!AE42:BM130,3,6)</f>
        <v>0</v>
      </c>
      <c r="AM137" s="97">
        <f>INDEX('[7]PLANILLA EDNA '!AF42:BN130,3,6)</f>
        <v>0</v>
      </c>
      <c r="AO137" s="116">
        <f t="shared" si="16"/>
        <v>0</v>
      </c>
      <c r="AP137" s="116">
        <f t="shared" si="16"/>
        <v>0</v>
      </c>
      <c r="AQ137" s="116">
        <f t="shared" si="16"/>
        <v>5</v>
      </c>
      <c r="AR137" s="116">
        <f t="shared" si="16"/>
        <v>0</v>
      </c>
      <c r="AS137" s="116">
        <f t="shared" si="16"/>
        <v>0</v>
      </c>
      <c r="AT137" s="116">
        <f t="shared" si="16"/>
        <v>0</v>
      </c>
      <c r="AU137" s="116">
        <f t="shared" si="16"/>
        <v>0</v>
      </c>
      <c r="AV137" s="116">
        <f t="shared" si="16"/>
        <v>0</v>
      </c>
      <c r="AW137" s="116">
        <f t="shared" si="16"/>
        <v>0</v>
      </c>
      <c r="AX137" s="116">
        <f t="shared" si="16"/>
        <v>0</v>
      </c>
      <c r="AY137" s="116">
        <f t="shared" si="16"/>
        <v>0</v>
      </c>
      <c r="AZ137" s="116">
        <f t="shared" si="16"/>
        <v>0</v>
      </c>
      <c r="BA137" s="116">
        <f t="shared" si="16"/>
        <v>17</v>
      </c>
      <c r="BB137" s="117">
        <f t="shared" ref="BB137:BB200" si="17">+BA137+AQ137</f>
        <v>22</v>
      </c>
    </row>
    <row r="138" spans="2:54" ht="15.95" customHeight="1">
      <c r="B138" s="112">
        <v>130</v>
      </c>
      <c r="C138" s="133">
        <f>+'[7]PLANILLA EDNA '!C45</f>
        <v>1007186304</v>
      </c>
      <c r="D138" s="114" t="str">
        <f>IFERROR(VLOOKUP($C138,'[7]PLANILLA EDNA '!$C$9:$F$100,2,0),"NO BD")</f>
        <v xml:space="preserve">PLAZAS GARCIA MARIA CRISTINA </v>
      </c>
      <c r="E138" s="134" t="s">
        <v>592</v>
      </c>
      <c r="F138" s="114" t="str">
        <f>IFERROR(VLOOKUP($C138,[7]BD!$B$3:$O$213,3,0),"")</f>
        <v>OPERARIA DE ASEO Y CAFETERIA</v>
      </c>
      <c r="G138" s="114" t="str">
        <f>IFERROR(VLOOKUP($C138,'[7]PLANILLA EDNA '!$C$9:$F$100,4,0),"NO BD")</f>
        <v>SEDE 1 - MANZANA LIEVANO - ALCALDÍA MAYOR</v>
      </c>
      <c r="H138" s="114" t="str">
        <f>IFERROR(VLOOKUP($C138,[7]BD!$B$3:$O$203,14,0),"")</f>
        <v>3506428274</v>
      </c>
      <c r="I138" s="114" t="str">
        <f>IFERROR(VLOOKUP($C138,[7]BD!$B$3:$O$203,4,0),"")</f>
        <v>18/10/2025</v>
      </c>
      <c r="J138" s="97" t="str">
        <f>INDEX('[7]PLANILLA EDNA '!C43:AK131,3,6)</f>
        <v>OK</v>
      </c>
      <c r="K138" s="97" t="str">
        <f>INDEX('[7]PLANILLA EDNA '!D43:AL131,3,6)</f>
        <v>D</v>
      </c>
      <c r="L138" s="97" t="str">
        <f>INDEX('[7]PLANILLA EDNA '!E43:AM131,3,6)</f>
        <v>D</v>
      </c>
      <c r="M138" s="97" t="str">
        <f>INDEX('[7]PLANILLA EDNA '!F43:AN131,3,6)</f>
        <v>OK</v>
      </c>
      <c r="N138" s="97" t="str">
        <f>INDEX('[7]PLANILLA EDNA '!G43:AO131,3,6)</f>
        <v>D</v>
      </c>
      <c r="O138" s="97" t="str">
        <f>INDEX('[7]PLANILLA EDNA '!H43:AP131,3,6)</f>
        <v>OK</v>
      </c>
      <c r="P138" s="97" t="str">
        <f>INDEX('[7]PLANILLA EDNA '!I43:AQ131,3,6)</f>
        <v>OK</v>
      </c>
      <c r="Q138" s="97" t="str">
        <f>INDEX('[7]PLANILLA EDNA '!J43:AR131,3,6)</f>
        <v>OK</v>
      </c>
      <c r="R138" s="97" t="str">
        <f>INDEX('[7]PLANILLA EDNA '!K43:AS131,3,6)</f>
        <v>OK</v>
      </c>
      <c r="S138" s="97" t="str">
        <f>INDEX('[7]PLANILLA EDNA '!L43:AT131,3,6)</f>
        <v>OK</v>
      </c>
      <c r="T138" s="97" t="str">
        <f>INDEX('[7]PLANILLA EDNA '!M43:AU131,3,6)</f>
        <v>OK</v>
      </c>
      <c r="U138" s="97" t="str">
        <f>INDEX('[7]PLANILLA EDNA '!N43:AV131,3,6)</f>
        <v>D</v>
      </c>
      <c r="V138" s="97" t="str">
        <f>INDEX('[7]PLANILLA EDNA '!O43:AW131,3,6)</f>
        <v>OK</v>
      </c>
      <c r="W138" s="97" t="str">
        <f>INDEX('[7]PLANILLA EDNA '!P43:AX131,3,6)</f>
        <v>OK</v>
      </c>
      <c r="X138" s="97" t="str">
        <f>INDEX('[7]PLANILLA EDNA '!Q43:AY131,3,6)</f>
        <v>OK</v>
      </c>
      <c r="Y138" s="97" t="str">
        <f>INDEX('[7]PLANILLA EDNA '!R43:AZ131,3,6)</f>
        <v>INC</v>
      </c>
      <c r="Z138" s="97" t="str">
        <f>INDEX('[7]PLANILLA EDNA '!S43:BA131,3,6)</f>
        <v>INC</v>
      </c>
      <c r="AA138" s="97" t="str">
        <f>INDEX('[7]PLANILLA EDNA '!T43:BB131,3,6)</f>
        <v>INC</v>
      </c>
      <c r="AB138" s="97" t="str">
        <f>INDEX('[7]PLANILLA EDNA '!U43:BC131,3,6)</f>
        <v>D</v>
      </c>
      <c r="AC138" s="97" t="str">
        <f>INDEX('[7]PLANILLA EDNA '!V43:BD131,3,6)</f>
        <v>OK</v>
      </c>
      <c r="AD138" s="97" t="str">
        <f>INDEX('[7]PLANILLA EDNA '!W43:BE131,3,6)</f>
        <v>OK</v>
      </c>
      <c r="AE138" s="97" t="str">
        <f>INDEX('[7]PLANILLA EDNA '!X43:BF131,3,6)</f>
        <v>OK</v>
      </c>
      <c r="AF138" s="97">
        <f>INDEX('[7]PLANILLA EDNA '!Y43:BG131,3,6)</f>
        <v>0</v>
      </c>
      <c r="AG138" s="97">
        <f>INDEX('[7]PLANILLA EDNA '!Z43:BH131,3,6)</f>
        <v>0</v>
      </c>
      <c r="AH138" s="97">
        <f>INDEX('[7]PLANILLA EDNA '!AA43:BI131,3,6)</f>
        <v>0</v>
      </c>
      <c r="AI138" s="97">
        <f>INDEX('[7]PLANILLA EDNA '!AB43:BJ131,3,6)</f>
        <v>0</v>
      </c>
      <c r="AJ138" s="97">
        <f>INDEX('[7]PLANILLA EDNA '!AC43:BK131,3,6)</f>
        <v>0</v>
      </c>
      <c r="AK138" s="97">
        <f>INDEX('[7]PLANILLA EDNA '!AD43:BL131,3,6)</f>
        <v>0</v>
      </c>
      <c r="AL138" s="97">
        <f>INDEX('[7]PLANILLA EDNA '!AE43:BM131,3,6)</f>
        <v>0</v>
      </c>
      <c r="AM138" s="97">
        <f>INDEX('[7]PLANILLA EDNA '!AF43:BN131,3,6)</f>
        <v>0</v>
      </c>
      <c r="AO138" s="116">
        <f t="shared" si="16"/>
        <v>0</v>
      </c>
      <c r="AP138" s="116">
        <f t="shared" si="16"/>
        <v>0</v>
      </c>
      <c r="AQ138" s="116">
        <f t="shared" si="16"/>
        <v>5</v>
      </c>
      <c r="AR138" s="116">
        <f t="shared" si="16"/>
        <v>3</v>
      </c>
      <c r="AS138" s="116">
        <f t="shared" si="16"/>
        <v>0</v>
      </c>
      <c r="AT138" s="116">
        <f t="shared" si="16"/>
        <v>0</v>
      </c>
      <c r="AU138" s="116">
        <f t="shared" si="16"/>
        <v>0</v>
      </c>
      <c r="AV138" s="116">
        <f t="shared" si="16"/>
        <v>0</v>
      </c>
      <c r="AW138" s="116">
        <f t="shared" si="16"/>
        <v>0</v>
      </c>
      <c r="AX138" s="116">
        <f t="shared" si="16"/>
        <v>0</v>
      </c>
      <c r="AY138" s="116">
        <f t="shared" si="16"/>
        <v>0</v>
      </c>
      <c r="AZ138" s="116">
        <f t="shared" si="16"/>
        <v>0</v>
      </c>
      <c r="BA138" s="116">
        <f t="shared" si="16"/>
        <v>14</v>
      </c>
      <c r="BB138" s="117">
        <f t="shared" si="17"/>
        <v>19</v>
      </c>
    </row>
    <row r="139" spans="2:54" ht="15.95" customHeight="1">
      <c r="B139" s="112">
        <v>131</v>
      </c>
      <c r="C139" s="133">
        <f>+'[7]PLANILLA EDNA '!C46</f>
        <v>1002377643</v>
      </c>
      <c r="D139" s="114" t="str">
        <f>IFERROR(VLOOKUP($C139,'[7]PLANILLA EDNA '!$C$9:$F$100,2,0),"NO BD")</f>
        <v xml:space="preserve">MARTINEZ ORTIZ VERONICA  </v>
      </c>
      <c r="E139" s="134" t="s">
        <v>592</v>
      </c>
      <c r="F139" s="114" t="str">
        <f>IFERROR(VLOOKUP($C139,[7]BD!$B$3:$O$213,3,0),"")</f>
        <v>OPERARIA DE ASEO Y CAFETERIA</v>
      </c>
      <c r="G139" s="114" t="str">
        <f>IFERROR(VLOOKUP($C139,'[7]PLANILLA EDNA '!$C$9:$F$100,4,0),"NO BD")</f>
        <v>SEDE 1 - MANZANA LIEVANO - ALCALDÍA MAYOR</v>
      </c>
      <c r="H139" s="114" t="str">
        <f>IFERROR(VLOOKUP($C139,[7]BD!$B$3:$O$203,14,0),"")</f>
        <v>3043801757</v>
      </c>
      <c r="I139" s="114" t="str">
        <f>IFERROR(VLOOKUP($C139,[7]BD!$B$3:$O$203,4,0),"")</f>
        <v>18/10/2025</v>
      </c>
      <c r="J139" s="97" t="str">
        <f>INDEX('[7]PLANILLA EDNA '!C44:AK132,3,6)</f>
        <v>OK</v>
      </c>
      <c r="K139" s="97" t="str">
        <f>INDEX('[7]PLANILLA EDNA '!D44:AL132,3,6)</f>
        <v>D</v>
      </c>
      <c r="L139" s="97" t="str">
        <f>INDEX('[7]PLANILLA EDNA '!E44:AM132,3,6)</f>
        <v>D</v>
      </c>
      <c r="M139" s="97" t="str">
        <f>INDEX('[7]PLANILLA EDNA '!F44:AN132,3,6)</f>
        <v>OK</v>
      </c>
      <c r="N139" s="97" t="str">
        <f>INDEX('[7]PLANILLA EDNA '!G44:AO132,3,6)</f>
        <v>D</v>
      </c>
      <c r="O139" s="97" t="str">
        <f>INDEX('[7]PLANILLA EDNA '!H44:AP132,3,6)</f>
        <v>OK</v>
      </c>
      <c r="P139" s="97" t="str">
        <f>INDEX('[7]PLANILLA EDNA '!I44:AQ132,3,6)</f>
        <v>OK</v>
      </c>
      <c r="Q139" s="97" t="str">
        <f>INDEX('[7]PLANILLA EDNA '!J44:AR132,3,6)</f>
        <v>OK</v>
      </c>
      <c r="R139" s="97" t="str">
        <f>INDEX('[7]PLANILLA EDNA '!K44:AS132,3,6)</f>
        <v>OK</v>
      </c>
      <c r="S139" s="97" t="str">
        <f>INDEX('[7]PLANILLA EDNA '!L44:AT132,3,6)</f>
        <v>OK</v>
      </c>
      <c r="T139" s="97" t="str">
        <f>INDEX('[7]PLANILLA EDNA '!M44:AU132,3,6)</f>
        <v>OK</v>
      </c>
      <c r="U139" s="97" t="str">
        <f>INDEX('[7]PLANILLA EDNA '!N44:AV132,3,6)</f>
        <v>D</v>
      </c>
      <c r="V139" s="97" t="str">
        <f>INDEX('[7]PLANILLA EDNA '!O44:AW132,3,6)</f>
        <v>OK</v>
      </c>
      <c r="W139" s="97" t="str">
        <f>INDEX('[7]PLANILLA EDNA '!P44:AX132,3,6)</f>
        <v>OK</v>
      </c>
      <c r="X139" s="97" t="str">
        <f>INDEX('[7]PLANILLA EDNA '!Q44:AY132,3,6)</f>
        <v>OK</v>
      </c>
      <c r="Y139" s="97" t="str">
        <f>INDEX('[7]PLANILLA EDNA '!R44:AZ132,3,6)</f>
        <v>OK</v>
      </c>
      <c r="Z139" s="97" t="str">
        <f>INDEX('[7]PLANILLA EDNA '!S44:BA132,3,6)</f>
        <v>OK</v>
      </c>
      <c r="AA139" s="97" t="str">
        <f>INDEX('[7]PLANILLA EDNA '!T44:BB132,3,6)</f>
        <v>OK</v>
      </c>
      <c r="AB139" s="97" t="str">
        <f>INDEX('[7]PLANILLA EDNA '!U44:BC132,3,6)</f>
        <v>D</v>
      </c>
      <c r="AC139" s="97" t="str">
        <f>INDEX('[7]PLANILLA EDNA '!V44:BD132,3,6)</f>
        <v>OK</v>
      </c>
      <c r="AD139" s="97" t="str">
        <f>INDEX('[7]PLANILLA EDNA '!W44:BE132,3,6)</f>
        <v>OK</v>
      </c>
      <c r="AE139" s="97" t="str">
        <f>INDEX('[7]PLANILLA EDNA '!X44:BF132,3,6)</f>
        <v>OK</v>
      </c>
      <c r="AF139" s="97">
        <f>INDEX('[7]PLANILLA EDNA '!Y44:BG132,3,6)</f>
        <v>0</v>
      </c>
      <c r="AG139" s="97">
        <f>INDEX('[7]PLANILLA EDNA '!Z44:BH132,3,6)</f>
        <v>0</v>
      </c>
      <c r="AH139" s="97">
        <f>INDEX('[7]PLANILLA EDNA '!AA44:BI132,3,6)</f>
        <v>0</v>
      </c>
      <c r="AI139" s="97">
        <f>INDEX('[7]PLANILLA EDNA '!AB44:BJ132,3,6)</f>
        <v>0</v>
      </c>
      <c r="AJ139" s="97">
        <f>INDEX('[7]PLANILLA EDNA '!AC44:BK132,3,6)</f>
        <v>0</v>
      </c>
      <c r="AK139" s="97">
        <f>INDEX('[7]PLANILLA EDNA '!AD44:BL132,3,6)</f>
        <v>0</v>
      </c>
      <c r="AL139" s="97">
        <f>INDEX('[7]PLANILLA EDNA '!AE44:BM132,3,6)</f>
        <v>0</v>
      </c>
      <c r="AM139" s="97">
        <f>INDEX('[7]PLANILLA EDNA '!AF44:BN132,3,6)</f>
        <v>0</v>
      </c>
      <c r="AO139" s="116">
        <f t="shared" si="16"/>
        <v>0</v>
      </c>
      <c r="AP139" s="116">
        <f t="shared" si="16"/>
        <v>0</v>
      </c>
      <c r="AQ139" s="116">
        <f t="shared" si="16"/>
        <v>5</v>
      </c>
      <c r="AR139" s="116">
        <f t="shared" si="16"/>
        <v>0</v>
      </c>
      <c r="AS139" s="116">
        <f t="shared" si="16"/>
        <v>0</v>
      </c>
      <c r="AT139" s="116">
        <f t="shared" si="16"/>
        <v>0</v>
      </c>
      <c r="AU139" s="116">
        <f t="shared" si="16"/>
        <v>0</v>
      </c>
      <c r="AV139" s="116">
        <f t="shared" si="16"/>
        <v>0</v>
      </c>
      <c r="AW139" s="116">
        <f t="shared" si="16"/>
        <v>0</v>
      </c>
      <c r="AX139" s="116">
        <f t="shared" si="16"/>
        <v>0</v>
      </c>
      <c r="AY139" s="116">
        <f t="shared" si="16"/>
        <v>0</v>
      </c>
      <c r="AZ139" s="116">
        <f t="shared" si="16"/>
        <v>0</v>
      </c>
      <c r="BA139" s="116">
        <f t="shared" si="16"/>
        <v>17</v>
      </c>
      <c r="BB139" s="117">
        <f t="shared" si="17"/>
        <v>22</v>
      </c>
    </row>
    <row r="140" spans="2:54" ht="15.95" customHeight="1">
      <c r="B140" s="112">
        <v>132</v>
      </c>
      <c r="C140" s="133">
        <f>+'[7]PLANILLA EDNA '!C47</f>
        <v>1102816103</v>
      </c>
      <c r="D140" s="114" t="str">
        <f>IFERROR(VLOOKUP($C140,'[7]PLANILLA EDNA '!$C$9:$F$100,2,0),"NO BD")</f>
        <v xml:space="preserve">LEDESMA PERALTA YULISA PAOLA </v>
      </c>
      <c r="E140" s="134" t="s">
        <v>592</v>
      </c>
      <c r="F140" s="114" t="str">
        <f>IFERROR(VLOOKUP($C140,[7]BD!$B$3:$O$213,3,0),"")</f>
        <v>OPERARIA DE ASEO Y CAFETERIA</v>
      </c>
      <c r="G140" s="114" t="str">
        <f>IFERROR(VLOOKUP($C140,'[7]PLANILLA EDNA '!$C$9:$F$100,4,0),"NO BD")</f>
        <v xml:space="preserve">SEDE 4 - SEDE ALTERNA RESTREPO </v>
      </c>
      <c r="H140" s="114" t="str">
        <f>IFERROR(VLOOKUP($C140,[7]BD!$B$3:$O$203,14,0),"")</f>
        <v>3146433570</v>
      </c>
      <c r="I140" s="114" t="str">
        <f>IFERROR(VLOOKUP($C140,[7]BD!$B$3:$O$203,4,0),"")</f>
        <v>18/10/2025</v>
      </c>
      <c r="J140" s="97" t="str">
        <f>INDEX('[7]PLANILLA EDNA '!C45:AK133,3,6)</f>
        <v>OK</v>
      </c>
      <c r="K140" s="97" t="str">
        <f>INDEX('[7]PLANILLA EDNA '!D45:AL133,3,6)</f>
        <v>D</v>
      </c>
      <c r="L140" s="97" t="str">
        <f>INDEX('[7]PLANILLA EDNA '!E45:AM133,3,6)</f>
        <v>D</v>
      </c>
      <c r="M140" s="97" t="str">
        <f>INDEX('[7]PLANILLA EDNA '!F45:AN133,3,6)</f>
        <v>OK</v>
      </c>
      <c r="N140" s="97" t="str">
        <f>INDEX('[7]PLANILLA EDNA '!G45:AO133,3,6)</f>
        <v>D</v>
      </c>
      <c r="O140" s="97" t="str">
        <f>INDEX('[7]PLANILLA EDNA '!H45:AP133,3,6)</f>
        <v>OK</v>
      </c>
      <c r="P140" s="97" t="str">
        <f>INDEX('[7]PLANILLA EDNA '!I45:AQ133,3,6)</f>
        <v>OK</v>
      </c>
      <c r="Q140" s="97" t="str">
        <f>INDEX('[7]PLANILLA EDNA '!J45:AR133,3,6)</f>
        <v>OK</v>
      </c>
      <c r="R140" s="97" t="str">
        <f>INDEX('[7]PLANILLA EDNA '!K45:AS133,3,6)</f>
        <v>OK</v>
      </c>
      <c r="S140" s="97" t="str">
        <f>INDEX('[7]PLANILLA EDNA '!L45:AT133,3,6)</f>
        <v>OK</v>
      </c>
      <c r="T140" s="97" t="str">
        <f>INDEX('[7]PLANILLA EDNA '!M45:AU133,3,6)</f>
        <v>OK</v>
      </c>
      <c r="U140" s="97" t="str">
        <f>INDEX('[7]PLANILLA EDNA '!N45:AV133,3,6)</f>
        <v>D</v>
      </c>
      <c r="V140" s="97" t="str">
        <f>INDEX('[7]PLANILLA EDNA '!O45:AW133,3,6)</f>
        <v>OK</v>
      </c>
      <c r="W140" s="97" t="str">
        <f>INDEX('[7]PLANILLA EDNA '!P45:AX133,3,6)</f>
        <v>OK</v>
      </c>
      <c r="X140" s="97" t="str">
        <f>INDEX('[7]PLANILLA EDNA '!Q45:AY133,3,6)</f>
        <v>OK</v>
      </c>
      <c r="Y140" s="97" t="str">
        <f>INDEX('[7]PLANILLA EDNA '!R45:AZ133,3,6)</f>
        <v>OK</v>
      </c>
      <c r="Z140" s="97" t="str">
        <f>INDEX('[7]PLANILLA EDNA '!S45:BA133,3,6)</f>
        <v>OK</v>
      </c>
      <c r="AA140" s="97" t="str">
        <f>INDEX('[7]PLANILLA EDNA '!T45:BB133,3,6)</f>
        <v>OK</v>
      </c>
      <c r="AB140" s="97" t="str">
        <f>INDEX('[7]PLANILLA EDNA '!U45:BC133,3,6)</f>
        <v>D</v>
      </c>
      <c r="AC140" s="97" t="str">
        <f>INDEX('[7]PLANILLA EDNA '!V45:BD133,3,6)</f>
        <v>OK</v>
      </c>
      <c r="AD140" s="97" t="str">
        <f>INDEX('[7]PLANILLA EDNA '!W45:BE133,3,6)</f>
        <v>OK</v>
      </c>
      <c r="AE140" s="97" t="str">
        <f>INDEX('[7]PLANILLA EDNA '!X45:BF133,3,6)</f>
        <v>OK</v>
      </c>
      <c r="AF140" s="97">
        <f>INDEX('[7]PLANILLA EDNA '!Y45:BG133,3,6)</f>
        <v>0</v>
      </c>
      <c r="AG140" s="97">
        <f>INDEX('[7]PLANILLA EDNA '!Z45:BH133,3,6)</f>
        <v>0</v>
      </c>
      <c r="AH140" s="97">
        <f>INDEX('[7]PLANILLA EDNA '!AA45:BI133,3,6)</f>
        <v>0</v>
      </c>
      <c r="AI140" s="97">
        <f>INDEX('[7]PLANILLA EDNA '!AB45:BJ133,3,6)</f>
        <v>0</v>
      </c>
      <c r="AJ140" s="97">
        <f>INDEX('[7]PLANILLA EDNA '!AC45:BK133,3,6)</f>
        <v>0</v>
      </c>
      <c r="AK140" s="97">
        <f>INDEX('[7]PLANILLA EDNA '!AD45:BL133,3,6)</f>
        <v>0</v>
      </c>
      <c r="AL140" s="97">
        <f>INDEX('[7]PLANILLA EDNA '!AE45:BM133,3,6)</f>
        <v>0</v>
      </c>
      <c r="AM140" s="97">
        <f>INDEX('[7]PLANILLA EDNA '!AF45:BN133,3,6)</f>
        <v>0</v>
      </c>
      <c r="AO140" s="116">
        <f t="shared" si="16"/>
        <v>0</v>
      </c>
      <c r="AP140" s="116">
        <f t="shared" si="16"/>
        <v>0</v>
      </c>
      <c r="AQ140" s="116">
        <f t="shared" si="16"/>
        <v>5</v>
      </c>
      <c r="AR140" s="116">
        <f t="shared" si="16"/>
        <v>0</v>
      </c>
      <c r="AS140" s="116">
        <f t="shared" si="16"/>
        <v>0</v>
      </c>
      <c r="AT140" s="116">
        <f t="shared" si="16"/>
        <v>0</v>
      </c>
      <c r="AU140" s="116">
        <f t="shared" si="16"/>
        <v>0</v>
      </c>
      <c r="AV140" s="116">
        <f t="shared" si="16"/>
        <v>0</v>
      </c>
      <c r="AW140" s="116">
        <f t="shared" si="16"/>
        <v>0</v>
      </c>
      <c r="AX140" s="116">
        <f t="shared" si="16"/>
        <v>0</v>
      </c>
      <c r="AY140" s="116">
        <f t="shared" si="16"/>
        <v>0</v>
      </c>
      <c r="AZ140" s="116">
        <f t="shared" si="16"/>
        <v>0</v>
      </c>
      <c r="BA140" s="116">
        <f t="shared" si="16"/>
        <v>17</v>
      </c>
      <c r="BB140" s="117">
        <f t="shared" si="17"/>
        <v>22</v>
      </c>
    </row>
    <row r="141" spans="2:54" ht="15.95" customHeight="1">
      <c r="B141" s="112">
        <v>133</v>
      </c>
      <c r="C141" s="133">
        <f>+'[7]PLANILLA EDNA '!C48</f>
        <v>52389391</v>
      </c>
      <c r="D141" s="114" t="str">
        <f>IFERROR(VLOOKUP($C141,'[7]PLANILLA EDNA '!$C$9:$F$100,2,0),"NO BD")</f>
        <v xml:space="preserve">JARAMILLO TOBON SIRLEY ADRIANA </v>
      </c>
      <c r="E141" s="134" t="s">
        <v>592</v>
      </c>
      <c r="F141" s="114" t="str">
        <f>IFERROR(VLOOKUP($C141,[7]BD!$B$3:$O$213,3,0),"")</f>
        <v>OPERARIA DE ASEO Y CAFETERIA</v>
      </c>
      <c r="G141" s="114" t="str">
        <f>IFERROR(VLOOKUP($C141,'[7]PLANILLA EDNA '!$C$9:$F$100,4,0),"NO BD")</f>
        <v>SEDE 1 - MANZANA LIEVANO - ALCALDÍA MAYOR</v>
      </c>
      <c r="H141" s="114" t="str">
        <f>IFERROR(VLOOKUP($C141,[7]BD!$B$3:$O$203,14,0),"")</f>
        <v>3125406945</v>
      </c>
      <c r="I141" s="114" t="str">
        <f>IFERROR(VLOOKUP($C141,[7]BD!$B$3:$O$203,4,0),"")</f>
        <v>18/10/2025</v>
      </c>
      <c r="J141" s="97" t="str">
        <f>INDEX('[7]PLANILLA EDNA '!C46:AK134,3,6)</f>
        <v>OK</v>
      </c>
      <c r="K141" s="97" t="str">
        <f>INDEX('[7]PLANILLA EDNA '!D46:AL134,3,6)</f>
        <v>D</v>
      </c>
      <c r="L141" s="97" t="str">
        <f>INDEX('[7]PLANILLA EDNA '!E46:AM134,3,6)</f>
        <v>D</v>
      </c>
      <c r="M141" s="97" t="str">
        <f>INDEX('[7]PLANILLA EDNA '!F46:AN134,3,6)</f>
        <v>OK</v>
      </c>
      <c r="N141" s="97" t="str">
        <f>INDEX('[7]PLANILLA EDNA '!G46:AO134,3,6)</f>
        <v>D</v>
      </c>
      <c r="O141" s="97" t="str">
        <f>INDEX('[7]PLANILLA EDNA '!H46:AP134,3,6)</f>
        <v>OK</v>
      </c>
      <c r="P141" s="97" t="str">
        <f>INDEX('[7]PLANILLA EDNA '!I46:AQ134,3,6)</f>
        <v>OK</v>
      </c>
      <c r="Q141" s="97" t="str">
        <f>INDEX('[7]PLANILLA EDNA '!J46:AR134,3,6)</f>
        <v>OK</v>
      </c>
      <c r="R141" s="97" t="str">
        <f>INDEX('[7]PLANILLA EDNA '!K46:AS134,3,6)</f>
        <v>OK</v>
      </c>
      <c r="S141" s="97" t="str">
        <f>INDEX('[7]PLANILLA EDNA '!L46:AT134,3,6)</f>
        <v>OK</v>
      </c>
      <c r="T141" s="97" t="str">
        <f>INDEX('[7]PLANILLA EDNA '!M46:AU134,3,6)</f>
        <v>OK</v>
      </c>
      <c r="U141" s="97" t="str">
        <f>INDEX('[7]PLANILLA EDNA '!N46:AV134,3,6)</f>
        <v>D</v>
      </c>
      <c r="V141" s="97" t="str">
        <f>INDEX('[7]PLANILLA EDNA '!O46:AW134,3,6)</f>
        <v>OK</v>
      </c>
      <c r="W141" s="97" t="str">
        <f>INDEX('[7]PLANILLA EDNA '!P46:AX134,3,6)</f>
        <v>OK</v>
      </c>
      <c r="X141" s="97" t="str">
        <f>INDEX('[7]PLANILLA EDNA '!Q46:AY134,3,6)</f>
        <v>OK</v>
      </c>
      <c r="Y141" s="97" t="str">
        <f>INDEX('[7]PLANILLA EDNA '!R46:AZ134,3,6)</f>
        <v>OK</v>
      </c>
      <c r="Z141" s="97" t="str">
        <f>INDEX('[7]PLANILLA EDNA '!S46:BA134,3,6)</f>
        <v>OK</v>
      </c>
      <c r="AA141" s="97" t="str">
        <f>INDEX('[7]PLANILLA EDNA '!T46:BB134,3,6)</f>
        <v>OK</v>
      </c>
      <c r="AB141" s="97" t="str">
        <f>INDEX('[7]PLANILLA EDNA '!U46:BC134,3,6)</f>
        <v>D</v>
      </c>
      <c r="AC141" s="97" t="str">
        <f>INDEX('[7]PLANILLA EDNA '!V46:BD134,3,6)</f>
        <v>OK</v>
      </c>
      <c r="AD141" s="97" t="str">
        <f>INDEX('[7]PLANILLA EDNA '!W46:BE134,3,6)</f>
        <v>OK</v>
      </c>
      <c r="AE141" s="97" t="str">
        <f>INDEX('[7]PLANILLA EDNA '!X46:BF134,3,6)</f>
        <v>OK</v>
      </c>
      <c r="AF141" s="97">
        <f>INDEX('[7]PLANILLA EDNA '!Y46:BG134,3,6)</f>
        <v>0</v>
      </c>
      <c r="AG141" s="97">
        <f>INDEX('[7]PLANILLA EDNA '!Z46:BH134,3,6)</f>
        <v>0</v>
      </c>
      <c r="AH141" s="97">
        <f>INDEX('[7]PLANILLA EDNA '!AA46:BI134,3,6)</f>
        <v>0</v>
      </c>
      <c r="AI141" s="97">
        <f>INDEX('[7]PLANILLA EDNA '!AB46:BJ134,3,6)</f>
        <v>0</v>
      </c>
      <c r="AJ141" s="97">
        <f>INDEX('[7]PLANILLA EDNA '!AC46:BK134,3,6)</f>
        <v>0</v>
      </c>
      <c r="AK141" s="97">
        <f>INDEX('[7]PLANILLA EDNA '!AD46:BL134,3,6)</f>
        <v>0</v>
      </c>
      <c r="AL141" s="97">
        <f>INDEX('[7]PLANILLA EDNA '!AE46:BM134,3,6)</f>
        <v>0</v>
      </c>
      <c r="AM141" s="97">
        <f>INDEX('[7]PLANILLA EDNA '!AF46:BN134,3,6)</f>
        <v>0</v>
      </c>
      <c r="AO141" s="116">
        <f t="shared" si="16"/>
        <v>0</v>
      </c>
      <c r="AP141" s="116">
        <f t="shared" si="16"/>
        <v>0</v>
      </c>
      <c r="AQ141" s="116">
        <f t="shared" si="16"/>
        <v>5</v>
      </c>
      <c r="AR141" s="116">
        <f t="shared" si="16"/>
        <v>0</v>
      </c>
      <c r="AS141" s="116">
        <f t="shared" si="16"/>
        <v>0</v>
      </c>
      <c r="AT141" s="116">
        <f t="shared" si="16"/>
        <v>0</v>
      </c>
      <c r="AU141" s="116">
        <f t="shared" si="16"/>
        <v>0</v>
      </c>
      <c r="AV141" s="116">
        <f t="shared" si="16"/>
        <v>0</v>
      </c>
      <c r="AW141" s="116">
        <f t="shared" si="16"/>
        <v>0</v>
      </c>
      <c r="AX141" s="116">
        <f t="shared" si="16"/>
        <v>0</v>
      </c>
      <c r="AY141" s="116">
        <f t="shared" si="16"/>
        <v>0</v>
      </c>
      <c r="AZ141" s="116">
        <f t="shared" si="16"/>
        <v>0</v>
      </c>
      <c r="BA141" s="116">
        <f t="shared" si="16"/>
        <v>17</v>
      </c>
      <c r="BB141" s="117">
        <f t="shared" si="17"/>
        <v>22</v>
      </c>
    </row>
    <row r="142" spans="2:54" ht="15.95" customHeight="1">
      <c r="B142" s="112">
        <v>134</v>
      </c>
      <c r="C142" s="133">
        <f>+'[7]PLANILLA EDNA '!C49</f>
        <v>52762197</v>
      </c>
      <c r="D142" s="114" t="str">
        <f>IFERROR(VLOOKUP($C142,'[7]PLANILLA EDNA '!$C$9:$F$100,2,0),"NO BD")</f>
        <v xml:space="preserve">ZAMORA ZAMORA JOHANNA  </v>
      </c>
      <c r="E142" s="134" t="s">
        <v>592</v>
      </c>
      <c r="F142" s="114" t="str">
        <f>IFERROR(VLOOKUP($C142,[7]BD!$B$3:$O$213,3,0),"")</f>
        <v>SUPERVISORA</v>
      </c>
      <c r="G142" s="114" t="str">
        <f>IFERROR(VLOOKUP($C142,'[7]PLANILLA EDNA '!$C$9:$F$100,4,0),"NO BD")</f>
        <v>SEDE 1 - MANZANA LIEVANO - ALCALDÍA MAYOR</v>
      </c>
      <c r="H142" s="114" t="str">
        <f>IFERROR(VLOOKUP($C142,[7]BD!$B$3:$O$203,14,0),"")</f>
        <v>3507896880</v>
      </c>
      <c r="I142" s="114" t="str">
        <f>IFERROR(VLOOKUP($C142,[7]BD!$B$3:$O$203,4,0),"")</f>
        <v>18/10/2025</v>
      </c>
      <c r="J142" s="97" t="str">
        <f>INDEX('[7]PLANILLA EDNA '!C47:AK135,3,6)</f>
        <v>OK</v>
      </c>
      <c r="K142" s="97" t="str">
        <f>INDEX('[7]PLANILLA EDNA '!D47:AL135,3,6)</f>
        <v>D</v>
      </c>
      <c r="L142" s="97" t="str">
        <f>INDEX('[7]PLANILLA EDNA '!E47:AM135,3,6)</f>
        <v>D</v>
      </c>
      <c r="M142" s="97" t="str">
        <f>INDEX('[7]PLANILLA EDNA '!F47:AN135,3,6)</f>
        <v>OK</v>
      </c>
      <c r="N142" s="97" t="str">
        <f>INDEX('[7]PLANILLA EDNA '!G47:AO135,3,6)</f>
        <v>D</v>
      </c>
      <c r="O142" s="97" t="str">
        <f>INDEX('[7]PLANILLA EDNA '!H47:AP135,3,6)</f>
        <v>OK</v>
      </c>
      <c r="P142" s="97" t="str">
        <f>INDEX('[7]PLANILLA EDNA '!I47:AQ135,3,6)</f>
        <v>OK</v>
      </c>
      <c r="Q142" s="97" t="str">
        <f>INDEX('[7]PLANILLA EDNA '!J47:AR135,3,6)</f>
        <v>OK</v>
      </c>
      <c r="R142" s="97" t="str">
        <f>INDEX('[7]PLANILLA EDNA '!K47:AS135,3,6)</f>
        <v>OK</v>
      </c>
      <c r="S142" s="97" t="str">
        <f>INDEX('[7]PLANILLA EDNA '!L47:AT135,3,6)</f>
        <v>OK</v>
      </c>
      <c r="T142" s="97" t="str">
        <f>INDEX('[7]PLANILLA EDNA '!M47:AU135,3,6)</f>
        <v>OK</v>
      </c>
      <c r="U142" s="97" t="str">
        <f>INDEX('[7]PLANILLA EDNA '!N47:AV135,3,6)</f>
        <v>D</v>
      </c>
      <c r="V142" s="97" t="str">
        <f>INDEX('[7]PLANILLA EDNA '!O47:AW135,3,6)</f>
        <v>OK</v>
      </c>
      <c r="W142" s="97" t="str">
        <f>INDEX('[7]PLANILLA EDNA '!P47:AX135,3,6)</f>
        <v>OK</v>
      </c>
      <c r="X142" s="97" t="str">
        <f>INDEX('[7]PLANILLA EDNA '!Q47:AY135,3,6)</f>
        <v>OK</v>
      </c>
      <c r="Y142" s="97" t="str">
        <f>INDEX('[7]PLANILLA EDNA '!R47:AZ135,3,6)</f>
        <v>OK</v>
      </c>
      <c r="Z142" s="97" t="str">
        <f>INDEX('[7]PLANILLA EDNA '!S47:BA135,3,6)</f>
        <v>OK</v>
      </c>
      <c r="AA142" s="97" t="str">
        <f>INDEX('[7]PLANILLA EDNA '!T47:BB135,3,6)</f>
        <v>OK</v>
      </c>
      <c r="AB142" s="97" t="str">
        <f>INDEX('[7]PLANILLA EDNA '!U47:BC135,3,6)</f>
        <v>D</v>
      </c>
      <c r="AC142" s="97" t="str">
        <f>INDEX('[7]PLANILLA EDNA '!V47:BD135,3,6)</f>
        <v>OK</v>
      </c>
      <c r="AD142" s="97" t="str">
        <f>INDEX('[7]PLANILLA EDNA '!W47:BE135,3,6)</f>
        <v>OK</v>
      </c>
      <c r="AE142" s="97" t="str">
        <f>INDEX('[7]PLANILLA EDNA '!X47:BF135,3,6)</f>
        <v>OK</v>
      </c>
      <c r="AF142" s="97">
        <f>INDEX('[7]PLANILLA EDNA '!Y47:BG135,3,6)</f>
        <v>0</v>
      </c>
      <c r="AG142" s="97">
        <f>INDEX('[7]PLANILLA EDNA '!Z47:BH135,3,6)</f>
        <v>0</v>
      </c>
      <c r="AH142" s="97">
        <f>INDEX('[7]PLANILLA EDNA '!AA47:BI135,3,6)</f>
        <v>0</v>
      </c>
      <c r="AI142" s="97">
        <f>INDEX('[7]PLANILLA EDNA '!AB47:BJ135,3,6)</f>
        <v>0</v>
      </c>
      <c r="AJ142" s="97">
        <f>INDEX('[7]PLANILLA EDNA '!AC47:BK135,3,6)</f>
        <v>0</v>
      </c>
      <c r="AK142" s="97">
        <f>INDEX('[7]PLANILLA EDNA '!AD47:BL135,3,6)</f>
        <v>0</v>
      </c>
      <c r="AL142" s="97">
        <f>INDEX('[7]PLANILLA EDNA '!AE47:BM135,3,6)</f>
        <v>0</v>
      </c>
      <c r="AM142" s="97">
        <f>INDEX('[7]PLANILLA EDNA '!AF47:BN135,3,6)</f>
        <v>0</v>
      </c>
      <c r="AO142" s="116">
        <f t="shared" si="16"/>
        <v>0</v>
      </c>
      <c r="AP142" s="116">
        <f t="shared" si="16"/>
        <v>0</v>
      </c>
      <c r="AQ142" s="116">
        <f t="shared" si="16"/>
        <v>5</v>
      </c>
      <c r="AR142" s="116">
        <f t="shared" si="16"/>
        <v>0</v>
      </c>
      <c r="AS142" s="116">
        <f t="shared" si="16"/>
        <v>0</v>
      </c>
      <c r="AT142" s="116">
        <f t="shared" si="16"/>
        <v>0</v>
      </c>
      <c r="AU142" s="116">
        <f t="shared" si="16"/>
        <v>0</v>
      </c>
      <c r="AV142" s="116">
        <f t="shared" si="16"/>
        <v>0</v>
      </c>
      <c r="AW142" s="116">
        <f t="shared" si="16"/>
        <v>0</v>
      </c>
      <c r="AX142" s="116">
        <f t="shared" si="16"/>
        <v>0</v>
      </c>
      <c r="AY142" s="116">
        <f t="shared" si="16"/>
        <v>0</v>
      </c>
      <c r="AZ142" s="116">
        <f t="shared" si="16"/>
        <v>0</v>
      </c>
      <c r="BA142" s="116">
        <f t="shared" si="16"/>
        <v>17</v>
      </c>
      <c r="BB142" s="117">
        <f t="shared" si="17"/>
        <v>22</v>
      </c>
    </row>
    <row r="143" spans="2:54" ht="15.95" customHeight="1">
      <c r="B143" s="112">
        <v>135</v>
      </c>
      <c r="C143" s="133">
        <f>+'[7]PLANILLA EDNA '!C50</f>
        <v>1104224004</v>
      </c>
      <c r="D143" s="114" t="str">
        <f>IFERROR(VLOOKUP($C143,'[7]PLANILLA EDNA '!$C$9:$F$100,2,0),"NO BD")</f>
        <v xml:space="preserve">SUAREZ GARCIA JUAN PABLO </v>
      </c>
      <c r="E143" s="134" t="s">
        <v>592</v>
      </c>
      <c r="F143" s="114" t="str">
        <f>IFERROR(VLOOKUP($C143,[7]BD!$B$3:$O$213,3,0),"")</f>
        <v>OPERARIO DE MANTENIMIENTO</v>
      </c>
      <c r="G143" s="114" t="str">
        <f>IFERROR(VLOOKUP($C143,'[7]PLANILLA EDNA '!$C$9:$F$100,4,0),"NO BD")</f>
        <v>SEDE 1 - MANZANA LIEVANO - ALCALDÍA MAYOR</v>
      </c>
      <c r="H143" s="114" t="str">
        <f>IFERROR(VLOOKUP($C143,[7]BD!$B$3:$O$203,14,0),"")</f>
        <v>3208179264</v>
      </c>
      <c r="I143" s="114" t="str">
        <f>IFERROR(VLOOKUP($C143,[7]BD!$B$3:$O$203,4,0),"")</f>
        <v>18/10/2025</v>
      </c>
      <c r="J143" s="97" t="str">
        <f>INDEX('[7]PLANILLA EDNA '!C48:AK136,3,6)</f>
        <v>OK</v>
      </c>
      <c r="K143" s="97" t="str">
        <f>INDEX('[7]PLANILLA EDNA '!D48:AL136,3,6)</f>
        <v>D</v>
      </c>
      <c r="L143" s="97" t="str">
        <f>INDEX('[7]PLANILLA EDNA '!E48:AM136,3,6)</f>
        <v>D</v>
      </c>
      <c r="M143" s="97" t="str">
        <f>INDEX('[7]PLANILLA EDNA '!F48:AN136,3,6)</f>
        <v>OK</v>
      </c>
      <c r="N143" s="97" t="str">
        <f>INDEX('[7]PLANILLA EDNA '!G48:AO136,3,6)</f>
        <v>D</v>
      </c>
      <c r="O143" s="97" t="str">
        <f>INDEX('[7]PLANILLA EDNA '!H48:AP136,3,6)</f>
        <v>OK</v>
      </c>
      <c r="P143" s="97" t="str">
        <f>INDEX('[7]PLANILLA EDNA '!I48:AQ136,3,6)</f>
        <v>OK</v>
      </c>
      <c r="Q143" s="97" t="str">
        <f>INDEX('[7]PLANILLA EDNA '!J48:AR136,3,6)</f>
        <v>OK</v>
      </c>
      <c r="R143" s="97" t="str">
        <f>INDEX('[7]PLANILLA EDNA '!K48:AS136,3,6)</f>
        <v>OK</v>
      </c>
      <c r="S143" s="97" t="str">
        <f>INDEX('[7]PLANILLA EDNA '!L48:AT136,3,6)</f>
        <v>OK</v>
      </c>
      <c r="T143" s="97" t="str">
        <f>INDEX('[7]PLANILLA EDNA '!M48:AU136,3,6)</f>
        <v>OK</v>
      </c>
      <c r="U143" s="97" t="str">
        <f>INDEX('[7]PLANILLA EDNA '!N48:AV136,3,6)</f>
        <v>D</v>
      </c>
      <c r="V143" s="97" t="str">
        <f>INDEX('[7]PLANILLA EDNA '!O48:AW136,3,6)</f>
        <v>OK</v>
      </c>
      <c r="W143" s="97" t="str">
        <f>INDEX('[7]PLANILLA EDNA '!P48:AX136,3,6)</f>
        <v>OK</v>
      </c>
      <c r="X143" s="97" t="str">
        <f>INDEX('[7]PLANILLA EDNA '!Q48:AY136,3,6)</f>
        <v>OK</v>
      </c>
      <c r="Y143" s="97" t="str">
        <f>INDEX('[7]PLANILLA EDNA '!R48:AZ136,3,6)</f>
        <v>OK</v>
      </c>
      <c r="Z143" s="97" t="str">
        <f>INDEX('[7]PLANILLA EDNA '!S48:BA136,3,6)</f>
        <v>OK</v>
      </c>
      <c r="AA143" s="97" t="str">
        <f>INDEX('[7]PLANILLA EDNA '!T48:BB136,3,6)</f>
        <v>OK</v>
      </c>
      <c r="AB143" s="97" t="str">
        <f>INDEX('[7]PLANILLA EDNA '!U48:BC136,3,6)</f>
        <v>D</v>
      </c>
      <c r="AC143" s="97" t="str">
        <f>INDEX('[7]PLANILLA EDNA '!V48:BD136,3,6)</f>
        <v>OK</v>
      </c>
      <c r="AD143" s="97" t="str">
        <f>INDEX('[7]PLANILLA EDNA '!W48:BE136,3,6)</f>
        <v>OK</v>
      </c>
      <c r="AE143" s="97" t="str">
        <f>INDEX('[7]PLANILLA EDNA '!X48:BF136,3,6)</f>
        <v>OK</v>
      </c>
      <c r="AF143" s="97">
        <f>INDEX('[7]PLANILLA EDNA '!Y48:BG136,3,6)</f>
        <v>0</v>
      </c>
      <c r="AG143" s="97">
        <f>INDEX('[7]PLANILLA EDNA '!Z48:BH136,3,6)</f>
        <v>0</v>
      </c>
      <c r="AH143" s="97">
        <f>INDEX('[7]PLANILLA EDNA '!AA48:BI136,3,6)</f>
        <v>0</v>
      </c>
      <c r="AI143" s="97">
        <f>INDEX('[7]PLANILLA EDNA '!AB48:BJ136,3,6)</f>
        <v>0</v>
      </c>
      <c r="AJ143" s="97">
        <f>INDEX('[7]PLANILLA EDNA '!AC48:BK136,3,6)</f>
        <v>0</v>
      </c>
      <c r="AK143" s="97">
        <f>INDEX('[7]PLANILLA EDNA '!AD48:BL136,3,6)</f>
        <v>0</v>
      </c>
      <c r="AL143" s="97">
        <f>INDEX('[7]PLANILLA EDNA '!AE48:BM136,3,6)</f>
        <v>0</v>
      </c>
      <c r="AM143" s="97">
        <f>INDEX('[7]PLANILLA EDNA '!AF48:BN136,3,6)</f>
        <v>0</v>
      </c>
      <c r="AO143" s="116">
        <f t="shared" si="16"/>
        <v>0</v>
      </c>
      <c r="AP143" s="116">
        <f t="shared" si="16"/>
        <v>0</v>
      </c>
      <c r="AQ143" s="116">
        <f t="shared" si="16"/>
        <v>5</v>
      </c>
      <c r="AR143" s="116">
        <f t="shared" si="16"/>
        <v>0</v>
      </c>
      <c r="AS143" s="116">
        <f t="shared" si="16"/>
        <v>0</v>
      </c>
      <c r="AT143" s="116">
        <f t="shared" si="16"/>
        <v>0</v>
      </c>
      <c r="AU143" s="116">
        <f t="shared" si="16"/>
        <v>0</v>
      </c>
      <c r="AV143" s="116">
        <f t="shared" si="16"/>
        <v>0</v>
      </c>
      <c r="AW143" s="116">
        <f t="shared" ref="AW143:BA143" si="18">COUNTIF($J143:$AM143,AW$7)</f>
        <v>0</v>
      </c>
      <c r="AX143" s="116">
        <f t="shared" si="18"/>
        <v>0</v>
      </c>
      <c r="AY143" s="116">
        <f t="shared" si="18"/>
        <v>0</v>
      </c>
      <c r="AZ143" s="116">
        <f t="shared" si="18"/>
        <v>0</v>
      </c>
      <c r="BA143" s="116">
        <f t="shared" si="18"/>
        <v>17</v>
      </c>
      <c r="BB143" s="117">
        <f t="shared" si="17"/>
        <v>22</v>
      </c>
    </row>
    <row r="144" spans="2:54" ht="15.95" customHeight="1">
      <c r="B144" s="112">
        <v>136</v>
      </c>
      <c r="C144" s="133">
        <f>+'[7]PLANILLA EDNA '!C51</f>
        <v>52292687</v>
      </c>
      <c r="D144" s="114" t="str">
        <f>IFERROR(VLOOKUP($C144,'[7]PLANILLA EDNA '!$C$9:$F$100,2,0),"NO BD")</f>
        <v xml:space="preserve">TIBAQUIRA MARIA ISABEL  </v>
      </c>
      <c r="E144" s="134" t="s">
        <v>592</v>
      </c>
      <c r="F144" s="114" t="str">
        <f>IFERROR(VLOOKUP($C144,[7]BD!$B$3:$O$213,3,0),"")</f>
        <v>OPERARIA DE ASEO Y CAFETERIA</v>
      </c>
      <c r="G144" s="114" t="str">
        <f>IFERROR(VLOOKUP($C144,'[7]PLANILLA EDNA '!$C$9:$F$100,4,0),"NO BD")</f>
        <v>SEDE 1 - MANZANA LIEVANO - ALCALDÍA MAYOR</v>
      </c>
      <c r="H144" s="114" t="str">
        <f>IFERROR(VLOOKUP($C144,[7]BD!$B$3:$O$203,14,0),"")</f>
        <v>3143112254</v>
      </c>
      <c r="I144" s="114" t="str">
        <f>IFERROR(VLOOKUP($C144,[7]BD!$B$3:$O$203,4,0),"")</f>
        <v>18/10/2025</v>
      </c>
      <c r="J144" s="97" t="str">
        <f>INDEX('[7]PLANILLA EDNA '!C49:AK137,3,6)</f>
        <v>OK</v>
      </c>
      <c r="K144" s="97" t="str">
        <f>INDEX('[7]PLANILLA EDNA '!D49:AL137,3,6)</f>
        <v>D</v>
      </c>
      <c r="L144" s="97" t="str">
        <f>INDEX('[7]PLANILLA EDNA '!E49:AM137,3,6)</f>
        <v>D</v>
      </c>
      <c r="M144" s="97" t="str">
        <f>INDEX('[7]PLANILLA EDNA '!F49:AN137,3,6)</f>
        <v>OK</v>
      </c>
      <c r="N144" s="97" t="str">
        <f>INDEX('[7]PLANILLA EDNA '!G49:AO137,3,6)</f>
        <v>D</v>
      </c>
      <c r="O144" s="97" t="str">
        <f>INDEX('[7]PLANILLA EDNA '!H49:AP137,3,6)</f>
        <v>OK</v>
      </c>
      <c r="P144" s="97" t="str">
        <f>INDEX('[7]PLANILLA EDNA '!I49:AQ137,3,6)</f>
        <v>OK</v>
      </c>
      <c r="Q144" s="97" t="str">
        <f>INDEX('[7]PLANILLA EDNA '!J49:AR137,3,6)</f>
        <v>OK</v>
      </c>
      <c r="R144" s="97" t="str">
        <f>INDEX('[7]PLANILLA EDNA '!K49:AS137,3,6)</f>
        <v>OK</v>
      </c>
      <c r="S144" s="97" t="str">
        <f>INDEX('[7]PLANILLA EDNA '!L49:AT137,3,6)</f>
        <v>OK</v>
      </c>
      <c r="T144" s="97" t="str">
        <f>INDEX('[7]PLANILLA EDNA '!M49:AU137,3,6)</f>
        <v>OK</v>
      </c>
      <c r="U144" s="97" t="str">
        <f>INDEX('[7]PLANILLA EDNA '!N49:AV137,3,6)</f>
        <v>D</v>
      </c>
      <c r="V144" s="97" t="str">
        <f>INDEX('[7]PLANILLA EDNA '!O49:AW137,3,6)</f>
        <v>OK</v>
      </c>
      <c r="W144" s="97" t="str">
        <f>INDEX('[7]PLANILLA EDNA '!P49:AX137,3,6)</f>
        <v>OK</v>
      </c>
      <c r="X144" s="97" t="str">
        <f>INDEX('[7]PLANILLA EDNA '!Q49:AY137,3,6)</f>
        <v>OK</v>
      </c>
      <c r="Y144" s="97" t="str">
        <f>INDEX('[7]PLANILLA EDNA '!R49:AZ137,3,6)</f>
        <v>OK</v>
      </c>
      <c r="Z144" s="97" t="str">
        <f>INDEX('[7]PLANILLA EDNA '!S49:BA137,3,6)</f>
        <v>OK</v>
      </c>
      <c r="AA144" s="97" t="str">
        <f>INDEX('[7]PLANILLA EDNA '!T49:BB137,3,6)</f>
        <v>OK</v>
      </c>
      <c r="AB144" s="97" t="str">
        <f>INDEX('[7]PLANILLA EDNA '!U49:BC137,3,6)</f>
        <v>D</v>
      </c>
      <c r="AC144" s="97" t="str">
        <f>INDEX('[7]PLANILLA EDNA '!V49:BD137,3,6)</f>
        <v>OK</v>
      </c>
      <c r="AD144" s="97" t="str">
        <f>INDEX('[7]PLANILLA EDNA '!W49:BE137,3,6)</f>
        <v>OK</v>
      </c>
      <c r="AE144" s="97" t="str">
        <f>INDEX('[7]PLANILLA EDNA '!X49:BF137,3,6)</f>
        <v>OK</v>
      </c>
      <c r="AF144" s="97">
        <f>INDEX('[7]PLANILLA EDNA '!Y49:BG137,3,6)</f>
        <v>0</v>
      </c>
      <c r="AG144" s="97">
        <f>INDEX('[7]PLANILLA EDNA '!Z49:BH137,3,6)</f>
        <v>0</v>
      </c>
      <c r="AH144" s="97">
        <f>INDEX('[7]PLANILLA EDNA '!AA49:BI137,3,6)</f>
        <v>0</v>
      </c>
      <c r="AI144" s="97">
        <f>INDEX('[7]PLANILLA EDNA '!AB49:BJ137,3,6)</f>
        <v>0</v>
      </c>
      <c r="AJ144" s="97">
        <f>INDEX('[7]PLANILLA EDNA '!AC49:BK137,3,6)</f>
        <v>0</v>
      </c>
      <c r="AK144" s="97">
        <f>INDEX('[7]PLANILLA EDNA '!AD49:BL137,3,6)</f>
        <v>0</v>
      </c>
      <c r="AL144" s="97">
        <f>INDEX('[7]PLANILLA EDNA '!AE49:BM137,3,6)</f>
        <v>0</v>
      </c>
      <c r="AM144" s="97">
        <f>INDEX('[7]PLANILLA EDNA '!AF49:BN137,3,6)</f>
        <v>0</v>
      </c>
      <c r="AO144" s="116">
        <f t="shared" ref="AO144:BA163" si="19">COUNTIF($J144:$AM144,AO$7)</f>
        <v>0</v>
      </c>
      <c r="AP144" s="116">
        <f t="shared" si="19"/>
        <v>0</v>
      </c>
      <c r="AQ144" s="116">
        <f t="shared" si="19"/>
        <v>5</v>
      </c>
      <c r="AR144" s="116">
        <f t="shared" si="19"/>
        <v>0</v>
      </c>
      <c r="AS144" s="116">
        <f t="shared" si="19"/>
        <v>0</v>
      </c>
      <c r="AT144" s="116">
        <f t="shared" si="19"/>
        <v>0</v>
      </c>
      <c r="AU144" s="116">
        <f t="shared" si="19"/>
        <v>0</v>
      </c>
      <c r="AV144" s="116">
        <f t="shared" si="19"/>
        <v>0</v>
      </c>
      <c r="AW144" s="116">
        <f t="shared" si="19"/>
        <v>0</v>
      </c>
      <c r="AX144" s="116">
        <f t="shared" si="19"/>
        <v>0</v>
      </c>
      <c r="AY144" s="116">
        <f t="shared" si="19"/>
        <v>0</v>
      </c>
      <c r="AZ144" s="116">
        <f t="shared" si="19"/>
        <v>0</v>
      </c>
      <c r="BA144" s="116">
        <f t="shared" si="19"/>
        <v>17</v>
      </c>
      <c r="BB144" s="117">
        <f t="shared" si="17"/>
        <v>22</v>
      </c>
    </row>
    <row r="145" spans="1:54" ht="15.95" customHeight="1">
      <c r="B145" s="112">
        <v>137</v>
      </c>
      <c r="C145" s="133">
        <f>+'[7]PLANILLA EDNA '!C52</f>
        <v>37650172</v>
      </c>
      <c r="D145" s="114" t="str">
        <f>IFERROR(VLOOKUP($C145,'[7]PLANILLA EDNA '!$C$9:$F$100,2,0),"NO BD")</f>
        <v xml:space="preserve">CABANZO LUQUE NELLY  </v>
      </c>
      <c r="E145" s="134" t="s">
        <v>592</v>
      </c>
      <c r="F145" s="114" t="str">
        <f>IFERROR(VLOOKUP($C145,[7]BD!$B$3:$O$213,3,0),"")</f>
        <v>OPERARIA DE ASEO Y CAFETERIA</v>
      </c>
      <c r="G145" s="114" t="str">
        <f>IFERROR(VLOOKUP($C145,'[7]PLANILLA EDNA '!$C$9:$F$100,4,0),"NO BD")</f>
        <v xml:space="preserve">SEDE 2- DIRECCIÓN DISTRITAL DE ARCHIVO DE  BOGOTA </v>
      </c>
      <c r="H145" s="114" t="str">
        <f>IFERROR(VLOOKUP($C145,[7]BD!$B$3:$O$203,14,0),"")</f>
        <v>3192897028</v>
      </c>
      <c r="I145" s="114" t="str">
        <f>IFERROR(VLOOKUP($C145,[7]BD!$B$3:$O$203,4,0),"")</f>
        <v>18/10/2025</v>
      </c>
      <c r="J145" s="97" t="str">
        <f>INDEX('[7]PLANILLA EDNA '!C50:AK138,3,6)</f>
        <v>OK</v>
      </c>
      <c r="K145" s="97" t="str">
        <f>INDEX('[7]PLANILLA EDNA '!D50:AL138,3,6)</f>
        <v>D</v>
      </c>
      <c r="L145" s="97" t="str">
        <f>INDEX('[7]PLANILLA EDNA '!E50:AM138,3,6)</f>
        <v>D</v>
      </c>
      <c r="M145" s="97" t="str">
        <f>INDEX('[7]PLANILLA EDNA '!F50:AN138,3,6)</f>
        <v>OK</v>
      </c>
      <c r="N145" s="97" t="str">
        <f>INDEX('[7]PLANILLA EDNA '!G50:AO138,3,6)</f>
        <v>D</v>
      </c>
      <c r="O145" s="97" t="str">
        <f>INDEX('[7]PLANILLA EDNA '!H50:AP138,3,6)</f>
        <v>OK</v>
      </c>
      <c r="P145" s="97" t="str">
        <f>INDEX('[7]PLANILLA EDNA '!I50:AQ138,3,6)</f>
        <v>OK</v>
      </c>
      <c r="Q145" s="97" t="str">
        <f>INDEX('[7]PLANILLA EDNA '!J50:AR138,3,6)</f>
        <v>OK</v>
      </c>
      <c r="R145" s="97" t="str">
        <f>INDEX('[7]PLANILLA EDNA '!K50:AS138,3,6)</f>
        <v>OK</v>
      </c>
      <c r="S145" s="97" t="str">
        <f>INDEX('[7]PLANILLA EDNA '!L50:AT138,3,6)</f>
        <v>OK</v>
      </c>
      <c r="T145" s="97" t="str">
        <f>INDEX('[7]PLANILLA EDNA '!M50:AU138,3,6)</f>
        <v>OK</v>
      </c>
      <c r="U145" s="97" t="str">
        <f>INDEX('[7]PLANILLA EDNA '!N50:AV138,3,6)</f>
        <v>D</v>
      </c>
      <c r="V145" s="97" t="str">
        <f>INDEX('[7]PLANILLA EDNA '!O50:AW138,3,6)</f>
        <v>OK</v>
      </c>
      <c r="W145" s="97" t="str">
        <f>INDEX('[7]PLANILLA EDNA '!P50:AX138,3,6)</f>
        <v>OK</v>
      </c>
      <c r="X145" s="97" t="str">
        <f>INDEX('[7]PLANILLA EDNA '!Q50:AY138,3,6)</f>
        <v>OK</v>
      </c>
      <c r="Y145" s="97" t="str">
        <f>INDEX('[7]PLANILLA EDNA '!R50:AZ138,3,6)</f>
        <v>OK</v>
      </c>
      <c r="Z145" s="97" t="str">
        <f>INDEX('[7]PLANILLA EDNA '!S50:BA138,3,6)</f>
        <v>OK</v>
      </c>
      <c r="AA145" s="97" t="str">
        <f>INDEX('[7]PLANILLA EDNA '!T50:BB138,3,6)</f>
        <v>OK</v>
      </c>
      <c r="AB145" s="97" t="str">
        <f>INDEX('[7]PLANILLA EDNA '!U50:BC138,3,6)</f>
        <v>D</v>
      </c>
      <c r="AC145" s="97" t="str">
        <f>INDEX('[7]PLANILLA EDNA '!V50:BD138,3,6)</f>
        <v>OK</v>
      </c>
      <c r="AD145" s="97" t="str">
        <f>INDEX('[7]PLANILLA EDNA '!W50:BE138,3,6)</f>
        <v>OK</v>
      </c>
      <c r="AE145" s="97" t="str">
        <f>INDEX('[7]PLANILLA EDNA '!X50:BF138,3,6)</f>
        <v>OK</v>
      </c>
      <c r="AF145" s="97">
        <f>INDEX('[7]PLANILLA EDNA '!Y50:BG138,3,6)</f>
        <v>0</v>
      </c>
      <c r="AG145" s="97">
        <f>INDEX('[7]PLANILLA EDNA '!Z50:BH138,3,6)</f>
        <v>0</v>
      </c>
      <c r="AH145" s="97">
        <f>INDEX('[7]PLANILLA EDNA '!AA50:BI138,3,6)</f>
        <v>0</v>
      </c>
      <c r="AI145" s="97">
        <f>INDEX('[7]PLANILLA EDNA '!AB50:BJ138,3,6)</f>
        <v>0</v>
      </c>
      <c r="AJ145" s="97">
        <f>INDEX('[7]PLANILLA EDNA '!AC50:BK138,3,6)</f>
        <v>0</v>
      </c>
      <c r="AK145" s="97">
        <f>INDEX('[7]PLANILLA EDNA '!AD50:BL138,3,6)</f>
        <v>0</v>
      </c>
      <c r="AL145" s="97">
        <f>INDEX('[7]PLANILLA EDNA '!AE50:BM138,3,6)</f>
        <v>0</v>
      </c>
      <c r="AM145" s="97">
        <f>INDEX('[7]PLANILLA EDNA '!AF50:BN138,3,6)</f>
        <v>0</v>
      </c>
      <c r="AO145" s="116">
        <f t="shared" si="19"/>
        <v>0</v>
      </c>
      <c r="AP145" s="116">
        <f t="shared" si="19"/>
        <v>0</v>
      </c>
      <c r="AQ145" s="116">
        <f t="shared" si="19"/>
        <v>5</v>
      </c>
      <c r="AR145" s="116">
        <f t="shared" si="19"/>
        <v>0</v>
      </c>
      <c r="AS145" s="116">
        <f t="shared" si="19"/>
        <v>0</v>
      </c>
      <c r="AT145" s="116">
        <f t="shared" si="19"/>
        <v>0</v>
      </c>
      <c r="AU145" s="116">
        <f t="shared" si="19"/>
        <v>0</v>
      </c>
      <c r="AV145" s="116">
        <f t="shared" si="19"/>
        <v>0</v>
      </c>
      <c r="AW145" s="116">
        <f t="shared" si="19"/>
        <v>0</v>
      </c>
      <c r="AX145" s="116">
        <f t="shared" si="19"/>
        <v>0</v>
      </c>
      <c r="AY145" s="116">
        <f t="shared" si="19"/>
        <v>0</v>
      </c>
      <c r="AZ145" s="116">
        <f t="shared" si="19"/>
        <v>0</v>
      </c>
      <c r="BA145" s="116">
        <f t="shared" si="19"/>
        <v>17</v>
      </c>
      <c r="BB145" s="117">
        <f t="shared" si="17"/>
        <v>22</v>
      </c>
    </row>
    <row r="146" spans="1:54" ht="15.95" customHeight="1">
      <c r="B146" s="112">
        <v>138</v>
      </c>
      <c r="C146" s="133">
        <f>+'[7]PLANILLA EDNA '!C53</f>
        <v>1031167749</v>
      </c>
      <c r="D146" s="114" t="str">
        <f>IFERROR(VLOOKUP($C146,'[7]PLANILLA EDNA '!$C$9:$F$100,2,0),"NO BD")</f>
        <v xml:space="preserve">DIAZ HERNANDEZ ANGIE PAOLA </v>
      </c>
      <c r="E146" s="134" t="s">
        <v>592</v>
      </c>
      <c r="F146" s="114" t="str">
        <f>IFERROR(VLOOKUP($C146,[7]BD!$B$3:$O$213,3,0),"")</f>
        <v>OPERARIA DE ASEO Y CAFETERIA</v>
      </c>
      <c r="G146" s="114" t="str">
        <f>IFERROR(VLOOKUP($C146,'[7]PLANILLA EDNA '!$C$9:$F$100,4,0),"NO BD")</f>
        <v>SEDE 1 - MANZANA LIEVANO - ALCALDÍA MAYOR</v>
      </c>
      <c r="H146" s="114" t="str">
        <f>IFERROR(VLOOKUP($C146,[7]BD!$B$3:$O$203,14,0),"")</f>
        <v>3125503477</v>
      </c>
      <c r="I146" s="114" t="str">
        <f>IFERROR(VLOOKUP($C146,[7]BD!$B$3:$O$203,4,0),"")</f>
        <v>18/10/2025</v>
      </c>
      <c r="J146" s="97" t="str">
        <f>INDEX('[7]PLANILLA EDNA '!C51:AK139,3,6)</f>
        <v>OK</v>
      </c>
      <c r="K146" s="97" t="str">
        <f>INDEX('[7]PLANILLA EDNA '!D51:AL139,3,6)</f>
        <v>D</v>
      </c>
      <c r="L146" s="97" t="str">
        <f>INDEX('[7]PLANILLA EDNA '!E51:AM139,3,6)</f>
        <v>D</v>
      </c>
      <c r="M146" s="97" t="str">
        <f>INDEX('[7]PLANILLA EDNA '!F51:AN139,3,6)</f>
        <v>OK</v>
      </c>
      <c r="N146" s="97" t="str">
        <f>INDEX('[7]PLANILLA EDNA '!G51:AO139,3,6)</f>
        <v>D</v>
      </c>
      <c r="O146" s="97" t="str">
        <f>INDEX('[7]PLANILLA EDNA '!H51:AP139,3,6)</f>
        <v>OK</v>
      </c>
      <c r="P146" s="97" t="str">
        <f>INDEX('[7]PLANILLA EDNA '!I51:AQ139,3,6)</f>
        <v>OK</v>
      </c>
      <c r="Q146" s="97" t="str">
        <f>INDEX('[7]PLANILLA EDNA '!J51:AR139,3,6)</f>
        <v>OK</v>
      </c>
      <c r="R146" s="97" t="str">
        <f>INDEX('[7]PLANILLA EDNA '!K51:AS139,3,6)</f>
        <v>OK</v>
      </c>
      <c r="S146" s="97" t="str">
        <f>INDEX('[7]PLANILLA EDNA '!L51:AT139,3,6)</f>
        <v>OK</v>
      </c>
      <c r="T146" s="97" t="str">
        <f>INDEX('[7]PLANILLA EDNA '!M51:AU139,3,6)</f>
        <v>OK</v>
      </c>
      <c r="U146" s="97" t="str">
        <f>INDEX('[7]PLANILLA EDNA '!N51:AV139,3,6)</f>
        <v>D</v>
      </c>
      <c r="V146" s="97" t="str">
        <f>INDEX('[7]PLANILLA EDNA '!O51:AW139,3,6)</f>
        <v>OK</v>
      </c>
      <c r="W146" s="97" t="str">
        <f>INDEX('[7]PLANILLA EDNA '!P51:AX139,3,6)</f>
        <v>OK</v>
      </c>
      <c r="X146" s="97" t="str">
        <f>INDEX('[7]PLANILLA EDNA '!Q51:AY139,3,6)</f>
        <v>OK</v>
      </c>
      <c r="Y146" s="97" t="str">
        <f>INDEX('[7]PLANILLA EDNA '!R51:AZ139,3,6)</f>
        <v>OK</v>
      </c>
      <c r="Z146" s="97" t="str">
        <f>INDEX('[7]PLANILLA EDNA '!S51:BA139,3,6)</f>
        <v>OK</v>
      </c>
      <c r="AA146" s="97" t="str">
        <f>INDEX('[7]PLANILLA EDNA '!T51:BB139,3,6)</f>
        <v>OK</v>
      </c>
      <c r="AB146" s="97" t="str">
        <f>INDEX('[7]PLANILLA EDNA '!U51:BC139,3,6)</f>
        <v>D</v>
      </c>
      <c r="AC146" s="97" t="str">
        <f>INDEX('[7]PLANILLA EDNA '!V51:BD139,3,6)</f>
        <v>OK</v>
      </c>
      <c r="AD146" s="97" t="str">
        <f>INDEX('[7]PLANILLA EDNA '!W51:BE139,3,6)</f>
        <v>OK</v>
      </c>
      <c r="AE146" s="97" t="str">
        <f>INDEX('[7]PLANILLA EDNA '!X51:BF139,3,6)</f>
        <v>OK</v>
      </c>
      <c r="AF146" s="97">
        <f>INDEX('[7]PLANILLA EDNA '!Y51:BG139,3,6)</f>
        <v>0</v>
      </c>
      <c r="AG146" s="97">
        <f>INDEX('[7]PLANILLA EDNA '!Z51:BH139,3,6)</f>
        <v>0</v>
      </c>
      <c r="AH146" s="97">
        <f>INDEX('[7]PLANILLA EDNA '!AA51:BI139,3,6)</f>
        <v>0</v>
      </c>
      <c r="AI146" s="97">
        <f>INDEX('[7]PLANILLA EDNA '!AB51:BJ139,3,6)</f>
        <v>0</v>
      </c>
      <c r="AJ146" s="97">
        <f>INDEX('[7]PLANILLA EDNA '!AC51:BK139,3,6)</f>
        <v>0</v>
      </c>
      <c r="AK146" s="97">
        <f>INDEX('[7]PLANILLA EDNA '!AD51:BL139,3,6)</f>
        <v>0</v>
      </c>
      <c r="AL146" s="97">
        <f>INDEX('[7]PLANILLA EDNA '!AE51:BM139,3,6)</f>
        <v>0</v>
      </c>
      <c r="AM146" s="97">
        <f>INDEX('[7]PLANILLA EDNA '!AF51:BN139,3,6)</f>
        <v>0</v>
      </c>
      <c r="AO146" s="116">
        <f t="shared" si="19"/>
        <v>0</v>
      </c>
      <c r="AP146" s="116">
        <f t="shared" si="19"/>
        <v>0</v>
      </c>
      <c r="AQ146" s="116">
        <f t="shared" si="19"/>
        <v>5</v>
      </c>
      <c r="AR146" s="116">
        <f t="shared" si="19"/>
        <v>0</v>
      </c>
      <c r="AS146" s="116">
        <f t="shared" si="19"/>
        <v>0</v>
      </c>
      <c r="AT146" s="116">
        <f t="shared" si="19"/>
        <v>0</v>
      </c>
      <c r="AU146" s="116">
        <f t="shared" si="19"/>
        <v>0</v>
      </c>
      <c r="AV146" s="116">
        <f t="shared" si="19"/>
        <v>0</v>
      </c>
      <c r="AW146" s="116">
        <f t="shared" si="19"/>
        <v>0</v>
      </c>
      <c r="AX146" s="116">
        <f t="shared" si="19"/>
        <v>0</v>
      </c>
      <c r="AY146" s="116">
        <f t="shared" si="19"/>
        <v>0</v>
      </c>
      <c r="AZ146" s="116">
        <f t="shared" si="19"/>
        <v>0</v>
      </c>
      <c r="BA146" s="116">
        <f t="shared" si="19"/>
        <v>17</v>
      </c>
      <c r="BB146" s="117">
        <f t="shared" si="17"/>
        <v>22</v>
      </c>
    </row>
    <row r="147" spans="1:54" ht="15.95" customHeight="1">
      <c r="B147" s="112">
        <v>139</v>
      </c>
      <c r="C147" s="133">
        <f>+'[7]PLANILLA EDNA '!C54</f>
        <v>1012441690</v>
      </c>
      <c r="D147" s="114" t="str">
        <f>IFERROR(VLOOKUP($C147,'[7]PLANILLA EDNA '!$C$9:$F$100,2,0),"NO BD")</f>
        <v xml:space="preserve">RUIZ TRIVINO CAMILO ANDRES </v>
      </c>
      <c r="E147" s="134" t="s">
        <v>592</v>
      </c>
      <c r="F147" s="114" t="str">
        <f>IFERROR(VLOOKUP($C147,[7]BD!$B$3:$O$213,3,0),"")</f>
        <v>OPERARIO DE MANTENIMIENTO</v>
      </c>
      <c r="G147" s="114" t="str">
        <f>IFERROR(VLOOKUP($C147,'[7]PLANILLA EDNA '!$C$9:$F$100,4,0),"NO BD")</f>
        <v>SEDE 1 - MANZANA LIEVANO - ALCALDÍA MAYOR</v>
      </c>
      <c r="H147" s="114" t="str">
        <f>IFERROR(VLOOKUP($C147,[7]BD!$B$3:$O$203,14,0),"")</f>
        <v>3025915374</v>
      </c>
      <c r="I147" s="114" t="str">
        <f>IFERROR(VLOOKUP($C147,[7]BD!$B$3:$O$203,4,0),"")</f>
        <v>18/10/2025</v>
      </c>
      <c r="J147" s="97" t="str">
        <f>INDEX('[7]PLANILLA EDNA '!C52:AK140,3,6)</f>
        <v>OK</v>
      </c>
      <c r="K147" s="97" t="str">
        <f>INDEX('[7]PLANILLA EDNA '!D52:AL140,3,6)</f>
        <v>D</v>
      </c>
      <c r="L147" s="97" t="str">
        <f>INDEX('[7]PLANILLA EDNA '!E52:AM140,3,6)</f>
        <v>D</v>
      </c>
      <c r="M147" s="97" t="str">
        <f>INDEX('[7]PLANILLA EDNA '!F52:AN140,3,6)</f>
        <v>OK</v>
      </c>
      <c r="N147" s="97" t="str">
        <f>INDEX('[7]PLANILLA EDNA '!G52:AO140,3,6)</f>
        <v>D</v>
      </c>
      <c r="O147" s="97" t="str">
        <f>INDEX('[7]PLANILLA EDNA '!H52:AP140,3,6)</f>
        <v>OK</v>
      </c>
      <c r="P147" s="97" t="str">
        <f>INDEX('[7]PLANILLA EDNA '!I52:AQ140,3,6)</f>
        <v>OK</v>
      </c>
      <c r="Q147" s="97" t="str">
        <f>INDEX('[7]PLANILLA EDNA '!J52:AR140,3,6)</f>
        <v>OK</v>
      </c>
      <c r="R147" s="97" t="str">
        <f>INDEX('[7]PLANILLA EDNA '!K52:AS140,3,6)</f>
        <v>OK</v>
      </c>
      <c r="S147" s="97" t="str">
        <f>INDEX('[7]PLANILLA EDNA '!L52:AT140,3,6)</f>
        <v>OK</v>
      </c>
      <c r="T147" s="97" t="str">
        <f>INDEX('[7]PLANILLA EDNA '!M52:AU140,3,6)</f>
        <v>OK</v>
      </c>
      <c r="U147" s="97" t="str">
        <f>INDEX('[7]PLANILLA EDNA '!N52:AV140,3,6)</f>
        <v>D</v>
      </c>
      <c r="V147" s="97" t="str">
        <f>INDEX('[7]PLANILLA EDNA '!O52:AW140,3,6)</f>
        <v>OK</v>
      </c>
      <c r="W147" s="97" t="str">
        <f>INDEX('[7]PLANILLA EDNA '!P52:AX140,3,6)</f>
        <v>OK</v>
      </c>
      <c r="X147" s="97" t="str">
        <f>INDEX('[7]PLANILLA EDNA '!Q52:AY140,3,6)</f>
        <v>OK</v>
      </c>
      <c r="Y147" s="97" t="str">
        <f>INDEX('[7]PLANILLA EDNA '!R52:AZ140,3,6)</f>
        <v>INC</v>
      </c>
      <c r="Z147" s="97" t="str">
        <f>INDEX('[7]PLANILLA EDNA '!S52:BA140,3,6)</f>
        <v>INC</v>
      </c>
      <c r="AA147" s="97" t="str">
        <f>INDEX('[7]PLANILLA EDNA '!T52:BB140,3,6)</f>
        <v>INC</v>
      </c>
      <c r="AB147" s="97" t="str">
        <f>INDEX('[7]PLANILLA EDNA '!U52:BC140,3,6)</f>
        <v>D</v>
      </c>
      <c r="AC147" s="97" t="str">
        <f>INDEX('[7]PLANILLA EDNA '!V52:BD140,3,6)</f>
        <v>INC</v>
      </c>
      <c r="AD147" s="97" t="str">
        <f>INDEX('[7]PLANILLA EDNA '!W52:BE140,3,6)</f>
        <v>INC</v>
      </c>
      <c r="AE147" s="97" t="str">
        <f>INDEX('[7]PLANILLA EDNA '!X52:BF140,3,6)</f>
        <v>INC</v>
      </c>
      <c r="AF147" s="97" t="str">
        <f>INDEX('[7]PLANILLA EDNA '!Y52:BG140,3,6)</f>
        <v>INC</v>
      </c>
      <c r="AG147" s="97">
        <f>INDEX('[7]PLANILLA EDNA '!Z52:BH140,3,6)</f>
        <v>0</v>
      </c>
      <c r="AH147" s="97">
        <f>INDEX('[7]PLANILLA EDNA '!AA52:BI140,3,6)</f>
        <v>0</v>
      </c>
      <c r="AI147" s="97">
        <f>INDEX('[7]PLANILLA EDNA '!AB52:BJ140,3,6)</f>
        <v>0</v>
      </c>
      <c r="AJ147" s="97">
        <f>INDEX('[7]PLANILLA EDNA '!AC52:BK140,3,6)</f>
        <v>0</v>
      </c>
      <c r="AK147" s="97">
        <f>INDEX('[7]PLANILLA EDNA '!AD52:BL140,3,6)</f>
        <v>0</v>
      </c>
      <c r="AL147" s="97">
        <f>INDEX('[7]PLANILLA EDNA '!AE52:BM140,3,6)</f>
        <v>0</v>
      </c>
      <c r="AM147" s="97">
        <f>INDEX('[7]PLANILLA EDNA '!AF52:BN140,3,6)</f>
        <v>0</v>
      </c>
      <c r="AO147" s="116">
        <f t="shared" si="19"/>
        <v>0</v>
      </c>
      <c r="AP147" s="116">
        <f t="shared" si="19"/>
        <v>0</v>
      </c>
      <c r="AQ147" s="116">
        <f t="shared" si="19"/>
        <v>5</v>
      </c>
      <c r="AR147" s="116">
        <f t="shared" si="19"/>
        <v>7</v>
      </c>
      <c r="AS147" s="116">
        <f t="shared" si="19"/>
        <v>0</v>
      </c>
      <c r="AT147" s="116">
        <f t="shared" si="19"/>
        <v>0</v>
      </c>
      <c r="AU147" s="116">
        <f t="shared" si="19"/>
        <v>0</v>
      </c>
      <c r="AV147" s="116">
        <f t="shared" si="19"/>
        <v>0</v>
      </c>
      <c r="AW147" s="116">
        <f t="shared" si="19"/>
        <v>0</v>
      </c>
      <c r="AX147" s="116">
        <f t="shared" si="19"/>
        <v>0</v>
      </c>
      <c r="AY147" s="116">
        <f t="shared" si="19"/>
        <v>0</v>
      </c>
      <c r="AZ147" s="116">
        <f t="shared" si="19"/>
        <v>0</v>
      </c>
      <c r="BA147" s="116">
        <f t="shared" si="19"/>
        <v>11</v>
      </c>
      <c r="BB147" s="117">
        <f t="shared" si="17"/>
        <v>16</v>
      </c>
    </row>
    <row r="148" spans="1:54" ht="15.95" customHeight="1">
      <c r="B148" s="112">
        <v>140</v>
      </c>
      <c r="C148" s="133">
        <f>+'[7]PLANILLA EDNA '!C55</f>
        <v>52951248</v>
      </c>
      <c r="D148" s="114" t="str">
        <f>IFERROR(VLOOKUP($C148,'[7]PLANILLA EDNA '!$C$9:$F$100,2,0),"NO BD")</f>
        <v xml:space="preserve">MELO PARRA EDITH JOHANNA </v>
      </c>
      <c r="E148" s="134" t="s">
        <v>592</v>
      </c>
      <c r="F148" s="114" t="str">
        <f>IFERROR(VLOOKUP($C148,[7]BD!$B$3:$O$213,3,0),"")</f>
        <v>OPERARIA DE ASEO Y CAFETERIA</v>
      </c>
      <c r="G148" s="114" t="str">
        <f>IFERROR(VLOOKUP($C148,'[7]PLANILLA EDNA '!$C$9:$F$100,4,0),"NO BD")</f>
        <v>SEDE 1 - MANZANA LIEVANO - ALCALDÍA MAYOR</v>
      </c>
      <c r="H148" s="114" t="str">
        <f>IFERROR(VLOOKUP($C148,[7]BD!$B$3:$O$203,14,0),"")</f>
        <v>3202280367</v>
      </c>
      <c r="I148" s="114" t="str">
        <f>IFERROR(VLOOKUP($C148,[7]BD!$B$3:$O$203,4,0),"")</f>
        <v>18/10/2025</v>
      </c>
      <c r="J148" s="97" t="str">
        <f>INDEX('[7]PLANILLA EDNA '!C53:AK141,3,6)</f>
        <v>OK</v>
      </c>
      <c r="K148" s="97" t="str">
        <f>INDEX('[7]PLANILLA EDNA '!D53:AL141,3,6)</f>
        <v>D</v>
      </c>
      <c r="L148" s="97" t="str">
        <f>INDEX('[7]PLANILLA EDNA '!E53:AM141,3,6)</f>
        <v>D</v>
      </c>
      <c r="M148" s="97" t="str">
        <f>INDEX('[7]PLANILLA EDNA '!F53:AN141,3,6)</f>
        <v>OK</v>
      </c>
      <c r="N148" s="97" t="str">
        <f>INDEX('[7]PLANILLA EDNA '!G53:AO141,3,6)</f>
        <v>D</v>
      </c>
      <c r="O148" s="97" t="str">
        <f>INDEX('[7]PLANILLA EDNA '!H53:AP141,3,6)</f>
        <v>OK</v>
      </c>
      <c r="P148" s="97" t="str">
        <f>INDEX('[7]PLANILLA EDNA '!I53:AQ141,3,6)</f>
        <v>OK</v>
      </c>
      <c r="Q148" s="97" t="str">
        <f>INDEX('[7]PLANILLA EDNA '!J53:AR141,3,6)</f>
        <v>OK</v>
      </c>
      <c r="R148" s="97" t="str">
        <f>INDEX('[7]PLANILLA EDNA '!K53:AS141,3,6)</f>
        <v>OK</v>
      </c>
      <c r="S148" s="97" t="str">
        <f>INDEX('[7]PLANILLA EDNA '!L53:AT141,3,6)</f>
        <v>OK</v>
      </c>
      <c r="T148" s="97" t="str">
        <f>INDEX('[7]PLANILLA EDNA '!M53:AU141,3,6)</f>
        <v>OK</v>
      </c>
      <c r="U148" s="97" t="str">
        <f>INDEX('[7]PLANILLA EDNA '!N53:AV141,3,6)</f>
        <v>D</v>
      </c>
      <c r="V148" s="97" t="str">
        <f>INDEX('[7]PLANILLA EDNA '!O53:AW141,3,6)</f>
        <v>OK</v>
      </c>
      <c r="W148" s="97" t="str">
        <f>INDEX('[7]PLANILLA EDNA '!P53:AX141,3,6)</f>
        <v>OK</v>
      </c>
      <c r="X148" s="97" t="str">
        <f>INDEX('[7]PLANILLA EDNA '!Q53:AY141,3,6)</f>
        <v>OK</v>
      </c>
      <c r="Y148" s="97" t="str">
        <f>INDEX('[7]PLANILLA EDNA '!R53:AZ141,3,6)</f>
        <v>OK</v>
      </c>
      <c r="Z148" s="97" t="str">
        <f>INDEX('[7]PLANILLA EDNA '!S53:BA141,3,6)</f>
        <v>OK</v>
      </c>
      <c r="AA148" s="97" t="str">
        <f>INDEX('[7]PLANILLA EDNA '!T53:BB141,3,6)</f>
        <v>OK</v>
      </c>
      <c r="AB148" s="97" t="str">
        <f>INDEX('[7]PLANILLA EDNA '!U53:BC141,3,6)</f>
        <v>D</v>
      </c>
      <c r="AC148" s="97" t="str">
        <f>INDEX('[7]PLANILLA EDNA '!V53:BD141,3,6)</f>
        <v>OK</v>
      </c>
      <c r="AD148" s="97" t="str">
        <f>INDEX('[7]PLANILLA EDNA '!W53:BE141,3,6)</f>
        <v>OK</v>
      </c>
      <c r="AE148" s="97" t="str">
        <f>INDEX('[7]PLANILLA EDNA '!X53:BF141,3,6)</f>
        <v>OK</v>
      </c>
      <c r="AF148" s="97">
        <f>INDEX('[7]PLANILLA EDNA '!Y53:BG141,3,6)</f>
        <v>0</v>
      </c>
      <c r="AG148" s="97">
        <f>INDEX('[7]PLANILLA EDNA '!Z53:BH141,3,6)</f>
        <v>0</v>
      </c>
      <c r="AH148" s="97">
        <f>INDEX('[7]PLANILLA EDNA '!AA53:BI141,3,6)</f>
        <v>0</v>
      </c>
      <c r="AI148" s="97">
        <f>INDEX('[7]PLANILLA EDNA '!AB53:BJ141,3,6)</f>
        <v>0</v>
      </c>
      <c r="AJ148" s="97">
        <f>INDEX('[7]PLANILLA EDNA '!AC53:BK141,3,6)</f>
        <v>0</v>
      </c>
      <c r="AK148" s="97">
        <f>INDEX('[7]PLANILLA EDNA '!AD53:BL141,3,6)</f>
        <v>0</v>
      </c>
      <c r="AL148" s="97">
        <f>INDEX('[7]PLANILLA EDNA '!AE53:BM141,3,6)</f>
        <v>0</v>
      </c>
      <c r="AM148" s="97">
        <f>INDEX('[7]PLANILLA EDNA '!AF53:BN141,3,6)</f>
        <v>0</v>
      </c>
      <c r="AO148" s="116">
        <f t="shared" si="19"/>
        <v>0</v>
      </c>
      <c r="AP148" s="116">
        <f t="shared" si="19"/>
        <v>0</v>
      </c>
      <c r="AQ148" s="116">
        <f t="shared" si="19"/>
        <v>5</v>
      </c>
      <c r="AR148" s="116">
        <f t="shared" si="19"/>
        <v>0</v>
      </c>
      <c r="AS148" s="116">
        <f t="shared" si="19"/>
        <v>0</v>
      </c>
      <c r="AT148" s="116">
        <f t="shared" si="19"/>
        <v>0</v>
      </c>
      <c r="AU148" s="116">
        <f t="shared" si="19"/>
        <v>0</v>
      </c>
      <c r="AV148" s="116">
        <f t="shared" si="19"/>
        <v>0</v>
      </c>
      <c r="AW148" s="116">
        <f t="shared" si="19"/>
        <v>0</v>
      </c>
      <c r="AX148" s="116">
        <f t="shared" si="19"/>
        <v>0</v>
      </c>
      <c r="AY148" s="116">
        <f t="shared" si="19"/>
        <v>0</v>
      </c>
      <c r="AZ148" s="116">
        <f t="shared" si="19"/>
        <v>0</v>
      </c>
      <c r="BA148" s="116">
        <f t="shared" si="19"/>
        <v>17</v>
      </c>
      <c r="BB148" s="117">
        <f t="shared" si="17"/>
        <v>22</v>
      </c>
    </row>
    <row r="149" spans="1:54" ht="32.1" customHeight="1">
      <c r="B149" s="112">
        <v>141</v>
      </c>
      <c r="C149" s="133">
        <f>+'[7]PLANILLA EDNA '!C56</f>
        <v>52746420</v>
      </c>
      <c r="D149" s="114" t="str">
        <f>IFERROR(VLOOKUP($C149,'[7]PLANILLA EDNA '!$C$9:$F$100,2,0),"NO BD")</f>
        <v xml:space="preserve">REY PARDO YUDI JASBLEIDI </v>
      </c>
      <c r="E149" s="134" t="s">
        <v>592</v>
      </c>
      <c r="F149" s="114" t="str">
        <f>IFERROR(VLOOKUP($C149,[7]BD!$B$3:$O$213,3,0),"")</f>
        <v>OPERARIA DE ASEO Y CAFETERIA</v>
      </c>
      <c r="G149" s="114" t="str">
        <f>IFERROR(VLOOKUP($C149,'[7]PLANILLA EDNA '!$C$9:$F$100,4,0),"NO BD")</f>
        <v xml:space="preserve">SEDE 2- DIRECCIÓN DISTRITAL DE ARCHIVO DE  BOGOTA </v>
      </c>
      <c r="H149" s="114" t="str">
        <f>IFERROR(VLOOKUP($C149,[7]BD!$B$3:$O$203,14,0),"")</f>
        <v>3103251895</v>
      </c>
      <c r="I149" s="114" t="str">
        <f>IFERROR(VLOOKUP($C149,[7]BD!$B$3:$O$203,4,0),"")</f>
        <v>18/10/2025</v>
      </c>
      <c r="J149" s="97" t="str">
        <f>INDEX('[7]PLANILLA EDNA '!C54:AK142,3,6)</f>
        <v>OK</v>
      </c>
      <c r="K149" s="97" t="str">
        <f>INDEX('[7]PLANILLA EDNA '!D54:AL142,3,6)</f>
        <v>D</v>
      </c>
      <c r="L149" s="97" t="str">
        <f>INDEX('[7]PLANILLA EDNA '!E54:AM142,3,6)</f>
        <v>D</v>
      </c>
      <c r="M149" s="97" t="str">
        <f>INDEX('[7]PLANILLA EDNA '!F54:AN142,3,6)</f>
        <v>OK</v>
      </c>
      <c r="N149" s="97" t="str">
        <f>INDEX('[7]PLANILLA EDNA '!G54:AO142,3,6)</f>
        <v>D</v>
      </c>
      <c r="O149" s="97" t="str">
        <f>INDEX('[7]PLANILLA EDNA '!H54:AP142,3,6)</f>
        <v>OK</v>
      </c>
      <c r="P149" s="97" t="str">
        <f>INDEX('[7]PLANILLA EDNA '!I54:AQ142,3,6)</f>
        <v>OK</v>
      </c>
      <c r="Q149" s="97" t="str">
        <f>INDEX('[7]PLANILLA EDNA '!J54:AR142,3,6)</f>
        <v>OK</v>
      </c>
      <c r="R149" s="97" t="str">
        <f>INDEX('[7]PLANILLA EDNA '!K54:AS142,3,6)</f>
        <v>OK</v>
      </c>
      <c r="S149" s="97" t="str">
        <f>INDEX('[7]PLANILLA EDNA '!L54:AT142,3,6)</f>
        <v>OK</v>
      </c>
      <c r="T149" s="97" t="str">
        <f>INDEX('[7]PLANILLA EDNA '!M54:AU142,3,6)</f>
        <v>OK</v>
      </c>
      <c r="U149" s="97" t="str">
        <f>INDEX('[7]PLANILLA EDNA '!N54:AV142,3,6)</f>
        <v>D</v>
      </c>
      <c r="V149" s="97" t="str">
        <f>INDEX('[7]PLANILLA EDNA '!O54:AW142,3,6)</f>
        <v>OK</v>
      </c>
      <c r="W149" s="97" t="str">
        <f>INDEX('[7]PLANILLA EDNA '!P54:AX142,3,6)</f>
        <v>OK</v>
      </c>
      <c r="X149" s="97" t="str">
        <f>INDEX('[7]PLANILLA EDNA '!Q54:AY142,3,6)</f>
        <v>OK</v>
      </c>
      <c r="Y149" s="97" t="str">
        <f>INDEX('[7]PLANILLA EDNA '!R54:AZ142,3,6)</f>
        <v>OK</v>
      </c>
      <c r="Z149" s="97" t="str">
        <f>INDEX('[7]PLANILLA EDNA '!S54:BA142,3,6)</f>
        <v>OK</v>
      </c>
      <c r="AA149" s="97" t="str">
        <f>INDEX('[7]PLANILLA EDNA '!T54:BB142,3,6)</f>
        <v>OK</v>
      </c>
      <c r="AB149" s="97" t="str">
        <f>INDEX('[7]PLANILLA EDNA '!U54:BC142,3,6)</f>
        <v>D</v>
      </c>
      <c r="AC149" s="97" t="str">
        <f>INDEX('[7]PLANILLA EDNA '!V54:BD142,3,6)</f>
        <v>OK</v>
      </c>
      <c r="AD149" s="97" t="str">
        <f>INDEX('[7]PLANILLA EDNA '!W54:BE142,3,6)</f>
        <v>OK</v>
      </c>
      <c r="AE149" s="97" t="str">
        <f>INDEX('[7]PLANILLA EDNA '!X54:BF142,3,6)</f>
        <v>OK</v>
      </c>
      <c r="AF149" s="97">
        <f>INDEX('[7]PLANILLA EDNA '!Y54:BG142,3,6)</f>
        <v>0</v>
      </c>
      <c r="AG149" s="97">
        <f>INDEX('[7]PLANILLA EDNA '!Z54:BH142,3,6)</f>
        <v>0</v>
      </c>
      <c r="AH149" s="97">
        <f>INDEX('[7]PLANILLA EDNA '!AA54:BI142,3,6)</f>
        <v>0</v>
      </c>
      <c r="AI149" s="97">
        <f>INDEX('[7]PLANILLA EDNA '!AB54:BJ142,3,6)</f>
        <v>0</v>
      </c>
      <c r="AJ149" s="97">
        <f>INDEX('[7]PLANILLA EDNA '!AC54:BK142,3,6)</f>
        <v>0</v>
      </c>
      <c r="AK149" s="97">
        <f>INDEX('[7]PLANILLA EDNA '!AD54:BL142,3,6)</f>
        <v>0</v>
      </c>
      <c r="AL149" s="97">
        <f>INDEX('[7]PLANILLA EDNA '!AE54:BM142,3,6)</f>
        <v>0</v>
      </c>
      <c r="AM149" s="97">
        <f>INDEX('[7]PLANILLA EDNA '!AF54:BN142,3,6)</f>
        <v>0</v>
      </c>
      <c r="AO149" s="116">
        <f t="shared" si="19"/>
        <v>0</v>
      </c>
      <c r="AP149" s="116">
        <f t="shared" si="19"/>
        <v>0</v>
      </c>
      <c r="AQ149" s="116">
        <f t="shared" si="19"/>
        <v>5</v>
      </c>
      <c r="AR149" s="116">
        <f t="shared" si="19"/>
        <v>0</v>
      </c>
      <c r="AS149" s="116">
        <f t="shared" si="19"/>
        <v>0</v>
      </c>
      <c r="AT149" s="116">
        <f t="shared" si="19"/>
        <v>0</v>
      </c>
      <c r="AU149" s="116">
        <f t="shared" si="19"/>
        <v>0</v>
      </c>
      <c r="AV149" s="116">
        <f t="shared" si="19"/>
        <v>0</v>
      </c>
      <c r="AW149" s="116">
        <f t="shared" si="19"/>
        <v>0</v>
      </c>
      <c r="AX149" s="116">
        <f t="shared" si="19"/>
        <v>0</v>
      </c>
      <c r="AY149" s="116">
        <f t="shared" si="19"/>
        <v>0</v>
      </c>
      <c r="AZ149" s="116">
        <f t="shared" si="19"/>
        <v>0</v>
      </c>
      <c r="BA149" s="116">
        <f t="shared" si="19"/>
        <v>17</v>
      </c>
      <c r="BB149" s="117">
        <f t="shared" si="17"/>
        <v>22</v>
      </c>
    </row>
    <row r="150" spans="1:54" ht="15.95" customHeight="1">
      <c r="B150" s="112">
        <v>142</v>
      </c>
      <c r="C150" s="133">
        <f>+'[7]PLANILLA EDNA '!C57</f>
        <v>1073668951</v>
      </c>
      <c r="D150" s="114" t="str">
        <f>IFERROR(VLOOKUP($C150,'[7]PLANILLA EDNA '!$C$9:$F$100,2,0),"NO BD")</f>
        <v xml:space="preserve">RIVAS SOTO BRIGTIH VICTORIA </v>
      </c>
      <c r="E150" s="134" t="s">
        <v>592</v>
      </c>
      <c r="F150" s="114" t="str">
        <f>IFERROR(VLOOKUP($C150,[7]BD!$B$3:$O$213,3,0),"")</f>
        <v>OPERARIA DE ASEO Y CAFETERIA</v>
      </c>
      <c r="G150" s="114" t="str">
        <f>IFERROR(VLOOKUP($C150,'[7]PLANILLA EDNA '!$C$9:$F$100,4,0),"NO BD")</f>
        <v>SEDE 1 - MANZANA LIEVANO - ALCALDÍA MAYOR</v>
      </c>
      <c r="H150" s="114" t="str">
        <f>IFERROR(VLOOKUP($C150,[7]BD!$B$3:$O$203,14,0),"")</f>
        <v>3208455267</v>
      </c>
      <c r="I150" s="114" t="str">
        <f>IFERROR(VLOOKUP($C150,[7]BD!$B$3:$O$203,4,0),"")</f>
        <v>18/10/2025</v>
      </c>
      <c r="J150" s="97" t="str">
        <f>INDEX('[7]PLANILLA EDNA '!C55:AK143,3,6)</f>
        <v>OK</v>
      </c>
      <c r="K150" s="97" t="str">
        <f>INDEX('[7]PLANILLA EDNA '!D55:AL143,3,6)</f>
        <v>D</v>
      </c>
      <c r="L150" s="97" t="str">
        <f>INDEX('[7]PLANILLA EDNA '!E55:AM143,3,6)</f>
        <v>D</v>
      </c>
      <c r="M150" s="97" t="str">
        <f>INDEX('[7]PLANILLA EDNA '!F55:AN143,3,6)</f>
        <v>OK</v>
      </c>
      <c r="N150" s="97" t="str">
        <f>INDEX('[7]PLANILLA EDNA '!G55:AO143,3,6)</f>
        <v>D</v>
      </c>
      <c r="O150" s="97" t="str">
        <f>INDEX('[7]PLANILLA EDNA '!H55:AP143,3,6)</f>
        <v>OK</v>
      </c>
      <c r="P150" s="97" t="str">
        <f>INDEX('[7]PLANILLA EDNA '!I55:AQ143,3,6)</f>
        <v>INC</v>
      </c>
      <c r="Q150" s="97" t="str">
        <f>INDEX('[7]PLANILLA EDNA '!J55:AR143,3,6)</f>
        <v>INC</v>
      </c>
      <c r="R150" s="97" t="str">
        <f>INDEX('[7]PLANILLA EDNA '!K55:AS143,3,6)</f>
        <v>OK</v>
      </c>
      <c r="S150" s="97" t="str">
        <f>INDEX('[7]PLANILLA EDNA '!L55:AT143,3,6)</f>
        <v>OK</v>
      </c>
      <c r="T150" s="97" t="str">
        <f>INDEX('[7]PLANILLA EDNA '!M55:AU143,3,6)</f>
        <v>OK</v>
      </c>
      <c r="U150" s="97" t="str">
        <f>INDEX('[7]PLANILLA EDNA '!N55:AV143,3,6)</f>
        <v>D</v>
      </c>
      <c r="V150" s="97" t="str">
        <f>INDEX('[7]PLANILLA EDNA '!O55:AW143,3,6)</f>
        <v>OK</v>
      </c>
      <c r="W150" s="97" t="str">
        <f>INDEX('[7]PLANILLA EDNA '!P55:AX143,3,6)</f>
        <v>OK</v>
      </c>
      <c r="X150" s="97" t="str">
        <f>INDEX('[7]PLANILLA EDNA '!Q55:AY143,3,6)</f>
        <v>OK</v>
      </c>
      <c r="Y150" s="97" t="str">
        <f>INDEX('[7]PLANILLA EDNA '!R55:AZ143,3,6)</f>
        <v>OK</v>
      </c>
      <c r="Z150" s="97" t="str">
        <f>INDEX('[7]PLANILLA EDNA '!S55:BA143,3,6)</f>
        <v>OK</v>
      </c>
      <c r="AA150" s="97" t="str">
        <f>INDEX('[7]PLANILLA EDNA '!T55:BB143,3,6)</f>
        <v>OK</v>
      </c>
      <c r="AB150" s="97" t="str">
        <f>INDEX('[7]PLANILLA EDNA '!U55:BC143,3,6)</f>
        <v>D</v>
      </c>
      <c r="AC150" s="97" t="str">
        <f>INDEX('[7]PLANILLA EDNA '!V55:BD143,3,6)</f>
        <v>OK</v>
      </c>
      <c r="AD150" s="97" t="str">
        <f>INDEX('[7]PLANILLA EDNA '!W55:BE143,3,6)</f>
        <v>OK</v>
      </c>
      <c r="AE150" s="97" t="str">
        <f>INDEX('[7]PLANILLA EDNA '!X55:BF143,3,6)</f>
        <v>OK</v>
      </c>
      <c r="AF150" s="97">
        <f>INDEX('[7]PLANILLA EDNA '!Y55:BG143,3,6)</f>
        <v>0</v>
      </c>
      <c r="AG150" s="97">
        <f>INDEX('[7]PLANILLA EDNA '!Z55:BH143,3,6)</f>
        <v>0</v>
      </c>
      <c r="AH150" s="97">
        <f>INDEX('[7]PLANILLA EDNA '!AA55:BI143,3,6)</f>
        <v>0</v>
      </c>
      <c r="AI150" s="97">
        <f>INDEX('[7]PLANILLA EDNA '!AB55:BJ143,3,6)</f>
        <v>0</v>
      </c>
      <c r="AJ150" s="97">
        <f>INDEX('[7]PLANILLA EDNA '!AC55:BK143,3,6)</f>
        <v>0</v>
      </c>
      <c r="AK150" s="97">
        <f>INDEX('[7]PLANILLA EDNA '!AD55:BL143,3,6)</f>
        <v>0</v>
      </c>
      <c r="AL150" s="97">
        <f>INDEX('[7]PLANILLA EDNA '!AE55:BM143,3,6)</f>
        <v>0</v>
      </c>
      <c r="AM150" s="97">
        <f>INDEX('[7]PLANILLA EDNA '!AF55:BN143,3,6)</f>
        <v>0</v>
      </c>
      <c r="AO150" s="116">
        <f t="shared" si="19"/>
        <v>0</v>
      </c>
      <c r="AP150" s="116">
        <f t="shared" si="19"/>
        <v>0</v>
      </c>
      <c r="AQ150" s="116">
        <f t="shared" si="19"/>
        <v>5</v>
      </c>
      <c r="AR150" s="116">
        <f t="shared" si="19"/>
        <v>2</v>
      </c>
      <c r="AS150" s="116">
        <f t="shared" si="19"/>
        <v>0</v>
      </c>
      <c r="AT150" s="116">
        <f t="shared" si="19"/>
        <v>0</v>
      </c>
      <c r="AU150" s="116">
        <f t="shared" si="19"/>
        <v>0</v>
      </c>
      <c r="AV150" s="116">
        <f t="shared" si="19"/>
        <v>0</v>
      </c>
      <c r="AW150" s="116">
        <f t="shared" si="19"/>
        <v>0</v>
      </c>
      <c r="AX150" s="116">
        <f t="shared" si="19"/>
        <v>0</v>
      </c>
      <c r="AY150" s="116">
        <f t="shared" si="19"/>
        <v>0</v>
      </c>
      <c r="AZ150" s="116">
        <f t="shared" si="19"/>
        <v>0</v>
      </c>
      <c r="BA150" s="116">
        <f t="shared" si="19"/>
        <v>15</v>
      </c>
      <c r="BB150" s="117">
        <f t="shared" si="17"/>
        <v>20</v>
      </c>
    </row>
    <row r="151" spans="1:54" ht="15.95" customHeight="1">
      <c r="B151" s="112">
        <v>143</v>
      </c>
      <c r="C151" s="133">
        <f>+'[7]PLANILLA EDNA '!C58</f>
        <v>35602050</v>
      </c>
      <c r="D151" s="114" t="str">
        <f>IFERROR(VLOOKUP($C151,'[7]PLANILLA EDNA '!$C$9:$F$100,2,0),"NO BD")</f>
        <v xml:space="preserve">ASPRILLA LONDONO ROSAURA  </v>
      </c>
      <c r="E151" s="134" t="s">
        <v>592</v>
      </c>
      <c r="F151" s="114" t="str">
        <f>IFERROR(VLOOKUP($C151,[7]BD!$B$3:$O$213,3,0),"")</f>
        <v>OPERARIA DE ASEO Y CAFETERIA</v>
      </c>
      <c r="G151" s="114" t="str">
        <f>IFERROR(VLOOKUP($C151,'[7]PLANILLA EDNA '!$C$9:$F$100,4,0),"NO BD")</f>
        <v>SEDE 1 - MANZANA LIEVANO - ALCALDÍA MAYOR</v>
      </c>
      <c r="H151" s="114" t="str">
        <f>IFERROR(VLOOKUP($C151,[7]BD!$B$3:$O$203,14,0),"")</f>
        <v>3045479405</v>
      </c>
      <c r="I151" s="114" t="str">
        <f>IFERROR(VLOOKUP($C151,[7]BD!$B$3:$O$203,4,0),"")</f>
        <v>21/10/2025</v>
      </c>
      <c r="J151" s="97" t="str">
        <f>INDEX('[7]PLANILLA EDNA '!C56:AK144,3,6)</f>
        <v>OK</v>
      </c>
      <c r="K151" s="97" t="str">
        <f>INDEX('[7]PLANILLA EDNA '!D56:AL144,3,6)</f>
        <v>D</v>
      </c>
      <c r="L151" s="97" t="str">
        <f>INDEX('[7]PLANILLA EDNA '!E56:AM144,3,6)</f>
        <v>D</v>
      </c>
      <c r="M151" s="97" t="str">
        <f>INDEX('[7]PLANILLA EDNA '!F56:AN144,3,6)</f>
        <v>OK</v>
      </c>
      <c r="N151" s="97" t="str">
        <f>INDEX('[7]PLANILLA EDNA '!G56:AO144,3,6)</f>
        <v>D</v>
      </c>
      <c r="O151" s="97" t="str">
        <f>INDEX('[7]PLANILLA EDNA '!H56:AP144,3,6)</f>
        <v>OK</v>
      </c>
      <c r="P151" s="97" t="str">
        <f>INDEX('[7]PLANILLA EDNA '!I56:AQ144,3,6)</f>
        <v>OK</v>
      </c>
      <c r="Q151" s="97" t="str">
        <f>INDEX('[7]PLANILLA EDNA '!J56:AR144,3,6)</f>
        <v>INC</v>
      </c>
      <c r="R151" s="97" t="str">
        <f>INDEX('[7]PLANILLA EDNA '!K56:AS144,3,6)</f>
        <v>INC</v>
      </c>
      <c r="S151" s="97" t="str">
        <f>INDEX('[7]PLANILLA EDNA '!L56:AT144,3,6)</f>
        <v>INC</v>
      </c>
      <c r="T151" s="97" t="str">
        <f>INDEX('[7]PLANILLA EDNA '!M56:AU144,3,6)</f>
        <v>OK</v>
      </c>
      <c r="U151" s="97" t="str">
        <f>INDEX('[7]PLANILLA EDNA '!N56:AV144,3,6)</f>
        <v>D</v>
      </c>
      <c r="V151" s="97" t="str">
        <f>INDEX('[7]PLANILLA EDNA '!O56:AW144,3,6)</f>
        <v>OK</v>
      </c>
      <c r="W151" s="97" t="str">
        <f>INDEX('[7]PLANILLA EDNA '!P56:AX144,3,6)</f>
        <v>OK</v>
      </c>
      <c r="X151" s="97" t="str">
        <f>INDEX('[7]PLANILLA EDNA '!Q56:AY144,3,6)</f>
        <v>OK</v>
      </c>
      <c r="Y151" s="97" t="str">
        <f>INDEX('[7]PLANILLA EDNA '!R56:AZ144,3,6)</f>
        <v>OK</v>
      </c>
      <c r="Z151" s="97" t="str">
        <f>INDEX('[7]PLANILLA EDNA '!S56:BA144,3,6)</f>
        <v>OK</v>
      </c>
      <c r="AA151" s="97" t="str">
        <f>INDEX('[7]PLANILLA EDNA '!T56:BB144,3,6)</f>
        <v>OK</v>
      </c>
      <c r="AB151" s="97" t="str">
        <f>INDEX('[7]PLANILLA EDNA '!U56:BC144,3,6)</f>
        <v>D</v>
      </c>
      <c r="AC151" s="97" t="str">
        <f>INDEX('[7]PLANILLA EDNA '!V56:BD144,3,6)</f>
        <v>OK</v>
      </c>
      <c r="AD151" s="97" t="str">
        <f>INDEX('[7]PLANILLA EDNA '!W56:BE144,3,6)</f>
        <v>OK</v>
      </c>
      <c r="AE151" s="97" t="str">
        <f>INDEX('[7]PLANILLA EDNA '!X56:BF144,3,6)</f>
        <v>OK</v>
      </c>
      <c r="AF151" s="97">
        <f>INDEX('[7]PLANILLA EDNA '!Y56:BG144,3,6)</f>
        <v>0</v>
      </c>
      <c r="AG151" s="97">
        <f>INDEX('[7]PLANILLA EDNA '!Z56:BH144,3,6)</f>
        <v>0</v>
      </c>
      <c r="AH151" s="97">
        <f>INDEX('[7]PLANILLA EDNA '!AA56:BI144,3,6)</f>
        <v>0</v>
      </c>
      <c r="AI151" s="97">
        <f>INDEX('[7]PLANILLA EDNA '!AB56:BJ144,3,6)</f>
        <v>0</v>
      </c>
      <c r="AJ151" s="97">
        <f>INDEX('[7]PLANILLA EDNA '!AC56:BK144,3,6)</f>
        <v>0</v>
      </c>
      <c r="AK151" s="97">
        <f>INDEX('[7]PLANILLA EDNA '!AD56:BL144,3,6)</f>
        <v>0</v>
      </c>
      <c r="AL151" s="97">
        <f>INDEX('[7]PLANILLA EDNA '!AE56:BM144,3,6)</f>
        <v>0</v>
      </c>
      <c r="AM151" s="97">
        <f>INDEX('[7]PLANILLA EDNA '!AF56:BN144,3,6)</f>
        <v>0</v>
      </c>
      <c r="AO151" s="116">
        <f t="shared" si="19"/>
        <v>0</v>
      </c>
      <c r="AP151" s="116">
        <f t="shared" si="19"/>
        <v>0</v>
      </c>
      <c r="AQ151" s="116">
        <f t="shared" si="19"/>
        <v>5</v>
      </c>
      <c r="AR151" s="116">
        <f t="shared" si="19"/>
        <v>3</v>
      </c>
      <c r="AS151" s="116">
        <f t="shared" si="19"/>
        <v>0</v>
      </c>
      <c r="AT151" s="116">
        <f t="shared" si="19"/>
        <v>0</v>
      </c>
      <c r="AU151" s="116">
        <f t="shared" si="19"/>
        <v>0</v>
      </c>
      <c r="AV151" s="116">
        <f t="shared" si="19"/>
        <v>0</v>
      </c>
      <c r="AW151" s="116">
        <f t="shared" si="19"/>
        <v>0</v>
      </c>
      <c r="AX151" s="116">
        <f t="shared" si="19"/>
        <v>0</v>
      </c>
      <c r="AY151" s="116">
        <f t="shared" si="19"/>
        <v>0</v>
      </c>
      <c r="AZ151" s="116">
        <f t="shared" si="19"/>
        <v>0</v>
      </c>
      <c r="BA151" s="116">
        <f t="shared" si="19"/>
        <v>14</v>
      </c>
      <c r="BB151" s="117">
        <f t="shared" si="17"/>
        <v>19</v>
      </c>
    </row>
    <row r="152" spans="1:54" ht="15.95" customHeight="1">
      <c r="B152" s="112">
        <v>144</v>
      </c>
      <c r="C152" s="133">
        <f>+'[7]PLANILLA EDNA '!C59</f>
        <v>1127668946</v>
      </c>
      <c r="D152" s="114" t="str">
        <f>IFERROR(VLOOKUP($C152,'[7]PLANILLA EDNA '!$C$9:$F$100,2,0),"NO BD")</f>
        <v xml:space="preserve">HERNANDEZ VERGARA MARILIN DEL VALLE </v>
      </c>
      <c r="E152" s="134" t="s">
        <v>592</v>
      </c>
      <c r="F152" s="114" t="str">
        <f>IFERROR(VLOOKUP($C152,[7]BD!$B$3:$O$213,3,0),"")</f>
        <v>OPERARIA DE ASEO Y CAFETERIA</v>
      </c>
      <c r="G152" s="114" t="str">
        <f>IFERROR(VLOOKUP($C152,'[7]PLANILLA EDNA '!$C$9:$F$100,4,0),"NO BD")</f>
        <v>SEDE 1 - MANZANA LIEVANO - ALCALDÍA MAYOR</v>
      </c>
      <c r="H152" s="114" t="str">
        <f>IFERROR(VLOOKUP($C152,[7]BD!$B$3:$O$203,14,0),"")</f>
        <v>3118538436</v>
      </c>
      <c r="I152" s="114" t="str">
        <f>IFERROR(VLOOKUP($C152,[7]BD!$B$3:$O$203,4,0),"")</f>
        <v>21/10/2025</v>
      </c>
      <c r="J152" s="97" t="str">
        <f>INDEX('[7]PLANILLA EDNA '!C57:AK145,3,6)</f>
        <v>INC</v>
      </c>
      <c r="K152" s="97" t="str">
        <f>INDEX('[7]PLANILLA EDNA '!D57:AL145,3,6)</f>
        <v>D</v>
      </c>
      <c r="L152" s="97" t="str">
        <f>INDEX('[7]PLANILLA EDNA '!E57:AM145,3,6)</f>
        <v>D</v>
      </c>
      <c r="M152" s="97" t="str">
        <f>INDEX('[7]PLANILLA EDNA '!F57:AN145,3,6)</f>
        <v>OK</v>
      </c>
      <c r="N152" s="97" t="str">
        <f>INDEX('[7]PLANILLA EDNA '!G57:AO145,3,6)</f>
        <v>D</v>
      </c>
      <c r="O152" s="97" t="str">
        <f>INDEX('[7]PLANILLA EDNA '!H57:AP145,3,6)</f>
        <v>OK</v>
      </c>
      <c r="P152" s="97" t="str">
        <f>INDEX('[7]PLANILLA EDNA '!I57:AQ145,3,6)</f>
        <v>OK</v>
      </c>
      <c r="Q152" s="97" t="str">
        <f>INDEX('[7]PLANILLA EDNA '!J57:AR145,3,6)</f>
        <v>OK</v>
      </c>
      <c r="R152" s="97" t="str">
        <f>INDEX('[7]PLANILLA EDNA '!K57:AS145,3,6)</f>
        <v>OK</v>
      </c>
      <c r="S152" s="97" t="str">
        <f>INDEX('[7]PLANILLA EDNA '!L57:AT145,3,6)</f>
        <v>OK</v>
      </c>
      <c r="T152" s="97" t="str">
        <f>INDEX('[7]PLANILLA EDNA '!M57:AU145,3,6)</f>
        <v>OK</v>
      </c>
      <c r="U152" s="97" t="str">
        <f>INDEX('[7]PLANILLA EDNA '!N57:AV145,3,6)</f>
        <v>D</v>
      </c>
      <c r="V152" s="97" t="str">
        <f>INDEX('[7]PLANILLA EDNA '!O57:AW145,3,6)</f>
        <v>OK</v>
      </c>
      <c r="W152" s="97" t="str">
        <f>INDEX('[7]PLANILLA EDNA '!P57:AX145,3,6)</f>
        <v>OK</v>
      </c>
      <c r="X152" s="97" t="str">
        <f>INDEX('[7]PLANILLA EDNA '!Q57:AY145,3,6)</f>
        <v>OK</v>
      </c>
      <c r="Y152" s="97" t="str">
        <f>INDEX('[7]PLANILLA EDNA '!R57:AZ145,3,6)</f>
        <v>OK</v>
      </c>
      <c r="Z152" s="97" t="str">
        <f>INDEX('[7]PLANILLA EDNA '!S57:BA145,3,6)</f>
        <v>OK</v>
      </c>
      <c r="AA152" s="97" t="str">
        <f>INDEX('[7]PLANILLA EDNA '!T57:BB145,3,6)</f>
        <v>OK</v>
      </c>
      <c r="AB152" s="97" t="str">
        <f>INDEX('[7]PLANILLA EDNA '!U57:BC145,3,6)</f>
        <v>D</v>
      </c>
      <c r="AC152" s="97" t="str">
        <f>INDEX('[7]PLANILLA EDNA '!V57:BD145,3,6)</f>
        <v>OK</v>
      </c>
      <c r="AD152" s="97" t="str">
        <f>INDEX('[7]PLANILLA EDNA '!W57:BE145,3,6)</f>
        <v>OK</v>
      </c>
      <c r="AE152" s="97" t="str">
        <f>INDEX('[7]PLANILLA EDNA '!X57:BF145,3,6)</f>
        <v>OK</v>
      </c>
      <c r="AF152" s="97">
        <f>INDEX('[7]PLANILLA EDNA '!Y57:BG145,3,6)</f>
        <v>0</v>
      </c>
      <c r="AG152" s="97">
        <f>INDEX('[7]PLANILLA EDNA '!Z57:BH145,3,6)</f>
        <v>0</v>
      </c>
      <c r="AH152" s="97">
        <f>INDEX('[7]PLANILLA EDNA '!AA57:BI145,3,6)</f>
        <v>0</v>
      </c>
      <c r="AI152" s="97">
        <f>INDEX('[7]PLANILLA EDNA '!AB57:BJ145,3,6)</f>
        <v>0</v>
      </c>
      <c r="AJ152" s="97">
        <f>INDEX('[7]PLANILLA EDNA '!AC57:BK145,3,6)</f>
        <v>0</v>
      </c>
      <c r="AK152" s="97">
        <f>INDEX('[7]PLANILLA EDNA '!AD57:BL145,3,6)</f>
        <v>0</v>
      </c>
      <c r="AL152" s="97">
        <f>INDEX('[7]PLANILLA EDNA '!AE57:BM145,3,6)</f>
        <v>0</v>
      </c>
      <c r="AM152" s="97">
        <f>INDEX('[7]PLANILLA EDNA '!AF57:BN145,3,6)</f>
        <v>0</v>
      </c>
      <c r="AO152" s="116">
        <f t="shared" si="19"/>
        <v>0</v>
      </c>
      <c r="AP152" s="116">
        <f t="shared" si="19"/>
        <v>0</v>
      </c>
      <c r="AQ152" s="116">
        <f t="shared" si="19"/>
        <v>5</v>
      </c>
      <c r="AR152" s="116">
        <f t="shared" si="19"/>
        <v>1</v>
      </c>
      <c r="AS152" s="116">
        <f t="shared" si="19"/>
        <v>0</v>
      </c>
      <c r="AT152" s="116">
        <f t="shared" si="19"/>
        <v>0</v>
      </c>
      <c r="AU152" s="116">
        <f t="shared" si="19"/>
        <v>0</v>
      </c>
      <c r="AV152" s="116">
        <f t="shared" si="19"/>
        <v>0</v>
      </c>
      <c r="AW152" s="116">
        <f t="shared" si="19"/>
        <v>0</v>
      </c>
      <c r="AX152" s="116">
        <f t="shared" si="19"/>
        <v>0</v>
      </c>
      <c r="AY152" s="116">
        <f t="shared" si="19"/>
        <v>0</v>
      </c>
      <c r="AZ152" s="116">
        <f t="shared" si="19"/>
        <v>0</v>
      </c>
      <c r="BA152" s="116">
        <f t="shared" si="19"/>
        <v>16</v>
      </c>
      <c r="BB152" s="117">
        <f t="shared" si="17"/>
        <v>21</v>
      </c>
    </row>
    <row r="153" spans="1:54" ht="32.1" customHeight="1">
      <c r="B153" s="112">
        <v>145</v>
      </c>
      <c r="C153" s="133">
        <f>+'[7]PLANILLA EDNA '!C60</f>
        <v>52990959</v>
      </c>
      <c r="D153" s="114" t="str">
        <f>IFERROR(VLOOKUP($C153,'[7]PLANILLA EDNA '!$C$9:$F$100,2,0),"NO BD")</f>
        <v xml:space="preserve">PRIETO BELTRAN MARIA EDIMELSA </v>
      </c>
      <c r="E153" s="134" t="s">
        <v>592</v>
      </c>
      <c r="F153" s="114" t="str">
        <f>IFERROR(VLOOKUP($C153,[7]BD!$B$3:$O$213,3,0),"")</f>
        <v>OPERARIA DE ASEO Y CAFETERIA</v>
      </c>
      <c r="G153" s="114" t="str">
        <f>IFERROR(VLOOKUP($C153,'[7]PLANILLA EDNA '!$C$9:$F$100,4,0),"NO BD")</f>
        <v>SEDE 1 - MANZANA LIEVANO - ALCALDÍA MAYOR</v>
      </c>
      <c r="H153" s="114" t="str">
        <f>IFERROR(VLOOKUP($C153,[7]BD!$B$3:$O$203,14,0),"")</f>
        <v>3004466553</v>
      </c>
      <c r="I153" s="114" t="str">
        <f>IFERROR(VLOOKUP($C153,[7]BD!$B$3:$O$203,4,0),"")</f>
        <v>21/10/2025</v>
      </c>
      <c r="J153" s="97" t="str">
        <f>INDEX('[7]PLANILLA EDNA '!C58:AK146,3,6)</f>
        <v>OK</v>
      </c>
      <c r="K153" s="97" t="str">
        <f>INDEX('[7]PLANILLA EDNA '!D58:AL146,3,6)</f>
        <v>D</v>
      </c>
      <c r="L153" s="97" t="str">
        <f>INDEX('[7]PLANILLA EDNA '!E58:AM146,3,6)</f>
        <v>D</v>
      </c>
      <c r="M153" s="97" t="str">
        <f>INDEX('[7]PLANILLA EDNA '!F58:AN146,3,6)</f>
        <v>OK</v>
      </c>
      <c r="N153" s="97" t="str">
        <f>INDEX('[7]PLANILLA EDNA '!G58:AO146,3,6)</f>
        <v>D</v>
      </c>
      <c r="O153" s="97" t="str">
        <f>INDEX('[7]PLANILLA EDNA '!H58:AP146,3,6)</f>
        <v>OK</v>
      </c>
      <c r="P153" s="97" t="str">
        <f>INDEX('[7]PLANILLA EDNA '!I58:AQ146,3,6)</f>
        <v>OK</v>
      </c>
      <c r="Q153" s="97" t="str">
        <f>INDEX('[7]PLANILLA EDNA '!J58:AR146,3,6)</f>
        <v>OK</v>
      </c>
      <c r="R153" s="97" t="str">
        <f>INDEX('[7]PLANILLA EDNA '!K58:AS146,3,6)</f>
        <v>OK</v>
      </c>
      <c r="S153" s="97" t="str">
        <f>INDEX('[7]PLANILLA EDNA '!L58:AT146,3,6)</f>
        <v>OK</v>
      </c>
      <c r="T153" s="97" t="str">
        <f>INDEX('[7]PLANILLA EDNA '!M58:AU146,3,6)</f>
        <v>OK</v>
      </c>
      <c r="U153" s="97" t="str">
        <f>INDEX('[7]PLANILLA EDNA '!N58:AV146,3,6)</f>
        <v>D</v>
      </c>
      <c r="V153" s="97" t="str">
        <f>INDEX('[7]PLANILLA EDNA '!O58:AW146,3,6)</f>
        <v>OK</v>
      </c>
      <c r="W153" s="97" t="str">
        <f>INDEX('[7]PLANILLA EDNA '!P58:AX146,3,6)</f>
        <v>OK</v>
      </c>
      <c r="X153" s="97" t="str">
        <f>INDEX('[7]PLANILLA EDNA '!Q58:AY146,3,6)</f>
        <v>OK</v>
      </c>
      <c r="Y153" s="97" t="str">
        <f>INDEX('[7]PLANILLA EDNA '!R58:AZ146,3,6)</f>
        <v>OK</v>
      </c>
      <c r="Z153" s="97" t="str">
        <f>INDEX('[7]PLANILLA EDNA '!S58:BA146,3,6)</f>
        <v>OK</v>
      </c>
      <c r="AA153" s="97" t="str">
        <f>INDEX('[7]PLANILLA EDNA '!T58:BB146,3,6)</f>
        <v>OK</v>
      </c>
      <c r="AB153" s="97" t="str">
        <f>INDEX('[7]PLANILLA EDNA '!U58:BC146,3,6)</f>
        <v>D</v>
      </c>
      <c r="AC153" s="97" t="str">
        <f>INDEX('[7]PLANILLA EDNA '!V58:BD146,3,6)</f>
        <v>OK</v>
      </c>
      <c r="AD153" s="97" t="str">
        <f>INDEX('[7]PLANILLA EDNA '!W58:BE146,3,6)</f>
        <v>OK</v>
      </c>
      <c r="AE153" s="97" t="str">
        <f>INDEX('[7]PLANILLA EDNA '!X58:BF146,3,6)</f>
        <v>OK</v>
      </c>
      <c r="AF153" s="97">
        <f>INDEX('[7]PLANILLA EDNA '!Y58:BG146,3,6)</f>
        <v>0</v>
      </c>
      <c r="AG153" s="97">
        <f>INDEX('[7]PLANILLA EDNA '!Z58:BH146,3,6)</f>
        <v>0</v>
      </c>
      <c r="AH153" s="97">
        <f>INDEX('[7]PLANILLA EDNA '!AA58:BI146,3,6)</f>
        <v>0</v>
      </c>
      <c r="AI153" s="97">
        <f>INDEX('[7]PLANILLA EDNA '!AB58:BJ146,3,6)</f>
        <v>0</v>
      </c>
      <c r="AJ153" s="97">
        <f>INDEX('[7]PLANILLA EDNA '!AC58:BK146,3,6)</f>
        <v>0</v>
      </c>
      <c r="AK153" s="97">
        <f>INDEX('[7]PLANILLA EDNA '!AD58:BL146,3,6)</f>
        <v>0</v>
      </c>
      <c r="AL153" s="97">
        <f>INDEX('[7]PLANILLA EDNA '!AE58:BM146,3,6)</f>
        <v>0</v>
      </c>
      <c r="AM153" s="97">
        <f>INDEX('[7]PLANILLA EDNA '!AF58:BN146,3,6)</f>
        <v>0</v>
      </c>
      <c r="AO153" s="116">
        <f t="shared" si="19"/>
        <v>0</v>
      </c>
      <c r="AP153" s="116">
        <f t="shared" si="19"/>
        <v>0</v>
      </c>
      <c r="AQ153" s="116">
        <f t="shared" si="19"/>
        <v>5</v>
      </c>
      <c r="AR153" s="116">
        <f t="shared" si="19"/>
        <v>0</v>
      </c>
      <c r="AS153" s="116">
        <f t="shared" si="19"/>
        <v>0</v>
      </c>
      <c r="AT153" s="116">
        <f t="shared" si="19"/>
        <v>0</v>
      </c>
      <c r="AU153" s="116">
        <f t="shared" si="19"/>
        <v>0</v>
      </c>
      <c r="AV153" s="116">
        <f t="shared" si="19"/>
        <v>0</v>
      </c>
      <c r="AW153" s="116">
        <f t="shared" si="19"/>
        <v>0</v>
      </c>
      <c r="AX153" s="116">
        <f t="shared" si="19"/>
        <v>0</v>
      </c>
      <c r="AY153" s="116">
        <f t="shared" si="19"/>
        <v>0</v>
      </c>
      <c r="AZ153" s="116">
        <f t="shared" si="19"/>
        <v>0</v>
      </c>
      <c r="BA153" s="116">
        <f t="shared" si="19"/>
        <v>17</v>
      </c>
      <c r="BB153" s="117">
        <f t="shared" si="17"/>
        <v>22</v>
      </c>
    </row>
    <row r="154" spans="1:54" ht="15.95" customHeight="1">
      <c r="B154" s="112">
        <v>146</v>
      </c>
      <c r="C154" s="133">
        <f>+'[7]PLANILLA EDNA '!C61</f>
        <v>52759800</v>
      </c>
      <c r="D154" s="114" t="str">
        <f>IFERROR(VLOOKUP($C154,'[7]PLANILLA EDNA '!$C$9:$F$100,2,0),"NO BD")</f>
        <v xml:space="preserve">CARDENAS SIERRA ANGELA VIVIANA </v>
      </c>
      <c r="E154" s="134" t="s">
        <v>592</v>
      </c>
      <c r="F154" s="114" t="str">
        <f>IFERROR(VLOOKUP($C154,[7]BD!$B$3:$O$213,3,0),"")</f>
        <v>OPERARIA DE ASEO Y CAFETERIA</v>
      </c>
      <c r="G154" s="114" t="str">
        <f>IFERROR(VLOOKUP($C154,'[7]PLANILLA EDNA '!$C$9:$F$100,4,0),"NO BD")</f>
        <v>SEDE 1 - MANZANA LIEVANO - ALCALDÍA MAYOR</v>
      </c>
      <c r="H154" s="114" t="str">
        <f>IFERROR(VLOOKUP($C154,[7]BD!$B$3:$O$203,14,0),"")</f>
        <v>3213794807</v>
      </c>
      <c r="I154" s="114" t="str">
        <f>IFERROR(VLOOKUP($C154,[7]BD!$B$3:$O$203,4,0),"")</f>
        <v>21/10/2025</v>
      </c>
      <c r="J154" s="97" t="str">
        <f>INDEX('[7]PLANILLA EDNA '!C59:AK147,3,6)</f>
        <v>OK</v>
      </c>
      <c r="K154" s="97" t="str">
        <f>INDEX('[7]PLANILLA EDNA '!D59:AL147,3,6)</f>
        <v>D</v>
      </c>
      <c r="L154" s="97" t="str">
        <f>INDEX('[7]PLANILLA EDNA '!E59:AM147,3,6)</f>
        <v>D</v>
      </c>
      <c r="M154" s="97" t="str">
        <f>INDEX('[7]PLANILLA EDNA '!F59:AN147,3,6)</f>
        <v>OK</v>
      </c>
      <c r="N154" s="97" t="str">
        <f>INDEX('[7]PLANILLA EDNA '!G59:AO147,3,6)</f>
        <v>D</v>
      </c>
      <c r="O154" s="97" t="str">
        <f>INDEX('[7]PLANILLA EDNA '!H59:AP147,3,6)</f>
        <v>OK</v>
      </c>
      <c r="P154" s="97" t="str">
        <f>INDEX('[7]PLANILLA EDNA '!I59:AQ147,3,6)</f>
        <v>OK</v>
      </c>
      <c r="Q154" s="97" t="str">
        <f>INDEX('[7]PLANILLA EDNA '!J59:AR147,3,6)</f>
        <v>OK</v>
      </c>
      <c r="R154" s="97" t="str">
        <f>INDEX('[7]PLANILLA EDNA '!K59:AS147,3,6)</f>
        <v>OK</v>
      </c>
      <c r="S154" s="97" t="str">
        <f>INDEX('[7]PLANILLA EDNA '!L59:AT147,3,6)</f>
        <v>OK</v>
      </c>
      <c r="T154" s="97" t="str">
        <f>INDEX('[7]PLANILLA EDNA '!M59:AU147,3,6)</f>
        <v>OK</v>
      </c>
      <c r="U154" s="97" t="str">
        <f>INDEX('[7]PLANILLA EDNA '!N59:AV147,3,6)</f>
        <v>D</v>
      </c>
      <c r="V154" s="97" t="str">
        <f>INDEX('[7]PLANILLA EDNA '!O59:AW147,3,6)</f>
        <v>OK</v>
      </c>
      <c r="W154" s="97" t="str">
        <f>INDEX('[7]PLANILLA EDNA '!P59:AX147,3,6)</f>
        <v>OK</v>
      </c>
      <c r="X154" s="97" t="str">
        <f>INDEX('[7]PLANILLA EDNA '!Q59:AY147,3,6)</f>
        <v>OK</v>
      </c>
      <c r="Y154" s="97" t="str">
        <f>INDEX('[7]PLANILLA EDNA '!R59:AZ147,3,6)</f>
        <v>OK</v>
      </c>
      <c r="Z154" s="97" t="str">
        <f>INDEX('[7]PLANILLA EDNA '!S59:BA147,3,6)</f>
        <v>OK</v>
      </c>
      <c r="AA154" s="97" t="str">
        <f>INDEX('[7]PLANILLA EDNA '!T59:BB147,3,6)</f>
        <v>OK</v>
      </c>
      <c r="AB154" s="97" t="str">
        <f>INDEX('[7]PLANILLA EDNA '!U59:BC147,3,6)</f>
        <v>D</v>
      </c>
      <c r="AC154" s="97" t="str">
        <f>INDEX('[7]PLANILLA EDNA '!V59:BD147,3,6)</f>
        <v>OK</v>
      </c>
      <c r="AD154" s="97" t="str">
        <f>INDEX('[7]PLANILLA EDNA '!W59:BE147,3,6)</f>
        <v>INC</v>
      </c>
      <c r="AE154" s="97" t="str">
        <f>INDEX('[7]PLANILLA EDNA '!X59:BF147,3,6)</f>
        <v>INC</v>
      </c>
      <c r="AF154" s="97" t="str">
        <f>INDEX('[7]PLANILLA EDNA '!Y59:BG147,3,6)</f>
        <v>INC</v>
      </c>
      <c r="AG154" s="97" t="str">
        <f>INDEX('[7]PLANILLA EDNA '!Z59:BH147,3,6)</f>
        <v>INC</v>
      </c>
      <c r="AH154" s="97" t="str">
        <f>INDEX('[7]PLANILLA EDNA '!AA59:BI147,3,6)</f>
        <v>INC</v>
      </c>
      <c r="AI154" s="97">
        <f>INDEX('[7]PLANILLA EDNA '!AB59:BJ147,3,6)</f>
        <v>0</v>
      </c>
      <c r="AJ154" s="97">
        <f>INDEX('[7]PLANILLA EDNA '!AC59:BK147,3,6)</f>
        <v>0</v>
      </c>
      <c r="AK154" s="97">
        <f>INDEX('[7]PLANILLA EDNA '!AD59:BL147,3,6)</f>
        <v>0</v>
      </c>
      <c r="AL154" s="97">
        <f>INDEX('[7]PLANILLA EDNA '!AE59:BM147,3,6)</f>
        <v>0</v>
      </c>
      <c r="AM154" s="97">
        <f>INDEX('[7]PLANILLA EDNA '!AF59:BN147,3,6)</f>
        <v>0</v>
      </c>
      <c r="AO154" s="116">
        <f t="shared" si="19"/>
        <v>0</v>
      </c>
      <c r="AP154" s="116">
        <f t="shared" si="19"/>
        <v>0</v>
      </c>
      <c r="AQ154" s="116">
        <f t="shared" si="19"/>
        <v>5</v>
      </c>
      <c r="AR154" s="116">
        <f t="shared" si="19"/>
        <v>5</v>
      </c>
      <c r="AS154" s="116">
        <f t="shared" si="19"/>
        <v>0</v>
      </c>
      <c r="AT154" s="116">
        <f t="shared" si="19"/>
        <v>0</v>
      </c>
      <c r="AU154" s="116">
        <f t="shared" si="19"/>
        <v>0</v>
      </c>
      <c r="AV154" s="116">
        <f t="shared" si="19"/>
        <v>0</v>
      </c>
      <c r="AW154" s="116">
        <f t="shared" si="19"/>
        <v>0</v>
      </c>
      <c r="AX154" s="116">
        <f t="shared" si="19"/>
        <v>0</v>
      </c>
      <c r="AY154" s="116">
        <f t="shared" si="19"/>
        <v>0</v>
      </c>
      <c r="AZ154" s="116">
        <f t="shared" si="19"/>
        <v>0</v>
      </c>
      <c r="BA154" s="116">
        <f t="shared" si="19"/>
        <v>15</v>
      </c>
      <c r="BB154" s="117">
        <f t="shared" si="17"/>
        <v>20</v>
      </c>
    </row>
    <row r="155" spans="1:54" ht="15.95" customHeight="1">
      <c r="B155" s="112">
        <v>147</v>
      </c>
      <c r="C155" s="133">
        <f>+'[7]PLANILLA EDNA '!C62</f>
        <v>63508533</v>
      </c>
      <c r="D155" s="114" t="str">
        <f>IFERROR(VLOOKUP($C155,'[7]PLANILLA EDNA '!$C$9:$F$100,2,0),"NO BD")</f>
        <v xml:space="preserve">CELIS SANDRA VICTORIA  </v>
      </c>
      <c r="E155" s="134" t="s">
        <v>592</v>
      </c>
      <c r="F155" s="114" t="str">
        <f>IFERROR(VLOOKUP($C155,[7]BD!$B$3:$O$213,3,0),"")</f>
        <v>OPERARIA DE ASEO Y CAFETERIA</v>
      </c>
      <c r="G155" s="114" t="str">
        <f>IFERROR(VLOOKUP($C155,'[7]PLANILLA EDNA '!$C$9:$F$100,4,0),"NO BD")</f>
        <v>SEDE 1 - MANZANA LIEVANO - ALCALDÍA MAYOR</v>
      </c>
      <c r="H155" s="114" t="str">
        <f>IFERROR(VLOOKUP($C155,[7]BD!$B$3:$O$203,14,0),"")</f>
        <v>3125313860</v>
      </c>
      <c r="I155" s="114" t="str">
        <f>IFERROR(VLOOKUP($C155,[7]BD!$B$3:$O$203,4,0),"")</f>
        <v>21/10/2025</v>
      </c>
      <c r="J155" s="97" t="str">
        <f>INDEX('[7]PLANILLA EDNA '!C60:AK148,3,6)</f>
        <v>OK</v>
      </c>
      <c r="K155" s="97" t="str">
        <f>INDEX('[7]PLANILLA EDNA '!D60:AL148,3,6)</f>
        <v>D</v>
      </c>
      <c r="L155" s="97" t="str">
        <f>INDEX('[7]PLANILLA EDNA '!E60:AM148,3,6)</f>
        <v>D</v>
      </c>
      <c r="M155" s="97" t="str">
        <f>INDEX('[7]PLANILLA EDNA '!F60:AN148,3,6)</f>
        <v>OK</v>
      </c>
      <c r="N155" s="97" t="str">
        <f>INDEX('[7]PLANILLA EDNA '!G60:AO148,3,6)</f>
        <v>D</v>
      </c>
      <c r="O155" s="97" t="str">
        <f>INDEX('[7]PLANILLA EDNA '!H60:AP148,3,6)</f>
        <v>OK</v>
      </c>
      <c r="P155" s="97" t="str">
        <f>INDEX('[7]PLANILLA EDNA '!I60:AQ148,3,6)</f>
        <v>OK</v>
      </c>
      <c r="Q155" s="97" t="str">
        <f>INDEX('[7]PLANILLA EDNA '!J60:AR148,3,6)</f>
        <v>OK</v>
      </c>
      <c r="R155" s="97" t="str">
        <f>INDEX('[7]PLANILLA EDNA '!K60:AS148,3,6)</f>
        <v>OK</v>
      </c>
      <c r="S155" s="97" t="str">
        <f>INDEX('[7]PLANILLA EDNA '!L60:AT148,3,6)</f>
        <v>OK</v>
      </c>
      <c r="T155" s="97" t="str">
        <f>INDEX('[7]PLANILLA EDNA '!M60:AU148,3,6)</f>
        <v>OK</v>
      </c>
      <c r="U155" s="97" t="str">
        <f>INDEX('[7]PLANILLA EDNA '!N60:AV148,3,6)</f>
        <v>D</v>
      </c>
      <c r="V155" s="97" t="str">
        <f>INDEX('[7]PLANILLA EDNA '!O60:AW148,3,6)</f>
        <v>OK</v>
      </c>
      <c r="W155" s="97" t="str">
        <f>INDEX('[7]PLANILLA EDNA '!P60:AX148,3,6)</f>
        <v>OK</v>
      </c>
      <c r="X155" s="97" t="str">
        <f>INDEX('[7]PLANILLA EDNA '!Q60:AY148,3,6)</f>
        <v>OK</v>
      </c>
      <c r="Y155" s="97" t="str">
        <f>INDEX('[7]PLANILLA EDNA '!R60:AZ148,3,6)</f>
        <v>OK</v>
      </c>
      <c r="Z155" s="97" t="str">
        <f>INDEX('[7]PLANILLA EDNA '!S60:BA148,3,6)</f>
        <v>OK</v>
      </c>
      <c r="AA155" s="97" t="str">
        <f>INDEX('[7]PLANILLA EDNA '!T60:BB148,3,6)</f>
        <v>OK</v>
      </c>
      <c r="AB155" s="97" t="str">
        <f>INDEX('[7]PLANILLA EDNA '!U60:BC148,3,6)</f>
        <v>D</v>
      </c>
      <c r="AC155" s="97" t="str">
        <f>INDEX('[7]PLANILLA EDNA '!V60:BD148,3,6)</f>
        <v>OK</v>
      </c>
      <c r="AD155" s="97" t="str">
        <f>INDEX('[7]PLANILLA EDNA '!W60:BE148,3,6)</f>
        <v>OK</v>
      </c>
      <c r="AE155" s="97" t="str">
        <f>INDEX('[7]PLANILLA EDNA '!X60:BF148,3,6)</f>
        <v>OK</v>
      </c>
      <c r="AF155" s="97">
        <f>INDEX('[7]PLANILLA EDNA '!Y60:BG148,3,6)</f>
        <v>0</v>
      </c>
      <c r="AG155" s="97">
        <f>INDEX('[7]PLANILLA EDNA '!Z60:BH148,3,6)</f>
        <v>0</v>
      </c>
      <c r="AH155" s="97">
        <f>INDEX('[7]PLANILLA EDNA '!AA60:BI148,3,6)</f>
        <v>0</v>
      </c>
      <c r="AI155" s="97">
        <f>INDEX('[7]PLANILLA EDNA '!AB60:BJ148,3,6)</f>
        <v>0</v>
      </c>
      <c r="AJ155" s="97">
        <f>INDEX('[7]PLANILLA EDNA '!AC60:BK148,3,6)</f>
        <v>0</v>
      </c>
      <c r="AK155" s="97">
        <f>INDEX('[7]PLANILLA EDNA '!AD60:BL148,3,6)</f>
        <v>0</v>
      </c>
      <c r="AL155" s="97">
        <f>INDEX('[7]PLANILLA EDNA '!AE60:BM148,3,6)</f>
        <v>0</v>
      </c>
      <c r="AM155" s="97">
        <f>INDEX('[7]PLANILLA EDNA '!AF60:BN148,3,6)</f>
        <v>0</v>
      </c>
      <c r="AO155" s="116">
        <f t="shared" si="19"/>
        <v>0</v>
      </c>
      <c r="AP155" s="116">
        <f t="shared" si="19"/>
        <v>0</v>
      </c>
      <c r="AQ155" s="116">
        <f t="shared" si="19"/>
        <v>5</v>
      </c>
      <c r="AR155" s="116">
        <f t="shared" si="19"/>
        <v>0</v>
      </c>
      <c r="AS155" s="116">
        <f t="shared" si="19"/>
        <v>0</v>
      </c>
      <c r="AT155" s="116">
        <f t="shared" si="19"/>
        <v>0</v>
      </c>
      <c r="AU155" s="116">
        <f t="shared" si="19"/>
        <v>0</v>
      </c>
      <c r="AV155" s="116">
        <f t="shared" si="19"/>
        <v>0</v>
      </c>
      <c r="AW155" s="116">
        <f t="shared" si="19"/>
        <v>0</v>
      </c>
      <c r="AX155" s="116">
        <f t="shared" si="19"/>
        <v>0</v>
      </c>
      <c r="AY155" s="116">
        <f t="shared" si="19"/>
        <v>0</v>
      </c>
      <c r="AZ155" s="116">
        <f t="shared" si="19"/>
        <v>0</v>
      </c>
      <c r="BA155" s="116">
        <f t="shared" si="19"/>
        <v>17</v>
      </c>
      <c r="BB155" s="117">
        <f t="shared" si="17"/>
        <v>22</v>
      </c>
    </row>
    <row r="156" spans="1:54" ht="15.95" customHeight="1">
      <c r="B156" s="112">
        <v>148</v>
      </c>
      <c r="C156" s="133">
        <f>+'[7]PLANILLA EDNA '!C63</f>
        <v>52431371</v>
      </c>
      <c r="D156" s="114" t="str">
        <f>IFERROR(VLOOKUP($C156,'[7]PLANILLA EDNA '!$C$9:$F$100,2,0),"NO BD")</f>
        <v xml:space="preserve">MARIN SANCHEZ LINA CLEMENCIA </v>
      </c>
      <c r="E156" s="134" t="s">
        <v>592</v>
      </c>
      <c r="F156" s="114" t="str">
        <f>IFERROR(VLOOKUP($C156,[7]BD!$B$3:$O$213,3,0),"")</f>
        <v>OPERARIA DE ASEO Y CAFETERIA</v>
      </c>
      <c r="G156" s="114" t="str">
        <f>IFERROR(VLOOKUP($C156,'[7]PLANILLA EDNA '!$C$9:$F$100,4,0),"NO BD")</f>
        <v>SEDE 1 - MANZANA LIEVANO - ALCALDÍA MAYOR</v>
      </c>
      <c r="H156" s="114" t="str">
        <f>IFERROR(VLOOKUP($C156,[7]BD!$B$3:$O$203,14,0),"")</f>
        <v>3133094459</v>
      </c>
      <c r="I156" s="114" t="str">
        <f>IFERROR(VLOOKUP($C156,[7]BD!$B$3:$O$203,4,0),"")</f>
        <v>22/10/2025</v>
      </c>
      <c r="J156" s="97" t="str">
        <f>INDEX('[7]PLANILLA EDNA '!C61:AK149,3,6)</f>
        <v>OK</v>
      </c>
      <c r="K156" s="97" t="str">
        <f>INDEX('[7]PLANILLA EDNA '!D61:AL149,3,6)</f>
        <v>D</v>
      </c>
      <c r="L156" s="97" t="str">
        <f>INDEX('[7]PLANILLA EDNA '!E61:AM149,3,6)</f>
        <v>D</v>
      </c>
      <c r="M156" s="97" t="str">
        <f>INDEX('[7]PLANILLA EDNA '!F61:AN149,3,6)</f>
        <v>OK</v>
      </c>
      <c r="N156" s="97" t="str">
        <f>INDEX('[7]PLANILLA EDNA '!G61:AO149,3,6)</f>
        <v>D</v>
      </c>
      <c r="O156" s="97" t="str">
        <f>INDEX('[7]PLANILLA EDNA '!H61:AP149,3,6)</f>
        <v>OK</v>
      </c>
      <c r="P156" s="97" t="str">
        <f>INDEX('[7]PLANILLA EDNA '!I61:AQ149,3,6)</f>
        <v>OK</v>
      </c>
      <c r="Q156" s="97" t="str">
        <f>INDEX('[7]PLANILLA EDNA '!J61:AR149,3,6)</f>
        <v>OK</v>
      </c>
      <c r="R156" s="97" t="str">
        <f>INDEX('[7]PLANILLA EDNA '!K61:AS149,3,6)</f>
        <v>OK</v>
      </c>
      <c r="S156" s="97" t="str">
        <f>INDEX('[7]PLANILLA EDNA '!L61:AT149,3,6)</f>
        <v>OK</v>
      </c>
      <c r="T156" s="97" t="str">
        <f>INDEX('[7]PLANILLA EDNA '!M61:AU149,3,6)</f>
        <v>OK</v>
      </c>
      <c r="U156" s="97" t="str">
        <f>INDEX('[7]PLANILLA EDNA '!N61:AV149,3,6)</f>
        <v>D</v>
      </c>
      <c r="V156" s="97" t="str">
        <f>INDEX('[7]PLANILLA EDNA '!O61:AW149,3,6)</f>
        <v>OK</v>
      </c>
      <c r="W156" s="97" t="str">
        <f>INDEX('[7]PLANILLA EDNA '!P61:AX149,3,6)</f>
        <v>OK</v>
      </c>
      <c r="X156" s="97" t="str">
        <f>INDEX('[7]PLANILLA EDNA '!Q61:AY149,3,6)</f>
        <v>OK</v>
      </c>
      <c r="Y156" s="97" t="str">
        <f>INDEX('[7]PLANILLA EDNA '!R61:AZ149,3,6)</f>
        <v>OK</v>
      </c>
      <c r="Z156" s="97" t="str">
        <f>INDEX('[7]PLANILLA EDNA '!S61:BA149,3,6)</f>
        <v>OK</v>
      </c>
      <c r="AA156" s="97" t="str">
        <f>INDEX('[7]PLANILLA EDNA '!T61:BB149,3,6)</f>
        <v>OK</v>
      </c>
      <c r="AB156" s="97" t="str">
        <f>INDEX('[7]PLANILLA EDNA '!U61:BC149,3,6)</f>
        <v>D</v>
      </c>
      <c r="AC156" s="97" t="str">
        <f>INDEX('[7]PLANILLA EDNA '!V61:BD149,3,6)</f>
        <v>OK</v>
      </c>
      <c r="AD156" s="97" t="str">
        <f>INDEX('[7]PLANILLA EDNA '!W61:BE149,3,6)</f>
        <v>OK</v>
      </c>
      <c r="AE156" s="97" t="str">
        <f>INDEX('[7]PLANILLA EDNA '!X61:BF149,3,6)</f>
        <v>OK</v>
      </c>
      <c r="AF156" s="97">
        <f>INDEX('[7]PLANILLA EDNA '!Y61:BG149,3,6)</f>
        <v>0</v>
      </c>
      <c r="AG156" s="97">
        <f>INDEX('[7]PLANILLA EDNA '!Z61:BH149,3,6)</f>
        <v>0</v>
      </c>
      <c r="AH156" s="97">
        <f>INDEX('[7]PLANILLA EDNA '!AA61:BI149,3,6)</f>
        <v>0</v>
      </c>
      <c r="AI156" s="97">
        <f>INDEX('[7]PLANILLA EDNA '!AB61:BJ149,3,6)</f>
        <v>0</v>
      </c>
      <c r="AJ156" s="97">
        <f>INDEX('[7]PLANILLA EDNA '!AC61:BK149,3,6)</f>
        <v>0</v>
      </c>
      <c r="AK156" s="97">
        <f>INDEX('[7]PLANILLA EDNA '!AD61:BL149,3,6)</f>
        <v>0</v>
      </c>
      <c r="AL156" s="97">
        <f>INDEX('[7]PLANILLA EDNA '!AE61:BM149,3,6)</f>
        <v>0</v>
      </c>
      <c r="AM156" s="97">
        <f>INDEX('[7]PLANILLA EDNA '!AF61:BN149,3,6)</f>
        <v>0</v>
      </c>
      <c r="AO156" s="116">
        <f t="shared" si="19"/>
        <v>0</v>
      </c>
      <c r="AP156" s="116">
        <f t="shared" si="19"/>
        <v>0</v>
      </c>
      <c r="AQ156" s="116">
        <f t="shared" si="19"/>
        <v>5</v>
      </c>
      <c r="AR156" s="116">
        <f t="shared" si="19"/>
        <v>0</v>
      </c>
      <c r="AS156" s="116">
        <f t="shared" si="19"/>
        <v>0</v>
      </c>
      <c r="AT156" s="116">
        <f t="shared" si="19"/>
        <v>0</v>
      </c>
      <c r="AU156" s="116">
        <f t="shared" si="19"/>
        <v>0</v>
      </c>
      <c r="AV156" s="116">
        <f t="shared" si="19"/>
        <v>0</v>
      </c>
      <c r="AW156" s="116">
        <f t="shared" si="19"/>
        <v>0</v>
      </c>
      <c r="AX156" s="116">
        <f t="shared" si="19"/>
        <v>0</v>
      </c>
      <c r="AY156" s="116">
        <f t="shared" si="19"/>
        <v>0</v>
      </c>
      <c r="AZ156" s="116">
        <f t="shared" si="19"/>
        <v>0</v>
      </c>
      <c r="BA156" s="116">
        <f t="shared" si="19"/>
        <v>17</v>
      </c>
      <c r="BB156" s="117">
        <f t="shared" si="17"/>
        <v>22</v>
      </c>
    </row>
    <row r="157" spans="1:54" ht="15.95" customHeight="1">
      <c r="B157" s="112">
        <v>149</v>
      </c>
      <c r="C157" s="133">
        <f>+'[7]PLANILLA EDNA '!C64</f>
        <v>1024487831</v>
      </c>
      <c r="D157" s="114" t="str">
        <f>IFERROR(VLOOKUP($C157,'[7]PLANILLA EDNA '!$C$9:$F$100,2,0),"NO BD")</f>
        <v xml:space="preserve">RODRIGUEZ DELGADO DIEGO ALEXANDER </v>
      </c>
      <c r="E157" s="134" t="s">
        <v>592</v>
      </c>
      <c r="F157" s="114" t="str">
        <f>IFERROR(VLOOKUP($C157,[7]BD!$B$3:$O$213,3,0),"")</f>
        <v>OPERARIO DE MANTENIMIENTO</v>
      </c>
      <c r="G157" s="114" t="str">
        <f>IFERROR(VLOOKUP($C157,'[7]PLANILLA EDNA '!$C$9:$F$100,4,0),"NO BD")</f>
        <v xml:space="preserve">SEDE 2- DIRECCIÓN DISTRITAL DE ARCHIVO DE  BOGOTA </v>
      </c>
      <c r="H157" s="114" t="str">
        <f>IFERROR(VLOOKUP($C157,[7]BD!$B$3:$O$203,14,0),"")</f>
        <v>3138079922</v>
      </c>
      <c r="I157" s="114" t="str">
        <f>IFERROR(VLOOKUP($C157,[7]BD!$B$3:$O$203,4,0),"")</f>
        <v>22/10/2025</v>
      </c>
      <c r="J157" s="97" t="str">
        <f>INDEX('[7]PLANILLA EDNA '!C62:AK150,3,6)</f>
        <v>OK</v>
      </c>
      <c r="K157" s="97" t="str">
        <f>INDEX('[7]PLANILLA EDNA '!D62:AL150,3,6)</f>
        <v>D</v>
      </c>
      <c r="L157" s="97" t="str">
        <f>INDEX('[7]PLANILLA EDNA '!E62:AM150,3,6)</f>
        <v>D</v>
      </c>
      <c r="M157" s="97" t="str">
        <f>INDEX('[7]PLANILLA EDNA '!F62:AN150,3,6)</f>
        <v>OK</v>
      </c>
      <c r="N157" s="97" t="str">
        <f>INDEX('[7]PLANILLA EDNA '!G62:AO150,3,6)</f>
        <v>D</v>
      </c>
      <c r="O157" s="97" t="str">
        <f>INDEX('[7]PLANILLA EDNA '!H62:AP150,3,6)</f>
        <v>OK</v>
      </c>
      <c r="P157" s="97" t="str">
        <f>INDEX('[7]PLANILLA EDNA '!I62:AQ150,3,6)</f>
        <v>OK</v>
      </c>
      <c r="Q157" s="97" t="str">
        <f>INDEX('[7]PLANILLA EDNA '!J62:AR150,3,6)</f>
        <v>OK</v>
      </c>
      <c r="R157" s="97" t="str">
        <f>INDEX('[7]PLANILLA EDNA '!K62:AS150,3,6)</f>
        <v>OK</v>
      </c>
      <c r="S157" s="97" t="str">
        <f>INDEX('[7]PLANILLA EDNA '!L62:AT150,3,6)</f>
        <v>OK</v>
      </c>
      <c r="T157" s="97" t="str">
        <f>INDEX('[7]PLANILLA EDNA '!M62:AU150,3,6)</f>
        <v>OK</v>
      </c>
      <c r="U157" s="97" t="str">
        <f>INDEX('[7]PLANILLA EDNA '!N62:AV150,3,6)</f>
        <v>D</v>
      </c>
      <c r="V157" s="97" t="str">
        <f>INDEX('[7]PLANILLA EDNA '!O62:AW150,3,6)</f>
        <v>OK</v>
      </c>
      <c r="W157" s="97" t="str">
        <f>INDEX('[7]PLANILLA EDNA '!P62:AX150,3,6)</f>
        <v>OK</v>
      </c>
      <c r="X157" s="97" t="str">
        <f>INDEX('[7]PLANILLA EDNA '!Q62:AY150,3,6)</f>
        <v>OK</v>
      </c>
      <c r="Y157" s="97" t="str">
        <f>INDEX('[7]PLANILLA EDNA '!R62:AZ150,3,6)</f>
        <v>OK</v>
      </c>
      <c r="Z157" s="97" t="str">
        <f>INDEX('[7]PLANILLA EDNA '!S62:BA150,3,6)</f>
        <v>OK</v>
      </c>
      <c r="AA157" s="97" t="str">
        <f>INDEX('[7]PLANILLA EDNA '!T62:BB150,3,6)</f>
        <v>OK</v>
      </c>
      <c r="AB157" s="97" t="str">
        <f>INDEX('[7]PLANILLA EDNA '!U62:BC150,3,6)</f>
        <v>D</v>
      </c>
      <c r="AC157" s="97" t="str">
        <f>INDEX('[7]PLANILLA EDNA '!V62:BD150,3,6)</f>
        <v>OK</v>
      </c>
      <c r="AD157" s="97" t="str">
        <f>INDEX('[7]PLANILLA EDNA '!W62:BE150,3,6)</f>
        <v>OK</v>
      </c>
      <c r="AE157" s="97" t="str">
        <f>INDEX('[7]PLANILLA EDNA '!X62:BF150,3,6)</f>
        <v>OK</v>
      </c>
      <c r="AF157" s="97">
        <f>INDEX('[7]PLANILLA EDNA '!Y62:BG150,3,6)</f>
        <v>0</v>
      </c>
      <c r="AG157" s="97">
        <f>INDEX('[7]PLANILLA EDNA '!Z62:BH150,3,6)</f>
        <v>0</v>
      </c>
      <c r="AH157" s="97">
        <f>INDEX('[7]PLANILLA EDNA '!AA62:BI150,3,6)</f>
        <v>0</v>
      </c>
      <c r="AI157" s="97">
        <f>INDEX('[7]PLANILLA EDNA '!AB62:BJ150,3,6)</f>
        <v>0</v>
      </c>
      <c r="AJ157" s="97">
        <f>INDEX('[7]PLANILLA EDNA '!AC62:BK150,3,6)</f>
        <v>0</v>
      </c>
      <c r="AK157" s="97">
        <f>INDEX('[7]PLANILLA EDNA '!AD62:BL150,3,6)</f>
        <v>0</v>
      </c>
      <c r="AL157" s="97">
        <f>INDEX('[7]PLANILLA EDNA '!AE62:BM150,3,6)</f>
        <v>0</v>
      </c>
      <c r="AM157" s="97">
        <f>INDEX('[7]PLANILLA EDNA '!AF62:BN150,3,6)</f>
        <v>0</v>
      </c>
      <c r="AO157" s="116">
        <f t="shared" si="19"/>
        <v>0</v>
      </c>
      <c r="AP157" s="116">
        <f t="shared" si="19"/>
        <v>0</v>
      </c>
      <c r="AQ157" s="116">
        <f t="shared" si="19"/>
        <v>5</v>
      </c>
      <c r="AR157" s="116">
        <f t="shared" si="19"/>
        <v>0</v>
      </c>
      <c r="AS157" s="116">
        <f t="shared" si="19"/>
        <v>0</v>
      </c>
      <c r="AT157" s="116">
        <f t="shared" si="19"/>
        <v>0</v>
      </c>
      <c r="AU157" s="116">
        <f t="shared" si="19"/>
        <v>0</v>
      </c>
      <c r="AV157" s="116">
        <f t="shared" si="19"/>
        <v>0</v>
      </c>
      <c r="AW157" s="116">
        <f t="shared" si="19"/>
        <v>0</v>
      </c>
      <c r="AX157" s="116">
        <f t="shared" si="19"/>
        <v>0</v>
      </c>
      <c r="AY157" s="116">
        <f t="shared" si="19"/>
        <v>0</v>
      </c>
      <c r="AZ157" s="116">
        <f t="shared" si="19"/>
        <v>0</v>
      </c>
      <c r="BA157" s="116">
        <f t="shared" si="19"/>
        <v>17</v>
      </c>
      <c r="BB157" s="117">
        <f t="shared" si="17"/>
        <v>22</v>
      </c>
    </row>
    <row r="158" spans="1:54" ht="15.95" customHeight="1">
      <c r="A158" s="119" t="s">
        <v>583</v>
      </c>
      <c r="B158" s="112">
        <v>150</v>
      </c>
      <c r="C158" s="133">
        <f>+'[7]PLANILLA EDNA '!C65</f>
        <v>80443614</v>
      </c>
      <c r="D158" s="114" t="str">
        <f>IFERROR(VLOOKUP($C158,'[7]PLANILLA EDNA '!$C$9:$F$100,2,0),"NO BD")</f>
        <v xml:space="preserve">LARA TELLEZ YESID  </v>
      </c>
      <c r="E158" s="134" t="s">
        <v>592</v>
      </c>
      <c r="F158" s="114" t="str">
        <f>IFERROR(VLOOKUP($C158,[7]BD!$B$3:$O$213,3,0),"")</f>
        <v>OPERARIO DE MANTENIMIENTO</v>
      </c>
      <c r="G158" s="114" t="str">
        <f>IFERROR(VLOOKUP($C158,'[7]PLANILLA EDNA '!$C$9:$F$100,4,0),"NO BD")</f>
        <v>SEDE 1 - MANZANA LIEVANO - ALCALDÍA MAYOR</v>
      </c>
      <c r="H158" s="114" t="str">
        <f>IFERROR(VLOOKUP($C158,[7]BD!$B$3:$O$203,14,0),"")</f>
        <v>3042009163</v>
      </c>
      <c r="I158" s="114" t="str">
        <f>IFERROR(VLOOKUP($C158,[7]BD!$B$3:$O$203,4,0),"")</f>
        <v>22/10/2025</v>
      </c>
      <c r="J158" s="97" t="str">
        <f>INDEX('[7]PLANILLA EDNA '!C63:AK151,3,6)</f>
        <v>OK</v>
      </c>
      <c r="K158" s="97" t="str">
        <f>INDEX('[7]PLANILLA EDNA '!D63:AL151,3,6)</f>
        <v>D</v>
      </c>
      <c r="L158" s="97" t="str">
        <f>INDEX('[7]PLANILLA EDNA '!E63:AM151,3,6)</f>
        <v>D</v>
      </c>
      <c r="M158" s="97" t="str">
        <f>INDEX('[7]PLANILLA EDNA '!F63:AN151,3,6)</f>
        <v>OK</v>
      </c>
      <c r="N158" s="97" t="str">
        <f>INDEX('[7]PLANILLA EDNA '!G63:AO151,3,6)</f>
        <v>D</v>
      </c>
      <c r="O158" s="97" t="str">
        <f>INDEX('[7]PLANILLA EDNA '!H63:AP151,3,6)</f>
        <v>OK</v>
      </c>
      <c r="P158" s="97" t="str">
        <f>INDEX('[7]PLANILLA EDNA '!I63:AQ151,3,6)</f>
        <v>OK</v>
      </c>
      <c r="Q158" s="97" t="str">
        <f>INDEX('[7]PLANILLA EDNA '!J63:AR151,3,6)</f>
        <v>OK</v>
      </c>
      <c r="R158" s="97" t="str">
        <f>INDEX('[7]PLANILLA EDNA '!K63:AS151,3,6)</f>
        <v>OK</v>
      </c>
      <c r="S158" s="97" t="str">
        <f>INDEX('[7]PLANILLA EDNA '!L63:AT151,3,6)</f>
        <v>OK</v>
      </c>
      <c r="T158" s="97" t="str">
        <f>INDEX('[7]PLANILLA EDNA '!M63:AU151,3,6)</f>
        <v>OK</v>
      </c>
      <c r="U158" s="97" t="str">
        <f>INDEX('[7]PLANILLA EDNA '!N63:AV151,3,6)</f>
        <v>D</v>
      </c>
      <c r="V158" s="97" t="str">
        <f>INDEX('[7]PLANILLA EDNA '!O63:AW151,3,6)</f>
        <v>OK</v>
      </c>
      <c r="W158" s="97" t="str">
        <f>INDEX('[7]PLANILLA EDNA '!P63:AX151,3,6)</f>
        <v>OK</v>
      </c>
      <c r="X158" s="97" t="str">
        <f>INDEX('[7]PLANILLA EDNA '!Q63:AY151,3,6)</f>
        <v>OK</v>
      </c>
      <c r="Y158" s="97" t="str">
        <f>INDEX('[7]PLANILLA EDNA '!R63:AZ151,3,6)</f>
        <v>OK</v>
      </c>
      <c r="Z158" s="97" t="str">
        <f>INDEX('[7]PLANILLA EDNA '!S63:BA151,3,6)</f>
        <v>OK</v>
      </c>
      <c r="AA158" s="97" t="str">
        <f>INDEX('[7]PLANILLA EDNA '!T63:BB151,3,6)</f>
        <v>TS</v>
      </c>
      <c r="AB158" s="97" t="str">
        <f>INDEX('[7]PLANILLA EDNA '!U63:BC151,3,6)</f>
        <v>TS</v>
      </c>
      <c r="AC158" s="97" t="str">
        <f>INDEX('[7]PLANILLA EDNA '!V63:BD151,3,6)</f>
        <v>TS</v>
      </c>
      <c r="AD158" s="97" t="str">
        <f>INDEX('[7]PLANILLA EDNA '!W63:BE151,3,6)</f>
        <v>TS</v>
      </c>
      <c r="AE158" s="97" t="str">
        <f>INDEX('[7]PLANILLA EDNA '!X63:BF151,3,6)</f>
        <v>TS</v>
      </c>
      <c r="AF158" s="97" t="str">
        <f>INDEX('[7]PLANILLA EDNA '!Y63:BG151,3,6)</f>
        <v>TS</v>
      </c>
      <c r="AG158" s="97" t="str">
        <f>INDEX('[7]PLANILLA EDNA '!Z63:BH151,3,6)</f>
        <v>TS</v>
      </c>
      <c r="AH158" s="97" t="str">
        <f>INDEX('[7]PLANILLA EDNA '!AA63:BI151,3,6)</f>
        <v>TS</v>
      </c>
      <c r="AI158" s="97" t="str">
        <f>INDEX('[7]PLANILLA EDNA '!AB63:BJ151,3,6)</f>
        <v>TS</v>
      </c>
      <c r="AJ158" s="97" t="str">
        <f>INDEX('[7]PLANILLA EDNA '!AC63:BK151,3,6)</f>
        <v>TS</v>
      </c>
      <c r="AK158" s="97" t="str">
        <f>INDEX('[7]PLANILLA EDNA '!AD63:BL151,3,6)</f>
        <v>TS</v>
      </c>
      <c r="AL158" s="97" t="str">
        <f>INDEX('[7]PLANILLA EDNA '!AE63:BM151,3,6)</f>
        <v>TS</v>
      </c>
      <c r="AM158" s="97" t="str">
        <f>INDEX('[7]PLANILLA EDNA '!AF63:BN151,3,6)</f>
        <v>TS</v>
      </c>
      <c r="AO158" s="116">
        <f t="shared" si="19"/>
        <v>0</v>
      </c>
      <c r="AP158" s="116">
        <f t="shared" si="19"/>
        <v>0</v>
      </c>
      <c r="AQ158" s="116">
        <f t="shared" si="19"/>
        <v>4</v>
      </c>
      <c r="AR158" s="116">
        <f t="shared" si="19"/>
        <v>0</v>
      </c>
      <c r="AS158" s="116">
        <f t="shared" si="19"/>
        <v>0</v>
      </c>
      <c r="AT158" s="116">
        <f t="shared" si="19"/>
        <v>0</v>
      </c>
      <c r="AU158" s="116">
        <f t="shared" si="19"/>
        <v>0</v>
      </c>
      <c r="AV158" s="116">
        <f t="shared" si="19"/>
        <v>0</v>
      </c>
      <c r="AW158" s="116">
        <f t="shared" si="19"/>
        <v>0</v>
      </c>
      <c r="AX158" s="116">
        <f t="shared" si="19"/>
        <v>0</v>
      </c>
      <c r="AY158" s="116">
        <f t="shared" si="19"/>
        <v>0</v>
      </c>
      <c r="AZ158" s="116">
        <f t="shared" si="19"/>
        <v>13</v>
      </c>
      <c r="BA158" s="116">
        <f t="shared" si="19"/>
        <v>13</v>
      </c>
      <c r="BB158" s="117">
        <f t="shared" si="17"/>
        <v>17</v>
      </c>
    </row>
    <row r="159" spans="1:54" ht="15.95" customHeight="1">
      <c r="B159" s="112">
        <v>151</v>
      </c>
      <c r="C159" s="133">
        <f>+'[7]PLANILLA EDNA '!C66</f>
        <v>42778107</v>
      </c>
      <c r="D159" s="114" t="str">
        <f>IFERROR(VLOOKUP($C159,'[7]PLANILLA EDNA '!$C$9:$F$100,2,0),"NO BD")</f>
        <v xml:space="preserve">ORTIZ RESTREPO NANCY JANET </v>
      </c>
      <c r="E159" s="134" t="s">
        <v>592</v>
      </c>
      <c r="F159" s="114" t="str">
        <f>IFERROR(VLOOKUP($C159,[7]BD!$B$3:$O$213,3,0),"")</f>
        <v>OPERARIA DE ASEO Y CAFETERIA</v>
      </c>
      <c r="G159" s="114" t="str">
        <f>IFERROR(VLOOKUP($C159,'[7]PLANILLA EDNA '!$C$9:$F$100,4,0),"NO BD")</f>
        <v>SEDE 1 - MANZANA LIEVANO - ALCALDÍA MAYOR</v>
      </c>
      <c r="H159" s="114" t="str">
        <f>IFERROR(VLOOKUP($C159,[7]BD!$B$3:$O$203,14,0),"")</f>
        <v>3112552620</v>
      </c>
      <c r="I159" s="114" t="str">
        <f>IFERROR(VLOOKUP($C159,[7]BD!$B$3:$O$203,4,0),"")</f>
        <v>23/10/2025</v>
      </c>
      <c r="J159" s="97" t="str">
        <f>INDEX('[7]PLANILLA EDNA '!C64:AK152,3,6)</f>
        <v>OK</v>
      </c>
      <c r="K159" s="97" t="str">
        <f>INDEX('[7]PLANILLA EDNA '!D64:AL152,3,6)</f>
        <v>D</v>
      </c>
      <c r="L159" s="97" t="str">
        <f>INDEX('[7]PLANILLA EDNA '!E64:AM152,3,6)</f>
        <v>D</v>
      </c>
      <c r="M159" s="97" t="str">
        <f>INDEX('[7]PLANILLA EDNA '!F64:AN152,3,6)</f>
        <v>OK</v>
      </c>
      <c r="N159" s="97" t="str">
        <f>INDEX('[7]PLANILLA EDNA '!G64:AO152,3,6)</f>
        <v>D</v>
      </c>
      <c r="O159" s="97" t="str">
        <f>INDEX('[7]PLANILLA EDNA '!H64:AP152,3,6)</f>
        <v>OK</v>
      </c>
      <c r="P159" s="97" t="str">
        <f>INDEX('[7]PLANILLA EDNA '!I64:AQ152,3,6)</f>
        <v>OK</v>
      </c>
      <c r="Q159" s="97" t="str">
        <f>INDEX('[7]PLANILLA EDNA '!J64:AR152,3,6)</f>
        <v>OK</v>
      </c>
      <c r="R159" s="97" t="str">
        <f>INDEX('[7]PLANILLA EDNA '!K64:AS152,3,6)</f>
        <v>OK</v>
      </c>
      <c r="S159" s="97" t="str">
        <f>INDEX('[7]PLANILLA EDNA '!L64:AT152,3,6)</f>
        <v>OK</v>
      </c>
      <c r="T159" s="97" t="str">
        <f>INDEX('[7]PLANILLA EDNA '!M64:AU152,3,6)</f>
        <v>OK</v>
      </c>
      <c r="U159" s="97" t="str">
        <f>INDEX('[7]PLANILLA EDNA '!N64:AV152,3,6)</f>
        <v>D</v>
      </c>
      <c r="V159" s="97" t="str">
        <f>INDEX('[7]PLANILLA EDNA '!O64:AW152,3,6)</f>
        <v>OK</v>
      </c>
      <c r="W159" s="97" t="str">
        <f>INDEX('[7]PLANILLA EDNA '!P64:AX152,3,6)</f>
        <v>OK</v>
      </c>
      <c r="X159" s="97" t="str">
        <f>INDEX('[7]PLANILLA EDNA '!Q64:AY152,3,6)</f>
        <v>OK</v>
      </c>
      <c r="Y159" s="97" t="str">
        <f>INDEX('[7]PLANILLA EDNA '!R64:AZ152,3,6)</f>
        <v>OK</v>
      </c>
      <c r="Z159" s="97" t="str">
        <f>INDEX('[7]PLANILLA EDNA '!S64:BA152,3,6)</f>
        <v>OK</v>
      </c>
      <c r="AA159" s="97" t="str">
        <f>INDEX('[7]PLANILLA EDNA '!T64:BB152,3,6)</f>
        <v>OK</v>
      </c>
      <c r="AB159" s="97" t="str">
        <f>INDEX('[7]PLANILLA EDNA '!U64:BC152,3,6)</f>
        <v>D</v>
      </c>
      <c r="AC159" s="97" t="str">
        <f>INDEX('[7]PLANILLA EDNA '!V64:BD152,3,6)</f>
        <v>OK</v>
      </c>
      <c r="AD159" s="97" t="str">
        <f>INDEX('[7]PLANILLA EDNA '!W64:BE152,3,6)</f>
        <v>OK</v>
      </c>
      <c r="AE159" s="97" t="str">
        <f>INDEX('[7]PLANILLA EDNA '!X64:BF152,3,6)</f>
        <v>OK</v>
      </c>
      <c r="AF159" s="97">
        <f>INDEX('[7]PLANILLA EDNA '!Y64:BG152,3,6)</f>
        <v>0</v>
      </c>
      <c r="AG159" s="97">
        <f>INDEX('[7]PLANILLA EDNA '!Z64:BH152,3,6)</f>
        <v>0</v>
      </c>
      <c r="AH159" s="97">
        <f>INDEX('[7]PLANILLA EDNA '!AA64:BI152,3,6)</f>
        <v>0</v>
      </c>
      <c r="AI159" s="97">
        <f>INDEX('[7]PLANILLA EDNA '!AB64:BJ152,3,6)</f>
        <v>0</v>
      </c>
      <c r="AJ159" s="97">
        <f>INDEX('[7]PLANILLA EDNA '!AC64:BK152,3,6)</f>
        <v>0</v>
      </c>
      <c r="AK159" s="97">
        <f>INDEX('[7]PLANILLA EDNA '!AD64:BL152,3,6)</f>
        <v>0</v>
      </c>
      <c r="AL159" s="97">
        <f>INDEX('[7]PLANILLA EDNA '!AE64:BM152,3,6)</f>
        <v>0</v>
      </c>
      <c r="AM159" s="97">
        <f>INDEX('[7]PLANILLA EDNA '!AF64:BN152,3,6)</f>
        <v>0</v>
      </c>
      <c r="AO159" s="116">
        <f t="shared" si="19"/>
        <v>0</v>
      </c>
      <c r="AP159" s="116">
        <f t="shared" si="19"/>
        <v>0</v>
      </c>
      <c r="AQ159" s="116">
        <f t="shared" si="19"/>
        <v>5</v>
      </c>
      <c r="AR159" s="116">
        <f t="shared" si="19"/>
        <v>0</v>
      </c>
      <c r="AS159" s="116">
        <f t="shared" si="19"/>
        <v>0</v>
      </c>
      <c r="AT159" s="116">
        <f t="shared" si="19"/>
        <v>0</v>
      </c>
      <c r="AU159" s="116">
        <f t="shared" si="19"/>
        <v>0</v>
      </c>
      <c r="AV159" s="116">
        <f t="shared" si="19"/>
        <v>0</v>
      </c>
      <c r="AW159" s="116">
        <f t="shared" si="19"/>
        <v>0</v>
      </c>
      <c r="AX159" s="116">
        <f t="shared" si="19"/>
        <v>0</v>
      </c>
      <c r="AY159" s="116">
        <f t="shared" si="19"/>
        <v>0</v>
      </c>
      <c r="AZ159" s="116">
        <f t="shared" si="19"/>
        <v>0</v>
      </c>
      <c r="BA159" s="116">
        <f t="shared" si="19"/>
        <v>17</v>
      </c>
      <c r="BB159" s="117">
        <f t="shared" si="17"/>
        <v>22</v>
      </c>
    </row>
    <row r="160" spans="1:54" ht="15.95" customHeight="1">
      <c r="B160" s="112">
        <v>152</v>
      </c>
      <c r="C160" s="133">
        <f>+'[7]PLANILLA EDNA '!C67</f>
        <v>52064995</v>
      </c>
      <c r="D160" s="114" t="str">
        <f>IFERROR(VLOOKUP($C160,'[7]PLANILLA EDNA '!$C$9:$F$100,2,0),"NO BD")</f>
        <v xml:space="preserve">ECHEVERRI VARGAS ELSA YOLANDA </v>
      </c>
      <c r="E160" s="134" t="s">
        <v>592</v>
      </c>
      <c r="F160" s="114" t="str">
        <f>IFERROR(VLOOKUP($C160,[7]BD!$B$3:$O$213,3,0),"")</f>
        <v>OPERARIA DE ASEO Y CAFETERIA</v>
      </c>
      <c r="G160" s="114" t="str">
        <f>IFERROR(VLOOKUP($C160,'[7]PLANILLA EDNA '!$C$9:$F$100,4,0),"NO BD")</f>
        <v xml:space="preserve">SEDE 2- DIRECCIÓN DISTRITAL DE ARCHIVO DE  BOGOTA </v>
      </c>
      <c r="H160" s="114" t="str">
        <f>IFERROR(VLOOKUP($C160,[7]BD!$B$3:$O$203,14,0),"")</f>
        <v>3202003857</v>
      </c>
      <c r="I160" s="114" t="str">
        <f>IFERROR(VLOOKUP($C160,[7]BD!$B$3:$O$203,4,0),"")</f>
        <v>23/10/2025</v>
      </c>
      <c r="J160" s="97" t="str">
        <f>INDEX('[7]PLANILLA EDNA '!C65:AK153,3,6)</f>
        <v>OK</v>
      </c>
      <c r="K160" s="97" t="str">
        <f>INDEX('[7]PLANILLA EDNA '!D65:AL153,3,6)</f>
        <v>D</v>
      </c>
      <c r="L160" s="97" t="str">
        <f>INDEX('[7]PLANILLA EDNA '!E65:AM153,3,6)</f>
        <v>D</v>
      </c>
      <c r="M160" s="97" t="str">
        <f>INDEX('[7]PLANILLA EDNA '!F65:AN153,3,6)</f>
        <v>OK</v>
      </c>
      <c r="N160" s="97" t="str">
        <f>INDEX('[7]PLANILLA EDNA '!G65:AO153,3,6)</f>
        <v>D</v>
      </c>
      <c r="O160" s="97" t="str">
        <f>INDEX('[7]PLANILLA EDNA '!H65:AP153,3,6)</f>
        <v>OK</v>
      </c>
      <c r="P160" s="97" t="str">
        <f>INDEX('[7]PLANILLA EDNA '!I65:AQ153,3,6)</f>
        <v>OK</v>
      </c>
      <c r="Q160" s="97" t="str">
        <f>INDEX('[7]PLANILLA EDNA '!J65:AR153,3,6)</f>
        <v>OK</v>
      </c>
      <c r="R160" s="97" t="str">
        <f>INDEX('[7]PLANILLA EDNA '!K65:AS153,3,6)</f>
        <v>OK</v>
      </c>
      <c r="S160" s="97" t="str">
        <f>INDEX('[7]PLANILLA EDNA '!L65:AT153,3,6)</f>
        <v>OK</v>
      </c>
      <c r="T160" s="97" t="str">
        <f>INDEX('[7]PLANILLA EDNA '!M65:AU153,3,6)</f>
        <v>OK</v>
      </c>
      <c r="U160" s="97" t="str">
        <f>INDEX('[7]PLANILLA EDNA '!N65:AV153,3,6)</f>
        <v>D</v>
      </c>
      <c r="V160" s="97" t="str">
        <f>INDEX('[7]PLANILLA EDNA '!O65:AW153,3,6)</f>
        <v>OK</v>
      </c>
      <c r="W160" s="97" t="str">
        <f>INDEX('[7]PLANILLA EDNA '!P65:AX153,3,6)</f>
        <v>OK</v>
      </c>
      <c r="X160" s="97" t="str">
        <f>INDEX('[7]PLANILLA EDNA '!Q65:AY153,3,6)</f>
        <v>OK</v>
      </c>
      <c r="Y160" s="97" t="str">
        <f>INDEX('[7]PLANILLA EDNA '!R65:AZ153,3,6)</f>
        <v>OK</v>
      </c>
      <c r="Z160" s="97" t="str">
        <f>INDEX('[7]PLANILLA EDNA '!S65:BA153,3,6)</f>
        <v>INC</v>
      </c>
      <c r="AA160" s="97" t="str">
        <f>INDEX('[7]PLANILLA EDNA '!T65:BB153,3,6)</f>
        <v>INC</v>
      </c>
      <c r="AB160" s="97" t="str">
        <f>INDEX('[7]PLANILLA EDNA '!U65:BC153,3,6)</f>
        <v>D</v>
      </c>
      <c r="AC160" s="97" t="str">
        <f>INDEX('[7]PLANILLA EDNA '!V65:BD153,3,6)</f>
        <v>OK</v>
      </c>
      <c r="AD160" s="97" t="str">
        <f>INDEX('[7]PLANILLA EDNA '!W65:BE153,3,6)</f>
        <v>OK</v>
      </c>
      <c r="AE160" s="97" t="str">
        <f>INDEX('[7]PLANILLA EDNA '!X65:BF153,3,6)</f>
        <v>OK</v>
      </c>
      <c r="AF160" s="97">
        <f>INDEX('[7]PLANILLA EDNA '!Y65:BG153,3,6)</f>
        <v>0</v>
      </c>
      <c r="AG160" s="97">
        <f>INDEX('[7]PLANILLA EDNA '!Z65:BH153,3,6)</f>
        <v>0</v>
      </c>
      <c r="AH160" s="97">
        <f>INDEX('[7]PLANILLA EDNA '!AA65:BI153,3,6)</f>
        <v>0</v>
      </c>
      <c r="AI160" s="97">
        <f>INDEX('[7]PLANILLA EDNA '!AB65:BJ153,3,6)</f>
        <v>0</v>
      </c>
      <c r="AJ160" s="97">
        <f>INDEX('[7]PLANILLA EDNA '!AC65:BK153,3,6)</f>
        <v>0</v>
      </c>
      <c r="AK160" s="97">
        <f>INDEX('[7]PLANILLA EDNA '!AD65:BL153,3,6)</f>
        <v>0</v>
      </c>
      <c r="AL160" s="97">
        <f>INDEX('[7]PLANILLA EDNA '!AE65:BM153,3,6)</f>
        <v>0</v>
      </c>
      <c r="AM160" s="97">
        <f>INDEX('[7]PLANILLA EDNA '!AF65:BN153,3,6)</f>
        <v>0</v>
      </c>
      <c r="AO160" s="116">
        <f t="shared" si="19"/>
        <v>0</v>
      </c>
      <c r="AP160" s="116">
        <f t="shared" si="19"/>
        <v>0</v>
      </c>
      <c r="AQ160" s="116">
        <f t="shared" si="19"/>
        <v>5</v>
      </c>
      <c r="AR160" s="116">
        <f t="shared" si="19"/>
        <v>2</v>
      </c>
      <c r="AS160" s="116">
        <f t="shared" si="19"/>
        <v>0</v>
      </c>
      <c r="AT160" s="116">
        <f t="shared" si="19"/>
        <v>0</v>
      </c>
      <c r="AU160" s="116">
        <f t="shared" si="19"/>
        <v>0</v>
      </c>
      <c r="AV160" s="116">
        <f t="shared" si="19"/>
        <v>0</v>
      </c>
      <c r="AW160" s="116">
        <f t="shared" si="19"/>
        <v>0</v>
      </c>
      <c r="AX160" s="116">
        <f t="shared" si="19"/>
        <v>0</v>
      </c>
      <c r="AY160" s="116">
        <f t="shared" si="19"/>
        <v>0</v>
      </c>
      <c r="AZ160" s="116">
        <f t="shared" si="19"/>
        <v>0</v>
      </c>
      <c r="BA160" s="116">
        <f t="shared" si="19"/>
        <v>15</v>
      </c>
      <c r="BB160" s="117">
        <f t="shared" si="17"/>
        <v>20</v>
      </c>
    </row>
    <row r="161" spans="1:54" ht="15.95" customHeight="1">
      <c r="B161" s="112">
        <v>153</v>
      </c>
      <c r="C161" s="133">
        <f>+'[7]PLANILLA EDNA '!C68</f>
        <v>52776596</v>
      </c>
      <c r="D161" s="114" t="str">
        <f>IFERROR(VLOOKUP($C161,'[7]PLANILLA EDNA '!$C$9:$F$100,2,0),"NO BD")</f>
        <v xml:space="preserve">CASTRO POSADA DORIS CAROLINA </v>
      </c>
      <c r="E161" s="134" t="s">
        <v>592</v>
      </c>
      <c r="F161" s="114" t="str">
        <f>IFERROR(VLOOKUP($C161,[7]BD!$B$3:$O$213,3,0),"")</f>
        <v>OPERARIA DE ASEO Y CAFETERIA</v>
      </c>
      <c r="G161" s="114" t="str">
        <f>IFERROR(VLOOKUP($C161,'[7]PLANILLA EDNA '!$C$9:$F$100,4,0),"NO BD")</f>
        <v>SEDE 3 - IMPRENTA DISTRITAL</v>
      </c>
      <c r="H161" s="114" t="str">
        <f>IFERROR(VLOOKUP($C161,[7]BD!$B$3:$O$203,14,0),"")</f>
        <v>3138695545</v>
      </c>
      <c r="I161" s="114" t="str">
        <f>IFERROR(VLOOKUP($C161,[7]BD!$B$3:$O$203,4,0),"")</f>
        <v>09/12/2025</v>
      </c>
      <c r="J161" s="97" t="str">
        <f>INDEX('[7]PLANILLA EDNA '!C66:AK154,3,6)</f>
        <v>OK</v>
      </c>
      <c r="K161" s="97" t="str">
        <f>INDEX('[7]PLANILLA EDNA '!D66:AL154,3,6)</f>
        <v>D</v>
      </c>
      <c r="L161" s="97" t="str">
        <f>INDEX('[7]PLANILLA EDNA '!E66:AM154,3,6)</f>
        <v>D</v>
      </c>
      <c r="M161" s="97" t="str">
        <f>INDEX('[7]PLANILLA EDNA '!F66:AN154,3,6)</f>
        <v>OK</v>
      </c>
      <c r="N161" s="97" t="str">
        <f>INDEX('[7]PLANILLA EDNA '!G66:AO154,3,6)</f>
        <v>D</v>
      </c>
      <c r="O161" s="97" t="str">
        <f>INDEX('[7]PLANILLA EDNA '!H66:AP154,3,6)</f>
        <v>OK</v>
      </c>
      <c r="P161" s="97" t="str">
        <f>INDEX('[7]PLANILLA EDNA '!I66:AQ154,3,6)</f>
        <v>OK</v>
      </c>
      <c r="Q161" s="97" t="str">
        <f>INDEX('[7]PLANILLA EDNA '!J66:AR154,3,6)</f>
        <v>OK</v>
      </c>
      <c r="R161" s="97" t="str">
        <f>INDEX('[7]PLANILLA EDNA '!K66:AS154,3,6)</f>
        <v>OK</v>
      </c>
      <c r="S161" s="97" t="str">
        <f>INDEX('[7]PLANILLA EDNA '!L66:AT154,3,6)</f>
        <v>OK</v>
      </c>
      <c r="T161" s="97" t="str">
        <f>INDEX('[7]PLANILLA EDNA '!M66:AU154,3,6)</f>
        <v>OK</v>
      </c>
      <c r="U161" s="97" t="str">
        <f>INDEX('[7]PLANILLA EDNA '!N66:AV154,3,6)</f>
        <v>D</v>
      </c>
      <c r="V161" s="97" t="str">
        <f>INDEX('[7]PLANILLA EDNA '!O66:AW154,3,6)</f>
        <v>CD</v>
      </c>
      <c r="W161" s="97" t="str">
        <f>INDEX('[7]PLANILLA EDNA '!P66:AX154,3,6)</f>
        <v>CD</v>
      </c>
      <c r="X161" s="97" t="str">
        <f>INDEX('[7]PLANILLA EDNA '!Q66:AY154,3,6)</f>
        <v xml:space="preserve">CD </v>
      </c>
      <c r="Y161" s="97" t="str">
        <f>INDEX('[7]PLANILLA EDNA '!R66:AZ154,3,6)</f>
        <v>OK</v>
      </c>
      <c r="Z161" s="97" t="str">
        <f>INDEX('[7]PLANILLA EDNA '!S66:BA154,3,6)</f>
        <v>OK</v>
      </c>
      <c r="AA161" s="97" t="str">
        <f>INDEX('[7]PLANILLA EDNA '!T66:BB154,3,6)</f>
        <v>OK</v>
      </c>
      <c r="AB161" s="97" t="str">
        <f>INDEX('[7]PLANILLA EDNA '!U66:BC154,3,6)</f>
        <v>D</v>
      </c>
      <c r="AC161" s="97" t="str">
        <f>INDEX('[7]PLANILLA EDNA '!V66:BD154,3,6)</f>
        <v>OK</v>
      </c>
      <c r="AD161" s="97" t="str">
        <f>INDEX('[7]PLANILLA EDNA '!W66:BE154,3,6)</f>
        <v>OK</v>
      </c>
      <c r="AE161" s="97" t="str">
        <f>INDEX('[7]PLANILLA EDNA '!X66:BF154,3,6)</f>
        <v>OK</v>
      </c>
      <c r="AF161" s="97">
        <f>INDEX('[7]PLANILLA EDNA '!Y66:BG154,3,6)</f>
        <v>0</v>
      </c>
      <c r="AG161" s="97">
        <f>INDEX('[7]PLANILLA EDNA '!Z66:BH154,3,6)</f>
        <v>0</v>
      </c>
      <c r="AH161" s="97">
        <f>INDEX('[7]PLANILLA EDNA '!AA66:BI154,3,6)</f>
        <v>0</v>
      </c>
      <c r="AI161" s="97">
        <f>INDEX('[7]PLANILLA EDNA '!AB66:BJ154,3,6)</f>
        <v>0</v>
      </c>
      <c r="AJ161" s="97">
        <f>INDEX('[7]PLANILLA EDNA '!AC66:BK154,3,6)</f>
        <v>0</v>
      </c>
      <c r="AK161" s="97">
        <f>INDEX('[7]PLANILLA EDNA '!AD66:BL154,3,6)</f>
        <v>0</v>
      </c>
      <c r="AL161" s="97">
        <f>INDEX('[7]PLANILLA EDNA '!AE66:BM154,3,6)</f>
        <v>0</v>
      </c>
      <c r="AM161" s="97">
        <f>INDEX('[7]PLANILLA EDNA '!AF66:BN154,3,6)</f>
        <v>0</v>
      </c>
      <c r="AO161" s="116">
        <f t="shared" si="19"/>
        <v>0</v>
      </c>
      <c r="AP161" s="116">
        <f t="shared" si="19"/>
        <v>0</v>
      </c>
      <c r="AQ161" s="116">
        <f t="shared" si="19"/>
        <v>5</v>
      </c>
      <c r="AR161" s="116">
        <f t="shared" si="19"/>
        <v>0</v>
      </c>
      <c r="AS161" s="116">
        <f t="shared" si="19"/>
        <v>0</v>
      </c>
      <c r="AT161" s="116">
        <f t="shared" si="19"/>
        <v>0</v>
      </c>
      <c r="AU161" s="116">
        <f t="shared" si="19"/>
        <v>0</v>
      </c>
      <c r="AV161" s="116">
        <f t="shared" si="19"/>
        <v>2</v>
      </c>
      <c r="AW161" s="116">
        <f t="shared" si="19"/>
        <v>0</v>
      </c>
      <c r="AX161" s="116">
        <f t="shared" si="19"/>
        <v>0</v>
      </c>
      <c r="AY161" s="116">
        <f t="shared" si="19"/>
        <v>0</v>
      </c>
      <c r="AZ161" s="116">
        <f t="shared" si="19"/>
        <v>0</v>
      </c>
      <c r="BA161" s="116">
        <f t="shared" si="19"/>
        <v>14</v>
      </c>
      <c r="BB161" s="117">
        <f t="shared" si="17"/>
        <v>19</v>
      </c>
    </row>
    <row r="162" spans="1:54" ht="32.1" customHeight="1">
      <c r="B162" s="112">
        <v>154</v>
      </c>
      <c r="C162" s="133">
        <f>+'[7]PLANILLA EDNA '!C69</f>
        <v>1004501396</v>
      </c>
      <c r="D162" s="114" t="str">
        <f>IFERROR(VLOOKUP($C162,'[7]PLANILLA EDNA '!$C$9:$F$100,2,0),"NO BD")</f>
        <v xml:space="preserve">AMARIS MARTINEZ MARYURIS TATIANA </v>
      </c>
      <c r="E162" s="134" t="s">
        <v>592</v>
      </c>
      <c r="F162" s="114" t="str">
        <f>IFERROR(VLOOKUP($C162,[7]BD!$B$3:$O$213,3,0),"")</f>
        <v>OPERARIA DE ASEO Y CAFETERIA</v>
      </c>
      <c r="G162" s="114" t="str">
        <f>IFERROR(VLOOKUP($C162,'[7]PLANILLA EDNA '!$C$9:$F$100,4,0),"NO BD")</f>
        <v>SEDE 1 - MANZANA LIEVANO - ALCALDÍA MAYOR</v>
      </c>
      <c r="H162" s="114" t="str">
        <f>IFERROR(VLOOKUP($C162,[7]BD!$B$3:$O$203,14,0),"")</f>
        <v>3008041039</v>
      </c>
      <c r="I162" s="114" t="str">
        <f>IFERROR(VLOOKUP($C162,[7]BD!$B$3:$O$203,4,0),"")</f>
        <v>15/12/2025</v>
      </c>
      <c r="J162" s="97" t="str">
        <f>INDEX('[7]PLANILLA EDNA '!C67:AK155,3,6)</f>
        <v>OK</v>
      </c>
      <c r="K162" s="97" t="str">
        <f>INDEX('[7]PLANILLA EDNA '!D67:AL155,3,6)</f>
        <v>D</v>
      </c>
      <c r="L162" s="97" t="str">
        <f>INDEX('[7]PLANILLA EDNA '!E67:AM155,3,6)</f>
        <v>D</v>
      </c>
      <c r="M162" s="97" t="str">
        <f>INDEX('[7]PLANILLA EDNA '!F67:AN155,3,6)</f>
        <v>OK</v>
      </c>
      <c r="N162" s="97" t="str">
        <f>INDEX('[7]PLANILLA EDNA '!G67:AO155,3,6)</f>
        <v>D</v>
      </c>
      <c r="O162" s="97" t="str">
        <f>INDEX('[7]PLANILLA EDNA '!H67:AP155,3,6)</f>
        <v>OK</v>
      </c>
      <c r="P162" s="97" t="str">
        <f>INDEX('[7]PLANILLA EDNA '!I67:AQ155,3,6)</f>
        <v>OK</v>
      </c>
      <c r="Q162" s="97" t="str">
        <f>INDEX('[7]PLANILLA EDNA '!J67:AR155,3,6)</f>
        <v>OK</v>
      </c>
      <c r="R162" s="97" t="str">
        <f>INDEX('[7]PLANILLA EDNA '!K67:AS155,3,6)</f>
        <v>OK</v>
      </c>
      <c r="S162" s="97" t="str">
        <f>INDEX('[7]PLANILLA EDNA '!L67:AT155,3,6)</f>
        <v>OK</v>
      </c>
      <c r="T162" s="97" t="str">
        <f>INDEX('[7]PLANILLA EDNA '!M67:AU155,3,6)</f>
        <v>OK</v>
      </c>
      <c r="U162" s="97" t="str">
        <f>INDEX('[7]PLANILLA EDNA '!N67:AV155,3,6)</f>
        <v>D</v>
      </c>
      <c r="V162" s="97" t="str">
        <f>INDEX('[7]PLANILLA EDNA '!O67:AW155,3,6)</f>
        <v>OK</v>
      </c>
      <c r="W162" s="97" t="str">
        <f>INDEX('[7]PLANILLA EDNA '!P67:AX155,3,6)</f>
        <v>OK</v>
      </c>
      <c r="X162" s="97" t="str">
        <f>INDEX('[7]PLANILLA EDNA '!Q67:AY155,3,6)</f>
        <v>OK</v>
      </c>
      <c r="Y162" s="97" t="str">
        <f>INDEX('[7]PLANILLA EDNA '!R67:AZ155,3,6)</f>
        <v>OK</v>
      </c>
      <c r="Z162" s="97" t="str">
        <f>INDEX('[7]PLANILLA EDNA '!S67:BA155,3,6)</f>
        <v>OK</v>
      </c>
      <c r="AA162" s="97" t="str">
        <f>INDEX('[7]PLANILLA EDNA '!T67:BB155,3,6)</f>
        <v>OK</v>
      </c>
      <c r="AB162" s="97" t="str">
        <f>INDEX('[7]PLANILLA EDNA '!U67:BC155,3,6)</f>
        <v>D</v>
      </c>
      <c r="AC162" s="97" t="str">
        <f>INDEX('[7]PLANILLA EDNA '!V67:BD155,3,6)</f>
        <v>OK</v>
      </c>
      <c r="AD162" s="97" t="str">
        <f>INDEX('[7]PLANILLA EDNA '!W67:BE155,3,6)</f>
        <v>OK</v>
      </c>
      <c r="AE162" s="97" t="str">
        <f>INDEX('[7]PLANILLA EDNA '!X67:BF155,3,6)</f>
        <v>OK</v>
      </c>
      <c r="AF162" s="97">
        <f>INDEX('[7]PLANILLA EDNA '!Y67:BG155,3,6)</f>
        <v>0</v>
      </c>
      <c r="AG162" s="97">
        <f>INDEX('[7]PLANILLA EDNA '!Z67:BH155,3,6)</f>
        <v>0</v>
      </c>
      <c r="AH162" s="97">
        <f>INDEX('[7]PLANILLA EDNA '!AA67:BI155,3,6)</f>
        <v>0</v>
      </c>
      <c r="AI162" s="97">
        <f>INDEX('[7]PLANILLA EDNA '!AB67:BJ155,3,6)</f>
        <v>0</v>
      </c>
      <c r="AJ162" s="97">
        <f>INDEX('[7]PLANILLA EDNA '!AC67:BK155,3,6)</f>
        <v>0</v>
      </c>
      <c r="AK162" s="97">
        <f>INDEX('[7]PLANILLA EDNA '!AD67:BL155,3,6)</f>
        <v>0</v>
      </c>
      <c r="AL162" s="97">
        <f>INDEX('[7]PLANILLA EDNA '!AE67:BM155,3,6)</f>
        <v>0</v>
      </c>
      <c r="AM162" s="97">
        <f>INDEX('[7]PLANILLA EDNA '!AF67:BN155,3,6)</f>
        <v>0</v>
      </c>
      <c r="AO162" s="116">
        <f t="shared" si="19"/>
        <v>0</v>
      </c>
      <c r="AP162" s="116">
        <f t="shared" si="19"/>
        <v>0</v>
      </c>
      <c r="AQ162" s="116">
        <f t="shared" si="19"/>
        <v>5</v>
      </c>
      <c r="AR162" s="116">
        <f t="shared" si="19"/>
        <v>0</v>
      </c>
      <c r="AS162" s="116">
        <f t="shared" si="19"/>
        <v>0</v>
      </c>
      <c r="AT162" s="116">
        <f t="shared" si="19"/>
        <v>0</v>
      </c>
      <c r="AU162" s="116">
        <f t="shared" si="19"/>
        <v>0</v>
      </c>
      <c r="AV162" s="116">
        <f t="shared" si="19"/>
        <v>0</v>
      </c>
      <c r="AW162" s="116">
        <f t="shared" si="19"/>
        <v>0</v>
      </c>
      <c r="AX162" s="116">
        <f t="shared" si="19"/>
        <v>0</v>
      </c>
      <c r="AY162" s="116">
        <f t="shared" si="19"/>
        <v>0</v>
      </c>
      <c r="AZ162" s="116">
        <f t="shared" si="19"/>
        <v>0</v>
      </c>
      <c r="BA162" s="116">
        <f t="shared" si="19"/>
        <v>17</v>
      </c>
      <c r="BB162" s="117">
        <f t="shared" si="17"/>
        <v>22</v>
      </c>
    </row>
    <row r="163" spans="1:54" ht="15.95" customHeight="1">
      <c r="B163" s="112">
        <v>155</v>
      </c>
      <c r="C163" s="133">
        <f>+'[7]PLANILLA EDNA '!C70</f>
        <v>53026098</v>
      </c>
      <c r="D163" s="114" t="str">
        <f>IFERROR(VLOOKUP($C163,'[7]PLANILLA EDNA '!$C$9:$F$100,2,0),"NO BD")</f>
        <v xml:space="preserve">GUARIN TORRES LILIANA PAOLA </v>
      </c>
      <c r="E163" s="134" t="s">
        <v>592</v>
      </c>
      <c r="F163" s="114" t="str">
        <f>IFERROR(VLOOKUP($C163,[7]BD!$B$3:$O$213,3,0),"")</f>
        <v>OPERARIA DE ASEO Y CAFETERIA</v>
      </c>
      <c r="G163" s="114" t="str">
        <f>IFERROR(VLOOKUP($C163,'[7]PLANILLA EDNA '!$C$9:$F$100,4,0),"NO BD")</f>
        <v>SEDE 1 - MANZANA LIEVANO - ALCALDÍA MAYOR</v>
      </c>
      <c r="H163" s="114" t="str">
        <f>IFERROR(VLOOKUP($C163,[7]BD!$B$3:$O$203,14,0),"")</f>
        <v>3187766237</v>
      </c>
      <c r="I163" s="114" t="str">
        <f>IFERROR(VLOOKUP($C163,[7]BD!$B$3:$O$203,4,0),"")</f>
        <v>02/01/2026</v>
      </c>
      <c r="J163" s="97" t="str">
        <f>INDEX('[7]PLANILLA EDNA '!C68:AK156,3,6)</f>
        <v>OK</v>
      </c>
      <c r="K163" s="97" t="str">
        <f>INDEX('[7]PLANILLA EDNA '!D68:AL156,3,6)</f>
        <v>D</v>
      </c>
      <c r="L163" s="97" t="str">
        <f>INDEX('[7]PLANILLA EDNA '!E68:AM156,3,6)</f>
        <v>D</v>
      </c>
      <c r="M163" s="97" t="str">
        <f>INDEX('[7]PLANILLA EDNA '!F68:AN156,3,6)</f>
        <v>OK</v>
      </c>
      <c r="N163" s="97" t="str">
        <f>INDEX('[7]PLANILLA EDNA '!G68:AO156,3,6)</f>
        <v>D</v>
      </c>
      <c r="O163" s="97" t="str">
        <f>INDEX('[7]PLANILLA EDNA '!H68:AP156,3,6)</f>
        <v>OK</v>
      </c>
      <c r="P163" s="97" t="str">
        <f>INDEX('[7]PLANILLA EDNA '!I68:AQ156,3,6)</f>
        <v>OK</v>
      </c>
      <c r="Q163" s="97" t="str">
        <f>INDEX('[7]PLANILLA EDNA '!J68:AR156,3,6)</f>
        <v>OK</v>
      </c>
      <c r="R163" s="97" t="str">
        <f>INDEX('[7]PLANILLA EDNA '!K68:AS156,3,6)</f>
        <v>OK</v>
      </c>
      <c r="S163" s="97" t="str">
        <f>INDEX('[7]PLANILLA EDNA '!L68:AT156,3,6)</f>
        <v>OK</v>
      </c>
      <c r="T163" s="97" t="str">
        <f>INDEX('[7]PLANILLA EDNA '!M68:AU156,3,6)</f>
        <v>OK</v>
      </c>
      <c r="U163" s="97" t="str">
        <f>INDEX('[7]PLANILLA EDNA '!N68:AV156,3,6)</f>
        <v>D</v>
      </c>
      <c r="V163" s="97" t="str">
        <f>INDEX('[7]PLANILLA EDNA '!O68:AW156,3,6)</f>
        <v>OK</v>
      </c>
      <c r="W163" s="97" t="str">
        <f>INDEX('[7]PLANILLA EDNA '!P68:AX156,3,6)</f>
        <v>OK</v>
      </c>
      <c r="X163" s="97" t="str">
        <f>INDEX('[7]PLANILLA EDNA '!Q68:AY156,3,6)</f>
        <v>OK</v>
      </c>
      <c r="Y163" s="97" t="str">
        <f>INDEX('[7]PLANILLA EDNA '!R68:AZ156,3,6)</f>
        <v>OK</v>
      </c>
      <c r="Z163" s="97" t="str">
        <f>INDEX('[7]PLANILLA EDNA '!S68:BA156,3,6)</f>
        <v>OK</v>
      </c>
      <c r="AA163" s="97" t="str">
        <f>INDEX('[7]PLANILLA EDNA '!T68:BB156,3,6)</f>
        <v>OK</v>
      </c>
      <c r="AB163" s="97" t="str">
        <f>INDEX('[7]PLANILLA EDNA '!U68:BC156,3,6)</f>
        <v>D</v>
      </c>
      <c r="AC163" s="97" t="str">
        <f>INDEX('[7]PLANILLA EDNA '!V68:BD156,3,6)</f>
        <v>OK</v>
      </c>
      <c r="AD163" s="97" t="str">
        <f>INDEX('[7]PLANILLA EDNA '!W68:BE156,3,6)</f>
        <v>OK</v>
      </c>
      <c r="AE163" s="97" t="str">
        <f>INDEX('[7]PLANILLA EDNA '!X68:BF156,3,6)</f>
        <v>OK</v>
      </c>
      <c r="AF163" s="97">
        <f>INDEX('[7]PLANILLA EDNA '!Y68:BG156,3,6)</f>
        <v>0</v>
      </c>
      <c r="AG163" s="97">
        <f>INDEX('[7]PLANILLA EDNA '!Z68:BH156,3,6)</f>
        <v>0</v>
      </c>
      <c r="AH163" s="97">
        <f>INDEX('[7]PLANILLA EDNA '!AA68:BI156,3,6)</f>
        <v>0</v>
      </c>
      <c r="AI163" s="97">
        <f>INDEX('[7]PLANILLA EDNA '!AB68:BJ156,3,6)</f>
        <v>0</v>
      </c>
      <c r="AJ163" s="97">
        <f>INDEX('[7]PLANILLA EDNA '!AC68:BK156,3,6)</f>
        <v>0</v>
      </c>
      <c r="AK163" s="97">
        <f>INDEX('[7]PLANILLA EDNA '!AD68:BL156,3,6)</f>
        <v>0</v>
      </c>
      <c r="AL163" s="97">
        <f>INDEX('[7]PLANILLA EDNA '!AE68:BM156,3,6)</f>
        <v>0</v>
      </c>
      <c r="AM163" s="97">
        <f>INDEX('[7]PLANILLA EDNA '!AF68:BN156,3,6)</f>
        <v>0</v>
      </c>
      <c r="AO163" s="116">
        <f t="shared" si="19"/>
        <v>0</v>
      </c>
      <c r="AP163" s="116">
        <f t="shared" si="19"/>
        <v>0</v>
      </c>
      <c r="AQ163" s="116">
        <f t="shared" si="19"/>
        <v>5</v>
      </c>
      <c r="AR163" s="116">
        <f t="shared" si="19"/>
        <v>0</v>
      </c>
      <c r="AS163" s="116">
        <f t="shared" si="19"/>
        <v>0</v>
      </c>
      <c r="AT163" s="116">
        <f t="shared" si="19"/>
        <v>0</v>
      </c>
      <c r="AU163" s="116">
        <f t="shared" si="19"/>
        <v>0</v>
      </c>
      <c r="AV163" s="116">
        <f t="shared" si="19"/>
        <v>0</v>
      </c>
      <c r="AW163" s="116">
        <f t="shared" ref="AW163:BA163" si="20">COUNTIF($J163:$AM163,AW$7)</f>
        <v>0</v>
      </c>
      <c r="AX163" s="116">
        <f t="shared" si="20"/>
        <v>0</v>
      </c>
      <c r="AY163" s="116">
        <f t="shared" si="20"/>
        <v>0</v>
      </c>
      <c r="AZ163" s="116">
        <f t="shared" si="20"/>
        <v>0</v>
      </c>
      <c r="BA163" s="116">
        <f t="shared" si="20"/>
        <v>17</v>
      </c>
      <c r="BB163" s="117">
        <f t="shared" si="17"/>
        <v>22</v>
      </c>
    </row>
    <row r="164" spans="1:54" ht="15.95" customHeight="1">
      <c r="B164" s="112">
        <v>156</v>
      </c>
      <c r="C164" s="133">
        <f>+'[7]PLANILLA EDNA '!C71</f>
        <v>1073510783</v>
      </c>
      <c r="D164" s="114" t="str">
        <f>IFERROR(VLOOKUP($C164,'[7]PLANILLA EDNA '!$C$9:$F$100,2,0),"NO BD")</f>
        <v xml:space="preserve">PARRADO LEYTON EDWIN  </v>
      </c>
      <c r="E164" s="134" t="s">
        <v>592</v>
      </c>
      <c r="F164" s="114" t="str">
        <f>IFERROR(VLOOKUP($C164,[7]BD!$B$3:$O$213,3,0),"")</f>
        <v>OPERARIO DE MANTENIMIENTO</v>
      </c>
      <c r="G164" s="114" t="str">
        <f>IFERROR(VLOOKUP($C164,'[7]PLANILLA EDNA '!$C$9:$F$100,4,0),"NO BD")</f>
        <v xml:space="preserve">SEDE 2- DIRECCIÓN DISTRITAL DE ARCHIVO DE  BOGOTA </v>
      </c>
      <c r="H164" s="114" t="str">
        <f>IFERROR(VLOOKUP($C164,[7]BD!$B$3:$O$203,14,0),"")</f>
        <v>3143288879</v>
      </c>
      <c r="I164" s="114" t="str">
        <f>IFERROR(VLOOKUP($C164,[7]BD!$B$3:$O$203,4,0),"")</f>
        <v>02/01/2026</v>
      </c>
      <c r="J164" s="97" t="str">
        <f>INDEX('[7]PLANILLA EDNA '!C69:AK157,3,6)</f>
        <v>OK</v>
      </c>
      <c r="K164" s="97" t="str">
        <f>INDEX('[7]PLANILLA EDNA '!D69:AL157,3,6)</f>
        <v>D</v>
      </c>
      <c r="L164" s="97" t="str">
        <f>INDEX('[7]PLANILLA EDNA '!E69:AM157,3,6)</f>
        <v>D</v>
      </c>
      <c r="M164" s="97" t="str">
        <f>INDEX('[7]PLANILLA EDNA '!F69:AN157,3,6)</f>
        <v>OK</v>
      </c>
      <c r="N164" s="97" t="str">
        <f>INDEX('[7]PLANILLA EDNA '!G69:AO157,3,6)</f>
        <v>D</v>
      </c>
      <c r="O164" s="97" t="str">
        <f>INDEX('[7]PLANILLA EDNA '!H69:AP157,3,6)</f>
        <v>OK</v>
      </c>
      <c r="P164" s="97" t="str">
        <f>INDEX('[7]PLANILLA EDNA '!I69:AQ157,3,6)</f>
        <v>OK</v>
      </c>
      <c r="Q164" s="97" t="str">
        <f>INDEX('[7]PLANILLA EDNA '!J69:AR157,3,6)</f>
        <v>OK</v>
      </c>
      <c r="R164" s="97" t="str">
        <f>INDEX('[7]PLANILLA EDNA '!K69:AS157,3,6)</f>
        <v>OK</v>
      </c>
      <c r="S164" s="97" t="str">
        <f>INDEX('[7]PLANILLA EDNA '!L69:AT157,3,6)</f>
        <v>OK</v>
      </c>
      <c r="T164" s="97" t="str">
        <f>INDEX('[7]PLANILLA EDNA '!M69:AU157,3,6)</f>
        <v>OK</v>
      </c>
      <c r="U164" s="97" t="str">
        <f>INDEX('[7]PLANILLA EDNA '!N69:AV157,3,6)</f>
        <v>D</v>
      </c>
      <c r="V164" s="97" t="str">
        <f>INDEX('[7]PLANILLA EDNA '!O69:AW157,3,6)</f>
        <v>OK</v>
      </c>
      <c r="W164" s="97" t="str">
        <f>INDEX('[7]PLANILLA EDNA '!P69:AX157,3,6)</f>
        <v>OK</v>
      </c>
      <c r="X164" s="97" t="str">
        <f>INDEX('[7]PLANILLA EDNA '!Q69:AY157,3,6)</f>
        <v>OK</v>
      </c>
      <c r="Y164" s="97" t="str">
        <f>INDEX('[7]PLANILLA EDNA '!R69:AZ157,3,6)</f>
        <v>OK</v>
      </c>
      <c r="Z164" s="97" t="str">
        <f>INDEX('[7]PLANILLA EDNA '!S69:BA157,3,6)</f>
        <v>OK</v>
      </c>
      <c r="AA164" s="97" t="str">
        <f>INDEX('[7]PLANILLA EDNA '!T69:BB157,3,6)</f>
        <v>OK</v>
      </c>
      <c r="AB164" s="97" t="str">
        <f>INDEX('[7]PLANILLA EDNA '!U69:BC157,3,6)</f>
        <v>D</v>
      </c>
      <c r="AC164" s="97" t="str">
        <f>INDEX('[7]PLANILLA EDNA '!V69:BD157,3,6)</f>
        <v>OK</v>
      </c>
      <c r="AD164" s="97" t="str">
        <f>INDEX('[7]PLANILLA EDNA '!W69:BE157,3,6)</f>
        <v>OK</v>
      </c>
      <c r="AE164" s="97" t="str">
        <f>INDEX('[7]PLANILLA EDNA '!X69:BF157,3,6)</f>
        <v>OK</v>
      </c>
      <c r="AF164" s="97">
        <f>INDEX('[7]PLANILLA EDNA '!Y69:BG157,3,6)</f>
        <v>0</v>
      </c>
      <c r="AG164" s="97">
        <f>INDEX('[7]PLANILLA EDNA '!Z69:BH157,3,6)</f>
        <v>0</v>
      </c>
      <c r="AH164" s="97">
        <f>INDEX('[7]PLANILLA EDNA '!AA69:BI157,3,6)</f>
        <v>0</v>
      </c>
      <c r="AI164" s="97">
        <f>INDEX('[7]PLANILLA EDNA '!AB69:BJ157,3,6)</f>
        <v>0</v>
      </c>
      <c r="AJ164" s="97">
        <f>INDEX('[7]PLANILLA EDNA '!AC69:BK157,3,6)</f>
        <v>0</v>
      </c>
      <c r="AK164" s="97">
        <f>INDEX('[7]PLANILLA EDNA '!AD69:BL157,3,6)</f>
        <v>0</v>
      </c>
      <c r="AL164" s="97">
        <f>INDEX('[7]PLANILLA EDNA '!AE69:BM157,3,6)</f>
        <v>0</v>
      </c>
      <c r="AM164" s="97">
        <f>INDEX('[7]PLANILLA EDNA '!AF69:BN157,3,6)</f>
        <v>0</v>
      </c>
      <c r="AO164" s="116">
        <f t="shared" ref="AO164:BA183" si="21">COUNTIF($J164:$AM164,AO$7)</f>
        <v>0</v>
      </c>
      <c r="AP164" s="116">
        <f t="shared" si="21"/>
        <v>0</v>
      </c>
      <c r="AQ164" s="116">
        <f t="shared" si="21"/>
        <v>5</v>
      </c>
      <c r="AR164" s="116">
        <f t="shared" si="21"/>
        <v>0</v>
      </c>
      <c r="AS164" s="116">
        <f t="shared" si="21"/>
        <v>0</v>
      </c>
      <c r="AT164" s="116">
        <f t="shared" si="21"/>
        <v>0</v>
      </c>
      <c r="AU164" s="116">
        <f t="shared" si="21"/>
        <v>0</v>
      </c>
      <c r="AV164" s="116">
        <f t="shared" si="21"/>
        <v>0</v>
      </c>
      <c r="AW164" s="116">
        <f t="shared" si="21"/>
        <v>0</v>
      </c>
      <c r="AX164" s="116">
        <f t="shared" si="21"/>
        <v>0</v>
      </c>
      <c r="AY164" s="116">
        <f t="shared" si="21"/>
        <v>0</v>
      </c>
      <c r="AZ164" s="116">
        <f t="shared" si="21"/>
        <v>0</v>
      </c>
      <c r="BA164" s="116">
        <f t="shared" si="21"/>
        <v>17</v>
      </c>
      <c r="BB164" s="117">
        <f t="shared" si="17"/>
        <v>22</v>
      </c>
    </row>
    <row r="165" spans="1:54" ht="32.1" customHeight="1">
      <c r="B165" s="112">
        <v>157</v>
      </c>
      <c r="C165" s="133">
        <f>+'[7]PLANILLA EDNA '!C72</f>
        <v>91438948</v>
      </c>
      <c r="D165" s="114" t="str">
        <f>IFERROR(VLOOKUP($C165,'[7]PLANILLA EDNA '!$C$9:$F$100,2,0),"NO BD")</f>
        <v xml:space="preserve">GIL RANGEL WILSON  </v>
      </c>
      <c r="E165" s="134" t="s">
        <v>592</v>
      </c>
      <c r="F165" s="114" t="str">
        <f>IFERROR(VLOOKUP($C165,[7]BD!$B$3:$O$213,3,0),"")</f>
        <v>OPERARIO DE MANTENIMIENTO</v>
      </c>
      <c r="G165" s="114" t="str">
        <f>IFERROR(VLOOKUP($C165,'[7]PLANILLA EDNA '!$C$9:$F$100,4,0),"NO BD")</f>
        <v>SEDE 1 - MANZANA LIEVANO - ALCALDÍA MAYOR</v>
      </c>
      <c r="H165" s="114" t="str">
        <f>IFERROR(VLOOKUP($C165,[7]BD!$B$3:$O$203,14,0),"")</f>
        <v>3133500092</v>
      </c>
      <c r="I165" s="114" t="str">
        <f>IFERROR(VLOOKUP($C165,[7]BD!$B$3:$O$203,4,0),"")</f>
        <v>06/01/2026</v>
      </c>
      <c r="J165" s="97" t="str">
        <f>INDEX('[7]PLANILLA EDNA '!C70:AK158,3,6)</f>
        <v>OK</v>
      </c>
      <c r="K165" s="97" t="str">
        <f>INDEX('[7]PLANILLA EDNA '!D70:AL158,3,6)</f>
        <v>D</v>
      </c>
      <c r="L165" s="97" t="str">
        <f>INDEX('[7]PLANILLA EDNA '!E70:AM158,3,6)</f>
        <v>D</v>
      </c>
      <c r="M165" s="97" t="str">
        <f>INDEX('[7]PLANILLA EDNA '!F70:AN158,3,6)</f>
        <v>OK</v>
      </c>
      <c r="N165" s="97" t="str">
        <f>INDEX('[7]PLANILLA EDNA '!G70:AO158,3,6)</f>
        <v>D</v>
      </c>
      <c r="O165" s="97" t="str">
        <f>INDEX('[7]PLANILLA EDNA '!H70:AP158,3,6)</f>
        <v>OK</v>
      </c>
      <c r="P165" s="97" t="str">
        <f>INDEX('[7]PLANILLA EDNA '!I70:AQ158,3,6)</f>
        <v>OK</v>
      </c>
      <c r="Q165" s="97" t="str">
        <f>INDEX('[7]PLANILLA EDNA '!J70:AR158,3,6)</f>
        <v>INC</v>
      </c>
      <c r="R165" s="97" t="str">
        <f>INDEX('[7]PLANILLA EDNA '!K70:AS158,3,6)</f>
        <v>INC</v>
      </c>
      <c r="S165" s="97" t="str">
        <f>INDEX('[7]PLANILLA EDNA '!L70:AT158,3,6)</f>
        <v>OK</v>
      </c>
      <c r="T165" s="97" t="str">
        <f>INDEX('[7]PLANILLA EDNA '!M70:AU158,3,6)</f>
        <v>OK</v>
      </c>
      <c r="U165" s="97" t="str">
        <f>INDEX('[7]PLANILLA EDNA '!N70:AV158,3,6)</f>
        <v>D</v>
      </c>
      <c r="V165" s="97" t="str">
        <f>INDEX('[7]PLANILLA EDNA '!O70:AW158,3,6)</f>
        <v>OK</v>
      </c>
      <c r="W165" s="97" t="str">
        <f>INDEX('[7]PLANILLA EDNA '!P70:AX158,3,6)</f>
        <v>OK</v>
      </c>
      <c r="X165" s="97" t="str">
        <f>INDEX('[7]PLANILLA EDNA '!Q70:AY158,3,6)</f>
        <v>OK</v>
      </c>
      <c r="Y165" s="97" t="str">
        <f>INDEX('[7]PLANILLA EDNA '!R70:AZ158,3,6)</f>
        <v>OK</v>
      </c>
      <c r="Z165" s="97" t="str">
        <f>INDEX('[7]PLANILLA EDNA '!S70:BA158,3,6)</f>
        <v>OK</v>
      </c>
      <c r="AA165" s="97" t="str">
        <f>INDEX('[7]PLANILLA EDNA '!T70:BB158,3,6)</f>
        <v>OK</v>
      </c>
      <c r="AB165" s="97" t="str">
        <f>INDEX('[7]PLANILLA EDNA '!U70:BC158,3,6)</f>
        <v>D</v>
      </c>
      <c r="AC165" s="97" t="str">
        <f>INDEX('[7]PLANILLA EDNA '!V70:BD158,3,6)</f>
        <v>OK</v>
      </c>
      <c r="AD165" s="97" t="str">
        <f>INDEX('[7]PLANILLA EDNA '!W70:BE158,3,6)</f>
        <v>OK</v>
      </c>
      <c r="AE165" s="97" t="str">
        <f>INDEX('[7]PLANILLA EDNA '!X70:BF158,3,6)</f>
        <v>OK</v>
      </c>
      <c r="AF165" s="97">
        <f>INDEX('[7]PLANILLA EDNA '!Y70:BG158,3,6)</f>
        <v>0</v>
      </c>
      <c r="AG165" s="97">
        <f>INDEX('[7]PLANILLA EDNA '!Z70:BH158,3,6)</f>
        <v>0</v>
      </c>
      <c r="AH165" s="97">
        <f>INDEX('[7]PLANILLA EDNA '!AA70:BI158,3,6)</f>
        <v>0</v>
      </c>
      <c r="AI165" s="97">
        <f>INDEX('[7]PLANILLA EDNA '!AB70:BJ158,3,6)</f>
        <v>0</v>
      </c>
      <c r="AJ165" s="97">
        <f>INDEX('[7]PLANILLA EDNA '!AC70:BK158,3,6)</f>
        <v>0</v>
      </c>
      <c r="AK165" s="97">
        <f>INDEX('[7]PLANILLA EDNA '!AD70:BL158,3,6)</f>
        <v>0</v>
      </c>
      <c r="AL165" s="97">
        <f>INDEX('[7]PLANILLA EDNA '!AE70:BM158,3,6)</f>
        <v>0</v>
      </c>
      <c r="AM165" s="97">
        <f>INDEX('[7]PLANILLA EDNA '!AF70:BN158,3,6)</f>
        <v>0</v>
      </c>
      <c r="AO165" s="116">
        <f t="shared" si="21"/>
        <v>0</v>
      </c>
      <c r="AP165" s="116">
        <f t="shared" si="21"/>
        <v>0</v>
      </c>
      <c r="AQ165" s="116">
        <f t="shared" si="21"/>
        <v>5</v>
      </c>
      <c r="AR165" s="116">
        <f t="shared" si="21"/>
        <v>2</v>
      </c>
      <c r="AS165" s="116">
        <f t="shared" si="21"/>
        <v>0</v>
      </c>
      <c r="AT165" s="116">
        <f t="shared" si="21"/>
        <v>0</v>
      </c>
      <c r="AU165" s="116">
        <f t="shared" si="21"/>
        <v>0</v>
      </c>
      <c r="AV165" s="116">
        <f t="shared" si="21"/>
        <v>0</v>
      </c>
      <c r="AW165" s="116">
        <f t="shared" si="21"/>
        <v>0</v>
      </c>
      <c r="AX165" s="116">
        <f t="shared" si="21"/>
        <v>0</v>
      </c>
      <c r="AY165" s="116">
        <f t="shared" si="21"/>
        <v>0</v>
      </c>
      <c r="AZ165" s="116">
        <f t="shared" si="21"/>
        <v>0</v>
      </c>
      <c r="BA165" s="116">
        <f t="shared" si="21"/>
        <v>15</v>
      </c>
      <c r="BB165" s="117">
        <f t="shared" si="17"/>
        <v>20</v>
      </c>
    </row>
    <row r="166" spans="1:54" ht="15.95" customHeight="1">
      <c r="B166" s="112">
        <v>158</v>
      </c>
      <c r="C166" s="133">
        <f>+'[7]PLANILLA EDNA '!C73</f>
        <v>1023934402</v>
      </c>
      <c r="D166" s="114" t="str">
        <f>IFERROR(VLOOKUP($C166,'[7]PLANILLA EDNA '!$C$9:$F$100,2,0),"NO BD")</f>
        <v xml:space="preserve">TORRES SOTO MARIA TERESA </v>
      </c>
      <c r="E166" s="134" t="s">
        <v>592</v>
      </c>
      <c r="F166" s="114" t="str">
        <f>IFERROR(VLOOKUP($C166,[7]BD!$B$3:$O$213,3,0),"")</f>
        <v>OPERARIA DE ASEO Y CAFETERIA</v>
      </c>
      <c r="G166" s="114" t="str">
        <f>IFERROR(VLOOKUP($C166,'[7]PLANILLA EDNA '!$C$9:$F$100,4,0),"NO BD")</f>
        <v xml:space="preserve">SEDE 2- DIRECCIÓN DISTRITAL DE ARCHIVO DE  BOGOTA </v>
      </c>
      <c r="H166" s="114" t="str">
        <f>IFERROR(VLOOKUP($C166,[7]BD!$B$3:$O$203,14,0),"")</f>
        <v>3003866003</v>
      </c>
      <c r="I166" s="114" t="str">
        <f>IFERROR(VLOOKUP($C166,[7]BD!$B$3:$O$203,4,0),"")</f>
        <v>06/01/2026</v>
      </c>
      <c r="J166" s="97" t="str">
        <f>INDEX('[7]PLANILLA EDNA '!C71:AK159,3,6)</f>
        <v>OK</v>
      </c>
      <c r="K166" s="97" t="str">
        <f>INDEX('[7]PLANILLA EDNA '!D71:AL159,3,6)</f>
        <v>D</v>
      </c>
      <c r="L166" s="97" t="str">
        <f>INDEX('[7]PLANILLA EDNA '!E71:AM159,3,6)</f>
        <v>D</v>
      </c>
      <c r="M166" s="97" t="str">
        <f>INDEX('[7]PLANILLA EDNA '!F71:AN159,3,6)</f>
        <v>OK</v>
      </c>
      <c r="N166" s="97" t="str">
        <f>INDEX('[7]PLANILLA EDNA '!G71:AO159,3,6)</f>
        <v>D</v>
      </c>
      <c r="O166" s="97" t="str">
        <f>INDEX('[7]PLANILLA EDNA '!H71:AP159,3,6)</f>
        <v>OK</v>
      </c>
      <c r="P166" s="97" t="str">
        <f>INDEX('[7]PLANILLA EDNA '!I71:AQ159,3,6)</f>
        <v>OK</v>
      </c>
      <c r="Q166" s="97" t="str">
        <f>INDEX('[7]PLANILLA EDNA '!J71:AR159,3,6)</f>
        <v>OK</v>
      </c>
      <c r="R166" s="97" t="str">
        <f>INDEX('[7]PLANILLA EDNA '!K71:AS159,3,6)</f>
        <v>OK</v>
      </c>
      <c r="S166" s="97" t="str">
        <f>INDEX('[7]PLANILLA EDNA '!L71:AT159,3,6)</f>
        <v>OK</v>
      </c>
      <c r="T166" s="97" t="str">
        <f>INDEX('[7]PLANILLA EDNA '!M71:AU159,3,6)</f>
        <v>OK</v>
      </c>
      <c r="U166" s="97" t="str">
        <f>INDEX('[7]PLANILLA EDNA '!N71:AV159,3,6)</f>
        <v>D</v>
      </c>
      <c r="V166" s="97" t="str">
        <f>INDEX('[7]PLANILLA EDNA '!O71:AW159,3,6)</f>
        <v>OK</v>
      </c>
      <c r="W166" s="97" t="str">
        <f>INDEX('[7]PLANILLA EDNA '!P71:AX159,3,6)</f>
        <v>OK</v>
      </c>
      <c r="X166" s="97" t="str">
        <f>INDEX('[7]PLANILLA EDNA '!Q71:AY159,3,6)</f>
        <v>OK</v>
      </c>
      <c r="Y166" s="97" t="str">
        <f>INDEX('[7]PLANILLA EDNA '!R71:AZ159,3,6)</f>
        <v>OK</v>
      </c>
      <c r="Z166" s="97" t="str">
        <f>INDEX('[7]PLANILLA EDNA '!S71:BA159,3,6)</f>
        <v>OK</v>
      </c>
      <c r="AA166" s="97" t="str">
        <f>INDEX('[7]PLANILLA EDNA '!T71:BB159,3,6)</f>
        <v>OK</v>
      </c>
      <c r="AB166" s="97" t="str">
        <f>INDEX('[7]PLANILLA EDNA '!U71:BC159,3,6)</f>
        <v>D</v>
      </c>
      <c r="AC166" s="97" t="str">
        <f>INDEX('[7]PLANILLA EDNA '!V71:BD159,3,6)</f>
        <v>OK</v>
      </c>
      <c r="AD166" s="97" t="str">
        <f>INDEX('[7]PLANILLA EDNA '!W71:BE159,3,6)</f>
        <v>OK</v>
      </c>
      <c r="AE166" s="97" t="str">
        <f>INDEX('[7]PLANILLA EDNA '!X71:BF159,3,6)</f>
        <v>OK</v>
      </c>
      <c r="AF166" s="97">
        <f>INDEX('[7]PLANILLA EDNA '!Y71:BG159,3,6)</f>
        <v>0</v>
      </c>
      <c r="AG166" s="97">
        <f>INDEX('[7]PLANILLA EDNA '!Z71:BH159,3,6)</f>
        <v>0</v>
      </c>
      <c r="AH166" s="97">
        <f>INDEX('[7]PLANILLA EDNA '!AA71:BI159,3,6)</f>
        <v>0</v>
      </c>
      <c r="AI166" s="97">
        <f>INDEX('[7]PLANILLA EDNA '!AB71:BJ159,3,6)</f>
        <v>0</v>
      </c>
      <c r="AJ166" s="97">
        <f>INDEX('[7]PLANILLA EDNA '!AC71:BK159,3,6)</f>
        <v>0</v>
      </c>
      <c r="AK166" s="97">
        <f>INDEX('[7]PLANILLA EDNA '!AD71:BL159,3,6)</f>
        <v>0</v>
      </c>
      <c r="AL166" s="97">
        <f>INDEX('[7]PLANILLA EDNA '!AE71:BM159,3,6)</f>
        <v>0</v>
      </c>
      <c r="AM166" s="97">
        <f>INDEX('[7]PLANILLA EDNA '!AF71:BN159,3,6)</f>
        <v>0</v>
      </c>
      <c r="AO166" s="116">
        <f t="shared" si="21"/>
        <v>0</v>
      </c>
      <c r="AP166" s="116">
        <f t="shared" si="21"/>
        <v>0</v>
      </c>
      <c r="AQ166" s="116">
        <f t="shared" si="21"/>
        <v>5</v>
      </c>
      <c r="AR166" s="116">
        <f t="shared" si="21"/>
        <v>0</v>
      </c>
      <c r="AS166" s="116">
        <f t="shared" si="21"/>
        <v>0</v>
      </c>
      <c r="AT166" s="116">
        <f t="shared" si="21"/>
        <v>0</v>
      </c>
      <c r="AU166" s="116">
        <f t="shared" si="21"/>
        <v>0</v>
      </c>
      <c r="AV166" s="116">
        <f t="shared" si="21"/>
        <v>0</v>
      </c>
      <c r="AW166" s="116">
        <f t="shared" si="21"/>
        <v>0</v>
      </c>
      <c r="AX166" s="116">
        <f t="shared" si="21"/>
        <v>0</v>
      </c>
      <c r="AY166" s="116">
        <f t="shared" si="21"/>
        <v>0</v>
      </c>
      <c r="AZ166" s="116">
        <f t="shared" si="21"/>
        <v>0</v>
      </c>
      <c r="BA166" s="116">
        <f t="shared" si="21"/>
        <v>17</v>
      </c>
      <c r="BB166" s="117">
        <f t="shared" si="17"/>
        <v>22</v>
      </c>
    </row>
    <row r="167" spans="1:54" ht="15.95" customHeight="1">
      <c r="B167" s="112">
        <v>159</v>
      </c>
      <c r="C167" s="133">
        <f>+'[7]PLANILLA EDNA '!C74</f>
        <v>53892166</v>
      </c>
      <c r="D167" s="114" t="str">
        <f>IFERROR(VLOOKUP($C167,'[7]PLANILLA EDNA '!$C$9:$F$100,2,0),"NO BD")</f>
        <v xml:space="preserve">LOPEZ REINA YENNY ANDREA </v>
      </c>
      <c r="E167" s="134" t="s">
        <v>592</v>
      </c>
      <c r="F167" s="114" t="str">
        <f>IFERROR(VLOOKUP($C167,[7]BD!$B$3:$O$213,3,0),"")</f>
        <v>OPERARIA DE ASEO Y CAFETERIA</v>
      </c>
      <c r="G167" s="114" t="str">
        <f>IFERROR(VLOOKUP($C167,'[7]PLANILLA EDNA '!$C$9:$F$100,4,0),"NO BD")</f>
        <v xml:space="preserve">SEDE 2- DIRECCIÓN DISTRITAL DE ARCHIVO DE  BOGOTA </v>
      </c>
      <c r="H167" s="114" t="str">
        <f>IFERROR(VLOOKUP($C167,[7]BD!$B$3:$O$203,14,0),"")</f>
        <v>3102772175</v>
      </c>
      <c r="I167" s="114" t="str">
        <f>IFERROR(VLOOKUP($C167,[7]BD!$B$3:$O$203,4,0),"")</f>
        <v>14/01/2026</v>
      </c>
      <c r="J167" s="97" t="str">
        <f>INDEX('[7]PLANILLA EDNA '!C72:AK160,3,6)</f>
        <v>OK</v>
      </c>
      <c r="K167" s="97" t="str">
        <f>INDEX('[7]PLANILLA EDNA '!D72:AL160,3,6)</f>
        <v>D</v>
      </c>
      <c r="L167" s="97" t="str">
        <f>INDEX('[7]PLANILLA EDNA '!E72:AM160,3,6)</f>
        <v>D</v>
      </c>
      <c r="M167" s="97" t="str">
        <f>INDEX('[7]PLANILLA EDNA '!F72:AN160,3,6)</f>
        <v>OK</v>
      </c>
      <c r="N167" s="97" t="str">
        <f>INDEX('[7]PLANILLA EDNA '!G72:AO160,3,6)</f>
        <v>D</v>
      </c>
      <c r="O167" s="97" t="str">
        <f>INDEX('[7]PLANILLA EDNA '!H72:AP160,3,6)</f>
        <v>OK</v>
      </c>
      <c r="P167" s="97" t="str">
        <f>INDEX('[7]PLANILLA EDNA '!I72:AQ160,3,6)</f>
        <v>OK</v>
      </c>
      <c r="Q167" s="97" t="str">
        <f>INDEX('[7]PLANILLA EDNA '!J72:AR160,3,6)</f>
        <v>OK</v>
      </c>
      <c r="R167" s="97" t="str">
        <f>INDEX('[7]PLANILLA EDNA '!K72:AS160,3,6)</f>
        <v>OK</v>
      </c>
      <c r="S167" s="97" t="str">
        <f>INDEX('[7]PLANILLA EDNA '!L72:AT160,3,6)</f>
        <v>OK</v>
      </c>
      <c r="T167" s="97" t="str">
        <f>INDEX('[7]PLANILLA EDNA '!M72:AU160,3,6)</f>
        <v>OK</v>
      </c>
      <c r="U167" s="97" t="str">
        <f>INDEX('[7]PLANILLA EDNA '!N72:AV160,3,6)</f>
        <v>D</v>
      </c>
      <c r="V167" s="97" t="str">
        <f>INDEX('[7]PLANILLA EDNA '!O72:AW160,3,6)</f>
        <v>OK</v>
      </c>
      <c r="W167" s="97" t="str">
        <f>INDEX('[7]PLANILLA EDNA '!P72:AX160,3,6)</f>
        <v>OK</v>
      </c>
      <c r="X167" s="97" t="str">
        <f>INDEX('[7]PLANILLA EDNA '!Q72:AY160,3,6)</f>
        <v>OK</v>
      </c>
      <c r="Y167" s="97" t="str">
        <f>INDEX('[7]PLANILLA EDNA '!R72:AZ160,3,6)</f>
        <v>OK</v>
      </c>
      <c r="Z167" s="97" t="str">
        <f>INDEX('[7]PLANILLA EDNA '!S72:BA160,3,6)</f>
        <v>OK</v>
      </c>
      <c r="AA167" s="97" t="str">
        <f>INDEX('[7]PLANILLA EDNA '!T72:BB160,3,6)</f>
        <v>OK</v>
      </c>
      <c r="AB167" s="97" t="str">
        <f>INDEX('[7]PLANILLA EDNA '!U72:BC160,3,6)</f>
        <v>D</v>
      </c>
      <c r="AC167" s="97" t="str">
        <f>INDEX('[7]PLANILLA EDNA '!V72:BD160,3,6)</f>
        <v>OK</v>
      </c>
      <c r="AD167" s="97" t="str">
        <f>INDEX('[7]PLANILLA EDNA '!W72:BE160,3,6)</f>
        <v>OK</v>
      </c>
      <c r="AE167" s="97" t="str">
        <f>INDEX('[7]PLANILLA EDNA '!X72:BF160,3,6)</f>
        <v>OK</v>
      </c>
      <c r="AF167" s="97">
        <f>INDEX('[7]PLANILLA EDNA '!Y72:BG160,3,6)</f>
        <v>0</v>
      </c>
      <c r="AG167" s="97">
        <f>INDEX('[7]PLANILLA EDNA '!Z72:BH160,3,6)</f>
        <v>0</v>
      </c>
      <c r="AH167" s="97">
        <f>INDEX('[7]PLANILLA EDNA '!AA72:BI160,3,6)</f>
        <v>0</v>
      </c>
      <c r="AI167" s="97">
        <f>INDEX('[7]PLANILLA EDNA '!AB72:BJ160,3,6)</f>
        <v>0</v>
      </c>
      <c r="AJ167" s="97">
        <f>INDEX('[7]PLANILLA EDNA '!AC72:BK160,3,6)</f>
        <v>0</v>
      </c>
      <c r="AK167" s="97">
        <f>INDEX('[7]PLANILLA EDNA '!AD72:BL160,3,6)</f>
        <v>0</v>
      </c>
      <c r="AL167" s="97">
        <f>INDEX('[7]PLANILLA EDNA '!AE72:BM160,3,6)</f>
        <v>0</v>
      </c>
      <c r="AM167" s="97">
        <f>INDEX('[7]PLANILLA EDNA '!AF72:BN160,3,6)</f>
        <v>0</v>
      </c>
      <c r="AO167" s="116">
        <f t="shared" si="21"/>
        <v>0</v>
      </c>
      <c r="AP167" s="116">
        <f t="shared" si="21"/>
        <v>0</v>
      </c>
      <c r="AQ167" s="116">
        <f t="shared" si="21"/>
        <v>5</v>
      </c>
      <c r="AR167" s="116">
        <f t="shared" si="21"/>
        <v>0</v>
      </c>
      <c r="AS167" s="116">
        <f t="shared" si="21"/>
        <v>0</v>
      </c>
      <c r="AT167" s="116">
        <f t="shared" si="21"/>
        <v>0</v>
      </c>
      <c r="AU167" s="116">
        <f t="shared" si="21"/>
        <v>0</v>
      </c>
      <c r="AV167" s="116">
        <f t="shared" si="21"/>
        <v>0</v>
      </c>
      <c r="AW167" s="116">
        <f t="shared" si="21"/>
        <v>0</v>
      </c>
      <c r="AX167" s="116">
        <f t="shared" si="21"/>
        <v>0</v>
      </c>
      <c r="AY167" s="116">
        <f t="shared" si="21"/>
        <v>0</v>
      </c>
      <c r="AZ167" s="116">
        <f t="shared" si="21"/>
        <v>0</v>
      </c>
      <c r="BA167" s="116">
        <f t="shared" si="21"/>
        <v>17</v>
      </c>
      <c r="BB167" s="117">
        <f t="shared" si="17"/>
        <v>22</v>
      </c>
    </row>
    <row r="168" spans="1:54">
      <c r="A168" s="119" t="s">
        <v>583</v>
      </c>
      <c r="B168" s="112">
        <v>160</v>
      </c>
      <c r="C168" s="133">
        <f>+'[7]PLANILLA EDNA '!C75</f>
        <v>72428676</v>
      </c>
      <c r="D168" s="114" t="str">
        <f>IFERROR(VLOOKUP($C168,'[7]PLANILLA EDNA '!$C$9:$F$100,2,0),"NO BD")</f>
        <v xml:space="preserve">MANOTAS SERNA DAVID ENRIQUE </v>
      </c>
      <c r="E168" s="134" t="s">
        <v>592</v>
      </c>
      <c r="F168" s="114" t="str">
        <f>IFERROR(VLOOKUP($C168,[7]BD!$B$3:$O$213,3,0),"")</f>
        <v>JARDINERO</v>
      </c>
      <c r="G168" s="114" t="str">
        <f>IFERROR(VLOOKUP($C168,'[7]PLANILLA EDNA '!$C$9:$F$100,4,0),"NO BD")</f>
        <v xml:space="preserve">SEDE 2- DIRECCIÓN DISTRITAL DE ARCHIVO DE  BOGOTA </v>
      </c>
      <c r="H168" s="114" t="str">
        <f>IFERROR(VLOOKUP($C168,[7]BD!$B$3:$O$203,14,0),"")</f>
        <v>3002072224</v>
      </c>
      <c r="I168" s="114" t="str">
        <f>IFERROR(VLOOKUP($C168,[7]BD!$B$3:$O$203,4,0),"")</f>
        <v>14/01/2026</v>
      </c>
      <c r="J168" s="97" t="str">
        <f>INDEX('[7]PLANILLA EDNA '!C73:AK161,3,6)</f>
        <v>OK</v>
      </c>
      <c r="K168" s="97" t="str">
        <f>INDEX('[7]PLANILLA EDNA '!D73:AL161,3,6)</f>
        <v>D</v>
      </c>
      <c r="L168" s="97" t="str">
        <f>INDEX('[7]PLANILLA EDNA '!E73:AM161,3,6)</f>
        <v>D</v>
      </c>
      <c r="M168" s="97" t="str">
        <f>INDEX('[7]PLANILLA EDNA '!F73:AN161,3,6)</f>
        <v>OK</v>
      </c>
      <c r="N168" s="97" t="str">
        <f>INDEX('[7]PLANILLA EDNA '!G73:AO161,3,6)</f>
        <v>D</v>
      </c>
      <c r="O168" s="97" t="str">
        <f>INDEX('[7]PLANILLA EDNA '!H73:AP161,3,6)</f>
        <v>OK</v>
      </c>
      <c r="P168" s="97" t="str">
        <f>INDEX('[7]PLANILLA EDNA '!I73:AQ161,3,6)</f>
        <v>OK</v>
      </c>
      <c r="Q168" s="97" t="str">
        <f>INDEX('[7]PLANILLA EDNA '!J73:AR161,3,6)</f>
        <v>AUS</v>
      </c>
      <c r="R168" s="97" t="str">
        <f>INDEX('[7]PLANILLA EDNA '!K73:AS161,3,6)</f>
        <v>OK</v>
      </c>
      <c r="S168" s="97" t="str">
        <f>INDEX('[7]PLANILLA EDNA '!L73:AT161,3,6)</f>
        <v>OK</v>
      </c>
      <c r="T168" s="97" t="str">
        <f>INDEX('[7]PLANILLA EDNA '!M73:AU161,3,6)</f>
        <v>OK</v>
      </c>
      <c r="U168" s="97" t="str">
        <f>INDEX('[7]PLANILLA EDNA '!N73:AV161,3,6)</f>
        <v>D</v>
      </c>
      <c r="V168" s="97" t="str">
        <f>INDEX('[7]PLANILLA EDNA '!O73:AW161,3,6)</f>
        <v>AUS</v>
      </c>
      <c r="W168" s="97" t="str">
        <f>INDEX('[7]PLANILLA EDNA '!P73:AX161,3,6)</f>
        <v>TS</v>
      </c>
      <c r="X168" s="97" t="str">
        <f>INDEX('[7]PLANILLA EDNA '!Q73:AY161,3,6)</f>
        <v>TS</v>
      </c>
      <c r="Y168" s="97" t="str">
        <f>INDEX('[7]PLANILLA EDNA '!R73:AZ161,3,6)</f>
        <v xml:space="preserve">TS </v>
      </c>
      <c r="Z168" s="97" t="str">
        <f>INDEX('[7]PLANILLA EDNA '!S73:BA161,3,6)</f>
        <v>TS</v>
      </c>
      <c r="AA168" s="97" t="str">
        <f>INDEX('[7]PLANILLA EDNA '!T73:BB161,3,6)</f>
        <v>TS</v>
      </c>
      <c r="AB168" s="97" t="str">
        <f>INDEX('[7]PLANILLA EDNA '!U73:BC161,3,6)</f>
        <v>TS</v>
      </c>
      <c r="AC168" s="97" t="str">
        <f>INDEX('[7]PLANILLA EDNA '!V73:BD161,3,6)</f>
        <v>TS</v>
      </c>
      <c r="AD168" s="97" t="str">
        <f>INDEX('[7]PLANILLA EDNA '!W73:BE161,3,6)</f>
        <v>TS</v>
      </c>
      <c r="AE168" s="97" t="str">
        <f>INDEX('[7]PLANILLA EDNA '!X73:BF161,3,6)</f>
        <v>TS</v>
      </c>
      <c r="AF168" s="97" t="str">
        <f>INDEX('[7]PLANILLA EDNA '!Y73:BG161,3,6)</f>
        <v>TS</v>
      </c>
      <c r="AG168" s="97" t="str">
        <f>INDEX('[7]PLANILLA EDNA '!Z73:BH161,3,6)</f>
        <v>TS</v>
      </c>
      <c r="AH168" s="97" t="str">
        <f>INDEX('[7]PLANILLA EDNA '!AA73:BI161,3,6)</f>
        <v>TS</v>
      </c>
      <c r="AI168" s="97" t="str">
        <f>INDEX('[7]PLANILLA EDNA '!AB73:BJ161,3,6)</f>
        <v>TS</v>
      </c>
      <c r="AJ168" s="97" t="str">
        <f>INDEX('[7]PLANILLA EDNA '!AC73:BK161,3,6)</f>
        <v>TS</v>
      </c>
      <c r="AK168" s="97" t="str">
        <f>INDEX('[7]PLANILLA EDNA '!AD73:BL161,3,6)</f>
        <v>TS</v>
      </c>
      <c r="AL168" s="97" t="str">
        <f>INDEX('[7]PLANILLA EDNA '!AE73:BM161,3,6)</f>
        <v>TS</v>
      </c>
      <c r="AM168" s="97" t="str">
        <f>INDEX('[7]PLANILLA EDNA '!AF73:BN161,3,6)</f>
        <v>TS</v>
      </c>
      <c r="AO168" s="116">
        <f t="shared" si="21"/>
        <v>2</v>
      </c>
      <c r="AP168" s="116">
        <f t="shared" si="21"/>
        <v>0</v>
      </c>
      <c r="AQ168" s="116">
        <f t="shared" si="21"/>
        <v>4</v>
      </c>
      <c r="AR168" s="116">
        <f t="shared" si="21"/>
        <v>0</v>
      </c>
      <c r="AS168" s="116">
        <f t="shared" si="21"/>
        <v>0</v>
      </c>
      <c r="AT168" s="116">
        <f t="shared" si="21"/>
        <v>0</v>
      </c>
      <c r="AU168" s="116">
        <f t="shared" si="21"/>
        <v>0</v>
      </c>
      <c r="AV168" s="116">
        <f t="shared" si="21"/>
        <v>0</v>
      </c>
      <c r="AW168" s="116">
        <f t="shared" si="21"/>
        <v>0</v>
      </c>
      <c r="AX168" s="116">
        <f t="shared" si="21"/>
        <v>0</v>
      </c>
      <c r="AY168" s="116">
        <f t="shared" si="21"/>
        <v>0</v>
      </c>
      <c r="AZ168" s="116">
        <f t="shared" si="21"/>
        <v>16</v>
      </c>
      <c r="BA168" s="116">
        <f t="shared" si="21"/>
        <v>7</v>
      </c>
      <c r="BB168" s="117">
        <f t="shared" si="17"/>
        <v>11</v>
      </c>
    </row>
    <row r="169" spans="1:54" ht="15.95" customHeight="1">
      <c r="B169" s="112">
        <v>161</v>
      </c>
      <c r="C169" s="133">
        <f>+'[7]PLANILLA EDNA '!C76</f>
        <v>52118270</v>
      </c>
      <c r="D169" s="114" t="str">
        <f>IFERROR(VLOOKUP($C169,'[7]PLANILLA EDNA '!$C$9:$F$100,2,0),"NO BD")</f>
        <v xml:space="preserve">ROJAS MARTINEZ MARIA CONSUELO </v>
      </c>
      <c r="E169" s="134" t="s">
        <v>592</v>
      </c>
      <c r="F169" s="114" t="str">
        <f>IFERROR(VLOOKUP($C169,[7]BD!$B$3:$O$213,3,0),"")</f>
        <v>SUPERNUMERARIAS DE ASEO Y CAFETERIA</v>
      </c>
      <c r="G169" s="114" t="str">
        <f>IFERROR(VLOOKUP($C169,'[7]PLANILLA EDNA '!$C$9:$F$100,4,0),"NO BD")</f>
        <v>SEDE 1 - MANZANA LIEVANO - ALCALDÍA MAYOR</v>
      </c>
      <c r="H169" s="114" t="str">
        <f>IFERROR(VLOOKUP($C169,[7]BD!$B$3:$O$203,14,0),"")</f>
        <v>3125374289</v>
      </c>
      <c r="I169" s="114" t="str">
        <f>IFERROR(VLOOKUP($C169,[7]BD!$B$3:$O$203,4,0),"")</f>
        <v>02/02/2026</v>
      </c>
      <c r="J169" s="97" t="str">
        <f>INDEX('[7]PLANILLA EDNA '!C74:AK162,3,6)</f>
        <v>OK</v>
      </c>
      <c r="K169" s="97" t="str">
        <f>INDEX('[7]PLANILLA EDNA '!D74:AL162,3,6)</f>
        <v>D</v>
      </c>
      <c r="L169" s="97" t="str">
        <f>INDEX('[7]PLANILLA EDNA '!E74:AM162,3,6)</f>
        <v>D</v>
      </c>
      <c r="M169" s="97" t="str">
        <f>INDEX('[7]PLANILLA EDNA '!F74:AN162,3,6)</f>
        <v>OK</v>
      </c>
      <c r="N169" s="97" t="str">
        <f>INDEX('[7]PLANILLA EDNA '!G74:AO162,3,6)</f>
        <v>D</v>
      </c>
      <c r="O169" s="97" t="str">
        <f>INDEX('[7]PLANILLA EDNA '!H74:AP162,3,6)</f>
        <v>OK</v>
      </c>
      <c r="P169" s="97" t="str">
        <f>INDEX('[7]PLANILLA EDNA '!I74:AQ162,3,6)</f>
        <v>OK</v>
      </c>
      <c r="Q169" s="97" t="str">
        <f>INDEX('[7]PLANILLA EDNA '!J74:AR162,3,6)</f>
        <v>OK</v>
      </c>
      <c r="R169" s="97" t="str">
        <f>INDEX('[7]PLANILLA EDNA '!K74:AS162,3,6)</f>
        <v>OK</v>
      </c>
      <c r="S169" s="97" t="str">
        <f>INDEX('[7]PLANILLA EDNA '!L74:AT162,3,6)</f>
        <v>OK</v>
      </c>
      <c r="T169" s="97" t="str">
        <f>INDEX('[7]PLANILLA EDNA '!M74:AU162,3,6)</f>
        <v>OK</v>
      </c>
      <c r="U169" s="97" t="str">
        <f>INDEX('[7]PLANILLA EDNA '!N74:AV162,3,6)</f>
        <v>D</v>
      </c>
      <c r="V169" s="97" t="str">
        <f>INDEX('[7]PLANILLA EDNA '!O74:AW162,3,6)</f>
        <v>OK</v>
      </c>
      <c r="W169" s="97" t="str">
        <f>INDEX('[7]PLANILLA EDNA '!P74:AX162,3,6)</f>
        <v>OK</v>
      </c>
      <c r="X169" s="97" t="str">
        <f>INDEX('[7]PLANILLA EDNA '!Q74:AY162,3,6)</f>
        <v>OK</v>
      </c>
      <c r="Y169" s="97" t="str">
        <f>INDEX('[7]PLANILLA EDNA '!R74:AZ162,3,6)</f>
        <v>OK</v>
      </c>
      <c r="Z169" s="97" t="str">
        <f>INDEX('[7]PLANILLA EDNA '!S74:BA162,3,6)</f>
        <v>OK</v>
      </c>
      <c r="AA169" s="97" t="str">
        <f>INDEX('[7]PLANILLA EDNA '!T74:BB162,3,6)</f>
        <v>OK</v>
      </c>
      <c r="AB169" s="97" t="str">
        <f>INDEX('[7]PLANILLA EDNA '!U74:BC162,3,6)</f>
        <v>D</v>
      </c>
      <c r="AC169" s="97" t="str">
        <f>INDEX('[7]PLANILLA EDNA '!V74:BD162,3,6)</f>
        <v>OK</v>
      </c>
      <c r="AD169" s="97" t="str">
        <f>INDEX('[7]PLANILLA EDNA '!W74:BE162,3,6)</f>
        <v>OK</v>
      </c>
      <c r="AE169" s="97" t="str">
        <f>INDEX('[7]PLANILLA EDNA '!X74:BF162,3,6)</f>
        <v>OK</v>
      </c>
      <c r="AF169" s="97">
        <f>INDEX('[7]PLANILLA EDNA '!Y74:BG162,3,6)</f>
        <v>0</v>
      </c>
      <c r="AG169" s="97">
        <f>INDEX('[7]PLANILLA EDNA '!Z74:BH162,3,6)</f>
        <v>0</v>
      </c>
      <c r="AH169" s="97">
        <f>INDEX('[7]PLANILLA EDNA '!AA74:BI162,3,6)</f>
        <v>0</v>
      </c>
      <c r="AI169" s="97">
        <f>INDEX('[7]PLANILLA EDNA '!AB74:BJ162,3,6)</f>
        <v>0</v>
      </c>
      <c r="AJ169" s="97">
        <f>INDEX('[7]PLANILLA EDNA '!AC74:BK162,3,6)</f>
        <v>0</v>
      </c>
      <c r="AK169" s="97">
        <f>INDEX('[7]PLANILLA EDNA '!AD74:BL162,3,6)</f>
        <v>0</v>
      </c>
      <c r="AL169" s="97">
        <f>INDEX('[7]PLANILLA EDNA '!AE74:BM162,3,6)</f>
        <v>0</v>
      </c>
      <c r="AM169" s="97">
        <f>INDEX('[7]PLANILLA EDNA '!AF74:BN162,3,6)</f>
        <v>0</v>
      </c>
      <c r="AO169" s="116">
        <f t="shared" si="21"/>
        <v>0</v>
      </c>
      <c r="AP169" s="116">
        <f t="shared" si="21"/>
        <v>0</v>
      </c>
      <c r="AQ169" s="116">
        <f t="shared" si="21"/>
        <v>5</v>
      </c>
      <c r="AR169" s="116">
        <f t="shared" si="21"/>
        <v>0</v>
      </c>
      <c r="AS169" s="116">
        <f t="shared" si="21"/>
        <v>0</v>
      </c>
      <c r="AT169" s="116">
        <f t="shared" si="21"/>
        <v>0</v>
      </c>
      <c r="AU169" s="116">
        <f t="shared" si="21"/>
        <v>0</v>
      </c>
      <c r="AV169" s="116">
        <f t="shared" si="21"/>
        <v>0</v>
      </c>
      <c r="AW169" s="116">
        <f t="shared" si="21"/>
        <v>0</v>
      </c>
      <c r="AX169" s="116">
        <f t="shared" si="21"/>
        <v>0</v>
      </c>
      <c r="AY169" s="116">
        <f t="shared" si="21"/>
        <v>0</v>
      </c>
      <c r="AZ169" s="116">
        <f t="shared" si="21"/>
        <v>0</v>
      </c>
      <c r="BA169" s="116">
        <f t="shared" si="21"/>
        <v>17</v>
      </c>
      <c r="BB169" s="117">
        <f t="shared" si="17"/>
        <v>22</v>
      </c>
    </row>
    <row r="170" spans="1:54" ht="15.95" customHeight="1">
      <c r="B170" s="112">
        <v>162</v>
      </c>
      <c r="C170" s="133">
        <f>+'[7]PLANILLA EDNA '!C77</f>
        <v>1023917280</v>
      </c>
      <c r="D170" s="114" t="str">
        <f>IFERROR(VLOOKUP($C170,'[7]PLANILLA EDNA '!$C$9:$F$100,2,0),"NO BD")</f>
        <v xml:space="preserve">BERNAL HOYOS EDNA  </v>
      </c>
      <c r="E170" s="134" t="s">
        <v>592</v>
      </c>
      <c r="F170" s="114" t="str">
        <f>IFERROR(VLOOKUP($C170,[7]BD!$B$3:$O$213,3,0),"")</f>
        <v>SUPERVISOR</v>
      </c>
      <c r="G170" s="114" t="str">
        <f>IFERROR(VLOOKUP($C170,'[7]PLANILLA EDNA '!$C$9:$F$100,4,0),"NO BD")</f>
        <v>SEDE 1 - MANZANA LIEVANO - ALCALDÍA MAYOR</v>
      </c>
      <c r="H170" s="114" t="str">
        <f>IFERROR(VLOOKUP($C170,[7]BD!$B$3:$O$203,14,0),"")</f>
        <v>3112290273</v>
      </c>
      <c r="I170" s="114" t="str">
        <f>IFERROR(VLOOKUP($C170,[7]BD!$B$3:$O$203,4,0),"")</f>
        <v>02/02/2026</v>
      </c>
      <c r="J170" s="97" t="str">
        <f>INDEX('[7]PLANILLA EDNA '!C75:AK163,3,6)</f>
        <v>OK</v>
      </c>
      <c r="K170" s="97" t="str">
        <f>INDEX('[7]PLANILLA EDNA '!D75:AL163,3,6)</f>
        <v>D</v>
      </c>
      <c r="L170" s="97" t="str">
        <f>INDEX('[7]PLANILLA EDNA '!E75:AM163,3,6)</f>
        <v>D</v>
      </c>
      <c r="M170" s="97" t="str">
        <f>INDEX('[7]PLANILLA EDNA '!F75:AN163,3,6)</f>
        <v>OK</v>
      </c>
      <c r="N170" s="97" t="str">
        <f>INDEX('[7]PLANILLA EDNA '!G75:AO163,3,6)</f>
        <v>D</v>
      </c>
      <c r="O170" s="97" t="str">
        <f>INDEX('[7]PLANILLA EDNA '!H75:AP163,3,6)</f>
        <v>OK</v>
      </c>
      <c r="P170" s="97" t="str">
        <f>INDEX('[7]PLANILLA EDNA '!I75:AQ163,3,6)</f>
        <v>OK</v>
      </c>
      <c r="Q170" s="97" t="str">
        <f>INDEX('[7]PLANILLA EDNA '!J75:AR163,3,6)</f>
        <v>OK</v>
      </c>
      <c r="R170" s="97" t="str">
        <f>INDEX('[7]PLANILLA EDNA '!K75:AS163,3,6)</f>
        <v>OK</v>
      </c>
      <c r="S170" s="97" t="str">
        <f>INDEX('[7]PLANILLA EDNA '!L75:AT163,3,6)</f>
        <v>OK</v>
      </c>
      <c r="T170" s="97" t="str">
        <f>INDEX('[7]PLANILLA EDNA '!M75:AU163,3,6)</f>
        <v>OK</v>
      </c>
      <c r="U170" s="97" t="str">
        <f>INDEX('[7]PLANILLA EDNA '!N75:AV163,3,6)</f>
        <v>D</v>
      </c>
      <c r="V170" s="97" t="str">
        <f>INDEX('[7]PLANILLA EDNA '!O75:AW163,3,6)</f>
        <v>OK</v>
      </c>
      <c r="W170" s="97" t="str">
        <f>INDEX('[7]PLANILLA EDNA '!P75:AX163,3,6)</f>
        <v>OK</v>
      </c>
      <c r="X170" s="97" t="str">
        <f>INDEX('[7]PLANILLA EDNA '!Q75:AY163,3,6)</f>
        <v>OK</v>
      </c>
      <c r="Y170" s="97" t="str">
        <f>INDEX('[7]PLANILLA EDNA '!R75:AZ163,3,6)</f>
        <v>OK</v>
      </c>
      <c r="Z170" s="97" t="str">
        <f>INDEX('[7]PLANILLA EDNA '!S75:BA163,3,6)</f>
        <v>OK</v>
      </c>
      <c r="AA170" s="97" t="str">
        <f>INDEX('[7]PLANILLA EDNA '!T75:BB163,3,6)</f>
        <v>OK</v>
      </c>
      <c r="AB170" s="97" t="str">
        <f>INDEX('[7]PLANILLA EDNA '!U75:BC163,3,6)</f>
        <v>D</v>
      </c>
      <c r="AC170" s="97" t="str">
        <f>INDEX('[7]PLANILLA EDNA '!V75:BD163,3,6)</f>
        <v>OK</v>
      </c>
      <c r="AD170" s="97" t="str">
        <f>INDEX('[7]PLANILLA EDNA '!W75:BE163,3,6)</f>
        <v>OK</v>
      </c>
      <c r="AE170" s="97" t="str">
        <f>INDEX('[7]PLANILLA EDNA '!X75:BF163,3,6)</f>
        <v>OK</v>
      </c>
      <c r="AF170" s="97">
        <f>INDEX('[7]PLANILLA EDNA '!Y75:BG163,3,6)</f>
        <v>0</v>
      </c>
      <c r="AG170" s="97">
        <f>INDEX('[7]PLANILLA EDNA '!Z75:BH163,3,6)</f>
        <v>0</v>
      </c>
      <c r="AH170" s="97">
        <f>INDEX('[7]PLANILLA EDNA '!AA75:BI163,3,6)</f>
        <v>0</v>
      </c>
      <c r="AI170" s="97">
        <f>INDEX('[7]PLANILLA EDNA '!AB75:BJ163,3,6)</f>
        <v>0</v>
      </c>
      <c r="AJ170" s="97">
        <f>INDEX('[7]PLANILLA EDNA '!AC75:BK163,3,6)</f>
        <v>0</v>
      </c>
      <c r="AK170" s="97">
        <f>INDEX('[7]PLANILLA EDNA '!AD75:BL163,3,6)</f>
        <v>0</v>
      </c>
      <c r="AL170" s="97">
        <f>INDEX('[7]PLANILLA EDNA '!AE75:BM163,3,6)</f>
        <v>0</v>
      </c>
      <c r="AM170" s="97">
        <f>INDEX('[7]PLANILLA EDNA '!AF75:BN163,3,6)</f>
        <v>0</v>
      </c>
      <c r="AO170" s="116">
        <f t="shared" si="21"/>
        <v>0</v>
      </c>
      <c r="AP170" s="116">
        <f t="shared" si="21"/>
        <v>0</v>
      </c>
      <c r="AQ170" s="116">
        <f t="shared" si="21"/>
        <v>5</v>
      </c>
      <c r="AR170" s="116">
        <f t="shared" si="21"/>
        <v>0</v>
      </c>
      <c r="AS170" s="116">
        <f t="shared" si="21"/>
        <v>0</v>
      </c>
      <c r="AT170" s="116">
        <f t="shared" si="21"/>
        <v>0</v>
      </c>
      <c r="AU170" s="116">
        <f t="shared" si="21"/>
        <v>0</v>
      </c>
      <c r="AV170" s="116">
        <f t="shared" si="21"/>
        <v>0</v>
      </c>
      <c r="AW170" s="116">
        <f t="shared" si="21"/>
        <v>0</v>
      </c>
      <c r="AX170" s="116">
        <f t="shared" si="21"/>
        <v>0</v>
      </c>
      <c r="AY170" s="116">
        <f t="shared" si="21"/>
        <v>0</v>
      </c>
      <c r="AZ170" s="116">
        <f t="shared" si="21"/>
        <v>0</v>
      </c>
      <c r="BA170" s="116">
        <f t="shared" si="21"/>
        <v>17</v>
      </c>
      <c r="BB170" s="117">
        <f t="shared" si="17"/>
        <v>22</v>
      </c>
    </row>
    <row r="171" spans="1:54" ht="32.1" customHeight="1">
      <c r="B171" s="112">
        <v>163</v>
      </c>
      <c r="C171" s="133">
        <f>+'[7]PLANILLA EDNA '!C78</f>
        <v>1033773795</v>
      </c>
      <c r="D171" s="114" t="str">
        <f>IFERROR(VLOOKUP($C171,'[7]PLANILLA EDNA '!$C$9:$F$100,2,0),"NO BD")</f>
        <v xml:space="preserve">BARRERA  INGRI  </v>
      </c>
      <c r="E171" s="134" t="s">
        <v>592</v>
      </c>
      <c r="F171" s="114" t="str">
        <f>IFERROR(VLOOKUP($C171,[7]BD!$B$3:$O$213,3,0),"")</f>
        <v>OPERARIA DE ASEO Y CAFETERIA</v>
      </c>
      <c r="G171" s="114" t="str">
        <f>IFERROR(VLOOKUP($C171,'[7]PLANILLA EDNA '!$C$9:$F$100,4,0),"NO BD")</f>
        <v>SEDE 1 - MANZANA LIEVANO - ALCALDÍA MAYOR</v>
      </c>
      <c r="H171" s="114" t="str">
        <f>IFERROR(VLOOKUP($C171,[7]BD!$B$3:$O$203,14,0),"")</f>
        <v>3108832491</v>
      </c>
      <c r="I171" s="114" t="str">
        <f>IFERROR(VLOOKUP($C171,[7]BD!$B$3:$O$203,4,0),"")</f>
        <v>25/03/2026</v>
      </c>
      <c r="J171" s="97" t="str">
        <f>INDEX('[7]PLANILLA EDNA '!C76:AK164,3,6)</f>
        <v>OK</v>
      </c>
      <c r="K171" s="97" t="str">
        <f>INDEX('[7]PLANILLA EDNA '!D76:AL164,3,6)</f>
        <v>D</v>
      </c>
      <c r="L171" s="97" t="str">
        <f>INDEX('[7]PLANILLA EDNA '!E76:AM164,3,6)</f>
        <v>D</v>
      </c>
      <c r="M171" s="97" t="str">
        <f>INDEX('[7]PLANILLA EDNA '!F76:AN164,3,6)</f>
        <v>OK</v>
      </c>
      <c r="N171" s="97" t="str">
        <f>INDEX('[7]PLANILLA EDNA '!G76:AO164,3,6)</f>
        <v>D</v>
      </c>
      <c r="O171" s="97" t="str">
        <f>INDEX('[7]PLANILLA EDNA '!H76:AP164,3,6)</f>
        <v>OK</v>
      </c>
      <c r="P171" s="97" t="str">
        <f>INDEX('[7]PLANILLA EDNA '!I76:AQ164,3,6)</f>
        <v>OK</v>
      </c>
      <c r="Q171" s="97" t="str">
        <f>INDEX('[7]PLANILLA EDNA '!J76:AR164,3,6)</f>
        <v>OK</v>
      </c>
      <c r="R171" s="97" t="str">
        <f>INDEX('[7]PLANILLA EDNA '!K76:AS164,3,6)</f>
        <v>OK</v>
      </c>
      <c r="S171" s="97" t="str">
        <f>INDEX('[7]PLANILLA EDNA '!L76:AT164,3,6)</f>
        <v>OK</v>
      </c>
      <c r="T171" s="97" t="str">
        <f>INDEX('[7]PLANILLA EDNA '!M76:AU164,3,6)</f>
        <v>OK</v>
      </c>
      <c r="U171" s="97" t="str">
        <f>INDEX('[7]PLANILLA EDNA '!N76:AV164,3,6)</f>
        <v>D</v>
      </c>
      <c r="V171" s="97" t="str">
        <f>INDEX('[7]PLANILLA EDNA '!O76:AW164,3,6)</f>
        <v>OK</v>
      </c>
      <c r="W171" s="97" t="str">
        <f>INDEX('[7]PLANILLA EDNA '!P76:AX164,3,6)</f>
        <v>OK</v>
      </c>
      <c r="X171" s="97" t="str">
        <f>INDEX('[7]PLANILLA EDNA '!Q76:AY164,3,6)</f>
        <v>OK</v>
      </c>
      <c r="Y171" s="97" t="str">
        <f>INDEX('[7]PLANILLA EDNA '!R76:AZ164,3,6)</f>
        <v>OK</v>
      </c>
      <c r="Z171" s="97" t="str">
        <f>INDEX('[7]PLANILLA EDNA '!S76:BA164,3,6)</f>
        <v>OK</v>
      </c>
      <c r="AA171" s="97" t="str">
        <f>INDEX('[7]PLANILLA EDNA '!T76:BB164,3,6)</f>
        <v>OK</v>
      </c>
      <c r="AB171" s="97" t="str">
        <f>INDEX('[7]PLANILLA EDNA '!U76:BC164,3,6)</f>
        <v>D</v>
      </c>
      <c r="AC171" s="97" t="str">
        <f>INDEX('[7]PLANILLA EDNA '!V76:BD164,3,6)</f>
        <v>OK</v>
      </c>
      <c r="AD171" s="97" t="str">
        <f>INDEX('[7]PLANILLA EDNA '!W76:BE164,3,6)</f>
        <v>OK</v>
      </c>
      <c r="AE171" s="97" t="str">
        <f>INDEX('[7]PLANILLA EDNA '!X76:BF164,3,6)</f>
        <v>OK</v>
      </c>
      <c r="AF171" s="97">
        <f>INDEX('[7]PLANILLA EDNA '!Y76:BG164,3,6)</f>
        <v>0</v>
      </c>
      <c r="AG171" s="97">
        <f>INDEX('[7]PLANILLA EDNA '!Z76:BH164,3,6)</f>
        <v>0</v>
      </c>
      <c r="AH171" s="97">
        <f>INDEX('[7]PLANILLA EDNA '!AA76:BI164,3,6)</f>
        <v>0</v>
      </c>
      <c r="AI171" s="97">
        <f>INDEX('[7]PLANILLA EDNA '!AB76:BJ164,3,6)</f>
        <v>0</v>
      </c>
      <c r="AJ171" s="97">
        <f>INDEX('[7]PLANILLA EDNA '!AC76:BK164,3,6)</f>
        <v>0</v>
      </c>
      <c r="AK171" s="97">
        <f>INDEX('[7]PLANILLA EDNA '!AD76:BL164,3,6)</f>
        <v>0</v>
      </c>
      <c r="AL171" s="97">
        <f>INDEX('[7]PLANILLA EDNA '!AE76:BM164,3,6)</f>
        <v>0</v>
      </c>
      <c r="AM171" s="97">
        <f>INDEX('[7]PLANILLA EDNA '!AF76:BN164,3,6)</f>
        <v>0</v>
      </c>
      <c r="AO171" s="116">
        <f t="shared" si="21"/>
        <v>0</v>
      </c>
      <c r="AP171" s="116">
        <f t="shared" si="21"/>
        <v>0</v>
      </c>
      <c r="AQ171" s="116">
        <f t="shared" si="21"/>
        <v>5</v>
      </c>
      <c r="AR171" s="116">
        <f t="shared" si="21"/>
        <v>0</v>
      </c>
      <c r="AS171" s="116">
        <f t="shared" si="21"/>
        <v>0</v>
      </c>
      <c r="AT171" s="116">
        <f t="shared" si="21"/>
        <v>0</v>
      </c>
      <c r="AU171" s="116">
        <f t="shared" si="21"/>
        <v>0</v>
      </c>
      <c r="AV171" s="116">
        <f t="shared" si="21"/>
        <v>0</v>
      </c>
      <c r="AW171" s="116">
        <f t="shared" si="21"/>
        <v>0</v>
      </c>
      <c r="AX171" s="116">
        <f t="shared" si="21"/>
        <v>0</v>
      </c>
      <c r="AY171" s="116">
        <f t="shared" si="21"/>
        <v>0</v>
      </c>
      <c r="AZ171" s="116">
        <f t="shared" si="21"/>
        <v>0</v>
      </c>
      <c r="BA171" s="116">
        <f t="shared" si="21"/>
        <v>17</v>
      </c>
      <c r="BB171" s="117">
        <f t="shared" si="17"/>
        <v>22</v>
      </c>
    </row>
    <row r="172" spans="1:54" ht="15.95" customHeight="1">
      <c r="B172" s="112">
        <v>164</v>
      </c>
      <c r="C172" s="133">
        <f>+'[7]PLANILLA EDNA '!C79</f>
        <v>52582054</v>
      </c>
      <c r="D172" s="114" t="str">
        <f>IFERROR(VLOOKUP($C172,'[7]PLANILLA EDNA '!$C$9:$F$100,2,0),"NO BD")</f>
        <v xml:space="preserve">RODRIGUEZ CASTILLO ELIZABETH  </v>
      </c>
      <c r="E172" s="134" t="s">
        <v>592</v>
      </c>
      <c r="F172" s="114" t="str">
        <f>IFERROR(VLOOKUP($C172,[7]BD!$B$3:$O$213,3,0),"")</f>
        <v>OPERARIA DE ASEO Y CAFETERIA</v>
      </c>
      <c r="G172" s="114" t="str">
        <f>IFERROR(VLOOKUP($C172,'[7]PLANILLA EDNA '!$C$9:$F$100,4,0),"NO BD")</f>
        <v>SEDE 1 - MANZANA LIEVANO - ALCALDÍA MAYOR</v>
      </c>
      <c r="H172" s="114" t="str">
        <f>IFERROR(VLOOKUP($C172,[7]BD!$B$3:$O$203,14,0),"")</f>
        <v>3125181881</v>
      </c>
      <c r="I172" s="114" t="str">
        <f>IFERROR(VLOOKUP($C172,[7]BD!$B$3:$O$203,4,0),"")</f>
        <v>26/03/2026</v>
      </c>
      <c r="J172" s="97" t="str">
        <f>INDEX('[7]PLANILLA EDNA '!C77:AK165,3,6)</f>
        <v>OK</v>
      </c>
      <c r="K172" s="97" t="str">
        <f>INDEX('[7]PLANILLA EDNA '!D77:AL165,3,6)</f>
        <v>D</v>
      </c>
      <c r="L172" s="97" t="str">
        <f>INDEX('[7]PLANILLA EDNA '!E77:AM165,3,6)</f>
        <v>D</v>
      </c>
      <c r="M172" s="97" t="str">
        <f>INDEX('[7]PLANILLA EDNA '!F77:AN165,3,6)</f>
        <v>OK</v>
      </c>
      <c r="N172" s="97" t="str">
        <f>INDEX('[7]PLANILLA EDNA '!G77:AO165,3,6)</f>
        <v>D</v>
      </c>
      <c r="O172" s="97" t="str">
        <f>INDEX('[7]PLANILLA EDNA '!H77:AP165,3,6)</f>
        <v>OK</v>
      </c>
      <c r="P172" s="97" t="str">
        <f>INDEX('[7]PLANILLA EDNA '!I77:AQ165,3,6)</f>
        <v>OK</v>
      </c>
      <c r="Q172" s="97" t="str">
        <f>INDEX('[7]PLANILLA EDNA '!J77:AR165,3,6)</f>
        <v>OK</v>
      </c>
      <c r="R172" s="97" t="str">
        <f>INDEX('[7]PLANILLA EDNA '!K77:AS165,3,6)</f>
        <v>OK</v>
      </c>
      <c r="S172" s="97" t="str">
        <f>INDEX('[7]PLANILLA EDNA '!L77:AT165,3,6)</f>
        <v>OK</v>
      </c>
      <c r="T172" s="97" t="str">
        <f>INDEX('[7]PLANILLA EDNA '!M77:AU165,3,6)</f>
        <v>OK</v>
      </c>
      <c r="U172" s="97" t="str">
        <f>INDEX('[7]PLANILLA EDNA '!N77:AV165,3,6)</f>
        <v>D</v>
      </c>
      <c r="V172" s="97" t="str">
        <f>INDEX('[7]PLANILLA EDNA '!O77:AW165,3,6)</f>
        <v>OK</v>
      </c>
      <c r="W172" s="97" t="str">
        <f>INDEX('[7]PLANILLA EDNA '!P77:AX165,3,6)</f>
        <v>OK</v>
      </c>
      <c r="X172" s="97" t="str">
        <f>INDEX('[7]PLANILLA EDNA '!Q77:AY165,3,6)</f>
        <v>OK</v>
      </c>
      <c r="Y172" s="97" t="str">
        <f>INDEX('[7]PLANILLA EDNA '!R77:AZ165,3,6)</f>
        <v>OK</v>
      </c>
      <c r="Z172" s="97" t="str">
        <f>INDEX('[7]PLANILLA EDNA '!S77:BA165,3,6)</f>
        <v>OK</v>
      </c>
      <c r="AA172" s="97" t="str">
        <f>INDEX('[7]PLANILLA EDNA '!T77:BB165,3,6)</f>
        <v>OK</v>
      </c>
      <c r="AB172" s="97" t="str">
        <f>INDEX('[7]PLANILLA EDNA '!U77:BC165,3,6)</f>
        <v>D</v>
      </c>
      <c r="AC172" s="97" t="str">
        <f>INDEX('[7]PLANILLA EDNA '!V77:BD165,3,6)</f>
        <v>OK</v>
      </c>
      <c r="AD172" s="97" t="str">
        <f>INDEX('[7]PLANILLA EDNA '!W77:BE165,3,6)</f>
        <v>OK</v>
      </c>
      <c r="AE172" s="97" t="str">
        <f>INDEX('[7]PLANILLA EDNA '!X77:BF165,3,6)</f>
        <v>OK</v>
      </c>
      <c r="AF172" s="97">
        <f>INDEX('[7]PLANILLA EDNA '!Y77:BG165,3,6)</f>
        <v>0</v>
      </c>
      <c r="AG172" s="97">
        <f>INDEX('[7]PLANILLA EDNA '!Z77:BH165,3,6)</f>
        <v>0</v>
      </c>
      <c r="AH172" s="97">
        <f>INDEX('[7]PLANILLA EDNA '!AA77:BI165,3,6)</f>
        <v>0</v>
      </c>
      <c r="AI172" s="97">
        <f>INDEX('[7]PLANILLA EDNA '!AB77:BJ165,3,6)</f>
        <v>0</v>
      </c>
      <c r="AJ172" s="97">
        <f>INDEX('[7]PLANILLA EDNA '!AC77:BK165,3,6)</f>
        <v>0</v>
      </c>
      <c r="AK172" s="97">
        <f>INDEX('[7]PLANILLA EDNA '!AD77:BL165,3,6)</f>
        <v>0</v>
      </c>
      <c r="AL172" s="97">
        <f>INDEX('[7]PLANILLA EDNA '!AE77:BM165,3,6)</f>
        <v>0</v>
      </c>
      <c r="AM172" s="97">
        <f>INDEX('[7]PLANILLA EDNA '!AF77:BN165,3,6)</f>
        <v>0</v>
      </c>
      <c r="AO172" s="116">
        <f t="shared" si="21"/>
        <v>0</v>
      </c>
      <c r="AP172" s="116">
        <f t="shared" si="21"/>
        <v>0</v>
      </c>
      <c r="AQ172" s="116">
        <f t="shared" si="21"/>
        <v>5</v>
      </c>
      <c r="AR172" s="116">
        <f t="shared" si="21"/>
        <v>0</v>
      </c>
      <c r="AS172" s="116">
        <f t="shared" si="21"/>
        <v>0</v>
      </c>
      <c r="AT172" s="116">
        <f t="shared" si="21"/>
        <v>0</v>
      </c>
      <c r="AU172" s="116">
        <f t="shared" si="21"/>
        <v>0</v>
      </c>
      <c r="AV172" s="116">
        <f t="shared" si="21"/>
        <v>0</v>
      </c>
      <c r="AW172" s="116">
        <f t="shared" si="21"/>
        <v>0</v>
      </c>
      <c r="AX172" s="116">
        <f t="shared" si="21"/>
        <v>0</v>
      </c>
      <c r="AY172" s="116">
        <f t="shared" si="21"/>
        <v>0</v>
      </c>
      <c r="AZ172" s="116">
        <f t="shared" si="21"/>
        <v>0</v>
      </c>
      <c r="BA172" s="116">
        <f t="shared" si="21"/>
        <v>17</v>
      </c>
      <c r="BB172" s="117">
        <f t="shared" si="17"/>
        <v>22</v>
      </c>
    </row>
    <row r="173" spans="1:54" ht="32.1" customHeight="1">
      <c r="B173" s="112">
        <v>165</v>
      </c>
      <c r="C173" s="133">
        <f>+'[7]PLANILLA EDNA '!C80</f>
        <v>1010186612</v>
      </c>
      <c r="D173" s="114" t="str">
        <f>IFERROR(VLOOKUP($C173,'[7]PLANILLA EDNA '!$C$9:$F$100,2,0),"NO BD")</f>
        <v xml:space="preserve">MESA ROZO GINETH MARCELA </v>
      </c>
      <c r="E173" s="134" t="s">
        <v>592</v>
      </c>
      <c r="F173" s="114" t="str">
        <f>IFERROR(VLOOKUP($C173,[7]BD!$B$3:$O$213,3,0),"")</f>
        <v>OPERARIA DE ASEO Y CAFETERIA</v>
      </c>
      <c r="G173" s="114" t="str">
        <f>IFERROR(VLOOKUP($C173,'[7]PLANILLA EDNA '!$C$9:$F$100,4,0),"NO BD")</f>
        <v>SEDE 1 - MANZANA LIEVANO - ALCALDÍA MAYOR</v>
      </c>
      <c r="H173" s="114" t="str">
        <f>IFERROR(VLOOKUP($C173,[7]BD!$B$3:$O$203,14,0),"")</f>
        <v>3138706053</v>
      </c>
      <c r="I173" s="114" t="str">
        <f>IFERROR(VLOOKUP($C173,[7]BD!$B$3:$O$203,4,0),"")</f>
        <v>07/04/2026</v>
      </c>
      <c r="J173" s="97" t="str">
        <f>INDEX('[7]PLANILLA EDNA '!C78:AK166,3,6)</f>
        <v>OK</v>
      </c>
      <c r="K173" s="97" t="str">
        <f>INDEX('[7]PLANILLA EDNA '!D78:AL166,3,6)</f>
        <v>D</v>
      </c>
      <c r="L173" s="97" t="str">
        <f>INDEX('[7]PLANILLA EDNA '!E78:AM166,3,6)</f>
        <v>D</v>
      </c>
      <c r="M173" s="97" t="str">
        <f>INDEX('[7]PLANILLA EDNA '!F78:AN166,3,6)</f>
        <v>OK</v>
      </c>
      <c r="N173" s="97" t="str">
        <f>INDEX('[7]PLANILLA EDNA '!G78:AO166,3,6)</f>
        <v>D</v>
      </c>
      <c r="O173" s="97" t="str">
        <f>INDEX('[7]PLANILLA EDNA '!H78:AP166,3,6)</f>
        <v>OK</v>
      </c>
      <c r="P173" s="97" t="str">
        <f>INDEX('[7]PLANILLA EDNA '!I78:AQ166,3,6)</f>
        <v>OK</v>
      </c>
      <c r="Q173" s="97" t="str">
        <f>INDEX('[7]PLANILLA EDNA '!J78:AR166,3,6)</f>
        <v>OK</v>
      </c>
      <c r="R173" s="97" t="str">
        <f>INDEX('[7]PLANILLA EDNA '!K78:AS166,3,6)</f>
        <v>OK</v>
      </c>
      <c r="S173" s="97" t="str">
        <f>INDEX('[7]PLANILLA EDNA '!L78:AT166,3,6)</f>
        <v>OK</v>
      </c>
      <c r="T173" s="97" t="str">
        <f>INDEX('[7]PLANILLA EDNA '!M78:AU166,3,6)</f>
        <v>OK</v>
      </c>
      <c r="U173" s="97" t="str">
        <f>INDEX('[7]PLANILLA EDNA '!N78:AV166,3,6)</f>
        <v>D</v>
      </c>
      <c r="V173" s="97" t="str">
        <f>INDEX('[7]PLANILLA EDNA '!O78:AW166,3,6)</f>
        <v>OK</v>
      </c>
      <c r="W173" s="97" t="str">
        <f>INDEX('[7]PLANILLA EDNA '!P78:AX166,3,6)</f>
        <v>OK</v>
      </c>
      <c r="X173" s="97" t="str">
        <f>INDEX('[7]PLANILLA EDNA '!Q78:AY166,3,6)</f>
        <v>OK</v>
      </c>
      <c r="Y173" s="97" t="str">
        <f>INDEX('[7]PLANILLA EDNA '!R78:AZ166,3,6)</f>
        <v>OK</v>
      </c>
      <c r="Z173" s="97" t="str">
        <f>INDEX('[7]PLANILLA EDNA '!S78:BA166,3,6)</f>
        <v>OK</v>
      </c>
      <c r="AA173" s="97" t="str">
        <f>INDEX('[7]PLANILLA EDNA '!T78:BB166,3,6)</f>
        <v>OK</v>
      </c>
      <c r="AB173" s="97" t="str">
        <f>INDEX('[7]PLANILLA EDNA '!U78:BC166,3,6)</f>
        <v>D</v>
      </c>
      <c r="AC173" s="97" t="str">
        <f>INDEX('[7]PLANILLA EDNA '!V78:BD166,3,6)</f>
        <v>OK</v>
      </c>
      <c r="AD173" s="97" t="str">
        <f>INDEX('[7]PLANILLA EDNA '!W78:BE166,3,6)</f>
        <v>CD</v>
      </c>
      <c r="AE173" s="97" t="str">
        <f>INDEX('[7]PLANILLA EDNA '!X78:BF166,3,6)</f>
        <v>OK</v>
      </c>
      <c r="AF173" s="97">
        <f>INDEX('[7]PLANILLA EDNA '!Y78:BG166,3,6)</f>
        <v>0</v>
      </c>
      <c r="AG173" s="97">
        <f>INDEX('[7]PLANILLA EDNA '!Z78:BH166,3,6)</f>
        <v>0</v>
      </c>
      <c r="AH173" s="97">
        <f>INDEX('[7]PLANILLA EDNA '!AA78:BI166,3,6)</f>
        <v>0</v>
      </c>
      <c r="AI173" s="97">
        <f>INDEX('[7]PLANILLA EDNA '!AB78:BJ166,3,6)</f>
        <v>0</v>
      </c>
      <c r="AJ173" s="97">
        <f>INDEX('[7]PLANILLA EDNA '!AC78:BK166,3,6)</f>
        <v>0</v>
      </c>
      <c r="AK173" s="97">
        <f>INDEX('[7]PLANILLA EDNA '!AD78:BL166,3,6)</f>
        <v>0</v>
      </c>
      <c r="AL173" s="97">
        <f>INDEX('[7]PLANILLA EDNA '!AE78:BM166,3,6)</f>
        <v>0</v>
      </c>
      <c r="AM173" s="97">
        <f>INDEX('[7]PLANILLA EDNA '!AF78:BN166,3,6)</f>
        <v>0</v>
      </c>
      <c r="AO173" s="116">
        <f t="shared" si="21"/>
        <v>0</v>
      </c>
      <c r="AP173" s="116">
        <f t="shared" si="21"/>
        <v>0</v>
      </c>
      <c r="AQ173" s="116">
        <f t="shared" si="21"/>
        <v>5</v>
      </c>
      <c r="AR173" s="116">
        <f t="shared" si="21"/>
        <v>0</v>
      </c>
      <c r="AS173" s="116">
        <f t="shared" si="21"/>
        <v>0</v>
      </c>
      <c r="AT173" s="116">
        <f t="shared" si="21"/>
        <v>0</v>
      </c>
      <c r="AU173" s="116">
        <f t="shared" si="21"/>
        <v>0</v>
      </c>
      <c r="AV173" s="116">
        <f t="shared" si="21"/>
        <v>1</v>
      </c>
      <c r="AW173" s="116">
        <f t="shared" si="21"/>
        <v>0</v>
      </c>
      <c r="AX173" s="116">
        <f t="shared" si="21"/>
        <v>0</v>
      </c>
      <c r="AY173" s="116">
        <f t="shared" si="21"/>
        <v>0</v>
      </c>
      <c r="AZ173" s="116">
        <f t="shared" si="21"/>
        <v>0</v>
      </c>
      <c r="BA173" s="116">
        <f t="shared" si="21"/>
        <v>16</v>
      </c>
      <c r="BB173" s="117">
        <f t="shared" si="17"/>
        <v>21</v>
      </c>
    </row>
    <row r="174" spans="1:54" ht="32.1" customHeight="1">
      <c r="A174" s="125" t="s">
        <v>593</v>
      </c>
      <c r="B174" s="112">
        <v>166</v>
      </c>
      <c r="C174" s="133">
        <f>+'[7]PLANILLA EDNA '!C81</f>
        <v>53047255</v>
      </c>
      <c r="D174" s="114" t="str">
        <f>IFERROR(VLOOKUP($C174,'[7]PLANILLA EDNA '!$C$9:$F$100,2,0),"NO BD")</f>
        <v xml:space="preserve">ROJAS  YURY ESPERANZA </v>
      </c>
      <c r="E174" s="135" t="s">
        <v>592</v>
      </c>
      <c r="F174" s="114" t="str">
        <f>IFERROR(VLOOKUP($C174,[7]BD!$B$3:$O$213,3,0),"")</f>
        <v>OPERARIO DE ASEO Y CAFETERIA</v>
      </c>
      <c r="G174" s="114" t="str">
        <f>IFERROR(VLOOKUP($C174,'[7]PLANILLA EDNA '!$C$9:$F$100,4,0),"NO BD")</f>
        <v>SEDE 1 - MANZANA LIEVANO - ALCALDÍA MAYOR</v>
      </c>
      <c r="H174" s="130" t="str">
        <f>IFERROR(VLOOKUP($C174,[7]BD!$B$3:$O$203,14,0),"")</f>
        <v>3234330531</v>
      </c>
      <c r="I174" s="130" t="str">
        <f>IFERROR(VLOOKUP($C174,[7]BD!$B$3:$O$203,4,0),"")</f>
        <v>05/11/2025</v>
      </c>
      <c r="J174" s="97" t="str">
        <f>INDEX('[7]PLANILLA EDNA '!C79:AK167,3,6)</f>
        <v>OK</v>
      </c>
      <c r="K174" s="97" t="str">
        <f>INDEX('[7]PLANILLA EDNA '!D79:AL167,3,6)</f>
        <v>D</v>
      </c>
      <c r="L174" s="97" t="str">
        <f>INDEX('[7]PLANILLA EDNA '!E79:AM167,3,6)</f>
        <v>D</v>
      </c>
      <c r="M174" s="97" t="str">
        <f>INDEX('[7]PLANILLA EDNA '!F79:AN167,3,6)</f>
        <v>OK</v>
      </c>
      <c r="N174" s="97" t="str">
        <f>INDEX('[7]PLANILLA EDNA '!G79:AO167,3,6)</f>
        <v>D</v>
      </c>
      <c r="O174" s="97" t="str">
        <f>INDEX('[7]PLANILLA EDNA '!H79:AP167,3,6)</f>
        <v>OK</v>
      </c>
      <c r="P174" s="97" t="str">
        <f>INDEX('[7]PLANILLA EDNA '!I79:AQ167,3,6)</f>
        <v>OK</v>
      </c>
      <c r="Q174" s="97" t="str">
        <f>INDEX('[7]PLANILLA EDNA '!J79:AR167,3,6)</f>
        <v>OK</v>
      </c>
      <c r="R174" s="97" t="str">
        <f>INDEX('[7]PLANILLA EDNA '!K79:AS167,3,6)</f>
        <v>OK</v>
      </c>
      <c r="S174" s="97" t="str">
        <f>INDEX('[7]PLANILLA EDNA '!L79:AT167,3,6)</f>
        <v>OK</v>
      </c>
      <c r="T174" s="97" t="str">
        <f>INDEX('[7]PLANILLA EDNA '!M79:AU167,3,6)</f>
        <v>OK</v>
      </c>
      <c r="U174" s="97" t="str">
        <f>INDEX('[7]PLANILLA EDNA '!N79:AV167,3,6)</f>
        <v>D</v>
      </c>
      <c r="V174" s="97" t="str">
        <f>INDEX('[7]PLANILLA EDNA '!O79:AW167,3,6)</f>
        <v>OK</v>
      </c>
      <c r="W174" s="97" t="str">
        <f>INDEX('[7]PLANILLA EDNA '!P79:AX167,3,6)</f>
        <v>OK</v>
      </c>
      <c r="X174" s="97" t="str">
        <f>INDEX('[7]PLANILLA EDNA '!Q79:AY167,3,6)</f>
        <v>OK</v>
      </c>
      <c r="Y174" s="97" t="str">
        <f>INDEX('[7]PLANILLA EDNA '!R79:AZ167,3,6)</f>
        <v>OK</v>
      </c>
      <c r="Z174" s="97" t="str">
        <f>INDEX('[7]PLANILLA EDNA '!S79:BA167,3,6)</f>
        <v>OK</v>
      </c>
      <c r="AA174" s="97" t="str">
        <f>INDEX('[7]PLANILLA EDNA '!T79:BB167,3,6)</f>
        <v>OK</v>
      </c>
      <c r="AB174" s="97" t="str">
        <f>INDEX('[7]PLANILLA EDNA '!U79:BC167,3,6)</f>
        <v>D</v>
      </c>
      <c r="AC174" s="97" t="str">
        <f>INDEX('[7]PLANILLA EDNA '!V79:BD167,3,6)</f>
        <v>OK</v>
      </c>
      <c r="AD174" s="97" t="str">
        <f>INDEX('[7]PLANILLA EDNA '!W79:BE167,3,6)</f>
        <v>OK</v>
      </c>
      <c r="AE174" s="97" t="str">
        <f>INDEX('[7]PLANILLA EDNA '!X79:BF167,3,6)</f>
        <v>TS</v>
      </c>
      <c r="AF174" s="97" t="str">
        <f>INDEX('[7]PLANILLA EDNA '!Y79:BG167,3,6)</f>
        <v>TS</v>
      </c>
      <c r="AG174" s="97" t="str">
        <f>INDEX('[7]PLANILLA EDNA '!Z79:BH167,3,6)</f>
        <v>TS</v>
      </c>
      <c r="AH174" s="97" t="str">
        <f>INDEX('[7]PLANILLA EDNA '!AA79:BI167,3,6)</f>
        <v>TS</v>
      </c>
      <c r="AI174" s="97" t="str">
        <f>INDEX('[7]PLANILLA EDNA '!AB79:BJ167,3,6)</f>
        <v>TS</v>
      </c>
      <c r="AJ174" s="97" t="str">
        <f>INDEX('[7]PLANILLA EDNA '!AC79:BK167,3,6)</f>
        <v>TS</v>
      </c>
      <c r="AK174" s="97" t="str">
        <f>INDEX('[7]PLANILLA EDNA '!AD79:BL167,3,6)</f>
        <v>TS</v>
      </c>
      <c r="AL174" s="97" t="str">
        <f>INDEX('[7]PLANILLA EDNA '!AE79:BM167,3,6)</f>
        <v>TS</v>
      </c>
      <c r="AM174" s="97" t="str">
        <f>INDEX('[7]PLANILLA EDNA '!AF79:BN167,3,6)</f>
        <v>TS</v>
      </c>
      <c r="AO174" s="116">
        <f t="shared" si="21"/>
        <v>0</v>
      </c>
      <c r="AP174" s="116">
        <f t="shared" si="21"/>
        <v>0</v>
      </c>
      <c r="AQ174" s="116">
        <f t="shared" si="21"/>
        <v>5</v>
      </c>
      <c r="AR174" s="116">
        <f t="shared" si="21"/>
        <v>0</v>
      </c>
      <c r="AS174" s="116">
        <f t="shared" si="21"/>
        <v>0</v>
      </c>
      <c r="AT174" s="116">
        <f t="shared" si="21"/>
        <v>0</v>
      </c>
      <c r="AU174" s="116">
        <f t="shared" si="21"/>
        <v>0</v>
      </c>
      <c r="AV174" s="116">
        <f t="shared" si="21"/>
        <v>0</v>
      </c>
      <c r="AW174" s="116">
        <f t="shared" si="21"/>
        <v>0</v>
      </c>
      <c r="AX174" s="116">
        <f t="shared" si="21"/>
        <v>0</v>
      </c>
      <c r="AY174" s="116">
        <f t="shared" si="21"/>
        <v>0</v>
      </c>
      <c r="AZ174" s="116">
        <f t="shared" si="21"/>
        <v>9</v>
      </c>
      <c r="BA174" s="116">
        <f t="shared" si="21"/>
        <v>16</v>
      </c>
      <c r="BB174" s="117">
        <f t="shared" si="17"/>
        <v>21</v>
      </c>
    </row>
    <row r="175" spans="1:54" ht="32.1" customHeight="1">
      <c r="A175" s="125" t="s">
        <v>593</v>
      </c>
      <c r="B175" s="112">
        <v>167</v>
      </c>
      <c r="C175" s="133">
        <f>+'[7]PLANILLA EDNA '!C82</f>
        <v>1051954997</v>
      </c>
      <c r="D175" s="114" t="str">
        <f>IFERROR(VLOOKUP($C175,'[7]PLANILLA EDNA '!$C$9:$F$100,2,0),"NO BD")</f>
        <v>HOYOS HERNANDEZ JASSIR IVONNE</v>
      </c>
      <c r="E175" s="135" t="s">
        <v>592</v>
      </c>
      <c r="F175" s="114" t="s">
        <v>594</v>
      </c>
      <c r="G175" s="114" t="str">
        <f>IFERROR(VLOOKUP($C175,'[7]PLANILLA EDNA '!$C$9:$F$100,4,0),"NO BD")</f>
        <v>SEDE 1 - MANZANA LIEVANO - ALCALDÍA MAYOR</v>
      </c>
      <c r="H175" s="130" t="str">
        <f>IFERROR(VLOOKUP($C175,[7]BD!$B$3:$O$203,14,0),"")</f>
        <v/>
      </c>
      <c r="I175" s="130" t="str">
        <f>IFERROR(VLOOKUP($C175,[7]BD!$B$3:$O$203,4,0),"")</f>
        <v/>
      </c>
      <c r="J175" s="97" t="str">
        <f>INDEX('[7]PLANILLA EDNA '!C80:AK168,3,6)</f>
        <v>OK</v>
      </c>
      <c r="K175" s="97" t="str">
        <f>INDEX('[7]PLANILLA EDNA '!D80:AL168,3,6)</f>
        <v>D</v>
      </c>
      <c r="L175" s="97" t="str">
        <f>INDEX('[7]PLANILLA EDNA '!E80:AM168,3,6)</f>
        <v>D</v>
      </c>
      <c r="M175" s="97" t="str">
        <f>INDEX('[7]PLANILLA EDNA '!F80:AN168,3,6)</f>
        <v>OK</v>
      </c>
      <c r="N175" s="97" t="str">
        <f>INDEX('[7]PLANILLA EDNA '!G80:AO168,3,6)</f>
        <v>D</v>
      </c>
      <c r="O175" s="97" t="str">
        <f>INDEX('[7]PLANILLA EDNA '!H80:AP168,3,6)</f>
        <v>OK</v>
      </c>
      <c r="P175" s="97" t="str">
        <f>INDEX('[7]PLANILLA EDNA '!I80:AQ168,3,6)</f>
        <v>OK</v>
      </c>
      <c r="Q175" s="97" t="str">
        <f>INDEX('[7]PLANILLA EDNA '!J80:AR168,3,6)</f>
        <v>OK</v>
      </c>
      <c r="R175" s="97" t="str">
        <f>INDEX('[7]PLANILLA EDNA '!K80:AS168,3,6)</f>
        <v>OK</v>
      </c>
      <c r="S175" s="97" t="str">
        <f>INDEX('[7]PLANILLA EDNA '!L80:AT168,3,6)</f>
        <v>OK</v>
      </c>
      <c r="T175" s="97" t="str">
        <f>INDEX('[7]PLANILLA EDNA '!M80:AU168,3,6)</f>
        <v>OK</v>
      </c>
      <c r="U175" s="97" t="str">
        <f>INDEX('[7]PLANILLA EDNA '!N80:AV168,3,6)</f>
        <v>D</v>
      </c>
      <c r="V175" s="97" t="str">
        <f>INDEX('[7]PLANILLA EDNA '!O80:AW168,3,6)</f>
        <v>OK</v>
      </c>
      <c r="W175" s="97" t="str">
        <f>INDEX('[7]PLANILLA EDNA '!P80:AX168,3,6)</f>
        <v>OK</v>
      </c>
      <c r="X175" s="97" t="str">
        <f>INDEX('[7]PLANILLA EDNA '!Q80:AY168,3,6)</f>
        <v>REN</v>
      </c>
      <c r="Y175" s="97" t="str">
        <f>INDEX('[7]PLANILLA EDNA '!R80:AZ168,3,6)</f>
        <v>REN</v>
      </c>
      <c r="Z175" s="97" t="str">
        <f>INDEX('[7]PLANILLA EDNA '!S80:BA168,3,6)</f>
        <v>REN</v>
      </c>
      <c r="AA175" s="97" t="str">
        <f>INDEX('[7]PLANILLA EDNA '!T80:BB168,3,6)</f>
        <v>REN</v>
      </c>
      <c r="AB175" s="97" t="str">
        <f>INDEX('[7]PLANILLA EDNA '!U80:BC168,3,6)</f>
        <v>REN</v>
      </c>
      <c r="AC175" s="97" t="str">
        <f>INDEX('[7]PLANILLA EDNA '!V80:BD168,3,6)</f>
        <v>REN</v>
      </c>
      <c r="AD175" s="97" t="str">
        <f>INDEX('[7]PLANILLA EDNA '!W80:BE168,3,6)</f>
        <v>REN</v>
      </c>
      <c r="AE175" s="97" t="str">
        <f>INDEX('[7]PLANILLA EDNA '!X80:BF168,3,6)</f>
        <v>REN</v>
      </c>
      <c r="AF175" s="97" t="str">
        <f>INDEX('[7]PLANILLA EDNA '!Y80:BG168,3,6)</f>
        <v>REN</v>
      </c>
      <c r="AG175" s="97" t="str">
        <f>INDEX('[7]PLANILLA EDNA '!Z80:BH168,3,6)</f>
        <v>REN</v>
      </c>
      <c r="AH175" s="97" t="str">
        <f>INDEX('[7]PLANILLA EDNA '!AA80:BI168,3,6)</f>
        <v>REN</v>
      </c>
      <c r="AI175" s="97" t="str">
        <f>INDEX('[7]PLANILLA EDNA '!AB80:BJ168,3,6)</f>
        <v>REN</v>
      </c>
      <c r="AJ175" s="97" t="str">
        <f>INDEX('[7]PLANILLA EDNA '!AC80:BK168,3,6)</f>
        <v>REN</v>
      </c>
      <c r="AK175" s="97" t="str">
        <f>INDEX('[7]PLANILLA EDNA '!AD80:BL168,3,6)</f>
        <v>REN</v>
      </c>
      <c r="AL175" s="97" t="str">
        <f>INDEX('[7]PLANILLA EDNA '!AE80:BM168,3,6)</f>
        <v>REN</v>
      </c>
      <c r="AM175" s="97" t="str">
        <f>INDEX('[7]PLANILLA EDNA '!AF80:BN168,3,6)</f>
        <v>REN</v>
      </c>
      <c r="AO175" s="116">
        <f t="shared" si="21"/>
        <v>0</v>
      </c>
      <c r="AP175" s="116">
        <f t="shared" si="21"/>
        <v>0</v>
      </c>
      <c r="AQ175" s="116">
        <f t="shared" si="21"/>
        <v>4</v>
      </c>
      <c r="AR175" s="116">
        <f t="shared" si="21"/>
        <v>0</v>
      </c>
      <c r="AS175" s="116">
        <f t="shared" si="21"/>
        <v>0</v>
      </c>
      <c r="AT175" s="116">
        <f t="shared" si="21"/>
        <v>0</v>
      </c>
      <c r="AU175" s="116">
        <f t="shared" si="21"/>
        <v>0</v>
      </c>
      <c r="AV175" s="116">
        <f t="shared" si="21"/>
        <v>0</v>
      </c>
      <c r="AW175" s="116">
        <f t="shared" si="21"/>
        <v>16</v>
      </c>
      <c r="AX175" s="116">
        <f t="shared" si="21"/>
        <v>0</v>
      </c>
      <c r="AY175" s="116">
        <f t="shared" si="21"/>
        <v>0</v>
      </c>
      <c r="AZ175" s="116">
        <f t="shared" si="21"/>
        <v>0</v>
      </c>
      <c r="BA175" s="116">
        <f t="shared" si="21"/>
        <v>10</v>
      </c>
      <c r="BB175" s="117">
        <f t="shared" si="17"/>
        <v>14</v>
      </c>
    </row>
    <row r="176" spans="1:54" ht="15.95" customHeight="1">
      <c r="A176" s="125" t="s">
        <v>593</v>
      </c>
      <c r="B176" s="112">
        <v>168</v>
      </c>
      <c r="C176" s="133">
        <f>+'[7]PLANILLA EDNA '!C83</f>
        <v>1010014769</v>
      </c>
      <c r="D176" s="114" t="str">
        <f>IFERROR(VLOOKUP($C176,'[7]PLANILLA EDNA '!$C$9:$F$100,2,0),"NO BD")</f>
        <v xml:space="preserve">EPINAYU ARIAS MARIA JOSE </v>
      </c>
      <c r="E176" s="135" t="s">
        <v>592</v>
      </c>
      <c r="F176" s="114" t="str">
        <f>IFERROR(VLOOKUP($C176,[7]BD!$B$3:$O$213,3,0),"")</f>
        <v>OPERARIO DE ASEO Y CAFETERIA</v>
      </c>
      <c r="G176" s="114" t="str">
        <f>IFERROR(VLOOKUP($C176,'[7]PLANILLA EDNA '!$C$9:$F$100,4,0),"NO BD")</f>
        <v xml:space="preserve">SEDE 2- DIRECCIÓN DISTRITAL DE ARCHIVO DE  BOGOTA </v>
      </c>
      <c r="H176" s="130" t="str">
        <f>IFERROR(VLOOKUP($C176,[7]BD!$B$3:$O$203,14,0),"")</f>
        <v>3243657620</v>
      </c>
      <c r="I176" s="130" t="str">
        <f>IFERROR(VLOOKUP($C176,[7]BD!$B$3:$O$203,4,0),"")</f>
        <v>05/11/2025</v>
      </c>
      <c r="J176" s="97" t="str">
        <f>INDEX('[7]PLANILLA EDNA '!C81:AK169,3,6)</f>
        <v>OK</v>
      </c>
      <c r="K176" s="97" t="str">
        <f>INDEX('[7]PLANILLA EDNA '!D81:AL169,3,6)</f>
        <v>D</v>
      </c>
      <c r="L176" s="97" t="str">
        <f>INDEX('[7]PLANILLA EDNA '!E81:AM169,3,6)</f>
        <v>D</v>
      </c>
      <c r="M176" s="97" t="str">
        <f>INDEX('[7]PLANILLA EDNA '!F81:AN169,3,6)</f>
        <v>OK</v>
      </c>
      <c r="N176" s="97" t="str">
        <f>INDEX('[7]PLANILLA EDNA '!G81:AO169,3,6)</f>
        <v>D</v>
      </c>
      <c r="O176" s="97" t="str">
        <f>INDEX('[7]PLANILLA EDNA '!H81:AP169,3,6)</f>
        <v>OK</v>
      </c>
      <c r="P176" s="97" t="str">
        <f>INDEX('[7]PLANILLA EDNA '!I81:AQ169,3,6)</f>
        <v>OK</v>
      </c>
      <c r="Q176" s="97" t="str">
        <f>INDEX('[7]PLANILLA EDNA '!J81:AR169,3,6)</f>
        <v>OK</v>
      </c>
      <c r="R176" s="97" t="str">
        <f>INDEX('[7]PLANILLA EDNA '!K81:AS169,3,6)</f>
        <v>OK</v>
      </c>
      <c r="S176" s="97" t="str">
        <f>INDEX('[7]PLANILLA EDNA '!L81:AT169,3,6)</f>
        <v>OK</v>
      </c>
      <c r="T176" s="97" t="str">
        <f>INDEX('[7]PLANILLA EDNA '!M81:AU169,3,6)</f>
        <v>OK</v>
      </c>
      <c r="U176" s="97" t="str">
        <f>INDEX('[7]PLANILLA EDNA '!N81:AV169,3,6)</f>
        <v>D</v>
      </c>
      <c r="V176" s="97" t="str">
        <f>INDEX('[7]PLANILLA EDNA '!O81:AW169,3,6)</f>
        <v>OK</v>
      </c>
      <c r="W176" s="97" t="str">
        <f>INDEX('[7]PLANILLA EDNA '!P81:AX169,3,6)</f>
        <v>OK</v>
      </c>
      <c r="X176" s="97" t="str">
        <f>INDEX('[7]PLANILLA EDNA '!Q81:AY169,3,6)</f>
        <v>OK</v>
      </c>
      <c r="Y176" s="97" t="str">
        <f>INDEX('[7]PLANILLA EDNA '!R81:AZ169,3,6)</f>
        <v>OK</v>
      </c>
      <c r="Z176" s="97" t="str">
        <f>INDEX('[7]PLANILLA EDNA '!S81:BA169,3,6)</f>
        <v>OK</v>
      </c>
      <c r="AA176" s="97" t="str">
        <f>INDEX('[7]PLANILLA EDNA '!T81:BB169,3,6)</f>
        <v>OK</v>
      </c>
      <c r="AB176" s="97" t="str">
        <f>INDEX('[7]PLANILLA EDNA '!U81:BC169,3,6)</f>
        <v>D</v>
      </c>
      <c r="AC176" s="97" t="str">
        <f>INDEX('[7]PLANILLA EDNA '!V81:BD169,3,6)</f>
        <v>OK</v>
      </c>
      <c r="AD176" s="97" t="str">
        <f>INDEX('[7]PLANILLA EDNA '!W81:BE169,3,6)</f>
        <v>OK</v>
      </c>
      <c r="AE176" s="97" t="str">
        <f>INDEX('[7]PLANILLA EDNA '!X81:BF169,3,6)</f>
        <v>TS</v>
      </c>
      <c r="AF176" s="97" t="str">
        <f>INDEX('[7]PLANILLA EDNA '!Y81:BG169,3,6)</f>
        <v>TS</v>
      </c>
      <c r="AG176" s="97" t="str">
        <f>INDEX('[7]PLANILLA EDNA '!Z81:BH169,3,6)</f>
        <v>TS</v>
      </c>
      <c r="AH176" s="97" t="str">
        <f>INDEX('[7]PLANILLA EDNA '!AA81:BI169,3,6)</f>
        <v>TS</v>
      </c>
      <c r="AI176" s="97" t="str">
        <f>INDEX('[7]PLANILLA EDNA '!AB81:BJ169,3,6)</f>
        <v>TS</v>
      </c>
      <c r="AJ176" s="97" t="str">
        <f>INDEX('[7]PLANILLA EDNA '!AC81:BK169,3,6)</f>
        <v>TS</v>
      </c>
      <c r="AK176" s="97" t="str">
        <f>INDEX('[7]PLANILLA EDNA '!AD81:BL169,3,6)</f>
        <v>TS</v>
      </c>
      <c r="AL176" s="97" t="str">
        <f>INDEX('[7]PLANILLA EDNA '!AE81:BM169,3,6)</f>
        <v>TS</v>
      </c>
      <c r="AM176" s="97" t="str">
        <f>INDEX('[7]PLANILLA EDNA '!AF81:BN169,3,6)</f>
        <v>TS</v>
      </c>
      <c r="AO176" s="116">
        <f t="shared" si="21"/>
        <v>0</v>
      </c>
      <c r="AP176" s="116">
        <f t="shared" si="21"/>
        <v>0</v>
      </c>
      <c r="AQ176" s="116">
        <f t="shared" si="21"/>
        <v>5</v>
      </c>
      <c r="AR176" s="116">
        <f t="shared" si="21"/>
        <v>0</v>
      </c>
      <c r="AS176" s="116">
        <f t="shared" si="21"/>
        <v>0</v>
      </c>
      <c r="AT176" s="116">
        <f t="shared" si="21"/>
        <v>0</v>
      </c>
      <c r="AU176" s="116">
        <f t="shared" si="21"/>
        <v>0</v>
      </c>
      <c r="AV176" s="116">
        <f t="shared" si="21"/>
        <v>0</v>
      </c>
      <c r="AW176" s="116">
        <f t="shared" si="21"/>
        <v>0</v>
      </c>
      <c r="AX176" s="116">
        <f t="shared" si="21"/>
        <v>0</v>
      </c>
      <c r="AY176" s="116">
        <f t="shared" si="21"/>
        <v>0</v>
      </c>
      <c r="AZ176" s="116">
        <f t="shared" si="21"/>
        <v>9</v>
      </c>
      <c r="BA176" s="116">
        <f t="shared" si="21"/>
        <v>16</v>
      </c>
      <c r="BB176" s="117">
        <f t="shared" si="17"/>
        <v>21</v>
      </c>
    </row>
    <row r="177" spans="1:54" ht="15.95" customHeight="1">
      <c r="B177" s="112">
        <v>169</v>
      </c>
      <c r="C177" s="133">
        <f>+'[7]PLANILLA EDNA '!C84</f>
        <v>1031642480</v>
      </c>
      <c r="D177" s="114" t="str">
        <f>IFERROR(VLOOKUP($C177,'[7]PLANILLA EDNA '!$C$9:$F$100,2,0),"NO BD")</f>
        <v xml:space="preserve">REYES DUITAMA BRAYAN DAVID </v>
      </c>
      <c r="E177" s="134" t="s">
        <v>592</v>
      </c>
      <c r="F177" s="114" t="str">
        <f>IFERROR(VLOOKUP($C177,[7]BD!$B$3:$O$213,3,0),"")</f>
        <v>OPERARIO DE MANTENIMIENTO</v>
      </c>
      <c r="G177" s="114" t="str">
        <f>IFERROR(VLOOKUP($C177,'[7]PLANILLA EDNA '!$C$9:$F$100,4,0),"NO BD")</f>
        <v>SEDE 1 - MANZANA LIEVANO - ALCALDÍA MAYOR</v>
      </c>
      <c r="H177" s="114" t="str">
        <f>IFERROR(VLOOKUP($C177,[7]BD!$B$3:$O$203,14,0),"")</f>
        <v>3044821075</v>
      </c>
      <c r="I177" s="114" t="str">
        <f>IFERROR(VLOOKUP($C177,[7]BD!$B$3:$O$203,4,0),"")</f>
        <v>16/04/2026</v>
      </c>
      <c r="J177" s="97">
        <f>INDEX('[7]PLANILLA EDNA '!C82:AK170,3,6)</f>
        <v>0</v>
      </c>
      <c r="K177" s="97">
        <f>INDEX('[7]PLANILLA EDNA '!D82:AL170,3,6)</f>
        <v>0</v>
      </c>
      <c r="L177" s="97">
        <f>INDEX('[7]PLANILLA EDNA '!E82:AM170,3,6)</f>
        <v>0</v>
      </c>
      <c r="M177" s="97">
        <f>INDEX('[7]PLANILLA EDNA '!F82:AN170,3,6)</f>
        <v>0</v>
      </c>
      <c r="N177" s="97">
        <f>INDEX('[7]PLANILLA EDNA '!G82:AO170,3,6)</f>
        <v>0</v>
      </c>
      <c r="O177" s="97">
        <f>INDEX('[7]PLANILLA EDNA '!H82:AP170,3,6)</f>
        <v>0</v>
      </c>
      <c r="P177" s="97">
        <f>INDEX('[7]PLANILLA EDNA '!I82:AQ170,3,6)</f>
        <v>0</v>
      </c>
      <c r="Q177" s="97">
        <f>INDEX('[7]PLANILLA EDNA '!J82:AR170,3,6)</f>
        <v>0</v>
      </c>
      <c r="R177" s="97">
        <f>INDEX('[7]PLANILLA EDNA '!K82:AS170,3,6)</f>
        <v>0</v>
      </c>
      <c r="S177" s="97">
        <f>INDEX('[7]PLANILLA EDNA '!L82:AT170,3,6)</f>
        <v>0</v>
      </c>
      <c r="T177" s="97">
        <f>INDEX('[7]PLANILLA EDNA '!M82:AU170,3,6)</f>
        <v>0</v>
      </c>
      <c r="U177" s="97">
        <f>INDEX('[7]PLANILLA EDNA '!N82:AV170,3,6)</f>
        <v>0</v>
      </c>
      <c r="V177" s="97">
        <f>INDEX('[7]PLANILLA EDNA '!O82:AW170,3,6)</f>
        <v>0</v>
      </c>
      <c r="W177" s="97">
        <f>INDEX('[7]PLANILLA EDNA '!P82:AX170,3,6)</f>
        <v>0</v>
      </c>
      <c r="X177" s="97">
        <f>INDEX('[7]PLANILLA EDNA '!Q82:AY170,3,6)</f>
        <v>0</v>
      </c>
      <c r="Y177" s="97" t="str">
        <f>INDEX('[7]PLANILLA EDNA '!R82:AZ170,3,6)</f>
        <v>OK</v>
      </c>
      <c r="Z177" s="97" t="str">
        <f>INDEX('[7]PLANILLA EDNA '!S82:BA170,3,6)</f>
        <v>CD</v>
      </c>
      <c r="AA177" s="97" t="str">
        <f>INDEX('[7]PLANILLA EDNA '!T82:BB170,3,6)</f>
        <v>AUS</v>
      </c>
      <c r="AB177" s="97" t="str">
        <f>INDEX('[7]PLANILLA EDNA '!U82:BC170,3,6)</f>
        <v>D</v>
      </c>
      <c r="AC177" s="97" t="str">
        <f>INDEX('[7]PLANILLA EDNA '!V82:BD170,3,6)</f>
        <v>AUS</v>
      </c>
      <c r="AD177" s="97" t="str">
        <f>INDEX('[7]PLANILLA EDNA '!W82:BE170,3,6)</f>
        <v>OK</v>
      </c>
      <c r="AE177" s="97" t="str">
        <f>INDEX('[7]PLANILLA EDNA '!X82:BF170,3,6)</f>
        <v>TC</v>
      </c>
      <c r="AF177" s="97" t="str">
        <f>INDEX('[7]PLANILLA EDNA '!Y82:BG170,3,6)</f>
        <v>TC</v>
      </c>
      <c r="AG177" s="97" t="str">
        <f>INDEX('[7]PLANILLA EDNA '!Z82:BH170,3,6)</f>
        <v>TC</v>
      </c>
      <c r="AH177" s="97" t="str">
        <f>INDEX('[7]PLANILLA EDNA '!AA82:BI170,3,6)</f>
        <v>TC</v>
      </c>
      <c r="AI177" s="97" t="str">
        <f>INDEX('[7]PLANILLA EDNA '!AB82:BJ170,3,6)</f>
        <v>TC</v>
      </c>
      <c r="AJ177" s="97" t="str">
        <f>INDEX('[7]PLANILLA EDNA '!AC82:BK170,3,6)</f>
        <v>TC</v>
      </c>
      <c r="AK177" s="97" t="str">
        <f>INDEX('[7]PLANILLA EDNA '!AD82:BL170,3,6)</f>
        <v>TC</v>
      </c>
      <c r="AL177" s="97" t="str">
        <f>INDEX('[7]PLANILLA EDNA '!AE82:BM170,3,6)</f>
        <v>TC</v>
      </c>
      <c r="AM177" s="97" t="str">
        <f>INDEX('[7]PLANILLA EDNA '!AF82:BN170,3,6)</f>
        <v>TC</v>
      </c>
      <c r="AO177" s="116">
        <f t="shared" si="21"/>
        <v>2</v>
      </c>
      <c r="AP177" s="116">
        <f t="shared" si="21"/>
        <v>0</v>
      </c>
      <c r="AQ177" s="116">
        <f t="shared" si="21"/>
        <v>1</v>
      </c>
      <c r="AR177" s="116">
        <f t="shared" si="21"/>
        <v>0</v>
      </c>
      <c r="AS177" s="116">
        <f t="shared" si="21"/>
        <v>0</v>
      </c>
      <c r="AT177" s="116">
        <f t="shared" si="21"/>
        <v>0</v>
      </c>
      <c r="AU177" s="116">
        <f t="shared" si="21"/>
        <v>0</v>
      </c>
      <c r="AV177" s="116">
        <f t="shared" si="21"/>
        <v>1</v>
      </c>
      <c r="AW177" s="116">
        <f t="shared" si="21"/>
        <v>0</v>
      </c>
      <c r="AX177" s="116">
        <f t="shared" si="21"/>
        <v>9</v>
      </c>
      <c r="AY177" s="116">
        <f t="shared" si="21"/>
        <v>0</v>
      </c>
      <c r="AZ177" s="116">
        <f t="shared" si="21"/>
        <v>0</v>
      </c>
      <c r="BA177" s="116">
        <f t="shared" si="21"/>
        <v>2</v>
      </c>
      <c r="BB177" s="117">
        <f t="shared" si="17"/>
        <v>3</v>
      </c>
    </row>
    <row r="178" spans="1:54" ht="15.95" customHeight="1">
      <c r="B178" s="112">
        <v>170</v>
      </c>
      <c r="C178" s="133">
        <f>+'[7]PLANILLA EDNA '!C85</f>
        <v>1000255690</v>
      </c>
      <c r="D178" s="114" t="str">
        <f>IFERROR(VLOOKUP($C178,'[7]PLANILLA EDNA '!$C$9:$F$100,2,0),"NO BD")</f>
        <v xml:space="preserve">MORENO CASTANEDA MELANY JULIETH </v>
      </c>
      <c r="E178" s="134" t="s">
        <v>592</v>
      </c>
      <c r="F178" s="114" t="str">
        <f>IFERROR(VLOOKUP($C178,[7]BD!$B$3:$O$213,3,0),"")</f>
        <v>SUPERNUMERARIA ASEO Y CAFETERIA</v>
      </c>
      <c r="G178" s="114" t="str">
        <f>IFERROR(VLOOKUP($C178,'[7]PLANILLA EDNA '!$C$9:$F$100,4,0),"NO BD")</f>
        <v>SEDE 1 - MANZANA LIEVANO - ALCALDÍA MAYOR</v>
      </c>
      <c r="H178" s="114" t="str">
        <f>IFERROR(VLOOKUP($C178,[7]BD!$B$3:$O$203,14,0),"")</f>
        <v>3142062934</v>
      </c>
      <c r="I178" s="114" t="str">
        <f>IFERROR(VLOOKUP($C178,[7]BD!$B$3:$O$203,4,0),"")</f>
        <v>11/12/2025</v>
      </c>
      <c r="J178" s="97" t="str">
        <f>INDEX('[7]PLANILLA EDNA '!C83:AK171,3,6)</f>
        <v>TS</v>
      </c>
      <c r="K178" s="97" t="str">
        <f>INDEX('[7]PLANILLA EDNA '!D83:AL171,3,6)</f>
        <v>TS</v>
      </c>
      <c r="L178" s="97" t="str">
        <f>INDEX('[7]PLANILLA EDNA '!E83:AM171,3,6)</f>
        <v>TS</v>
      </c>
      <c r="M178" s="97" t="str">
        <f>INDEX('[7]PLANILLA EDNA '!F83:AN171,3,6)</f>
        <v>TS</v>
      </c>
      <c r="N178" s="97" t="str">
        <f>INDEX('[7]PLANILLA EDNA '!G83:AO171,3,6)</f>
        <v>TS</v>
      </c>
      <c r="O178" s="97" t="str">
        <f>INDEX('[7]PLANILLA EDNA '!H83:AP171,3,6)</f>
        <v>TS</v>
      </c>
      <c r="P178" s="97" t="str">
        <f>INDEX('[7]PLANILLA EDNA '!I83:AQ171,3,6)</f>
        <v>TS</v>
      </c>
      <c r="Q178" s="97" t="str">
        <f>INDEX('[7]PLANILLA EDNA '!J83:AR171,3,6)</f>
        <v>TS</v>
      </c>
      <c r="R178" s="97" t="str">
        <f>INDEX('[7]PLANILLA EDNA '!K83:AS171,3,6)</f>
        <v>TS</v>
      </c>
      <c r="S178" s="97" t="str">
        <f>INDEX('[7]PLANILLA EDNA '!L83:AT171,3,6)</f>
        <v>TS</v>
      </c>
      <c r="T178" s="97" t="str">
        <f>INDEX('[7]PLANILLA EDNA '!M83:AU171,3,6)</f>
        <v>TS</v>
      </c>
      <c r="U178" s="97" t="str">
        <f>INDEX('[7]PLANILLA EDNA '!N83:AV171,3,6)</f>
        <v>TS</v>
      </c>
      <c r="V178" s="97" t="str">
        <f>INDEX('[7]PLANILLA EDNA '!O83:AW171,3,6)</f>
        <v>TS</v>
      </c>
      <c r="W178" s="97" t="str">
        <f>INDEX('[7]PLANILLA EDNA '!P83:AX171,3,6)</f>
        <v>TS</v>
      </c>
      <c r="X178" s="97" t="str">
        <f>INDEX('[7]PLANILLA EDNA '!Q83:AY171,3,6)</f>
        <v>TS</v>
      </c>
      <c r="Y178" s="97" t="str">
        <f>INDEX('[7]PLANILLA EDNA '!R83:AZ171,3,6)</f>
        <v>TS</v>
      </c>
      <c r="Z178" s="97" t="str">
        <f>INDEX('[7]PLANILLA EDNA '!S83:BA171,3,6)</f>
        <v>TS</v>
      </c>
      <c r="AA178" s="97" t="str">
        <f>INDEX('[7]PLANILLA EDNA '!T83:BB171,3,6)</f>
        <v>TS</v>
      </c>
      <c r="AB178" s="97" t="str">
        <f>INDEX('[7]PLANILLA EDNA '!U83:BC171,3,6)</f>
        <v>TS</v>
      </c>
      <c r="AC178" s="97" t="str">
        <f>INDEX('[7]PLANILLA EDNA '!V83:BD171,3,6)</f>
        <v>OK</v>
      </c>
      <c r="AD178" s="97" t="str">
        <f>INDEX('[7]PLANILLA EDNA '!W83:BE171,3,6)</f>
        <v>OK</v>
      </c>
      <c r="AE178" s="97" t="str">
        <f>INDEX('[7]PLANILLA EDNA '!X83:BF171,3,6)</f>
        <v>OK</v>
      </c>
      <c r="AF178" s="97">
        <f>INDEX('[7]PLANILLA EDNA '!Y83:BG171,3,6)</f>
        <v>0</v>
      </c>
      <c r="AG178" s="97">
        <f>INDEX('[7]PLANILLA EDNA '!Z83:BH171,3,6)</f>
        <v>0</v>
      </c>
      <c r="AH178" s="97">
        <f>INDEX('[7]PLANILLA EDNA '!AA83:BI171,3,6)</f>
        <v>0</v>
      </c>
      <c r="AI178" s="97">
        <f>INDEX('[7]PLANILLA EDNA '!AB83:BJ171,3,6)</f>
        <v>0</v>
      </c>
      <c r="AJ178" s="97">
        <f>INDEX('[7]PLANILLA EDNA '!AC83:BK171,3,6)</f>
        <v>0</v>
      </c>
      <c r="AK178" s="97">
        <f>INDEX('[7]PLANILLA EDNA '!AD83:BL171,3,6)</f>
        <v>0</v>
      </c>
      <c r="AL178" s="97">
        <f>INDEX('[7]PLANILLA EDNA '!AE83:BM171,3,6)</f>
        <v>0</v>
      </c>
      <c r="AM178" s="97">
        <f>INDEX('[7]PLANILLA EDNA '!AF83:BN171,3,6)</f>
        <v>0</v>
      </c>
      <c r="AO178" s="116">
        <f t="shared" si="21"/>
        <v>0</v>
      </c>
      <c r="AP178" s="116">
        <f t="shared" si="21"/>
        <v>0</v>
      </c>
      <c r="AQ178" s="116">
        <f t="shared" si="21"/>
        <v>0</v>
      </c>
      <c r="AR178" s="116">
        <f t="shared" si="21"/>
        <v>0</v>
      </c>
      <c r="AS178" s="116">
        <f t="shared" si="21"/>
        <v>0</v>
      </c>
      <c r="AT178" s="116">
        <f t="shared" si="21"/>
        <v>0</v>
      </c>
      <c r="AU178" s="116">
        <f t="shared" si="21"/>
        <v>0</v>
      </c>
      <c r="AV178" s="116">
        <f t="shared" si="21"/>
        <v>0</v>
      </c>
      <c r="AW178" s="116">
        <f t="shared" si="21"/>
        <v>0</v>
      </c>
      <c r="AX178" s="116">
        <f t="shared" si="21"/>
        <v>0</v>
      </c>
      <c r="AY178" s="116">
        <f t="shared" si="21"/>
        <v>0</v>
      </c>
      <c r="AZ178" s="116">
        <f t="shared" si="21"/>
        <v>19</v>
      </c>
      <c r="BA178" s="116">
        <f t="shared" si="21"/>
        <v>3</v>
      </c>
      <c r="BB178" s="117">
        <f t="shared" si="17"/>
        <v>3</v>
      </c>
    </row>
    <row r="179" spans="1:54" ht="15.95" customHeight="1">
      <c r="B179" s="112">
        <v>171</v>
      </c>
      <c r="C179" s="133">
        <f>+'[7]PLANILLA EDNA '!C86</f>
        <v>66834181</v>
      </c>
      <c r="D179" s="114" t="str">
        <f>IFERROR(VLOOKUP($C179,'[7]PLANILLA EDNA '!$C$9:$F$100,2,0),"NO BD")</f>
        <v xml:space="preserve">CHACON MIRIAN PATRICIA </v>
      </c>
      <c r="E179" s="134" t="s">
        <v>592</v>
      </c>
      <c r="F179" s="114" t="s">
        <v>595</v>
      </c>
      <c r="G179" s="114" t="str">
        <f>IFERROR(VLOOKUP($C179,'[7]PLANILLA EDNA '!$C$9:$F$100,4,0),"NO BD")</f>
        <v xml:space="preserve">SEDE 2- DIRECCIÓN DISTRITAL DE ARCHIVO DE  BOGOTA </v>
      </c>
      <c r="H179" s="114" t="str">
        <f>IFERROR(VLOOKUP($C179,[7]BD!$B$3:$O$203,14,0),"")</f>
        <v/>
      </c>
      <c r="I179" s="114" t="str">
        <f>IFERROR(VLOOKUP($C179,[7]BD!$B$3:$O$203,4,0),"")</f>
        <v/>
      </c>
      <c r="J179" s="97" t="str">
        <f>INDEX('[7]PLANILLA EDNA '!C84:AK172,3,6)</f>
        <v>TS</v>
      </c>
      <c r="K179" s="97" t="str">
        <f>INDEX('[7]PLANILLA EDNA '!D84:AL172,3,6)</f>
        <v>TS</v>
      </c>
      <c r="L179" s="97" t="str">
        <f>INDEX('[7]PLANILLA EDNA '!E84:AM172,3,6)</f>
        <v>TS</v>
      </c>
      <c r="M179" s="97" t="str">
        <f>INDEX('[7]PLANILLA EDNA '!F84:AN172,3,6)</f>
        <v>TS</v>
      </c>
      <c r="N179" s="97" t="str">
        <f>INDEX('[7]PLANILLA EDNA '!G84:AO172,3,6)</f>
        <v>TS</v>
      </c>
      <c r="O179" s="97" t="str">
        <f>INDEX('[7]PLANILLA EDNA '!H84:AP172,3,6)</f>
        <v>TS</v>
      </c>
      <c r="P179" s="97" t="str">
        <f>INDEX('[7]PLANILLA EDNA '!I84:AQ172,3,6)</f>
        <v>TS</v>
      </c>
      <c r="Q179" s="97" t="str">
        <f>INDEX('[7]PLANILLA EDNA '!J84:AR172,3,6)</f>
        <v>TS</v>
      </c>
      <c r="R179" s="97" t="str">
        <f>INDEX('[7]PLANILLA EDNA '!K84:AS172,3,6)</f>
        <v>TS</v>
      </c>
      <c r="S179" s="97" t="str">
        <f>INDEX('[7]PLANILLA EDNA '!L84:AT172,3,6)</f>
        <v>TS</v>
      </c>
      <c r="T179" s="97" t="str">
        <f>INDEX('[7]PLANILLA EDNA '!M84:AU172,3,6)</f>
        <v>TS</v>
      </c>
      <c r="U179" s="97" t="str">
        <f>INDEX('[7]PLANILLA EDNA '!N84:AV172,3,6)</f>
        <v>TS</v>
      </c>
      <c r="V179" s="97" t="str">
        <f>INDEX('[7]PLANILLA EDNA '!O84:AW172,3,6)</f>
        <v>TS</v>
      </c>
      <c r="W179" s="97" t="str">
        <f>INDEX('[7]PLANILLA EDNA '!P84:AX172,3,6)</f>
        <v>TS</v>
      </c>
      <c r="X179" s="97" t="str">
        <f>INDEX('[7]PLANILLA EDNA '!Q84:AY172,3,6)</f>
        <v>TS</v>
      </c>
      <c r="Y179" s="97" t="str">
        <f>INDEX('[7]PLANILLA EDNA '!R84:AZ172,3,6)</f>
        <v>TS</v>
      </c>
      <c r="Z179" s="97" t="str">
        <f>INDEX('[7]PLANILLA EDNA '!S84:BA172,3,6)</f>
        <v>OK</v>
      </c>
      <c r="AA179" s="97" t="str">
        <f>INDEX('[7]PLANILLA EDNA '!T84:BB172,3,6)</f>
        <v>REN</v>
      </c>
      <c r="AB179" s="97" t="str">
        <f>INDEX('[7]PLANILLA EDNA '!U84:BC172,3,6)</f>
        <v>REN</v>
      </c>
      <c r="AC179" s="97" t="str">
        <f>INDEX('[7]PLANILLA EDNA '!V84:BD172,3,6)</f>
        <v>REN</v>
      </c>
      <c r="AD179" s="97" t="str">
        <f>INDEX('[7]PLANILLA EDNA '!W84:BE172,3,6)</f>
        <v>REN</v>
      </c>
      <c r="AE179" s="97" t="str">
        <f>INDEX('[7]PLANILLA EDNA '!X84:BF172,3,6)</f>
        <v>REN</v>
      </c>
      <c r="AF179" s="97" t="str">
        <f>INDEX('[7]PLANILLA EDNA '!Y84:BG172,3,6)</f>
        <v>REN</v>
      </c>
      <c r="AG179" s="97" t="str">
        <f>INDEX('[7]PLANILLA EDNA '!Z84:BH172,3,6)</f>
        <v>REN</v>
      </c>
      <c r="AH179" s="97" t="str">
        <f>INDEX('[7]PLANILLA EDNA '!AA84:BI172,3,6)</f>
        <v>REN</v>
      </c>
      <c r="AI179" s="97" t="str">
        <f>INDEX('[7]PLANILLA EDNA '!AB84:BJ172,3,6)</f>
        <v>REN</v>
      </c>
      <c r="AJ179" s="97" t="str">
        <f>INDEX('[7]PLANILLA EDNA '!AC84:BK172,3,6)</f>
        <v>REN</v>
      </c>
      <c r="AK179" s="97" t="str">
        <f>INDEX('[7]PLANILLA EDNA '!AD84:BL172,3,6)</f>
        <v>REN</v>
      </c>
      <c r="AL179" s="97" t="str">
        <f>INDEX('[7]PLANILLA EDNA '!AE84:BM172,3,6)</f>
        <v>REN</v>
      </c>
      <c r="AM179" s="97" t="str">
        <f>INDEX('[7]PLANILLA EDNA '!AF84:BN172,3,6)</f>
        <v>REN</v>
      </c>
      <c r="AO179" s="116">
        <f t="shared" si="21"/>
        <v>0</v>
      </c>
      <c r="AP179" s="116">
        <f t="shared" si="21"/>
        <v>0</v>
      </c>
      <c r="AQ179" s="116">
        <f t="shared" si="21"/>
        <v>0</v>
      </c>
      <c r="AR179" s="116">
        <f t="shared" si="21"/>
        <v>0</v>
      </c>
      <c r="AS179" s="116">
        <f t="shared" si="21"/>
        <v>0</v>
      </c>
      <c r="AT179" s="116">
        <f t="shared" si="21"/>
        <v>0</v>
      </c>
      <c r="AU179" s="116">
        <f t="shared" si="21"/>
        <v>0</v>
      </c>
      <c r="AV179" s="116">
        <f t="shared" si="21"/>
        <v>0</v>
      </c>
      <c r="AW179" s="116">
        <f t="shared" si="21"/>
        <v>13</v>
      </c>
      <c r="AX179" s="116">
        <f t="shared" si="21"/>
        <v>0</v>
      </c>
      <c r="AY179" s="116">
        <f t="shared" si="21"/>
        <v>0</v>
      </c>
      <c r="AZ179" s="116">
        <f t="shared" si="21"/>
        <v>16</v>
      </c>
      <c r="BA179" s="116">
        <f t="shared" si="21"/>
        <v>1</v>
      </c>
      <c r="BB179" s="117">
        <f t="shared" si="17"/>
        <v>1</v>
      </c>
    </row>
    <row r="180" spans="1:54" ht="15.95" customHeight="1">
      <c r="A180" s="119" t="s">
        <v>583</v>
      </c>
      <c r="B180" s="112">
        <v>172</v>
      </c>
      <c r="C180" s="133">
        <f>+'[7]PLANILLA EDNA '!C87</f>
        <v>1016049175</v>
      </c>
      <c r="D180" s="114" t="str">
        <f>IFERROR(VLOOKUP($C180,'[7]PLANILLA EDNA '!$C$9:$F$100,2,0),"NO BD")</f>
        <v xml:space="preserve">TAO ULTENGO CESAR MAURICIO </v>
      </c>
      <c r="E180" s="134" t="s">
        <v>592</v>
      </c>
      <c r="F180" s="114" t="str">
        <f>IFERROR(VLOOKUP($C180,[7]BD!$B$3:$O$213,3,0),"")</f>
        <v>OPERARIO DE MANTENIMIENTO</v>
      </c>
      <c r="G180" s="114" t="str">
        <f>IFERROR(VLOOKUP($C180,'[7]PLANILLA EDNA '!$C$9:$F$100,4,0),"NO BD")</f>
        <v>SEDE 1 - MANZANA LIEVANO - ALCALDÍA MAYOR</v>
      </c>
      <c r="H180" s="114" t="str">
        <f>IFERROR(VLOOKUP($C180,[7]BD!$B$3:$O$203,14,0),"")</f>
        <v>3138228706</v>
      </c>
      <c r="I180" s="114" t="str">
        <f>IFERROR(VLOOKUP($C180,[7]BD!$B$3:$O$203,4,0),"")</f>
        <v>18/10/2025</v>
      </c>
      <c r="J180" s="97" t="str">
        <f>INDEX('[7]PLANILLA EDNA '!C85:AK173,3,6)</f>
        <v>TS</v>
      </c>
      <c r="K180" s="97" t="str">
        <f>INDEX('[7]PLANILLA EDNA '!D85:AL173,3,6)</f>
        <v>TS</v>
      </c>
      <c r="L180" s="97" t="str">
        <f>INDEX('[7]PLANILLA EDNA '!E85:AM173,3,6)</f>
        <v>TS</v>
      </c>
      <c r="M180" s="97" t="str">
        <f>INDEX('[7]PLANILLA EDNA '!F85:AN173,3,6)</f>
        <v>TS</v>
      </c>
      <c r="N180" s="97" t="str">
        <f>INDEX('[7]PLANILLA EDNA '!G85:AO173,3,6)</f>
        <v>TS</v>
      </c>
      <c r="O180" s="97" t="str">
        <f>INDEX('[7]PLANILLA EDNA '!H85:AP173,3,6)</f>
        <v>TS</v>
      </c>
      <c r="P180" s="97" t="str">
        <f>INDEX('[7]PLANILLA EDNA '!I85:AQ173,3,6)</f>
        <v>TS</v>
      </c>
      <c r="Q180" s="97" t="str">
        <f>INDEX('[7]PLANILLA EDNA '!J85:AR173,3,6)</f>
        <v>TS</v>
      </c>
      <c r="R180" s="97" t="str">
        <f>INDEX('[7]PLANILLA EDNA '!K85:AS173,3,6)</f>
        <v>TS</v>
      </c>
      <c r="S180" s="97" t="str">
        <f>INDEX('[7]PLANILLA EDNA '!L85:AT173,3,6)</f>
        <v>TS</v>
      </c>
      <c r="T180" s="97" t="str">
        <f>INDEX('[7]PLANILLA EDNA '!M85:AU173,3,6)</f>
        <v>TS</v>
      </c>
      <c r="U180" s="97" t="str">
        <f>INDEX('[7]PLANILLA EDNA '!N85:AV173,3,6)</f>
        <v>TS</v>
      </c>
      <c r="V180" s="97" t="str">
        <f>INDEX('[7]PLANILLA EDNA '!O85:AW173,3,6)</f>
        <v>TS</v>
      </c>
      <c r="W180" s="97" t="str">
        <f>INDEX('[7]PLANILLA EDNA '!P85:AX173,3,6)</f>
        <v>TS</v>
      </c>
      <c r="X180" s="97" t="str">
        <f>INDEX('[7]PLANILLA EDNA '!Q85:AY173,3,6)</f>
        <v>TS</v>
      </c>
      <c r="Y180" s="97" t="str">
        <f>INDEX('[7]PLANILLA EDNA '!R85:AZ173,3,6)</f>
        <v>TS</v>
      </c>
      <c r="Z180" s="97" t="str">
        <f>INDEX('[7]PLANILLA EDNA '!S85:BA173,3,6)</f>
        <v>TS</v>
      </c>
      <c r="AA180" s="97" t="str">
        <f>INDEX('[7]PLANILLA EDNA '!T85:BB173,3,6)</f>
        <v>OK</v>
      </c>
      <c r="AB180" s="97" t="str">
        <f>INDEX('[7]PLANILLA EDNA '!U85:BC173,3,6)</f>
        <v>D</v>
      </c>
      <c r="AC180" s="97" t="str">
        <f>INDEX('[7]PLANILLA EDNA '!V85:BD173,3,6)</f>
        <v>OK</v>
      </c>
      <c r="AD180" s="97" t="str">
        <f>INDEX('[7]PLANILLA EDNA '!W85:BE173,3,6)</f>
        <v>OK</v>
      </c>
      <c r="AE180" s="97" t="str">
        <f>INDEX('[7]PLANILLA EDNA '!X85:BF173,3,6)</f>
        <v>OK</v>
      </c>
      <c r="AF180" s="97">
        <f>INDEX('[7]PLANILLA EDNA '!Y85:BG173,3,6)</f>
        <v>0</v>
      </c>
      <c r="AG180" s="97">
        <f>INDEX('[7]PLANILLA EDNA '!Z85:BH173,3,6)</f>
        <v>0</v>
      </c>
      <c r="AH180" s="97">
        <f>INDEX('[7]PLANILLA EDNA '!AA85:BI173,3,6)</f>
        <v>0</v>
      </c>
      <c r="AI180" s="97">
        <f>INDEX('[7]PLANILLA EDNA '!AB85:BJ173,3,6)</f>
        <v>0</v>
      </c>
      <c r="AJ180" s="97">
        <f>INDEX('[7]PLANILLA EDNA '!AC85:BK173,3,6)</f>
        <v>0</v>
      </c>
      <c r="AK180" s="97">
        <f>INDEX('[7]PLANILLA EDNA '!AD85:BL173,3,6)</f>
        <v>0</v>
      </c>
      <c r="AL180" s="97">
        <f>INDEX('[7]PLANILLA EDNA '!AE85:BM173,3,6)</f>
        <v>0</v>
      </c>
      <c r="AM180" s="97">
        <f>INDEX('[7]PLANILLA EDNA '!AF85:BN173,3,6)</f>
        <v>0</v>
      </c>
      <c r="AO180" s="116">
        <f t="shared" si="21"/>
        <v>0</v>
      </c>
      <c r="AP180" s="116">
        <f t="shared" si="21"/>
        <v>0</v>
      </c>
      <c r="AQ180" s="116">
        <f t="shared" si="21"/>
        <v>1</v>
      </c>
      <c r="AR180" s="116">
        <f t="shared" si="21"/>
        <v>0</v>
      </c>
      <c r="AS180" s="116">
        <f t="shared" si="21"/>
        <v>0</v>
      </c>
      <c r="AT180" s="116">
        <f t="shared" si="21"/>
        <v>0</v>
      </c>
      <c r="AU180" s="116">
        <f t="shared" si="21"/>
        <v>0</v>
      </c>
      <c r="AV180" s="116">
        <f t="shared" si="21"/>
        <v>0</v>
      </c>
      <c r="AW180" s="116">
        <f t="shared" si="21"/>
        <v>0</v>
      </c>
      <c r="AX180" s="116">
        <f t="shared" si="21"/>
        <v>0</v>
      </c>
      <c r="AY180" s="116">
        <f t="shared" si="21"/>
        <v>0</v>
      </c>
      <c r="AZ180" s="116">
        <f t="shared" si="21"/>
        <v>17</v>
      </c>
      <c r="BA180" s="116">
        <f t="shared" si="21"/>
        <v>4</v>
      </c>
      <c r="BB180" s="117">
        <f t="shared" si="17"/>
        <v>5</v>
      </c>
    </row>
    <row r="181" spans="1:54" ht="15.95" customHeight="1">
      <c r="A181" s="119" t="s">
        <v>583</v>
      </c>
      <c r="B181" s="112">
        <v>173</v>
      </c>
      <c r="C181" s="133">
        <f>+'[7]PLANILLA EDNA '!C88</f>
        <v>1028860401</v>
      </c>
      <c r="D181" s="114" t="str">
        <f>IFERROR(VLOOKUP($C181,'[7]PLANILLA EDNA '!$C$9:$F$100,2,0),"NO BD")</f>
        <v xml:space="preserve">VEGA MANFULA YEYSON YOTSUA </v>
      </c>
      <c r="E181" s="134" t="s">
        <v>592</v>
      </c>
      <c r="F181" s="114" t="str">
        <f>IFERROR(VLOOKUP($C181,[7]BD!$B$3:$O$213,3,0),"")</f>
        <v>JARDINERO</v>
      </c>
      <c r="G181" s="114" t="str">
        <f>IFERROR(VLOOKUP($C181,'[7]PLANILLA EDNA '!$C$9:$F$100,4,0),"NO BD")</f>
        <v>SEDE 3 - IMPRENTA DISTRITAL</v>
      </c>
      <c r="H181" s="114" t="str">
        <f>IFERROR(VLOOKUP($C181,[7]BD!$B$3:$O$203,14,0),"")</f>
        <v>3115389988</v>
      </c>
      <c r="I181" s="114" t="str">
        <f>IFERROR(VLOOKUP($C181,[7]BD!$B$3:$O$203,4,0),"")</f>
        <v>18/10/2025</v>
      </c>
      <c r="J181" s="97" t="str">
        <f>INDEX('[7]PLANILLA EDNA '!C86:AK174,3,6)</f>
        <v>TS</v>
      </c>
      <c r="K181" s="97" t="str">
        <f>INDEX('[7]PLANILLA EDNA '!D86:AL174,3,6)</f>
        <v>TS</v>
      </c>
      <c r="L181" s="97" t="str">
        <f>INDEX('[7]PLANILLA EDNA '!E86:AM174,3,6)</f>
        <v>TS</v>
      </c>
      <c r="M181" s="97" t="str">
        <f>INDEX('[7]PLANILLA EDNA '!F86:AN174,3,6)</f>
        <v>TS</v>
      </c>
      <c r="N181" s="97" t="str">
        <f>INDEX('[7]PLANILLA EDNA '!G86:AO174,3,6)</f>
        <v>TS</v>
      </c>
      <c r="O181" s="97" t="str">
        <f>INDEX('[7]PLANILLA EDNA '!H86:AP174,3,6)</f>
        <v>TS</v>
      </c>
      <c r="P181" s="97" t="str">
        <f>INDEX('[7]PLANILLA EDNA '!I86:AQ174,3,6)</f>
        <v>TS</v>
      </c>
      <c r="Q181" s="97" t="str">
        <f>INDEX('[7]PLANILLA EDNA '!J86:AR174,3,6)</f>
        <v>TS</v>
      </c>
      <c r="R181" s="97" t="str">
        <f>INDEX('[7]PLANILLA EDNA '!K86:AS174,3,6)</f>
        <v>TS</v>
      </c>
      <c r="S181" s="97" t="str">
        <f>INDEX('[7]PLANILLA EDNA '!L86:AT174,3,6)</f>
        <v>TS</v>
      </c>
      <c r="T181" s="97" t="str">
        <f>INDEX('[7]PLANILLA EDNA '!M86:AU174,3,6)</f>
        <v>TS</v>
      </c>
      <c r="U181" s="97" t="str">
        <f>INDEX('[7]PLANILLA EDNA '!N86:AV174,3,6)</f>
        <v>TS</v>
      </c>
      <c r="V181" s="97" t="str">
        <f>INDEX('[7]PLANILLA EDNA '!O86:AW174,3,6)</f>
        <v>TS</v>
      </c>
      <c r="W181" s="97" t="str">
        <f>INDEX('[7]PLANILLA EDNA '!P86:AX174,3,6)</f>
        <v>OK</v>
      </c>
      <c r="X181" s="97" t="str">
        <f>INDEX('[7]PLANILLA EDNA '!Q86:AY174,3,6)</f>
        <v>OK</v>
      </c>
      <c r="Y181" s="97" t="str">
        <f>INDEX('[7]PLANILLA EDNA '!R86:AZ174,3,6)</f>
        <v>OK</v>
      </c>
      <c r="Z181" s="97" t="str">
        <f>INDEX('[7]PLANILLA EDNA '!S86:BA174,3,6)</f>
        <v>OK</v>
      </c>
      <c r="AA181" s="97" t="str">
        <f>INDEX('[7]PLANILLA EDNA '!T86:BB174,3,6)</f>
        <v>OK</v>
      </c>
      <c r="AB181" s="97" t="str">
        <f>INDEX('[7]PLANILLA EDNA '!U86:BC174,3,6)</f>
        <v>D</v>
      </c>
      <c r="AC181" s="97" t="str">
        <f>INDEX('[7]PLANILLA EDNA '!V86:BD174,3,6)</f>
        <v>OK</v>
      </c>
      <c r="AD181" s="97" t="str">
        <f>INDEX('[7]PLANILLA EDNA '!W86:BE174,3,6)</f>
        <v>OK</v>
      </c>
      <c r="AE181" s="97" t="str">
        <f>INDEX('[7]PLANILLA EDNA '!X86:BF174,3,6)</f>
        <v>OK</v>
      </c>
      <c r="AF181" s="97">
        <f>INDEX('[7]PLANILLA EDNA '!Y86:BG174,3,6)</f>
        <v>0</v>
      </c>
      <c r="AG181" s="97">
        <f>INDEX('[7]PLANILLA EDNA '!Z86:BH174,3,6)</f>
        <v>0</v>
      </c>
      <c r="AH181" s="97">
        <f>INDEX('[7]PLANILLA EDNA '!AA86:BI174,3,6)</f>
        <v>0</v>
      </c>
      <c r="AI181" s="97">
        <f>INDEX('[7]PLANILLA EDNA '!AB86:BJ174,3,6)</f>
        <v>0</v>
      </c>
      <c r="AJ181" s="97">
        <f>INDEX('[7]PLANILLA EDNA '!AC86:BK174,3,6)</f>
        <v>0</v>
      </c>
      <c r="AK181" s="97">
        <f>INDEX('[7]PLANILLA EDNA '!AD86:BL174,3,6)</f>
        <v>0</v>
      </c>
      <c r="AL181" s="97">
        <f>INDEX('[7]PLANILLA EDNA '!AE86:BM174,3,6)</f>
        <v>0</v>
      </c>
      <c r="AM181" s="97">
        <f>INDEX('[7]PLANILLA EDNA '!AF86:BN174,3,6)</f>
        <v>0</v>
      </c>
      <c r="AO181" s="116">
        <f t="shared" si="21"/>
        <v>0</v>
      </c>
      <c r="AP181" s="116">
        <f t="shared" si="21"/>
        <v>0</v>
      </c>
      <c r="AQ181" s="116">
        <f t="shared" si="21"/>
        <v>1</v>
      </c>
      <c r="AR181" s="116">
        <f t="shared" si="21"/>
        <v>0</v>
      </c>
      <c r="AS181" s="116">
        <f t="shared" si="21"/>
        <v>0</v>
      </c>
      <c r="AT181" s="116">
        <f t="shared" si="21"/>
        <v>0</v>
      </c>
      <c r="AU181" s="116">
        <f t="shared" si="21"/>
        <v>0</v>
      </c>
      <c r="AV181" s="116">
        <f t="shared" si="21"/>
        <v>0</v>
      </c>
      <c r="AW181" s="116">
        <f t="shared" si="21"/>
        <v>0</v>
      </c>
      <c r="AX181" s="116">
        <f t="shared" si="21"/>
        <v>0</v>
      </c>
      <c r="AY181" s="116">
        <f t="shared" si="21"/>
        <v>0</v>
      </c>
      <c r="AZ181" s="116">
        <f t="shared" si="21"/>
        <v>13</v>
      </c>
      <c r="BA181" s="116">
        <f t="shared" si="21"/>
        <v>8</v>
      </c>
      <c r="BB181" s="117">
        <f t="shared" si="17"/>
        <v>9</v>
      </c>
    </row>
    <row r="182" spans="1:54" ht="15.95" customHeight="1">
      <c r="B182" s="112">
        <v>174</v>
      </c>
      <c r="C182" s="133">
        <f>+'[7]PLANILLA EDNA '!C89</f>
        <v>1007538618</v>
      </c>
      <c r="D182" s="114" t="str">
        <f>IFERROR(VLOOKUP($C182,'[7]PLANILLA EDNA '!$C$9:$F$100,2,0),"NO BD")</f>
        <v xml:space="preserve">PALACIOS SEVILLA SIRLEY  </v>
      </c>
      <c r="E182" s="134" t="s">
        <v>592</v>
      </c>
      <c r="F182" s="114" t="str">
        <f>IFERROR(VLOOKUP($C182,[7]BD!$B$3:$O$213,3,0),"")</f>
        <v>OPERARIA DE ASEO Y CAFETERIA</v>
      </c>
      <c r="G182" s="114" t="str">
        <f>IFERROR(VLOOKUP($C182,'[7]PLANILLA EDNA '!$C$9:$F$100,4,0),"NO BD")</f>
        <v xml:space="preserve">SEDE 2- DIRECCIÓN DISTRITAL DE ARCHIVO DE  BOGOTA </v>
      </c>
      <c r="H182" s="114" t="str">
        <f>IFERROR(VLOOKUP($C182,[7]BD!$B$3:$O$203,14,0),"")</f>
        <v>3023858780</v>
      </c>
      <c r="I182" s="114" t="str">
        <f>IFERROR(VLOOKUP($C182,[7]BD!$B$3:$O$203,4,0),"")</f>
        <v>23/04/2026</v>
      </c>
      <c r="J182" s="97">
        <f>INDEX('[7]PLANILLA EDNA '!C87:AK175,3,6)</f>
        <v>0</v>
      </c>
      <c r="K182" s="97">
        <f>INDEX('[7]PLANILLA EDNA '!D87:AL175,3,6)</f>
        <v>0</v>
      </c>
      <c r="L182" s="97">
        <f>INDEX('[7]PLANILLA EDNA '!E87:AM175,3,6)</f>
        <v>0</v>
      </c>
      <c r="M182" s="97">
        <f>INDEX('[7]PLANILLA EDNA '!F87:AN175,3,6)</f>
        <v>0</v>
      </c>
      <c r="N182" s="97">
        <f>INDEX('[7]PLANILLA EDNA '!G87:AO175,3,6)</f>
        <v>0</v>
      </c>
      <c r="O182" s="97">
        <f>INDEX('[7]PLANILLA EDNA '!H87:AP175,3,6)</f>
        <v>0</v>
      </c>
      <c r="P182" s="97">
        <f>INDEX('[7]PLANILLA EDNA '!I87:AQ175,3,6)</f>
        <v>0</v>
      </c>
      <c r="Q182" s="97">
        <f>INDEX('[7]PLANILLA EDNA '!J87:AR175,3,6)</f>
        <v>0</v>
      </c>
      <c r="R182" s="97">
        <f>INDEX('[7]PLANILLA EDNA '!K87:AS175,3,6)</f>
        <v>0</v>
      </c>
      <c r="S182" s="97">
        <f>INDEX('[7]PLANILLA EDNA '!L87:AT175,3,6)</f>
        <v>0</v>
      </c>
      <c r="T182" s="97">
        <f>INDEX('[7]PLANILLA EDNA '!M87:AU175,3,6)</f>
        <v>0</v>
      </c>
      <c r="U182" s="97">
        <f>INDEX('[7]PLANILLA EDNA '!N87:AV175,3,6)</f>
        <v>0</v>
      </c>
      <c r="V182" s="97">
        <f>INDEX('[7]PLANILLA EDNA '!O87:AW175,3,6)</f>
        <v>0</v>
      </c>
      <c r="W182" s="97">
        <f>INDEX('[7]PLANILLA EDNA '!P87:AX175,3,6)</f>
        <v>0</v>
      </c>
      <c r="X182" s="97">
        <f>INDEX('[7]PLANILLA EDNA '!Q87:AY175,3,6)</f>
        <v>0</v>
      </c>
      <c r="Y182" s="97">
        <f>INDEX('[7]PLANILLA EDNA '!R87:AZ175,3,6)</f>
        <v>0</v>
      </c>
      <c r="Z182" s="97">
        <f>INDEX('[7]PLANILLA EDNA '!S87:BA175,3,6)</f>
        <v>0</v>
      </c>
      <c r="AA182" s="97">
        <f>INDEX('[7]PLANILLA EDNA '!T87:BB175,3,6)</f>
        <v>0</v>
      </c>
      <c r="AB182" s="97">
        <f>INDEX('[7]PLANILLA EDNA '!U87:BC175,3,6)</f>
        <v>0</v>
      </c>
      <c r="AC182" s="97">
        <f>INDEX('[7]PLANILLA EDNA '!V87:BD175,3,6)</f>
        <v>0</v>
      </c>
      <c r="AD182" s="97">
        <f>INDEX('[7]PLANILLA EDNA '!W87:BE175,3,6)</f>
        <v>0</v>
      </c>
      <c r="AE182" s="97">
        <f>INDEX('[7]PLANILLA EDNA '!X87:BF175,3,6)</f>
        <v>0</v>
      </c>
      <c r="AF182" s="97" t="str">
        <f>INDEX('[7]PLANILLA EDNA '!Y87:BG175,3,6)</f>
        <v>OK</v>
      </c>
      <c r="AG182" s="97" t="str">
        <f>INDEX('[7]PLANILLA EDNA '!Z87:BH175,3,6)</f>
        <v>OK</v>
      </c>
      <c r="AH182" s="97" t="str">
        <f>INDEX('[7]PLANILLA EDNA '!AA87:BI175,3,6)</f>
        <v>OK</v>
      </c>
      <c r="AI182" s="97" t="str">
        <f>INDEX('[7]PLANILLA EDNA '!AB87:BJ175,3,6)</f>
        <v>D</v>
      </c>
      <c r="AJ182" s="97">
        <f>INDEX('[7]PLANILLA EDNA '!AC87:BK175,3,6)</f>
        <v>0</v>
      </c>
      <c r="AK182" s="97">
        <f>INDEX('[7]PLANILLA EDNA '!AD87:BL175,3,6)</f>
        <v>0</v>
      </c>
      <c r="AL182" s="97">
        <f>INDEX('[7]PLANILLA EDNA '!AE87:BM175,3,6)</f>
        <v>0</v>
      </c>
      <c r="AM182" s="97">
        <f>INDEX('[7]PLANILLA EDNA '!AF87:BN175,3,6)</f>
        <v>0</v>
      </c>
      <c r="AO182" s="116">
        <f t="shared" si="21"/>
        <v>0</v>
      </c>
      <c r="AP182" s="116">
        <f t="shared" si="21"/>
        <v>0</v>
      </c>
      <c r="AQ182" s="116">
        <f t="shared" si="21"/>
        <v>1</v>
      </c>
      <c r="AR182" s="116">
        <f t="shared" si="21"/>
        <v>0</v>
      </c>
      <c r="AS182" s="116">
        <f t="shared" si="21"/>
        <v>0</v>
      </c>
      <c r="AT182" s="116">
        <f t="shared" si="21"/>
        <v>0</v>
      </c>
      <c r="AU182" s="116">
        <f t="shared" si="21"/>
        <v>0</v>
      </c>
      <c r="AV182" s="116">
        <f t="shared" si="21"/>
        <v>0</v>
      </c>
      <c r="AW182" s="116">
        <f t="shared" si="21"/>
        <v>0</v>
      </c>
      <c r="AX182" s="116">
        <f t="shared" si="21"/>
        <v>0</v>
      </c>
      <c r="AY182" s="116">
        <f t="shared" si="21"/>
        <v>0</v>
      </c>
      <c r="AZ182" s="116">
        <f t="shared" si="21"/>
        <v>0</v>
      </c>
      <c r="BA182" s="116">
        <f t="shared" si="21"/>
        <v>3</v>
      </c>
      <c r="BB182" s="117">
        <f t="shared" si="17"/>
        <v>4</v>
      </c>
    </row>
    <row r="183" spans="1:54" ht="15.95" customHeight="1">
      <c r="A183" s="119" t="s">
        <v>583</v>
      </c>
      <c r="B183" s="112">
        <v>175</v>
      </c>
      <c r="C183" s="133">
        <f>+'[7]PLANILLA EDNA '!C90</f>
        <v>1010219099</v>
      </c>
      <c r="D183" s="114" t="str">
        <f>IFERROR(VLOOKUP($C183,'[7]PLANILLA EDNA '!$C$9:$F$100,2,0),"NO BD")</f>
        <v xml:space="preserve">QUINTERO  YENNY KATHERINE </v>
      </c>
      <c r="E183" s="134" t="s">
        <v>592</v>
      </c>
      <c r="F183" s="114" t="str">
        <f>IFERROR(VLOOKUP($C183,[7]BD!$B$3:$O$213,3,0),"")</f>
        <v>OPERARIA DE ASEO Y CAFETERIA</v>
      </c>
      <c r="G183" s="114" t="str">
        <f>IFERROR(VLOOKUP($C183,'[7]PLANILLA EDNA '!$C$9:$F$100,4,0),"NO BD")</f>
        <v>SEDE 1 - MANZANA LIEVANO - ALCALDÍA MAYOR</v>
      </c>
      <c r="H183" s="114" t="str">
        <f>IFERROR(VLOOKUP($C183,[7]BD!$B$3:$O$203,14,0),"")</f>
        <v>3138720037</v>
      </c>
      <c r="I183" s="114" t="str">
        <f>IFERROR(VLOOKUP($C183,[7]BD!$B$3:$O$203,4,0),"")</f>
        <v>18/10/2025</v>
      </c>
      <c r="J183" s="97" t="str">
        <f>INDEX('[7]PLANILLA EDNA '!C88:AK176,3,6)</f>
        <v>TS</v>
      </c>
      <c r="K183" s="97" t="str">
        <f>INDEX('[7]PLANILLA EDNA '!D88:AL176,3,6)</f>
        <v>TS</v>
      </c>
      <c r="L183" s="97" t="str">
        <f>INDEX('[7]PLANILLA EDNA '!E88:AM176,3,6)</f>
        <v>TS</v>
      </c>
      <c r="M183" s="97" t="str">
        <f>INDEX('[7]PLANILLA EDNA '!F88:AN176,3,6)</f>
        <v>TS</v>
      </c>
      <c r="N183" s="97" t="str">
        <f>INDEX('[7]PLANILLA EDNA '!G88:AO176,3,6)</f>
        <v>TS</v>
      </c>
      <c r="O183" s="97" t="str">
        <f>INDEX('[7]PLANILLA EDNA '!H88:AP176,3,6)</f>
        <v>TS</v>
      </c>
      <c r="P183" s="97" t="str">
        <f>INDEX('[7]PLANILLA EDNA '!I88:AQ176,3,6)</f>
        <v>TS</v>
      </c>
      <c r="Q183" s="97" t="str">
        <f>INDEX('[7]PLANILLA EDNA '!J88:AR176,3,6)</f>
        <v>TS</v>
      </c>
      <c r="R183" s="97" t="str">
        <f>INDEX('[7]PLANILLA EDNA '!K88:AS176,3,6)</f>
        <v>TS</v>
      </c>
      <c r="S183" s="97" t="str">
        <f>INDEX('[7]PLANILLA EDNA '!L88:AT176,3,6)</f>
        <v>TS</v>
      </c>
      <c r="T183" s="97" t="str">
        <f>INDEX('[7]PLANILLA EDNA '!M88:AU176,3,6)</f>
        <v>TS</v>
      </c>
      <c r="U183" s="97" t="str">
        <f>INDEX('[7]PLANILLA EDNA '!N88:AV176,3,6)</f>
        <v>TS</v>
      </c>
      <c r="V183" s="97" t="str">
        <f>INDEX('[7]PLANILLA EDNA '!O88:AW176,3,6)</f>
        <v>TS</v>
      </c>
      <c r="W183" s="97" t="str">
        <f>INDEX('[7]PLANILLA EDNA '!P88:AX176,3,6)</f>
        <v>TS</v>
      </c>
      <c r="X183" s="97" t="str">
        <f>INDEX('[7]PLANILLA EDNA '!Q88:AY176,3,6)</f>
        <v>TS</v>
      </c>
      <c r="Y183" s="97" t="str">
        <f>INDEX('[7]PLANILLA EDNA '!R88:AZ176,3,6)</f>
        <v>TS</v>
      </c>
      <c r="Z183" s="97" t="str">
        <f>INDEX('[7]PLANILLA EDNA '!S88:BA176,3,6)</f>
        <v>TS</v>
      </c>
      <c r="AA183" s="97" t="str">
        <f>INDEX('[7]PLANILLA EDNA '!T88:BB176,3,6)</f>
        <v>TS</v>
      </c>
      <c r="AB183" s="97" t="str">
        <f>INDEX('[7]PLANILLA EDNA '!U88:BC176,3,6)</f>
        <v>TS</v>
      </c>
      <c r="AC183" s="97" t="str">
        <f>INDEX('[7]PLANILLA EDNA '!V88:BD176,3,6)</f>
        <v>TS</v>
      </c>
      <c r="AD183" s="97" t="str">
        <f>INDEX('[7]PLANILLA EDNA '!W88:BE176,3,6)</f>
        <v>TS</v>
      </c>
      <c r="AE183" s="97" t="str">
        <f>INDEX('[7]PLANILLA EDNA '!X88:BF176,3,6)</f>
        <v>TS</v>
      </c>
      <c r="AF183" s="97" t="str">
        <f>INDEX('[7]PLANILLA EDNA '!Y88:BG176,3,6)</f>
        <v>OK</v>
      </c>
      <c r="AG183" s="97" t="str">
        <f>INDEX('[7]PLANILLA EDNA '!Z88:BH176,3,6)</f>
        <v>OK</v>
      </c>
      <c r="AH183" s="97" t="str">
        <f>INDEX('[7]PLANILLA EDNA '!AA88:BI176,3,6)</f>
        <v>OK</v>
      </c>
      <c r="AI183" s="97" t="str">
        <f>INDEX('[7]PLANILLA EDNA '!AB88:BJ176,3,6)</f>
        <v>D</v>
      </c>
      <c r="AJ183" s="97">
        <f>INDEX('[7]PLANILLA EDNA '!AC88:BK176,3,6)</f>
        <v>0</v>
      </c>
      <c r="AK183" s="97">
        <f>INDEX('[7]PLANILLA EDNA '!AD88:BL176,3,6)</f>
        <v>0</v>
      </c>
      <c r="AL183" s="97">
        <f>INDEX('[7]PLANILLA EDNA '!AE88:BM176,3,6)</f>
        <v>0</v>
      </c>
      <c r="AM183" s="97">
        <f>INDEX('[7]PLANILLA EDNA '!AF88:BN176,3,6)</f>
        <v>0</v>
      </c>
      <c r="AO183" s="116">
        <f t="shared" si="21"/>
        <v>0</v>
      </c>
      <c r="AP183" s="116">
        <f t="shared" si="21"/>
        <v>0</v>
      </c>
      <c r="AQ183" s="116">
        <f t="shared" si="21"/>
        <v>1</v>
      </c>
      <c r="AR183" s="116">
        <f t="shared" si="21"/>
        <v>0</v>
      </c>
      <c r="AS183" s="116">
        <f t="shared" si="21"/>
        <v>0</v>
      </c>
      <c r="AT183" s="116">
        <f t="shared" si="21"/>
        <v>0</v>
      </c>
      <c r="AU183" s="116">
        <f t="shared" si="21"/>
        <v>0</v>
      </c>
      <c r="AV183" s="116">
        <f t="shared" si="21"/>
        <v>0</v>
      </c>
      <c r="AW183" s="116">
        <f t="shared" ref="AW183:BA183" si="22">COUNTIF($J183:$AM183,AW$7)</f>
        <v>0</v>
      </c>
      <c r="AX183" s="116">
        <f t="shared" si="22"/>
        <v>0</v>
      </c>
      <c r="AY183" s="116">
        <f t="shared" si="22"/>
        <v>0</v>
      </c>
      <c r="AZ183" s="116">
        <f t="shared" si="22"/>
        <v>22</v>
      </c>
      <c r="BA183" s="116">
        <f t="shared" si="22"/>
        <v>3</v>
      </c>
      <c r="BB183" s="117">
        <f t="shared" si="17"/>
        <v>4</v>
      </c>
    </row>
    <row r="184" spans="1:54" ht="15.95" customHeight="1">
      <c r="A184" s="119" t="s">
        <v>583</v>
      </c>
      <c r="B184" s="112">
        <v>176</v>
      </c>
      <c r="C184" s="133">
        <f>+'[7]PLANILLA EDNA '!C91</f>
        <v>1128053736</v>
      </c>
      <c r="D184" s="114" t="str">
        <f>IFERROR(VLOOKUP($C184,'[7]PLANILLA EDNA '!$C$9:$F$100,2,0),"NO BD")</f>
        <v xml:space="preserve">PAJARO PANIZZA MARIANA DEJESUS </v>
      </c>
      <c r="E184" s="134" t="s">
        <v>592</v>
      </c>
      <c r="F184" s="114" t="str">
        <f>IFERROR(VLOOKUP($C184,[7]BD!$B$3:$O$213,3,0),"")</f>
        <v>OPERARIA DE ASEO Y CAFETERIA</v>
      </c>
      <c r="G184" s="114" t="str">
        <f>IFERROR(VLOOKUP($C184,'[7]PLANILLA EDNA '!$C$9:$F$100,4,0),"NO BD")</f>
        <v>SEDE 1 - MANZANA LIEVANO - ALCALDÍA MAYOR</v>
      </c>
      <c r="H184" s="114" t="str">
        <f>IFERROR(VLOOKUP($C184,[7]BD!$B$3:$O$203,14,0),"")</f>
        <v>3223884422</v>
      </c>
      <c r="I184" s="114" t="str">
        <f>IFERROR(VLOOKUP($C184,[7]BD!$B$3:$O$203,4,0),"")</f>
        <v>18/10/2025</v>
      </c>
      <c r="J184" s="97" t="str">
        <f>INDEX('[7]PLANILLA EDNA '!C89:AK177,3,6)</f>
        <v>TS</v>
      </c>
      <c r="K184" s="97" t="str">
        <f>INDEX('[7]PLANILLA EDNA '!D89:AL177,3,6)</f>
        <v>TS</v>
      </c>
      <c r="L184" s="97" t="str">
        <f>INDEX('[7]PLANILLA EDNA '!E89:AM177,3,6)</f>
        <v>TS</v>
      </c>
      <c r="M184" s="97" t="str">
        <f>INDEX('[7]PLANILLA EDNA '!F89:AN177,3,6)</f>
        <v>TS</v>
      </c>
      <c r="N184" s="97" t="str">
        <f>INDEX('[7]PLANILLA EDNA '!G89:AO177,3,6)</f>
        <v>TS</v>
      </c>
      <c r="O184" s="97" t="str">
        <f>INDEX('[7]PLANILLA EDNA '!H89:AP177,3,6)</f>
        <v>TS</v>
      </c>
      <c r="P184" s="97" t="str">
        <f>INDEX('[7]PLANILLA EDNA '!I89:AQ177,3,6)</f>
        <v>TS</v>
      </c>
      <c r="Q184" s="97" t="str">
        <f>INDEX('[7]PLANILLA EDNA '!J89:AR177,3,6)</f>
        <v>TS</v>
      </c>
      <c r="R184" s="97" t="str">
        <f>INDEX('[7]PLANILLA EDNA '!K89:AS177,3,6)</f>
        <v>TS</v>
      </c>
      <c r="S184" s="97" t="str">
        <f>INDEX('[7]PLANILLA EDNA '!L89:AT177,3,6)</f>
        <v>TS</v>
      </c>
      <c r="T184" s="97" t="str">
        <f>INDEX('[7]PLANILLA EDNA '!M89:AU177,3,6)</f>
        <v>TS</v>
      </c>
      <c r="U184" s="97" t="str">
        <f>INDEX('[7]PLANILLA EDNA '!N89:AV177,3,6)</f>
        <v>TS</v>
      </c>
      <c r="V184" s="97" t="str">
        <f>INDEX('[7]PLANILLA EDNA '!O89:AW177,3,6)</f>
        <v>TS</v>
      </c>
      <c r="W184" s="97" t="str">
        <f>INDEX('[7]PLANILLA EDNA '!P89:AX177,3,6)</f>
        <v>TS</v>
      </c>
      <c r="X184" s="97" t="str">
        <f>INDEX('[7]PLANILLA EDNA '!Q89:AY177,3,6)</f>
        <v>TS</v>
      </c>
      <c r="Y184" s="97" t="str">
        <f>INDEX('[7]PLANILLA EDNA '!R89:AZ177,3,6)</f>
        <v>TS</v>
      </c>
      <c r="Z184" s="97" t="str">
        <f>INDEX('[7]PLANILLA EDNA '!S89:BA177,3,6)</f>
        <v>TS</v>
      </c>
      <c r="AA184" s="97" t="str">
        <f>INDEX('[7]PLANILLA EDNA '!T89:BB177,3,6)</f>
        <v>TS</v>
      </c>
      <c r="AB184" s="97" t="str">
        <f>INDEX('[7]PLANILLA EDNA '!U89:BC177,3,6)</f>
        <v>TS</v>
      </c>
      <c r="AC184" s="97" t="str">
        <f>INDEX('[7]PLANILLA EDNA '!V89:BD177,3,6)</f>
        <v>TS</v>
      </c>
      <c r="AD184" s="97" t="str">
        <f>INDEX('[7]PLANILLA EDNA '!W89:BE177,3,6)</f>
        <v>TS</v>
      </c>
      <c r="AE184" s="97" t="str">
        <f>INDEX('[7]PLANILLA EDNA '!X89:BF177,3,6)</f>
        <v>TS</v>
      </c>
      <c r="AF184" s="97" t="str">
        <f>INDEX('[7]PLANILLA EDNA '!Y89:BG177,3,6)</f>
        <v>OK</v>
      </c>
      <c r="AG184" s="97" t="str">
        <f>INDEX('[7]PLANILLA EDNA '!Z89:BH177,3,6)</f>
        <v>OK</v>
      </c>
      <c r="AH184" s="97" t="str">
        <f>INDEX('[7]PLANILLA EDNA '!AA89:BI177,3,6)</f>
        <v>OK</v>
      </c>
      <c r="AI184" s="97" t="str">
        <f>INDEX('[7]PLANILLA EDNA '!AB89:BJ177,3,6)</f>
        <v>D</v>
      </c>
      <c r="AJ184" s="97">
        <f>INDEX('[7]PLANILLA EDNA '!AC89:BK177,3,6)</f>
        <v>0</v>
      </c>
      <c r="AK184" s="97">
        <f>INDEX('[7]PLANILLA EDNA '!AD89:BL177,3,6)</f>
        <v>0</v>
      </c>
      <c r="AL184" s="97">
        <f>INDEX('[7]PLANILLA EDNA '!AE89:BM177,3,6)</f>
        <v>0</v>
      </c>
      <c r="AM184" s="97">
        <f>INDEX('[7]PLANILLA EDNA '!AF89:BN177,3,6)</f>
        <v>0</v>
      </c>
      <c r="AO184" s="116">
        <f t="shared" ref="AO184:BA203" si="23">COUNTIF($J184:$AM184,AO$7)</f>
        <v>0</v>
      </c>
      <c r="AP184" s="116">
        <f t="shared" si="23"/>
        <v>0</v>
      </c>
      <c r="AQ184" s="116">
        <f t="shared" si="23"/>
        <v>1</v>
      </c>
      <c r="AR184" s="116">
        <f t="shared" si="23"/>
        <v>0</v>
      </c>
      <c r="AS184" s="116">
        <f t="shared" si="23"/>
        <v>0</v>
      </c>
      <c r="AT184" s="116">
        <f t="shared" si="23"/>
        <v>0</v>
      </c>
      <c r="AU184" s="116">
        <f t="shared" si="23"/>
        <v>0</v>
      </c>
      <c r="AV184" s="116">
        <f t="shared" si="23"/>
        <v>0</v>
      </c>
      <c r="AW184" s="116">
        <f t="shared" si="23"/>
        <v>0</v>
      </c>
      <c r="AX184" s="116">
        <f t="shared" si="23"/>
        <v>0</v>
      </c>
      <c r="AY184" s="116">
        <f t="shared" si="23"/>
        <v>0</v>
      </c>
      <c r="AZ184" s="116">
        <f t="shared" si="23"/>
        <v>22</v>
      </c>
      <c r="BA184" s="116">
        <f t="shared" si="23"/>
        <v>3</v>
      </c>
      <c r="BB184" s="117">
        <f t="shared" si="17"/>
        <v>4</v>
      </c>
    </row>
    <row r="185" spans="1:54" ht="15.95" customHeight="1">
      <c r="A185" s="119" t="s">
        <v>583</v>
      </c>
      <c r="B185" s="112">
        <v>177</v>
      </c>
      <c r="C185" s="133">
        <f>+'[7]PLANILLA EDNA '!C92</f>
        <v>1023882611</v>
      </c>
      <c r="D185" s="114" t="str">
        <f>IFERROR(VLOOKUP($C185,'[7]PLANILLA EDNA '!$C$9:$F$100,2,0),"NO BD")</f>
        <v xml:space="preserve">RODRIGUEZ ZEA CINDY YAZMIN </v>
      </c>
      <c r="E185" s="134" t="s">
        <v>592</v>
      </c>
      <c r="F185" s="114" t="str">
        <f>IFERROR(VLOOKUP($C185,[7]BD!$B$3:$O$213,3,0),"")</f>
        <v>OPERARIA DE ASEO Y CAFETERIA</v>
      </c>
      <c r="G185" s="114" t="str">
        <f>IFERROR(VLOOKUP($C185,'[7]PLANILLA EDNA '!$C$9:$F$100,4,0),"NO BD")</f>
        <v>SEDE 1 - MANZANA LIEVANO - ALCALDÍA MAYOR</v>
      </c>
      <c r="H185" s="114" t="str">
        <f>IFERROR(VLOOKUP($C185,[7]BD!$B$3:$O$203,14,0),"")</f>
        <v>3206838202</v>
      </c>
      <c r="I185" s="114" t="str">
        <f>IFERROR(VLOOKUP($C185,[7]BD!$B$3:$O$203,4,0),"")</f>
        <v>18/10/2025</v>
      </c>
      <c r="J185" s="97" t="str">
        <f>INDEX('[7]PLANILLA EDNA '!C90:AK178,3,6)</f>
        <v>TS</v>
      </c>
      <c r="K185" s="97" t="str">
        <f>INDEX('[7]PLANILLA EDNA '!D90:AL178,3,6)</f>
        <v>TS</v>
      </c>
      <c r="L185" s="97" t="str">
        <f>INDEX('[7]PLANILLA EDNA '!E90:AM178,3,6)</f>
        <v>TS</v>
      </c>
      <c r="M185" s="97" t="str">
        <f>INDEX('[7]PLANILLA EDNA '!F90:AN178,3,6)</f>
        <v>TS</v>
      </c>
      <c r="N185" s="97" t="str">
        <f>INDEX('[7]PLANILLA EDNA '!G90:AO178,3,6)</f>
        <v>TS</v>
      </c>
      <c r="O185" s="97" t="str">
        <f>INDEX('[7]PLANILLA EDNA '!H90:AP178,3,6)</f>
        <v>TS</v>
      </c>
      <c r="P185" s="97" t="str">
        <f>INDEX('[7]PLANILLA EDNA '!I90:AQ178,3,6)</f>
        <v>TS</v>
      </c>
      <c r="Q185" s="97" t="str">
        <f>INDEX('[7]PLANILLA EDNA '!J90:AR178,3,6)</f>
        <v>TS</v>
      </c>
      <c r="R185" s="97" t="str">
        <f>INDEX('[7]PLANILLA EDNA '!K90:AS178,3,6)</f>
        <v>TS</v>
      </c>
      <c r="S185" s="97" t="str">
        <f>INDEX('[7]PLANILLA EDNA '!L90:AT178,3,6)</f>
        <v>TS</v>
      </c>
      <c r="T185" s="97" t="str">
        <f>INDEX('[7]PLANILLA EDNA '!M90:AU178,3,6)</f>
        <v>TS</v>
      </c>
      <c r="U185" s="97" t="str">
        <f>INDEX('[7]PLANILLA EDNA '!N90:AV178,3,6)</f>
        <v>TS</v>
      </c>
      <c r="V185" s="97" t="str">
        <f>INDEX('[7]PLANILLA EDNA '!O90:AW178,3,6)</f>
        <v>TS</v>
      </c>
      <c r="W185" s="97" t="str">
        <f>INDEX('[7]PLANILLA EDNA '!P90:AX178,3,6)</f>
        <v>TS</v>
      </c>
      <c r="X185" s="97" t="str">
        <f>INDEX('[7]PLANILLA EDNA '!Q90:AY178,3,6)</f>
        <v>TS</v>
      </c>
      <c r="Y185" s="97" t="str">
        <f>INDEX('[7]PLANILLA EDNA '!R90:AZ178,3,6)</f>
        <v>TS</v>
      </c>
      <c r="Z185" s="97" t="str">
        <f>INDEX('[7]PLANILLA EDNA '!S90:BA178,3,6)</f>
        <v>TS</v>
      </c>
      <c r="AA185" s="97" t="str">
        <f>INDEX('[7]PLANILLA EDNA '!T90:BB178,3,6)</f>
        <v>TS</v>
      </c>
      <c r="AB185" s="97" t="str">
        <f>INDEX('[7]PLANILLA EDNA '!U90:BC178,3,6)</f>
        <v>TS</v>
      </c>
      <c r="AC185" s="97" t="str">
        <f>INDEX('[7]PLANILLA EDNA '!V90:BD178,3,6)</f>
        <v>TS</v>
      </c>
      <c r="AD185" s="97" t="str">
        <f>INDEX('[7]PLANILLA EDNA '!W90:BE178,3,6)</f>
        <v>TS</v>
      </c>
      <c r="AE185" s="97" t="str">
        <f>INDEX('[7]PLANILLA EDNA '!X90:BF178,3,6)</f>
        <v>TS</v>
      </c>
      <c r="AF185" s="97" t="str">
        <f>INDEX('[7]PLANILLA EDNA '!Y90:BG178,3,6)</f>
        <v>OK</v>
      </c>
      <c r="AG185" s="97" t="str">
        <f>INDEX('[7]PLANILLA EDNA '!Z90:BH178,3,6)</f>
        <v>OK</v>
      </c>
      <c r="AH185" s="97" t="str">
        <f>INDEX('[7]PLANILLA EDNA '!AA90:BI178,3,6)</f>
        <v>OK</v>
      </c>
      <c r="AI185" s="97" t="str">
        <f>INDEX('[7]PLANILLA EDNA '!AB90:BJ178,3,6)</f>
        <v>D</v>
      </c>
      <c r="AJ185" s="97">
        <f>INDEX('[7]PLANILLA EDNA '!AC90:BK178,3,6)</f>
        <v>0</v>
      </c>
      <c r="AK185" s="97">
        <f>INDEX('[7]PLANILLA EDNA '!AD90:BL178,3,6)</f>
        <v>0</v>
      </c>
      <c r="AL185" s="97">
        <f>INDEX('[7]PLANILLA EDNA '!AE90:BM178,3,6)</f>
        <v>0</v>
      </c>
      <c r="AM185" s="97">
        <f>INDEX('[7]PLANILLA EDNA '!AF90:BN178,3,6)</f>
        <v>0</v>
      </c>
      <c r="AO185" s="116">
        <f t="shared" si="23"/>
        <v>0</v>
      </c>
      <c r="AP185" s="116">
        <f t="shared" si="23"/>
        <v>0</v>
      </c>
      <c r="AQ185" s="116">
        <f t="shared" si="23"/>
        <v>1</v>
      </c>
      <c r="AR185" s="116">
        <f t="shared" si="23"/>
        <v>0</v>
      </c>
      <c r="AS185" s="116">
        <f t="shared" si="23"/>
        <v>0</v>
      </c>
      <c r="AT185" s="116">
        <f t="shared" si="23"/>
        <v>0</v>
      </c>
      <c r="AU185" s="116">
        <f t="shared" si="23"/>
        <v>0</v>
      </c>
      <c r="AV185" s="116">
        <f t="shared" si="23"/>
        <v>0</v>
      </c>
      <c r="AW185" s="116">
        <f t="shared" si="23"/>
        <v>0</v>
      </c>
      <c r="AX185" s="116">
        <f t="shared" si="23"/>
        <v>0</v>
      </c>
      <c r="AY185" s="116">
        <f t="shared" si="23"/>
        <v>0</v>
      </c>
      <c r="AZ185" s="116">
        <f t="shared" si="23"/>
        <v>22</v>
      </c>
      <c r="BA185" s="116">
        <f t="shared" si="23"/>
        <v>3</v>
      </c>
      <c r="BB185" s="117">
        <f t="shared" si="17"/>
        <v>4</v>
      </c>
    </row>
    <row r="186" spans="1:54">
      <c r="B186" s="112">
        <v>178</v>
      </c>
      <c r="C186" s="133">
        <f>+'[7]PLANILLA  RODRIGO'!C9</f>
        <v>1032395283</v>
      </c>
      <c r="D186" s="114" t="str">
        <f>IFERROR(VLOOKUP($C186,'[7]PLANILLA  RODRIGO'!$C$9:$F$86,2,0),"NO BD")</f>
        <v xml:space="preserve">RUIZ VALERO CAROLINA  </v>
      </c>
      <c r="E186" s="115" t="s">
        <v>596</v>
      </c>
      <c r="F186" s="114" t="str">
        <f>IFERROR(VLOOKUP($C186,[7]BD!$B$3:$O$213,3,0),"")</f>
        <v>OPERARIA DE ASEO Y CAFETERIA</v>
      </c>
      <c r="G186" s="77" t="s">
        <v>484</v>
      </c>
      <c r="H186" s="114" t="str">
        <f>IFERROR(VLOOKUP($C186,[7]BD!$B$3:$O$203,14,0),"")</f>
        <v>3229490411</v>
      </c>
      <c r="I186" s="114" t="str">
        <f>IFERROR(VLOOKUP($C186,[7]BD!$B$3:$O$203,4,0),"")</f>
        <v>21/10/2025</v>
      </c>
      <c r="J186" s="97" t="str">
        <f>INDEX('[7]PLANILLA  RODRIGO'!C9:AK41,1,6)</f>
        <v>OK</v>
      </c>
      <c r="K186" s="97" t="str">
        <f>INDEX('[7]PLANILLA  RODRIGO'!D9:AL41,1,6)</f>
        <v>OK</v>
      </c>
      <c r="L186" s="97" t="str">
        <f>INDEX('[7]PLANILLA  RODRIGO'!E9:AM41,1,6)</f>
        <v>OK</v>
      </c>
      <c r="M186" s="97" t="str">
        <f>INDEX('[7]PLANILLA  RODRIGO'!F9:AN41,1,6)</f>
        <v>OK</v>
      </c>
      <c r="N186" s="97" t="str">
        <f>INDEX('[7]PLANILLA  RODRIGO'!G9:AO41,1,6)</f>
        <v>OK</v>
      </c>
      <c r="O186" s="97" t="str">
        <f>INDEX('[7]PLANILLA  RODRIGO'!H9:AP41,1,6)</f>
        <v>OK</v>
      </c>
      <c r="P186" s="97" t="str">
        <f>INDEX('[7]PLANILLA  RODRIGO'!I9:AQ41,1,6)</f>
        <v>OK</v>
      </c>
      <c r="Q186" s="97" t="str">
        <f>INDEX('[7]PLANILLA  RODRIGO'!J9:AR41,1,6)</f>
        <v>OK</v>
      </c>
      <c r="R186" s="97" t="str">
        <f>INDEX('[7]PLANILLA  RODRIGO'!K9:AS41,1,6)</f>
        <v>OK</v>
      </c>
      <c r="S186" s="97" t="str">
        <f>INDEX('[7]PLANILLA  RODRIGO'!L9:AT41,1,6)</f>
        <v>OK</v>
      </c>
      <c r="T186" s="97" t="str">
        <f>INDEX('[7]PLANILLA  RODRIGO'!M9:AU41,1,6)</f>
        <v>OK</v>
      </c>
      <c r="U186" s="97" t="str">
        <f>INDEX('[7]PLANILLA  RODRIGO'!N9:AV41,1,6)</f>
        <v>OK</v>
      </c>
      <c r="V186" s="97" t="str">
        <f>INDEX('[7]PLANILLA  RODRIGO'!O9:AW41,1,6)</f>
        <v>OK</v>
      </c>
      <c r="W186" s="97" t="str">
        <f>INDEX('[7]PLANILLA  RODRIGO'!P9:AX41,1,6)</f>
        <v>OK</v>
      </c>
      <c r="X186" s="97" t="str">
        <f>INDEX('[7]PLANILLA  RODRIGO'!Q9:AY41,1,6)</f>
        <v>OK</v>
      </c>
      <c r="Y186" s="97" t="str">
        <f>INDEX('[7]PLANILLA  RODRIGO'!R9:AZ41,1,6)</f>
        <v>OK</v>
      </c>
      <c r="Z186" s="97" t="str">
        <f>INDEX('[7]PLANILLA  RODRIGO'!S9:BA41,1,6)</f>
        <v>OK</v>
      </c>
      <c r="AA186" s="97" t="str">
        <f>INDEX('[7]PLANILLA  RODRIGO'!T9:BB41,1,6)</f>
        <v>OK</v>
      </c>
      <c r="AB186" s="97" t="str">
        <f>INDEX('[7]PLANILLA  RODRIGO'!U9:BC41,1,6)</f>
        <v>OK</v>
      </c>
      <c r="AC186" s="97" t="str">
        <f>INDEX('[7]PLANILLA  RODRIGO'!V9:BD41,1,6)</f>
        <v>OK</v>
      </c>
      <c r="AD186" s="97" t="str">
        <f>INDEX('[7]PLANILLA  RODRIGO'!W9:BE41,1,6)</f>
        <v>OK</v>
      </c>
      <c r="AE186" s="97">
        <f>INDEX('[7]PLANILLA  RODRIGO'!X9:BF41,1,6)</f>
        <v>0</v>
      </c>
      <c r="AF186" s="97">
        <f>INDEX('[7]PLANILLA  RODRIGO'!Y9:BG41,1,6)</f>
        <v>0</v>
      </c>
      <c r="AG186" s="97">
        <f>INDEX('[7]PLANILLA  RODRIGO'!Z9:BH41,1,6)</f>
        <v>0</v>
      </c>
      <c r="AH186" s="97">
        <f>INDEX('[7]PLANILLA  RODRIGO'!AA9:BI41,1,6)</f>
        <v>0</v>
      </c>
      <c r="AI186" s="97">
        <f>INDEX('[7]PLANILLA  RODRIGO'!AB9:BJ41,1,6)</f>
        <v>0</v>
      </c>
      <c r="AJ186" s="97">
        <f>INDEX('[7]PLANILLA  RODRIGO'!AC9:BK41,1,6)</f>
        <v>0</v>
      </c>
      <c r="AK186" s="97">
        <f>INDEX('[7]PLANILLA  RODRIGO'!AD9:BL41,1,6)</f>
        <v>0</v>
      </c>
      <c r="AL186" s="97">
        <f>INDEX('[7]PLANILLA  RODRIGO'!AE9:BM41,1,6)</f>
        <v>0</v>
      </c>
      <c r="AM186" s="97">
        <f>INDEX('[7]PLANILLA  RODRIGO'!AF9:BN41,1,6)</f>
        <v>0</v>
      </c>
      <c r="AO186" s="116">
        <f t="shared" si="23"/>
        <v>0</v>
      </c>
      <c r="AP186" s="116">
        <f t="shared" si="23"/>
        <v>0</v>
      </c>
      <c r="AQ186" s="116">
        <f t="shared" si="23"/>
        <v>0</v>
      </c>
      <c r="AR186" s="116">
        <f t="shared" si="23"/>
        <v>0</v>
      </c>
      <c r="AS186" s="116">
        <f t="shared" si="23"/>
        <v>0</v>
      </c>
      <c r="AT186" s="116">
        <f t="shared" si="23"/>
        <v>0</v>
      </c>
      <c r="AU186" s="116">
        <f t="shared" si="23"/>
        <v>0</v>
      </c>
      <c r="AV186" s="116">
        <f t="shared" si="23"/>
        <v>0</v>
      </c>
      <c r="AW186" s="116">
        <f t="shared" si="23"/>
        <v>0</v>
      </c>
      <c r="AX186" s="116">
        <f t="shared" si="23"/>
        <v>0</v>
      </c>
      <c r="AY186" s="116">
        <f t="shared" si="23"/>
        <v>0</v>
      </c>
      <c r="AZ186" s="116">
        <f t="shared" si="23"/>
        <v>0</v>
      </c>
      <c r="BA186" s="116">
        <f t="shared" si="23"/>
        <v>21</v>
      </c>
      <c r="BB186" s="117">
        <f t="shared" si="17"/>
        <v>21</v>
      </c>
    </row>
    <row r="187" spans="1:54">
      <c r="B187" s="112">
        <v>179</v>
      </c>
      <c r="C187" s="133">
        <f>+'[7]PLANILLA  RODRIGO'!C10</f>
        <v>1233899199</v>
      </c>
      <c r="D187" s="114" t="str">
        <f>IFERROR(VLOOKUP($C187,'[7]PLANILLA  RODRIGO'!$C$9:$F$86,2,0),"NO BD")</f>
        <v xml:space="preserve">MATIZ CANTOR ERIKA PAMELA </v>
      </c>
      <c r="E187" s="115" t="s">
        <v>596</v>
      </c>
      <c r="F187" s="114" t="str">
        <f>IFERROR(VLOOKUP($C187,[7]BD!$B$3:$O$213,3,0),"")</f>
        <v>OPERARIA DE ASEO Y CAFETERIA</v>
      </c>
      <c r="G187" s="77" t="s">
        <v>487</v>
      </c>
      <c r="H187" s="114" t="str">
        <f>IFERROR(VLOOKUP($C187,[7]BD!$B$3:$O$203,14,0),"")</f>
        <v>3102935990</v>
      </c>
      <c r="I187" s="114" t="str">
        <f>IFERROR(VLOOKUP($C187,[7]BD!$B$3:$O$203,4,0),"")</f>
        <v>19/01/2026</v>
      </c>
      <c r="J187" s="97" t="str">
        <f>INDEX('[7]PLANILLA  RODRIGO'!C10:AK42,1,6)</f>
        <v>OK</v>
      </c>
      <c r="K187" s="97" t="str">
        <f>INDEX('[7]PLANILLA  RODRIGO'!D10:AL42,1,6)</f>
        <v>OK</v>
      </c>
      <c r="L187" s="97" t="str">
        <f>INDEX('[7]PLANILLA  RODRIGO'!E10:AM42,1,6)</f>
        <v>OK</v>
      </c>
      <c r="M187" s="97" t="str">
        <f>INDEX('[7]PLANILLA  RODRIGO'!F10:AN42,1,6)</f>
        <v>OK</v>
      </c>
      <c r="N187" s="97" t="str">
        <f>INDEX('[7]PLANILLA  RODRIGO'!G10:AO42,1,6)</f>
        <v>OK</v>
      </c>
      <c r="O187" s="97" t="str">
        <f>INDEX('[7]PLANILLA  RODRIGO'!H10:AP42,1,6)</f>
        <v>OK</v>
      </c>
      <c r="P187" s="97" t="str">
        <f>INDEX('[7]PLANILLA  RODRIGO'!I10:AQ42,1,6)</f>
        <v>OK</v>
      </c>
      <c r="Q187" s="97" t="str">
        <f>INDEX('[7]PLANILLA  RODRIGO'!J10:AR42,1,6)</f>
        <v>OK</v>
      </c>
      <c r="R187" s="97" t="str">
        <f>INDEX('[7]PLANILLA  RODRIGO'!K10:AS42,1,6)</f>
        <v>OK</v>
      </c>
      <c r="S187" s="97" t="str">
        <f>INDEX('[7]PLANILLA  RODRIGO'!L10:AT42,1,6)</f>
        <v>OK</v>
      </c>
      <c r="T187" s="97" t="str">
        <f>INDEX('[7]PLANILLA  RODRIGO'!M10:AU42,1,6)</f>
        <v>OK</v>
      </c>
      <c r="U187" s="97" t="str">
        <f>INDEX('[7]PLANILLA  RODRIGO'!N10:AV42,1,6)</f>
        <v>OK</v>
      </c>
      <c r="V187" s="97" t="str">
        <f>INDEX('[7]PLANILLA  RODRIGO'!O10:AW42,1,6)</f>
        <v>OK</v>
      </c>
      <c r="W187" s="97" t="str">
        <f>INDEX('[7]PLANILLA  RODRIGO'!P10:AX42,1,6)</f>
        <v>AUS</v>
      </c>
      <c r="X187" s="97" t="str">
        <f>INDEX('[7]PLANILLA  RODRIGO'!Q10:AY42,1,6)</f>
        <v>OK</v>
      </c>
      <c r="Y187" s="97" t="str">
        <f>INDEX('[7]PLANILLA  RODRIGO'!R10:AZ42,1,6)</f>
        <v>OK</v>
      </c>
      <c r="Z187" s="97" t="str">
        <f>INDEX('[7]PLANILLA  RODRIGO'!S10:BA42,1,6)</f>
        <v>OK</v>
      </c>
      <c r="AA187" s="97" t="str">
        <f>INDEX('[7]PLANILLA  RODRIGO'!T10:BB42,1,6)</f>
        <v>OK</v>
      </c>
      <c r="AB187" s="97" t="str">
        <f>INDEX('[7]PLANILLA  RODRIGO'!U10:BC42,1,6)</f>
        <v>OK</v>
      </c>
      <c r="AC187" s="97" t="str">
        <f>INDEX('[7]PLANILLA  RODRIGO'!V10:BD42,1,6)</f>
        <v>OK</v>
      </c>
      <c r="AD187" s="97" t="str">
        <f>INDEX('[7]PLANILLA  RODRIGO'!W10:BE42,1,6)</f>
        <v>OK</v>
      </c>
      <c r="AE187" s="97">
        <f>INDEX('[7]PLANILLA  RODRIGO'!X10:BF42,1,6)</f>
        <v>0</v>
      </c>
      <c r="AF187" s="97">
        <f>INDEX('[7]PLANILLA  RODRIGO'!Y10:BG42,1,6)</f>
        <v>0</v>
      </c>
      <c r="AG187" s="97">
        <f>INDEX('[7]PLANILLA  RODRIGO'!Z10:BH42,1,6)</f>
        <v>0</v>
      </c>
      <c r="AH187" s="97">
        <f>INDEX('[7]PLANILLA  RODRIGO'!AA10:BI42,1,6)</f>
        <v>0</v>
      </c>
      <c r="AI187" s="97">
        <f>INDEX('[7]PLANILLA  RODRIGO'!AB10:BJ42,1,6)</f>
        <v>0</v>
      </c>
      <c r="AJ187" s="97">
        <f>INDEX('[7]PLANILLA  RODRIGO'!AC10:BK42,1,6)</f>
        <v>0</v>
      </c>
      <c r="AK187" s="97">
        <f>INDEX('[7]PLANILLA  RODRIGO'!AD10:BL42,1,6)</f>
        <v>0</v>
      </c>
      <c r="AL187" s="97">
        <f>INDEX('[7]PLANILLA  RODRIGO'!AE10:BM42,1,6)</f>
        <v>0</v>
      </c>
      <c r="AM187" s="97">
        <f>INDEX('[7]PLANILLA  RODRIGO'!AF10:BN42,1,6)</f>
        <v>0</v>
      </c>
      <c r="AO187" s="116">
        <f t="shared" si="23"/>
        <v>1</v>
      </c>
      <c r="AP187" s="116">
        <f t="shared" si="23"/>
        <v>0</v>
      </c>
      <c r="AQ187" s="116">
        <f t="shared" si="23"/>
        <v>0</v>
      </c>
      <c r="AR187" s="116">
        <f t="shared" si="23"/>
        <v>0</v>
      </c>
      <c r="AS187" s="116">
        <f t="shared" si="23"/>
        <v>0</v>
      </c>
      <c r="AT187" s="116">
        <f t="shared" si="23"/>
        <v>0</v>
      </c>
      <c r="AU187" s="116">
        <f t="shared" si="23"/>
        <v>0</v>
      </c>
      <c r="AV187" s="116">
        <f t="shared" si="23"/>
        <v>0</v>
      </c>
      <c r="AW187" s="116">
        <f t="shared" si="23"/>
        <v>0</v>
      </c>
      <c r="AX187" s="116">
        <f t="shared" si="23"/>
        <v>0</v>
      </c>
      <c r="AY187" s="116">
        <f t="shared" si="23"/>
        <v>0</v>
      </c>
      <c r="AZ187" s="116">
        <f t="shared" si="23"/>
        <v>0</v>
      </c>
      <c r="BA187" s="116">
        <f t="shared" si="23"/>
        <v>20</v>
      </c>
      <c r="BB187" s="117">
        <f t="shared" si="17"/>
        <v>20</v>
      </c>
    </row>
    <row r="188" spans="1:54">
      <c r="B188" s="112">
        <v>180</v>
      </c>
      <c r="C188" s="133">
        <f>+'[7]PLANILLA  RODRIGO'!C11</f>
        <v>1043030599</v>
      </c>
      <c r="D188" s="114" t="str">
        <f>IFERROR(VLOOKUP($C188,'[7]PLANILLA  RODRIGO'!$C$9:$F$86,2,0),"NO BD")</f>
        <v xml:space="preserve">ZABALA BERDUGO EMILCE ISABEL </v>
      </c>
      <c r="E188" s="115" t="s">
        <v>596</v>
      </c>
      <c r="F188" s="114" t="str">
        <f>IFERROR(VLOOKUP($C188,[7]BD!$B$3:$O$213,3,0),"")</f>
        <v>OPERARIA DE ASEO Y CAFETERIA</v>
      </c>
      <c r="G188" s="77" t="s">
        <v>488</v>
      </c>
      <c r="H188" s="114" t="str">
        <f>IFERROR(VLOOKUP($C188,[7]BD!$B$3:$O$203,14,0),"")</f>
        <v>3118562202</v>
      </c>
      <c r="I188" s="114" t="str">
        <f>IFERROR(VLOOKUP($C188,[7]BD!$B$3:$O$203,4,0),"")</f>
        <v>18/10/2025</v>
      </c>
      <c r="J188" s="97" t="str">
        <f>INDEX('[7]PLANILLA  RODRIGO'!C11:AK43,1,6)</f>
        <v>OK</v>
      </c>
      <c r="K188" s="97" t="str">
        <f>INDEX('[7]PLANILLA  RODRIGO'!D11:AL43,1,6)</f>
        <v>OK</v>
      </c>
      <c r="L188" s="97" t="str">
        <f>INDEX('[7]PLANILLA  RODRIGO'!E11:AM43,1,6)</f>
        <v>OK</v>
      </c>
      <c r="M188" s="97" t="str">
        <f>INDEX('[7]PLANILLA  RODRIGO'!F11:AN43,1,6)</f>
        <v>OK</v>
      </c>
      <c r="N188" s="97" t="str">
        <f>INDEX('[7]PLANILLA  RODRIGO'!G11:AO43,1,6)</f>
        <v>OK</v>
      </c>
      <c r="O188" s="97" t="str">
        <f>INDEX('[7]PLANILLA  RODRIGO'!H11:AP43,1,6)</f>
        <v>OK</v>
      </c>
      <c r="P188" s="97" t="str">
        <f>INDEX('[7]PLANILLA  RODRIGO'!I11:AQ43,1,6)</f>
        <v>OK</v>
      </c>
      <c r="Q188" s="97" t="str">
        <f>INDEX('[7]PLANILLA  RODRIGO'!J11:AR43,1,6)</f>
        <v>OK</v>
      </c>
      <c r="R188" s="97" t="str">
        <f>INDEX('[7]PLANILLA  RODRIGO'!K11:AS43,1,6)</f>
        <v>OK</v>
      </c>
      <c r="S188" s="97" t="str">
        <f>INDEX('[7]PLANILLA  RODRIGO'!L11:AT43,1,6)</f>
        <v>OK</v>
      </c>
      <c r="T188" s="97" t="str">
        <f>INDEX('[7]PLANILLA  RODRIGO'!M11:AU43,1,6)</f>
        <v>OK</v>
      </c>
      <c r="U188" s="97" t="str">
        <f>INDEX('[7]PLANILLA  RODRIGO'!N11:AV43,1,6)</f>
        <v>OK</v>
      </c>
      <c r="V188" s="97" t="str">
        <f>INDEX('[7]PLANILLA  RODRIGO'!O11:AW43,1,6)</f>
        <v>OK</v>
      </c>
      <c r="W188" s="97" t="str">
        <f>INDEX('[7]PLANILLA  RODRIGO'!P11:AX43,1,6)</f>
        <v>OK</v>
      </c>
      <c r="X188" s="97" t="str">
        <f>INDEX('[7]PLANILLA  RODRIGO'!Q11:AY43,1,6)</f>
        <v>OK</v>
      </c>
      <c r="Y188" s="97" t="str">
        <f>INDEX('[7]PLANILLA  RODRIGO'!R11:AZ43,1,6)</f>
        <v>OK</v>
      </c>
      <c r="Z188" s="97" t="str">
        <f>INDEX('[7]PLANILLA  RODRIGO'!S11:BA43,1,6)</f>
        <v>OK</v>
      </c>
      <c r="AA188" s="97" t="str">
        <f>INDEX('[7]PLANILLA  RODRIGO'!T11:BB43,1,6)</f>
        <v>OK</v>
      </c>
      <c r="AB188" s="97" t="str">
        <f>INDEX('[7]PLANILLA  RODRIGO'!U11:BC43,1,6)</f>
        <v>OK</v>
      </c>
      <c r="AC188" s="97" t="str">
        <f>INDEX('[7]PLANILLA  RODRIGO'!V11:BD43,1,6)</f>
        <v>OK</v>
      </c>
      <c r="AD188" s="97" t="str">
        <f>INDEX('[7]PLANILLA  RODRIGO'!W11:BE43,1,6)</f>
        <v>OK</v>
      </c>
      <c r="AE188" s="97">
        <f>INDEX('[7]PLANILLA  RODRIGO'!X11:BF43,1,6)</f>
        <v>0</v>
      </c>
      <c r="AF188" s="97">
        <f>INDEX('[7]PLANILLA  RODRIGO'!Y11:BG43,1,6)</f>
        <v>0</v>
      </c>
      <c r="AG188" s="97">
        <f>INDEX('[7]PLANILLA  RODRIGO'!Z11:BH43,1,6)</f>
        <v>0</v>
      </c>
      <c r="AH188" s="97">
        <f>INDEX('[7]PLANILLA  RODRIGO'!AA11:BI43,1,6)</f>
        <v>0</v>
      </c>
      <c r="AI188" s="97">
        <f>INDEX('[7]PLANILLA  RODRIGO'!AB11:BJ43,1,6)</f>
        <v>0</v>
      </c>
      <c r="AJ188" s="97">
        <f>INDEX('[7]PLANILLA  RODRIGO'!AC11:BK43,1,6)</f>
        <v>0</v>
      </c>
      <c r="AK188" s="97">
        <f>INDEX('[7]PLANILLA  RODRIGO'!AD11:BL43,1,6)</f>
        <v>0</v>
      </c>
      <c r="AL188" s="97">
        <f>INDEX('[7]PLANILLA  RODRIGO'!AE11:BM43,1,6)</f>
        <v>0</v>
      </c>
      <c r="AM188" s="97">
        <f>INDEX('[7]PLANILLA  RODRIGO'!AF11:BN43,1,6)</f>
        <v>0</v>
      </c>
      <c r="AO188" s="116">
        <f t="shared" si="23"/>
        <v>0</v>
      </c>
      <c r="AP188" s="116">
        <f t="shared" si="23"/>
        <v>0</v>
      </c>
      <c r="AQ188" s="116">
        <f t="shared" si="23"/>
        <v>0</v>
      </c>
      <c r="AR188" s="116">
        <f t="shared" si="23"/>
        <v>0</v>
      </c>
      <c r="AS188" s="116">
        <f t="shared" si="23"/>
        <v>0</v>
      </c>
      <c r="AT188" s="116">
        <f t="shared" si="23"/>
        <v>0</v>
      </c>
      <c r="AU188" s="116">
        <f t="shared" si="23"/>
        <v>0</v>
      </c>
      <c r="AV188" s="116">
        <f t="shared" si="23"/>
        <v>0</v>
      </c>
      <c r="AW188" s="116">
        <f t="shared" si="23"/>
        <v>0</v>
      </c>
      <c r="AX188" s="116">
        <f t="shared" si="23"/>
        <v>0</v>
      </c>
      <c r="AY188" s="116">
        <f t="shared" si="23"/>
        <v>0</v>
      </c>
      <c r="AZ188" s="116">
        <f t="shared" si="23"/>
        <v>0</v>
      </c>
      <c r="BA188" s="116">
        <f t="shared" si="23"/>
        <v>21</v>
      </c>
      <c r="BB188" s="117">
        <f t="shared" si="17"/>
        <v>21</v>
      </c>
    </row>
    <row r="189" spans="1:54">
      <c r="B189" s="112">
        <v>181</v>
      </c>
      <c r="C189" s="133">
        <f>+'[7]PLANILLA  RODRIGO'!C12</f>
        <v>1032483405</v>
      </c>
      <c r="D189" s="114" t="str">
        <f>IFERROR(VLOOKUP($C189,'[7]PLANILLA  RODRIGO'!$C$9:$F$86,2,0),"NO BD")</f>
        <v xml:space="preserve">AYALA HERMOSA YURANY ALEJANDRA </v>
      </c>
      <c r="E189" s="115" t="s">
        <v>596</v>
      </c>
      <c r="F189" s="114" t="str">
        <f>IFERROR(VLOOKUP($C189,[7]BD!$B$3:$O$213,3,0),"")</f>
        <v>OPERARIA DE ASEO Y CAFETERIA</v>
      </c>
      <c r="G189" s="77" t="s">
        <v>172</v>
      </c>
      <c r="H189" s="114" t="str">
        <f>IFERROR(VLOOKUP($C189,[7]BD!$B$3:$O$203,14,0),"")</f>
        <v>3134753344</v>
      </c>
      <c r="I189" s="114" t="str">
        <f>IFERROR(VLOOKUP($C189,[7]BD!$B$3:$O$203,4,0),"")</f>
        <v>18/10/2025</v>
      </c>
      <c r="J189" s="97" t="str">
        <f>INDEX('[7]PLANILLA  RODRIGO'!C12:AK44,1,6)</f>
        <v>OK</v>
      </c>
      <c r="K189" s="97" t="str">
        <f>INDEX('[7]PLANILLA  RODRIGO'!D12:AL44,1,6)</f>
        <v>OK</v>
      </c>
      <c r="L189" s="97" t="str">
        <f>INDEX('[7]PLANILLA  RODRIGO'!E12:AM44,1,6)</f>
        <v>OK</v>
      </c>
      <c r="M189" s="97" t="str">
        <f>INDEX('[7]PLANILLA  RODRIGO'!F12:AN44,1,6)</f>
        <v>OK</v>
      </c>
      <c r="N189" s="97" t="str">
        <f>INDEX('[7]PLANILLA  RODRIGO'!G12:AO44,1,6)</f>
        <v>OK</v>
      </c>
      <c r="O189" s="97" t="str">
        <f>INDEX('[7]PLANILLA  RODRIGO'!H12:AP44,1,6)</f>
        <v>OK</v>
      </c>
      <c r="P189" s="97" t="str">
        <f>INDEX('[7]PLANILLA  RODRIGO'!I12:AQ44,1,6)</f>
        <v>OK</v>
      </c>
      <c r="Q189" s="97" t="str">
        <f>INDEX('[7]PLANILLA  RODRIGO'!J12:AR44,1,6)</f>
        <v>OK</v>
      </c>
      <c r="R189" s="97" t="str">
        <f>INDEX('[7]PLANILLA  RODRIGO'!K12:AS44,1,6)</f>
        <v>OK</v>
      </c>
      <c r="S189" s="97" t="str">
        <f>INDEX('[7]PLANILLA  RODRIGO'!L12:AT44,1,6)</f>
        <v>OK</v>
      </c>
      <c r="T189" s="97" t="str">
        <f>INDEX('[7]PLANILLA  RODRIGO'!M12:AU44,1,6)</f>
        <v>OK</v>
      </c>
      <c r="U189" s="97" t="str">
        <f>INDEX('[7]PLANILLA  RODRIGO'!N12:AV44,1,6)</f>
        <v>OK</v>
      </c>
      <c r="V189" s="97" t="str">
        <f>INDEX('[7]PLANILLA  RODRIGO'!O12:AW44,1,6)</f>
        <v>OK</v>
      </c>
      <c r="W189" s="97" t="str">
        <f>INDEX('[7]PLANILLA  RODRIGO'!P12:AX44,1,6)</f>
        <v>OK</v>
      </c>
      <c r="X189" s="97" t="str">
        <f>INDEX('[7]PLANILLA  RODRIGO'!Q12:AY44,1,6)</f>
        <v>OK</v>
      </c>
      <c r="Y189" s="97" t="str">
        <f>INDEX('[7]PLANILLA  RODRIGO'!R12:AZ44,1,6)</f>
        <v>OK</v>
      </c>
      <c r="Z189" s="97" t="str">
        <f>INDEX('[7]PLANILLA  RODRIGO'!S12:BA44,1,6)</f>
        <v>OK</v>
      </c>
      <c r="AA189" s="97" t="str">
        <f>INDEX('[7]PLANILLA  RODRIGO'!T12:BB44,1,6)</f>
        <v>OK</v>
      </c>
      <c r="AB189" s="97" t="str">
        <f>INDEX('[7]PLANILLA  RODRIGO'!U12:BC44,1,6)</f>
        <v>OK</v>
      </c>
      <c r="AC189" s="97" t="str">
        <f>INDEX('[7]PLANILLA  RODRIGO'!V12:BD44,1,6)</f>
        <v>OK</v>
      </c>
      <c r="AD189" s="97" t="str">
        <f>INDEX('[7]PLANILLA  RODRIGO'!W12:BE44,1,6)</f>
        <v>OK</v>
      </c>
      <c r="AE189" s="97">
        <f>INDEX('[7]PLANILLA  RODRIGO'!X12:BF44,1,6)</f>
        <v>0</v>
      </c>
      <c r="AF189" s="97">
        <f>INDEX('[7]PLANILLA  RODRIGO'!Y12:BG44,1,6)</f>
        <v>0</v>
      </c>
      <c r="AG189" s="97">
        <f>INDEX('[7]PLANILLA  RODRIGO'!Z12:BH44,1,6)</f>
        <v>0</v>
      </c>
      <c r="AH189" s="97">
        <f>INDEX('[7]PLANILLA  RODRIGO'!AA12:BI44,1,6)</f>
        <v>0</v>
      </c>
      <c r="AI189" s="97">
        <f>INDEX('[7]PLANILLA  RODRIGO'!AB12:BJ44,1,6)</f>
        <v>0</v>
      </c>
      <c r="AJ189" s="97">
        <f>INDEX('[7]PLANILLA  RODRIGO'!AC12:BK44,1,6)</f>
        <v>0</v>
      </c>
      <c r="AK189" s="97">
        <f>INDEX('[7]PLANILLA  RODRIGO'!AD12:BL44,1,6)</f>
        <v>0</v>
      </c>
      <c r="AL189" s="97">
        <f>INDEX('[7]PLANILLA  RODRIGO'!AE12:BM44,1,6)</f>
        <v>0</v>
      </c>
      <c r="AM189" s="97">
        <f>INDEX('[7]PLANILLA  RODRIGO'!AF12:BN44,1,6)</f>
        <v>0</v>
      </c>
      <c r="AO189" s="116">
        <f t="shared" si="23"/>
        <v>0</v>
      </c>
      <c r="AP189" s="116">
        <f t="shared" si="23"/>
        <v>0</v>
      </c>
      <c r="AQ189" s="116">
        <f t="shared" si="23"/>
        <v>0</v>
      </c>
      <c r="AR189" s="116">
        <f t="shared" si="23"/>
        <v>0</v>
      </c>
      <c r="AS189" s="116">
        <f t="shared" si="23"/>
        <v>0</v>
      </c>
      <c r="AT189" s="116">
        <f t="shared" si="23"/>
        <v>0</v>
      </c>
      <c r="AU189" s="116">
        <f t="shared" si="23"/>
        <v>0</v>
      </c>
      <c r="AV189" s="116">
        <f t="shared" si="23"/>
        <v>0</v>
      </c>
      <c r="AW189" s="116">
        <f t="shared" si="23"/>
        <v>0</v>
      </c>
      <c r="AX189" s="116">
        <f t="shared" si="23"/>
        <v>0</v>
      </c>
      <c r="AY189" s="116">
        <f t="shared" si="23"/>
        <v>0</v>
      </c>
      <c r="AZ189" s="116">
        <f t="shared" si="23"/>
        <v>0</v>
      </c>
      <c r="BA189" s="116">
        <f t="shared" si="23"/>
        <v>21</v>
      </c>
      <c r="BB189" s="117">
        <f t="shared" si="17"/>
        <v>21</v>
      </c>
    </row>
    <row r="190" spans="1:54">
      <c r="B190" s="112">
        <v>182</v>
      </c>
      <c r="C190" s="133">
        <f>+'[7]PLANILLA  RODRIGO'!C13</f>
        <v>1020727061</v>
      </c>
      <c r="D190" s="114" t="str">
        <f>IFERROR(VLOOKUP($C190,'[7]PLANILLA  RODRIGO'!$C$9:$F$86,2,0),"NO BD")</f>
        <v xml:space="preserve">GIRALDO LOPEZ LUZ ESTELLA </v>
      </c>
      <c r="E190" s="115" t="s">
        <v>596</v>
      </c>
      <c r="F190" s="114" t="str">
        <f>IFERROR(VLOOKUP($C190,[7]BD!$B$3:$O$213,3,0),"")</f>
        <v>OPERARIA DE ASEO Y CAFETERIA</v>
      </c>
      <c r="G190" s="77" t="s">
        <v>484</v>
      </c>
      <c r="H190" s="114" t="str">
        <f>IFERROR(VLOOKUP($C190,[7]BD!$B$3:$O$203,14,0),"")</f>
        <v>3244809972</v>
      </c>
      <c r="I190" s="114" t="str">
        <f>IFERROR(VLOOKUP($C190,[7]BD!$B$3:$O$203,4,0),"")</f>
        <v>18/10/2025</v>
      </c>
      <c r="J190" s="97" t="str">
        <f>INDEX('[7]PLANILLA  RODRIGO'!C13:AK45,1,6)</f>
        <v>OK</v>
      </c>
      <c r="K190" s="97" t="str">
        <f>INDEX('[7]PLANILLA  RODRIGO'!D13:AL45,1,6)</f>
        <v>OK</v>
      </c>
      <c r="L190" s="97" t="str">
        <f>INDEX('[7]PLANILLA  RODRIGO'!E13:AM45,1,6)</f>
        <v>OK</v>
      </c>
      <c r="M190" s="97" t="str">
        <f>INDEX('[7]PLANILLA  RODRIGO'!F13:AN45,1,6)</f>
        <v>OK</v>
      </c>
      <c r="N190" s="97" t="str">
        <f>INDEX('[7]PLANILLA  RODRIGO'!G13:AO45,1,6)</f>
        <v>OK</v>
      </c>
      <c r="O190" s="97" t="str">
        <f>INDEX('[7]PLANILLA  RODRIGO'!H13:AP45,1,6)</f>
        <v>OK</v>
      </c>
      <c r="P190" s="97" t="str">
        <f>INDEX('[7]PLANILLA  RODRIGO'!I13:AQ45,1,6)</f>
        <v>OK</v>
      </c>
      <c r="Q190" s="97" t="str">
        <f>INDEX('[7]PLANILLA  RODRIGO'!J13:AR45,1,6)</f>
        <v>OK</v>
      </c>
      <c r="R190" s="97" t="str">
        <f>INDEX('[7]PLANILLA  RODRIGO'!K13:AS45,1,6)</f>
        <v>OK</v>
      </c>
      <c r="S190" s="97" t="str">
        <f>INDEX('[7]PLANILLA  RODRIGO'!L13:AT45,1,6)</f>
        <v>OK</v>
      </c>
      <c r="T190" s="97" t="str">
        <f>INDEX('[7]PLANILLA  RODRIGO'!M13:AU45,1,6)</f>
        <v>OK</v>
      </c>
      <c r="U190" s="97" t="str">
        <f>INDEX('[7]PLANILLA  RODRIGO'!N13:AV45,1,6)</f>
        <v>OK</v>
      </c>
      <c r="V190" s="97" t="str">
        <f>INDEX('[7]PLANILLA  RODRIGO'!O13:AW45,1,6)</f>
        <v>OK</v>
      </c>
      <c r="W190" s="97" t="str">
        <f>INDEX('[7]PLANILLA  RODRIGO'!P13:AX45,1,6)</f>
        <v>OK</v>
      </c>
      <c r="X190" s="97" t="str">
        <f>INDEX('[7]PLANILLA  RODRIGO'!Q13:AY45,1,6)</f>
        <v>OK</v>
      </c>
      <c r="Y190" s="97" t="str">
        <f>INDEX('[7]PLANILLA  RODRIGO'!R13:AZ45,1,6)</f>
        <v>OK</v>
      </c>
      <c r="Z190" s="97" t="str">
        <f>INDEX('[7]PLANILLA  RODRIGO'!S13:BA45,1,6)</f>
        <v>OK</v>
      </c>
      <c r="AA190" s="97" t="str">
        <f>INDEX('[7]PLANILLA  RODRIGO'!T13:BB45,1,6)</f>
        <v>OK</v>
      </c>
      <c r="AB190" s="97" t="str">
        <f>INDEX('[7]PLANILLA  RODRIGO'!U13:BC45,1,6)</f>
        <v>OK</v>
      </c>
      <c r="AC190" s="97" t="str">
        <f>INDEX('[7]PLANILLA  RODRIGO'!V13:BD45,1,6)</f>
        <v>OK</v>
      </c>
      <c r="AD190" s="97" t="str">
        <f>INDEX('[7]PLANILLA  RODRIGO'!W13:BE45,1,6)</f>
        <v>OK</v>
      </c>
      <c r="AE190" s="97">
        <f>INDEX('[7]PLANILLA  RODRIGO'!X13:BF45,1,6)</f>
        <v>0</v>
      </c>
      <c r="AF190" s="97">
        <f>INDEX('[7]PLANILLA  RODRIGO'!Y13:BG45,1,6)</f>
        <v>0</v>
      </c>
      <c r="AG190" s="97">
        <f>INDEX('[7]PLANILLA  RODRIGO'!Z13:BH45,1,6)</f>
        <v>0</v>
      </c>
      <c r="AH190" s="97">
        <f>INDEX('[7]PLANILLA  RODRIGO'!AA13:BI45,1,6)</f>
        <v>0</v>
      </c>
      <c r="AI190" s="97">
        <f>INDEX('[7]PLANILLA  RODRIGO'!AB13:BJ45,1,6)</f>
        <v>0</v>
      </c>
      <c r="AJ190" s="97">
        <f>INDEX('[7]PLANILLA  RODRIGO'!AC13:BK45,1,6)</f>
        <v>0</v>
      </c>
      <c r="AK190" s="97">
        <f>INDEX('[7]PLANILLA  RODRIGO'!AD13:BL45,1,6)</f>
        <v>0</v>
      </c>
      <c r="AL190" s="97">
        <f>INDEX('[7]PLANILLA  RODRIGO'!AE13:BM45,1,6)</f>
        <v>0</v>
      </c>
      <c r="AM190" s="97">
        <f>INDEX('[7]PLANILLA  RODRIGO'!AF13:BN45,1,6)</f>
        <v>0</v>
      </c>
      <c r="AO190" s="116">
        <f t="shared" si="23"/>
        <v>0</v>
      </c>
      <c r="AP190" s="116">
        <f t="shared" si="23"/>
        <v>0</v>
      </c>
      <c r="AQ190" s="116">
        <f t="shared" si="23"/>
        <v>0</v>
      </c>
      <c r="AR190" s="116">
        <f t="shared" si="23"/>
        <v>0</v>
      </c>
      <c r="AS190" s="116">
        <f t="shared" si="23"/>
        <v>0</v>
      </c>
      <c r="AT190" s="116">
        <f t="shared" si="23"/>
        <v>0</v>
      </c>
      <c r="AU190" s="116">
        <f t="shared" si="23"/>
        <v>0</v>
      </c>
      <c r="AV190" s="116">
        <f t="shared" si="23"/>
        <v>0</v>
      </c>
      <c r="AW190" s="116">
        <f t="shared" si="23"/>
        <v>0</v>
      </c>
      <c r="AX190" s="116">
        <f t="shared" si="23"/>
        <v>0</v>
      </c>
      <c r="AY190" s="116">
        <f t="shared" si="23"/>
        <v>0</v>
      </c>
      <c r="AZ190" s="116">
        <f t="shared" si="23"/>
        <v>0</v>
      </c>
      <c r="BA190" s="116">
        <f t="shared" si="23"/>
        <v>21</v>
      </c>
      <c r="BB190" s="117">
        <f t="shared" si="17"/>
        <v>21</v>
      </c>
    </row>
    <row r="191" spans="1:54">
      <c r="B191" s="112">
        <v>183</v>
      </c>
      <c r="C191" s="133">
        <f>+'[7]PLANILLA  RODRIGO'!C14</f>
        <v>1118854040</v>
      </c>
      <c r="D191" s="114" t="str">
        <f>IFERROR(VLOOKUP($C191,'[7]PLANILLA  RODRIGO'!$C$9:$F$86,2,0),"NO BD")</f>
        <v xml:space="preserve">CHAMORRO OSPINO EMILI PAOLA </v>
      </c>
      <c r="E191" s="115" t="s">
        <v>596</v>
      </c>
      <c r="F191" s="114" t="str">
        <f>IFERROR(VLOOKUP($C191,[7]BD!$B$3:$O$213,3,0),"")</f>
        <v>OPERARIA DE ASEO Y CAFETERIA</v>
      </c>
      <c r="G191" s="77" t="s">
        <v>172</v>
      </c>
      <c r="H191" s="114" t="str">
        <f>IFERROR(VLOOKUP($C191,[7]BD!$B$3:$O$203,14,0),"")</f>
        <v>3013527159</v>
      </c>
      <c r="I191" s="114" t="str">
        <f>IFERROR(VLOOKUP($C191,[7]BD!$B$3:$O$203,4,0),"")</f>
        <v>18/10/2025</v>
      </c>
      <c r="J191" s="97" t="str">
        <f>INDEX('[7]PLANILLA  RODRIGO'!C14:AK46,1,6)</f>
        <v>OK</v>
      </c>
      <c r="K191" s="97" t="str">
        <f>INDEX('[7]PLANILLA  RODRIGO'!D14:AL46,1,6)</f>
        <v>OK</v>
      </c>
      <c r="L191" s="97" t="str">
        <f>INDEX('[7]PLANILLA  RODRIGO'!E14:AM46,1,6)</f>
        <v>OK</v>
      </c>
      <c r="M191" s="97" t="str">
        <f>INDEX('[7]PLANILLA  RODRIGO'!F14:AN46,1,6)</f>
        <v>OK</v>
      </c>
      <c r="N191" s="97" t="str">
        <f>INDEX('[7]PLANILLA  RODRIGO'!G14:AO46,1,6)</f>
        <v>OK</v>
      </c>
      <c r="O191" s="97" t="str">
        <f>INDEX('[7]PLANILLA  RODRIGO'!H14:AP46,1,6)</f>
        <v>OK</v>
      </c>
      <c r="P191" s="97" t="str">
        <f>INDEX('[7]PLANILLA  RODRIGO'!I14:AQ46,1,6)</f>
        <v>OK</v>
      </c>
      <c r="Q191" s="97" t="str">
        <f>INDEX('[7]PLANILLA  RODRIGO'!J14:AR46,1,6)</f>
        <v>OK</v>
      </c>
      <c r="R191" s="97" t="str">
        <f>INDEX('[7]PLANILLA  RODRIGO'!K14:AS46,1,6)</f>
        <v>OK</v>
      </c>
      <c r="S191" s="97" t="str">
        <f>INDEX('[7]PLANILLA  RODRIGO'!L14:AT46,1,6)</f>
        <v>OK</v>
      </c>
      <c r="T191" s="97" t="str">
        <f>INDEX('[7]PLANILLA  RODRIGO'!M14:AU46,1,6)</f>
        <v>OK</v>
      </c>
      <c r="U191" s="97" t="str">
        <f>INDEX('[7]PLANILLA  RODRIGO'!N14:AV46,1,6)</f>
        <v>OK</v>
      </c>
      <c r="V191" s="97" t="str">
        <f>INDEX('[7]PLANILLA  RODRIGO'!O14:AW46,1,6)</f>
        <v>OK</v>
      </c>
      <c r="W191" s="97" t="str">
        <f>INDEX('[7]PLANILLA  RODRIGO'!P14:AX46,1,6)</f>
        <v>OK</v>
      </c>
      <c r="X191" s="97" t="str">
        <f>INDEX('[7]PLANILLA  RODRIGO'!Q14:AY46,1,6)</f>
        <v>OK</v>
      </c>
      <c r="Y191" s="97" t="str">
        <f>INDEX('[7]PLANILLA  RODRIGO'!R14:AZ46,1,6)</f>
        <v>OK</v>
      </c>
      <c r="Z191" s="97" t="str">
        <f>INDEX('[7]PLANILLA  RODRIGO'!S14:BA46,1,6)</f>
        <v>OK</v>
      </c>
      <c r="AA191" s="97" t="str">
        <f>INDEX('[7]PLANILLA  RODRIGO'!T14:BB46,1,6)</f>
        <v>OK</v>
      </c>
      <c r="AB191" s="97" t="str">
        <f>INDEX('[7]PLANILLA  RODRIGO'!U14:BC46,1,6)</f>
        <v>OK</v>
      </c>
      <c r="AC191" s="97" t="str">
        <f>INDEX('[7]PLANILLA  RODRIGO'!V14:BD46,1,6)</f>
        <v>OK</v>
      </c>
      <c r="AD191" s="97" t="str">
        <f>INDEX('[7]PLANILLA  RODRIGO'!W14:BE46,1,6)</f>
        <v>OK</v>
      </c>
      <c r="AE191" s="97">
        <f>INDEX('[7]PLANILLA  RODRIGO'!X14:BF46,1,6)</f>
        <v>0</v>
      </c>
      <c r="AF191" s="97">
        <f>INDEX('[7]PLANILLA  RODRIGO'!Y14:BG46,1,6)</f>
        <v>0</v>
      </c>
      <c r="AG191" s="97">
        <f>INDEX('[7]PLANILLA  RODRIGO'!Z14:BH46,1,6)</f>
        <v>0</v>
      </c>
      <c r="AH191" s="97">
        <f>INDEX('[7]PLANILLA  RODRIGO'!AA14:BI46,1,6)</f>
        <v>0</v>
      </c>
      <c r="AI191" s="97">
        <f>INDEX('[7]PLANILLA  RODRIGO'!AB14:BJ46,1,6)</f>
        <v>0</v>
      </c>
      <c r="AJ191" s="97">
        <f>INDEX('[7]PLANILLA  RODRIGO'!AC14:BK46,1,6)</f>
        <v>0</v>
      </c>
      <c r="AK191" s="97">
        <f>INDEX('[7]PLANILLA  RODRIGO'!AD14:BL46,1,6)</f>
        <v>0</v>
      </c>
      <c r="AL191" s="97">
        <f>INDEX('[7]PLANILLA  RODRIGO'!AE14:BM46,1,6)</f>
        <v>0</v>
      </c>
      <c r="AM191" s="97">
        <f>INDEX('[7]PLANILLA  RODRIGO'!AF14:BN46,1,6)</f>
        <v>0</v>
      </c>
      <c r="AO191" s="116">
        <f t="shared" si="23"/>
        <v>0</v>
      </c>
      <c r="AP191" s="116">
        <f t="shared" si="23"/>
        <v>0</v>
      </c>
      <c r="AQ191" s="116">
        <f t="shared" si="23"/>
        <v>0</v>
      </c>
      <c r="AR191" s="116">
        <f t="shared" si="23"/>
        <v>0</v>
      </c>
      <c r="AS191" s="116">
        <f t="shared" si="23"/>
        <v>0</v>
      </c>
      <c r="AT191" s="116">
        <f t="shared" si="23"/>
        <v>0</v>
      </c>
      <c r="AU191" s="116">
        <f t="shared" si="23"/>
        <v>0</v>
      </c>
      <c r="AV191" s="116">
        <f t="shared" si="23"/>
        <v>0</v>
      </c>
      <c r="AW191" s="116">
        <f t="shared" si="23"/>
        <v>0</v>
      </c>
      <c r="AX191" s="116">
        <f t="shared" si="23"/>
        <v>0</v>
      </c>
      <c r="AY191" s="116">
        <f t="shared" si="23"/>
        <v>0</v>
      </c>
      <c r="AZ191" s="116">
        <f t="shared" si="23"/>
        <v>0</v>
      </c>
      <c r="BA191" s="116">
        <f t="shared" si="23"/>
        <v>21</v>
      </c>
      <c r="BB191" s="117">
        <f t="shared" si="17"/>
        <v>21</v>
      </c>
    </row>
    <row r="192" spans="1:54">
      <c r="B192" s="112">
        <v>184</v>
      </c>
      <c r="C192" s="133">
        <f>+'[7]PLANILLA  RODRIGO'!C15</f>
        <v>64577288</v>
      </c>
      <c r="D192" s="114" t="str">
        <f>IFERROR(VLOOKUP($C192,'[7]PLANILLA  RODRIGO'!$C$9:$F$86,2,0),"NO BD")</f>
        <v xml:space="preserve">DIAZ RIVERA LORENA PATRICIA </v>
      </c>
      <c r="E192" s="115" t="s">
        <v>596</v>
      </c>
      <c r="F192" s="114" t="str">
        <f>IFERROR(VLOOKUP($C192,[7]BD!$B$3:$O$213,3,0),"")</f>
        <v>OPERARIA DE ASEO Y CAFETERIA</v>
      </c>
      <c r="G192" s="77" t="s">
        <v>492</v>
      </c>
      <c r="H192" s="114" t="str">
        <f>IFERROR(VLOOKUP($C192,[7]BD!$B$3:$O$203,14,0),"")</f>
        <v>3205662589</v>
      </c>
      <c r="I192" s="114" t="str">
        <f>IFERROR(VLOOKUP($C192,[7]BD!$B$3:$O$203,4,0),"")</f>
        <v>18/10/2025</v>
      </c>
      <c r="J192" s="97" t="str">
        <f>INDEX('[7]PLANILLA  RODRIGO'!C15:AK47,1,6)</f>
        <v>OK</v>
      </c>
      <c r="K192" s="97" t="str">
        <f>INDEX('[7]PLANILLA  RODRIGO'!D15:AL47,1,6)</f>
        <v>OK</v>
      </c>
      <c r="L192" s="97" t="str">
        <f>INDEX('[7]PLANILLA  RODRIGO'!E15:AM47,1,6)</f>
        <v>OK</v>
      </c>
      <c r="M192" s="97" t="str">
        <f>INDEX('[7]PLANILLA  RODRIGO'!F15:AN47,1,6)</f>
        <v>OK</v>
      </c>
      <c r="N192" s="97" t="str">
        <f>INDEX('[7]PLANILLA  RODRIGO'!G15:AO47,1,6)</f>
        <v>OK</v>
      </c>
      <c r="O192" s="97" t="str">
        <f>INDEX('[7]PLANILLA  RODRIGO'!H15:AP47,1,6)</f>
        <v>OK</v>
      </c>
      <c r="P192" s="97" t="str">
        <f>INDEX('[7]PLANILLA  RODRIGO'!I15:AQ47,1,6)</f>
        <v>OK</v>
      </c>
      <c r="Q192" s="97" t="str">
        <f>INDEX('[7]PLANILLA  RODRIGO'!J15:AR47,1,6)</f>
        <v>OK</v>
      </c>
      <c r="R192" s="97" t="str">
        <f>INDEX('[7]PLANILLA  RODRIGO'!K15:AS47,1,6)</f>
        <v>OK</v>
      </c>
      <c r="S192" s="97" t="str">
        <f>INDEX('[7]PLANILLA  RODRIGO'!L15:AT47,1,6)</f>
        <v>OK</v>
      </c>
      <c r="T192" s="97" t="str">
        <f>INDEX('[7]PLANILLA  RODRIGO'!M15:AU47,1,6)</f>
        <v>OK</v>
      </c>
      <c r="U192" s="97" t="str">
        <f>INDEX('[7]PLANILLA  RODRIGO'!N15:AV47,1,6)</f>
        <v>OK</v>
      </c>
      <c r="V192" s="97" t="str">
        <f>INDEX('[7]PLANILLA  RODRIGO'!O15:AW47,1,6)</f>
        <v>OK</v>
      </c>
      <c r="W192" s="97" t="str">
        <f>INDEX('[7]PLANILLA  RODRIGO'!P15:AX47,1,6)</f>
        <v>OK</v>
      </c>
      <c r="X192" s="97" t="str">
        <f>INDEX('[7]PLANILLA  RODRIGO'!Q15:AY47,1,6)</f>
        <v>OK</v>
      </c>
      <c r="Y192" s="97" t="str">
        <f>INDEX('[7]PLANILLA  RODRIGO'!R15:AZ47,1,6)</f>
        <v>OK</v>
      </c>
      <c r="Z192" s="97" t="str">
        <f>INDEX('[7]PLANILLA  RODRIGO'!S15:BA47,1,6)</f>
        <v>OK</v>
      </c>
      <c r="AA192" s="97" t="str">
        <f>INDEX('[7]PLANILLA  RODRIGO'!T15:BB47,1,6)</f>
        <v>OK</v>
      </c>
      <c r="AB192" s="97" t="str">
        <f>INDEX('[7]PLANILLA  RODRIGO'!U15:BC47,1,6)</f>
        <v>OK</v>
      </c>
      <c r="AC192" s="97" t="str">
        <f>INDEX('[7]PLANILLA  RODRIGO'!V15:BD47,1,6)</f>
        <v>OK</v>
      </c>
      <c r="AD192" s="97" t="str">
        <f>INDEX('[7]PLANILLA  RODRIGO'!W15:BE47,1,6)</f>
        <v>OK</v>
      </c>
      <c r="AE192" s="97">
        <f>INDEX('[7]PLANILLA  RODRIGO'!X15:BF47,1,6)</f>
        <v>0</v>
      </c>
      <c r="AF192" s="97">
        <f>INDEX('[7]PLANILLA  RODRIGO'!Y15:BG47,1,6)</f>
        <v>0</v>
      </c>
      <c r="AG192" s="97">
        <f>INDEX('[7]PLANILLA  RODRIGO'!Z15:BH47,1,6)</f>
        <v>0</v>
      </c>
      <c r="AH192" s="97">
        <f>INDEX('[7]PLANILLA  RODRIGO'!AA15:BI47,1,6)</f>
        <v>0</v>
      </c>
      <c r="AI192" s="97">
        <f>INDEX('[7]PLANILLA  RODRIGO'!AB15:BJ47,1,6)</f>
        <v>0</v>
      </c>
      <c r="AJ192" s="97">
        <f>INDEX('[7]PLANILLA  RODRIGO'!AC15:BK47,1,6)</f>
        <v>0</v>
      </c>
      <c r="AK192" s="97">
        <f>INDEX('[7]PLANILLA  RODRIGO'!AD15:BL47,1,6)</f>
        <v>0</v>
      </c>
      <c r="AL192" s="97">
        <f>INDEX('[7]PLANILLA  RODRIGO'!AE15:BM47,1,6)</f>
        <v>0</v>
      </c>
      <c r="AM192" s="97">
        <f>INDEX('[7]PLANILLA  RODRIGO'!AF15:BN47,1,6)</f>
        <v>0</v>
      </c>
      <c r="AO192" s="116">
        <f t="shared" si="23"/>
        <v>0</v>
      </c>
      <c r="AP192" s="116">
        <f t="shared" si="23"/>
        <v>0</v>
      </c>
      <c r="AQ192" s="116">
        <f t="shared" si="23"/>
        <v>0</v>
      </c>
      <c r="AR192" s="116">
        <f t="shared" si="23"/>
        <v>0</v>
      </c>
      <c r="AS192" s="116">
        <f t="shared" si="23"/>
        <v>0</v>
      </c>
      <c r="AT192" s="116">
        <f t="shared" si="23"/>
        <v>0</v>
      </c>
      <c r="AU192" s="116">
        <f t="shared" si="23"/>
        <v>0</v>
      </c>
      <c r="AV192" s="116">
        <f t="shared" si="23"/>
        <v>0</v>
      </c>
      <c r="AW192" s="116">
        <f t="shared" si="23"/>
        <v>0</v>
      </c>
      <c r="AX192" s="116">
        <f t="shared" si="23"/>
        <v>0</v>
      </c>
      <c r="AY192" s="116">
        <f t="shared" si="23"/>
        <v>0</v>
      </c>
      <c r="AZ192" s="116">
        <f t="shared" si="23"/>
        <v>0</v>
      </c>
      <c r="BA192" s="116">
        <f t="shared" si="23"/>
        <v>21</v>
      </c>
      <c r="BB192" s="117">
        <f t="shared" si="17"/>
        <v>21</v>
      </c>
    </row>
    <row r="193" spans="1:54">
      <c r="B193" s="112">
        <v>185</v>
      </c>
      <c r="C193" s="133">
        <f>+'[7]PLANILLA  RODRIGO'!C16</f>
        <v>39019862</v>
      </c>
      <c r="D193" s="114" t="str">
        <f>IFERROR(VLOOKUP($C193,'[7]PLANILLA  RODRIGO'!$C$9:$F$86,2,0),"NO BD")</f>
        <v xml:space="preserve">FLORIAN ZAMBRANO NILDA ROSA </v>
      </c>
      <c r="E193" s="115" t="s">
        <v>596</v>
      </c>
      <c r="F193" s="114" t="str">
        <f>IFERROR(VLOOKUP($C193,[7]BD!$B$3:$O$213,3,0),"")</f>
        <v>OPERARIA DE ASEO Y CAFETERIA</v>
      </c>
      <c r="G193" s="77" t="s">
        <v>485</v>
      </c>
      <c r="H193" s="114" t="str">
        <f>IFERROR(VLOOKUP($C193,[7]BD!$B$3:$O$203,14,0),"")</f>
        <v>3122993319</v>
      </c>
      <c r="I193" s="114" t="str">
        <f>IFERROR(VLOOKUP($C193,[7]BD!$B$3:$O$203,4,0),"")</f>
        <v>18/10/2025</v>
      </c>
      <c r="J193" s="97" t="str">
        <f>INDEX('[7]PLANILLA  RODRIGO'!C16:AK48,1,6)</f>
        <v>OK</v>
      </c>
      <c r="K193" s="97" t="str">
        <f>INDEX('[7]PLANILLA  RODRIGO'!D16:AL48,1,6)</f>
        <v>OK</v>
      </c>
      <c r="L193" s="97" t="str">
        <f>INDEX('[7]PLANILLA  RODRIGO'!E16:AM48,1,6)</f>
        <v>OK</v>
      </c>
      <c r="M193" s="97" t="str">
        <f>INDEX('[7]PLANILLA  RODRIGO'!F16:AN48,1,6)</f>
        <v>OK</v>
      </c>
      <c r="N193" s="97" t="str">
        <f>INDEX('[7]PLANILLA  RODRIGO'!G16:AO48,1,6)</f>
        <v>OK</v>
      </c>
      <c r="O193" s="97" t="str">
        <f>INDEX('[7]PLANILLA  RODRIGO'!H16:AP48,1,6)</f>
        <v>OK</v>
      </c>
      <c r="P193" s="97" t="str">
        <f>INDEX('[7]PLANILLA  RODRIGO'!I16:AQ48,1,6)</f>
        <v>OK</v>
      </c>
      <c r="Q193" s="97" t="str">
        <f>INDEX('[7]PLANILLA  RODRIGO'!J16:AR48,1,6)</f>
        <v>OK</v>
      </c>
      <c r="R193" s="97" t="str">
        <f>INDEX('[7]PLANILLA  RODRIGO'!K16:AS48,1,6)</f>
        <v>OK</v>
      </c>
      <c r="S193" s="97" t="str">
        <f>INDEX('[7]PLANILLA  RODRIGO'!L16:AT48,1,6)</f>
        <v>OK</v>
      </c>
      <c r="T193" s="97" t="str">
        <f>INDEX('[7]PLANILLA  RODRIGO'!M16:AU48,1,6)</f>
        <v>OK</v>
      </c>
      <c r="U193" s="97" t="str">
        <f>INDEX('[7]PLANILLA  RODRIGO'!N16:AV48,1,6)</f>
        <v>OK</v>
      </c>
      <c r="V193" s="97" t="str">
        <f>INDEX('[7]PLANILLA  RODRIGO'!O16:AW48,1,6)</f>
        <v>OK</v>
      </c>
      <c r="W193" s="97" t="str">
        <f>INDEX('[7]PLANILLA  RODRIGO'!P16:AX48,1,6)</f>
        <v>OK</v>
      </c>
      <c r="X193" s="97" t="str">
        <f>INDEX('[7]PLANILLA  RODRIGO'!Q16:AY48,1,6)</f>
        <v>OK</v>
      </c>
      <c r="Y193" s="97" t="str">
        <f>INDEX('[7]PLANILLA  RODRIGO'!R16:AZ48,1,6)</f>
        <v>OK</v>
      </c>
      <c r="Z193" s="97" t="str">
        <f>INDEX('[7]PLANILLA  RODRIGO'!S16:BA48,1,6)</f>
        <v>OK</v>
      </c>
      <c r="AA193" s="97" t="str">
        <f>INDEX('[7]PLANILLA  RODRIGO'!T16:BB48,1,6)</f>
        <v>OK</v>
      </c>
      <c r="AB193" s="97" t="str">
        <f>INDEX('[7]PLANILLA  RODRIGO'!U16:BC48,1,6)</f>
        <v>OK</v>
      </c>
      <c r="AC193" s="97" t="str">
        <f>INDEX('[7]PLANILLA  RODRIGO'!V16:BD48,1,6)</f>
        <v>OK</v>
      </c>
      <c r="AD193" s="97" t="str">
        <f>INDEX('[7]PLANILLA  RODRIGO'!W16:BE48,1,6)</f>
        <v>OK</v>
      </c>
      <c r="AE193" s="97">
        <f>INDEX('[7]PLANILLA  RODRIGO'!X16:BF48,1,6)</f>
        <v>0</v>
      </c>
      <c r="AF193" s="97">
        <f>INDEX('[7]PLANILLA  RODRIGO'!Y16:BG48,1,6)</f>
        <v>0</v>
      </c>
      <c r="AG193" s="97">
        <f>INDEX('[7]PLANILLA  RODRIGO'!Z16:BH48,1,6)</f>
        <v>0</v>
      </c>
      <c r="AH193" s="97">
        <f>INDEX('[7]PLANILLA  RODRIGO'!AA16:BI48,1,6)</f>
        <v>0</v>
      </c>
      <c r="AI193" s="97">
        <f>INDEX('[7]PLANILLA  RODRIGO'!AB16:BJ48,1,6)</f>
        <v>0</v>
      </c>
      <c r="AJ193" s="97">
        <f>INDEX('[7]PLANILLA  RODRIGO'!AC16:BK48,1,6)</f>
        <v>0</v>
      </c>
      <c r="AK193" s="97">
        <f>INDEX('[7]PLANILLA  RODRIGO'!AD16:BL48,1,6)</f>
        <v>0</v>
      </c>
      <c r="AL193" s="97">
        <f>INDEX('[7]PLANILLA  RODRIGO'!AE16:BM48,1,6)</f>
        <v>0</v>
      </c>
      <c r="AM193" s="97">
        <f>INDEX('[7]PLANILLA  RODRIGO'!AF16:BN48,1,6)</f>
        <v>0</v>
      </c>
      <c r="AO193" s="116">
        <f t="shared" si="23"/>
        <v>0</v>
      </c>
      <c r="AP193" s="116">
        <f t="shared" si="23"/>
        <v>0</v>
      </c>
      <c r="AQ193" s="116">
        <f t="shared" si="23"/>
        <v>0</v>
      </c>
      <c r="AR193" s="116">
        <f t="shared" si="23"/>
        <v>0</v>
      </c>
      <c r="AS193" s="116">
        <f t="shared" si="23"/>
        <v>0</v>
      </c>
      <c r="AT193" s="116">
        <f t="shared" si="23"/>
        <v>0</v>
      </c>
      <c r="AU193" s="116">
        <f t="shared" si="23"/>
        <v>0</v>
      </c>
      <c r="AV193" s="116">
        <f t="shared" si="23"/>
        <v>0</v>
      </c>
      <c r="AW193" s="116">
        <f t="shared" si="23"/>
        <v>0</v>
      </c>
      <c r="AX193" s="116">
        <f t="shared" si="23"/>
        <v>0</v>
      </c>
      <c r="AY193" s="116">
        <f t="shared" si="23"/>
        <v>0</v>
      </c>
      <c r="AZ193" s="116">
        <f t="shared" si="23"/>
        <v>0</v>
      </c>
      <c r="BA193" s="116">
        <f t="shared" si="23"/>
        <v>21</v>
      </c>
      <c r="BB193" s="117">
        <f t="shared" si="17"/>
        <v>21</v>
      </c>
    </row>
    <row r="194" spans="1:54">
      <c r="B194" s="112">
        <v>186</v>
      </c>
      <c r="C194" s="133">
        <f>+'[7]PLANILLA  RODRIGO'!C17</f>
        <v>52035420</v>
      </c>
      <c r="D194" s="114" t="str">
        <f>IFERROR(VLOOKUP($C194,'[7]PLANILLA  RODRIGO'!$C$9:$F$86,2,0),"NO BD")</f>
        <v xml:space="preserve">PUERTO ROA ANGELICA MERCEDES </v>
      </c>
      <c r="E194" s="115" t="s">
        <v>596</v>
      </c>
      <c r="F194" s="114" t="str">
        <f>IFERROR(VLOOKUP($C194,[7]BD!$B$3:$O$213,3,0),"")</f>
        <v>OPERARIA DE ASEO Y CAFETERIA</v>
      </c>
      <c r="G194" s="77" t="s">
        <v>496</v>
      </c>
      <c r="H194" s="114" t="str">
        <f>IFERROR(VLOOKUP($C194,[7]BD!$B$3:$O$203,14,0),"")</f>
        <v>3186439873</v>
      </c>
      <c r="I194" s="114" t="str">
        <f>IFERROR(VLOOKUP($C194,[7]BD!$B$3:$O$203,4,0),"")</f>
        <v>18/10/2025</v>
      </c>
      <c r="J194" s="97" t="str">
        <f>INDEX('[7]PLANILLA  RODRIGO'!C17:AK49,1,6)</f>
        <v>OK</v>
      </c>
      <c r="K194" s="97" t="str">
        <f>INDEX('[7]PLANILLA  RODRIGO'!D17:AL49,1,6)</f>
        <v>OK</v>
      </c>
      <c r="L194" s="97" t="str">
        <f>INDEX('[7]PLANILLA  RODRIGO'!E17:AM49,1,6)</f>
        <v>OK</v>
      </c>
      <c r="M194" s="97" t="str">
        <f>INDEX('[7]PLANILLA  RODRIGO'!F17:AN49,1,6)</f>
        <v>OK</v>
      </c>
      <c r="N194" s="97" t="str">
        <f>INDEX('[7]PLANILLA  RODRIGO'!G17:AO49,1,6)</f>
        <v>OK</v>
      </c>
      <c r="O194" s="97" t="str">
        <f>INDEX('[7]PLANILLA  RODRIGO'!H17:AP49,1,6)</f>
        <v>OK</v>
      </c>
      <c r="P194" s="97" t="str">
        <f>INDEX('[7]PLANILLA  RODRIGO'!I17:AQ49,1,6)</f>
        <v>OK</v>
      </c>
      <c r="Q194" s="97" t="str">
        <f>INDEX('[7]PLANILLA  RODRIGO'!J17:AR49,1,6)</f>
        <v>OK</v>
      </c>
      <c r="R194" s="97" t="str">
        <f>INDEX('[7]PLANILLA  RODRIGO'!K17:AS49,1,6)</f>
        <v>OK</v>
      </c>
      <c r="S194" s="97" t="str">
        <f>INDEX('[7]PLANILLA  RODRIGO'!L17:AT49,1,6)</f>
        <v>OK</v>
      </c>
      <c r="T194" s="97" t="str">
        <f>INDEX('[7]PLANILLA  RODRIGO'!M17:AU49,1,6)</f>
        <v>OK</v>
      </c>
      <c r="U194" s="97" t="str">
        <f>INDEX('[7]PLANILLA  RODRIGO'!N17:AV49,1,6)</f>
        <v>OK</v>
      </c>
      <c r="V194" s="97" t="str">
        <f>INDEX('[7]PLANILLA  RODRIGO'!O17:AW49,1,6)</f>
        <v>OK</v>
      </c>
      <c r="W194" s="97" t="str">
        <f>INDEX('[7]PLANILLA  RODRIGO'!P17:AX49,1,6)</f>
        <v>OK</v>
      </c>
      <c r="X194" s="97" t="str">
        <f>INDEX('[7]PLANILLA  RODRIGO'!Q17:AY49,1,6)</f>
        <v>OK</v>
      </c>
      <c r="Y194" s="97" t="str">
        <f>INDEX('[7]PLANILLA  RODRIGO'!R17:AZ49,1,6)</f>
        <v>OK</v>
      </c>
      <c r="Z194" s="97" t="str">
        <f>INDEX('[7]PLANILLA  RODRIGO'!S17:BA49,1,6)</f>
        <v>OK</v>
      </c>
      <c r="AA194" s="97" t="str">
        <f>INDEX('[7]PLANILLA  RODRIGO'!T17:BB49,1,6)</f>
        <v>OK</v>
      </c>
      <c r="AB194" s="97" t="str">
        <f>INDEX('[7]PLANILLA  RODRIGO'!U17:BC49,1,6)</f>
        <v>OK</v>
      </c>
      <c r="AC194" s="97" t="str">
        <f>INDEX('[7]PLANILLA  RODRIGO'!V17:BD49,1,6)</f>
        <v>OK</v>
      </c>
      <c r="AD194" s="97" t="str">
        <f>INDEX('[7]PLANILLA  RODRIGO'!W17:BE49,1,6)</f>
        <v>OK</v>
      </c>
      <c r="AE194" s="97">
        <f>INDEX('[7]PLANILLA  RODRIGO'!X17:BF49,1,6)</f>
        <v>0</v>
      </c>
      <c r="AF194" s="97">
        <f>INDEX('[7]PLANILLA  RODRIGO'!Y17:BG49,1,6)</f>
        <v>0</v>
      </c>
      <c r="AG194" s="97">
        <f>INDEX('[7]PLANILLA  RODRIGO'!Z17:BH49,1,6)</f>
        <v>0</v>
      </c>
      <c r="AH194" s="97">
        <f>INDEX('[7]PLANILLA  RODRIGO'!AA17:BI49,1,6)</f>
        <v>0</v>
      </c>
      <c r="AI194" s="97">
        <f>INDEX('[7]PLANILLA  RODRIGO'!AB17:BJ49,1,6)</f>
        <v>0</v>
      </c>
      <c r="AJ194" s="97">
        <f>INDEX('[7]PLANILLA  RODRIGO'!AC17:BK49,1,6)</f>
        <v>0</v>
      </c>
      <c r="AK194" s="97">
        <f>INDEX('[7]PLANILLA  RODRIGO'!AD17:BL49,1,6)</f>
        <v>0</v>
      </c>
      <c r="AL194" s="97">
        <f>INDEX('[7]PLANILLA  RODRIGO'!AE17:BM49,1,6)</f>
        <v>0</v>
      </c>
      <c r="AM194" s="97">
        <f>INDEX('[7]PLANILLA  RODRIGO'!AF17:BN49,1,6)</f>
        <v>0</v>
      </c>
      <c r="AO194" s="116">
        <f t="shared" si="23"/>
        <v>0</v>
      </c>
      <c r="AP194" s="116">
        <f t="shared" si="23"/>
        <v>0</v>
      </c>
      <c r="AQ194" s="116">
        <f t="shared" si="23"/>
        <v>0</v>
      </c>
      <c r="AR194" s="116">
        <f t="shared" si="23"/>
        <v>0</v>
      </c>
      <c r="AS194" s="116">
        <f t="shared" si="23"/>
        <v>0</v>
      </c>
      <c r="AT194" s="116">
        <f t="shared" si="23"/>
        <v>0</v>
      </c>
      <c r="AU194" s="116">
        <f t="shared" si="23"/>
        <v>0</v>
      </c>
      <c r="AV194" s="116">
        <f t="shared" si="23"/>
        <v>0</v>
      </c>
      <c r="AW194" s="116">
        <f t="shared" si="23"/>
        <v>0</v>
      </c>
      <c r="AX194" s="116">
        <f t="shared" si="23"/>
        <v>0</v>
      </c>
      <c r="AY194" s="116">
        <f t="shared" si="23"/>
        <v>0</v>
      </c>
      <c r="AZ194" s="116">
        <f t="shared" si="23"/>
        <v>0</v>
      </c>
      <c r="BA194" s="116">
        <f t="shared" si="23"/>
        <v>21</v>
      </c>
      <c r="BB194" s="117">
        <f t="shared" si="17"/>
        <v>21</v>
      </c>
    </row>
    <row r="195" spans="1:54" ht="34.5">
      <c r="B195" s="112">
        <v>187</v>
      </c>
      <c r="C195" s="133">
        <f>+'[7]PLANILLA  RODRIGO'!C18</f>
        <v>1020805845</v>
      </c>
      <c r="D195" s="114" t="str">
        <f>IFERROR(VLOOKUP($C195,'[7]PLANILLA  RODRIGO'!$C$9:$F$86,2,0),"NO BD")</f>
        <v xml:space="preserve">GOMEZ SANCHEZ ANDERSON ALEXANDER </v>
      </c>
      <c r="E195" s="115" t="s">
        <v>596</v>
      </c>
      <c r="F195" s="114" t="str">
        <f>IFERROR(VLOOKUP($C195,[7]BD!$B$3:$O$213,3,0),"")</f>
        <v>OPERARIO DE MANTENIMIENTO</v>
      </c>
      <c r="G195" s="77" t="s">
        <v>484</v>
      </c>
      <c r="H195" s="114" t="str">
        <f>IFERROR(VLOOKUP($C195,[7]BD!$B$3:$O$203,14,0),"")</f>
        <v>3228909822</v>
      </c>
      <c r="I195" s="114" t="str">
        <f>IFERROR(VLOOKUP($C195,[7]BD!$B$3:$O$203,4,0),"")</f>
        <v>18/10/2025</v>
      </c>
      <c r="J195" s="97" t="str">
        <f>INDEX('[7]PLANILLA  RODRIGO'!C18:AK50,1,6)</f>
        <v>OK</v>
      </c>
      <c r="K195" s="97" t="str">
        <f>INDEX('[7]PLANILLA  RODRIGO'!D18:AL50,1,6)</f>
        <v>OK</v>
      </c>
      <c r="L195" s="97" t="str">
        <f>INDEX('[7]PLANILLA  RODRIGO'!E18:AM50,1,6)</f>
        <v>OK</v>
      </c>
      <c r="M195" s="97" t="str">
        <f>INDEX('[7]PLANILLA  RODRIGO'!F18:AN50,1,6)</f>
        <v>OK</v>
      </c>
      <c r="N195" s="97" t="str">
        <f>INDEX('[7]PLANILLA  RODRIGO'!G18:AO50,1,6)</f>
        <v>OK</v>
      </c>
      <c r="O195" s="97" t="str">
        <f>INDEX('[7]PLANILLA  RODRIGO'!H18:AP50,1,6)</f>
        <v>OK</v>
      </c>
      <c r="P195" s="97" t="str">
        <f>INDEX('[7]PLANILLA  RODRIGO'!I18:AQ50,1,6)</f>
        <v>OK</v>
      </c>
      <c r="Q195" s="97" t="str">
        <f>INDEX('[7]PLANILLA  RODRIGO'!J18:AR50,1,6)</f>
        <v>OK</v>
      </c>
      <c r="R195" s="97" t="str">
        <f>INDEX('[7]PLANILLA  RODRIGO'!K18:AS50,1,6)</f>
        <v>OK</v>
      </c>
      <c r="S195" s="97" t="str">
        <f>INDEX('[7]PLANILLA  RODRIGO'!L18:AT50,1,6)</f>
        <v>OK</v>
      </c>
      <c r="T195" s="97" t="str">
        <f>INDEX('[7]PLANILLA  RODRIGO'!M18:AU50,1,6)</f>
        <v>OK</v>
      </c>
      <c r="U195" s="97" t="str">
        <f>INDEX('[7]PLANILLA  RODRIGO'!N18:AV50,1,6)</f>
        <v>OK</v>
      </c>
      <c r="V195" s="97" t="str">
        <f>INDEX('[7]PLANILLA  RODRIGO'!O18:AW50,1,6)</f>
        <v>OK</v>
      </c>
      <c r="W195" s="97" t="str">
        <f>INDEX('[7]PLANILLA  RODRIGO'!P18:AX50,1,6)</f>
        <v>OK</v>
      </c>
      <c r="X195" s="97" t="str">
        <f>INDEX('[7]PLANILLA  RODRIGO'!Q18:AY50,1,6)</f>
        <v>OK</v>
      </c>
      <c r="Y195" s="97" t="str">
        <f>INDEX('[7]PLANILLA  RODRIGO'!R18:AZ50,1,6)</f>
        <v>OK</v>
      </c>
      <c r="Z195" s="97" t="str">
        <f>INDEX('[7]PLANILLA  RODRIGO'!S18:BA50,1,6)</f>
        <v>OK</v>
      </c>
      <c r="AA195" s="97" t="str">
        <f>INDEX('[7]PLANILLA  RODRIGO'!T18:BB50,1,6)</f>
        <v>OK</v>
      </c>
      <c r="AB195" s="97" t="str">
        <f>INDEX('[7]PLANILLA  RODRIGO'!U18:BC50,1,6)</f>
        <v>OK</v>
      </c>
      <c r="AC195" s="97" t="str">
        <f>INDEX('[7]PLANILLA  RODRIGO'!V18:BD50,1,6)</f>
        <v>OK</v>
      </c>
      <c r="AD195" s="97" t="str">
        <f>INDEX('[7]PLANILLA  RODRIGO'!W18:BE50,1,6)</f>
        <v>OK</v>
      </c>
      <c r="AE195" s="97">
        <f>INDEX('[7]PLANILLA  RODRIGO'!X18:BF50,1,6)</f>
        <v>0</v>
      </c>
      <c r="AF195" s="97">
        <f>INDEX('[7]PLANILLA  RODRIGO'!Y18:BG50,1,6)</f>
        <v>0</v>
      </c>
      <c r="AG195" s="97">
        <f>INDEX('[7]PLANILLA  RODRIGO'!Z18:BH50,1,6)</f>
        <v>0</v>
      </c>
      <c r="AH195" s="97">
        <f>INDEX('[7]PLANILLA  RODRIGO'!AA18:BI50,1,6)</f>
        <v>0</v>
      </c>
      <c r="AI195" s="97">
        <f>INDEX('[7]PLANILLA  RODRIGO'!AB18:BJ50,1,6)</f>
        <v>0</v>
      </c>
      <c r="AJ195" s="97">
        <f>INDEX('[7]PLANILLA  RODRIGO'!AC18:BK50,1,6)</f>
        <v>0</v>
      </c>
      <c r="AK195" s="97">
        <f>INDEX('[7]PLANILLA  RODRIGO'!AD18:BL50,1,6)</f>
        <v>0</v>
      </c>
      <c r="AL195" s="97">
        <f>INDEX('[7]PLANILLA  RODRIGO'!AE18:BM50,1,6)</f>
        <v>0</v>
      </c>
      <c r="AM195" s="97">
        <f>INDEX('[7]PLANILLA  RODRIGO'!AF18:BN50,1,6)</f>
        <v>0</v>
      </c>
      <c r="AO195" s="116">
        <f t="shared" si="23"/>
        <v>0</v>
      </c>
      <c r="AP195" s="116">
        <f t="shared" si="23"/>
        <v>0</v>
      </c>
      <c r="AQ195" s="116">
        <f t="shared" si="23"/>
        <v>0</v>
      </c>
      <c r="AR195" s="116">
        <f t="shared" si="23"/>
        <v>0</v>
      </c>
      <c r="AS195" s="116">
        <f t="shared" si="23"/>
        <v>0</v>
      </c>
      <c r="AT195" s="116">
        <f t="shared" si="23"/>
        <v>0</v>
      </c>
      <c r="AU195" s="116">
        <f t="shared" si="23"/>
        <v>0</v>
      </c>
      <c r="AV195" s="116">
        <f t="shared" si="23"/>
        <v>0</v>
      </c>
      <c r="AW195" s="116">
        <f t="shared" si="23"/>
        <v>0</v>
      </c>
      <c r="AX195" s="116">
        <f t="shared" si="23"/>
        <v>0</v>
      </c>
      <c r="AY195" s="116">
        <f t="shared" si="23"/>
        <v>0</v>
      </c>
      <c r="AZ195" s="116">
        <f t="shared" si="23"/>
        <v>0</v>
      </c>
      <c r="BA195" s="116">
        <f t="shared" si="23"/>
        <v>21</v>
      </c>
      <c r="BB195" s="117">
        <f t="shared" si="17"/>
        <v>21</v>
      </c>
    </row>
    <row r="196" spans="1:54">
      <c r="B196" s="112">
        <v>188</v>
      </c>
      <c r="C196" s="133">
        <f>+'[7]PLANILLA  RODRIGO'!C19</f>
        <v>1049454439</v>
      </c>
      <c r="D196" s="114" t="str">
        <f>IFERROR(VLOOKUP($C196,'[7]PLANILLA  RODRIGO'!$C$9:$F$86,2,0),"NO BD")</f>
        <v xml:space="preserve">POLO DIAZ QUINTY JUNIOR </v>
      </c>
      <c r="E196" s="115" t="s">
        <v>596</v>
      </c>
      <c r="F196" s="114" t="str">
        <f>IFERROR(VLOOKUP($C196,[7]BD!$B$3:$O$213,3,0),"")</f>
        <v>OPERARIO DE MANTENIMIENTO</v>
      </c>
      <c r="G196" s="77" t="s">
        <v>488</v>
      </c>
      <c r="H196" s="114" t="str">
        <f>IFERROR(VLOOKUP($C196,[7]BD!$B$3:$O$203,14,0),"")</f>
        <v>3008025152</v>
      </c>
      <c r="I196" s="114" t="str">
        <f>IFERROR(VLOOKUP($C196,[7]BD!$B$3:$O$203,4,0),"")</f>
        <v>18/10/2025</v>
      </c>
      <c r="J196" s="97" t="str">
        <f>INDEX('[7]PLANILLA  RODRIGO'!C19:AK51,1,6)</f>
        <v>OK</v>
      </c>
      <c r="K196" s="97" t="str">
        <f>INDEX('[7]PLANILLA  RODRIGO'!D19:AL51,1,6)</f>
        <v>OK</v>
      </c>
      <c r="L196" s="97" t="str">
        <f>INDEX('[7]PLANILLA  RODRIGO'!E19:AM51,1,6)</f>
        <v>OK</v>
      </c>
      <c r="M196" s="97" t="str">
        <f>INDEX('[7]PLANILLA  RODRIGO'!F19:AN51,1,6)</f>
        <v>OK</v>
      </c>
      <c r="N196" s="97" t="str">
        <f>INDEX('[7]PLANILLA  RODRIGO'!G19:AO51,1,6)</f>
        <v>OK</v>
      </c>
      <c r="O196" s="97" t="str">
        <f>INDEX('[7]PLANILLA  RODRIGO'!H19:AP51,1,6)</f>
        <v>OK</v>
      </c>
      <c r="P196" s="97" t="str">
        <f>INDEX('[7]PLANILLA  RODRIGO'!I19:AQ51,1,6)</f>
        <v>OK</v>
      </c>
      <c r="Q196" s="97" t="str">
        <f>INDEX('[7]PLANILLA  RODRIGO'!J19:AR51,1,6)</f>
        <v>OK</v>
      </c>
      <c r="R196" s="97" t="str">
        <f>INDEX('[7]PLANILLA  RODRIGO'!K19:AS51,1,6)</f>
        <v>OK</v>
      </c>
      <c r="S196" s="97" t="str">
        <f>INDEX('[7]PLANILLA  RODRIGO'!L19:AT51,1,6)</f>
        <v>OK</v>
      </c>
      <c r="T196" s="97" t="str">
        <f>INDEX('[7]PLANILLA  RODRIGO'!M19:AU51,1,6)</f>
        <v>OK</v>
      </c>
      <c r="U196" s="97" t="str">
        <f>INDEX('[7]PLANILLA  RODRIGO'!N19:AV51,1,6)</f>
        <v>OK</v>
      </c>
      <c r="V196" s="97" t="str">
        <f>INDEX('[7]PLANILLA  RODRIGO'!O19:AW51,1,6)</f>
        <v>OK</v>
      </c>
      <c r="W196" s="97" t="str">
        <f>INDEX('[7]PLANILLA  RODRIGO'!P19:AX51,1,6)</f>
        <v>OK</v>
      </c>
      <c r="X196" s="97" t="str">
        <f>INDEX('[7]PLANILLA  RODRIGO'!Q19:AY51,1,6)</f>
        <v>OK</v>
      </c>
      <c r="Y196" s="97" t="str">
        <f>INDEX('[7]PLANILLA  RODRIGO'!R19:AZ51,1,6)</f>
        <v>OK</v>
      </c>
      <c r="Z196" s="97" t="str">
        <f>INDEX('[7]PLANILLA  RODRIGO'!S19:BA51,1,6)</f>
        <v>OK</v>
      </c>
      <c r="AA196" s="97" t="str">
        <f>INDEX('[7]PLANILLA  RODRIGO'!T19:BB51,1,6)</f>
        <v>OK</v>
      </c>
      <c r="AB196" s="97" t="str">
        <f>INDEX('[7]PLANILLA  RODRIGO'!U19:BC51,1,6)</f>
        <v>OK</v>
      </c>
      <c r="AC196" s="97" t="str">
        <f>INDEX('[7]PLANILLA  RODRIGO'!V19:BD51,1,6)</f>
        <v>OK</v>
      </c>
      <c r="AD196" s="97" t="str">
        <f>INDEX('[7]PLANILLA  RODRIGO'!W19:BE51,1,6)</f>
        <v>OK</v>
      </c>
      <c r="AE196" s="97">
        <f>INDEX('[7]PLANILLA  RODRIGO'!X19:BF51,1,6)</f>
        <v>0</v>
      </c>
      <c r="AF196" s="97">
        <f>INDEX('[7]PLANILLA  RODRIGO'!Y19:BG51,1,6)</f>
        <v>0</v>
      </c>
      <c r="AG196" s="97">
        <f>INDEX('[7]PLANILLA  RODRIGO'!Z19:BH51,1,6)</f>
        <v>0</v>
      </c>
      <c r="AH196" s="97">
        <f>INDEX('[7]PLANILLA  RODRIGO'!AA19:BI51,1,6)</f>
        <v>0</v>
      </c>
      <c r="AI196" s="97">
        <f>INDEX('[7]PLANILLA  RODRIGO'!AB19:BJ51,1,6)</f>
        <v>0</v>
      </c>
      <c r="AJ196" s="97">
        <f>INDEX('[7]PLANILLA  RODRIGO'!AC19:BK51,1,6)</f>
        <v>0</v>
      </c>
      <c r="AK196" s="97">
        <f>INDEX('[7]PLANILLA  RODRIGO'!AD19:BL51,1,6)</f>
        <v>0</v>
      </c>
      <c r="AL196" s="97">
        <f>INDEX('[7]PLANILLA  RODRIGO'!AE19:BM51,1,6)</f>
        <v>0</v>
      </c>
      <c r="AM196" s="97">
        <f>INDEX('[7]PLANILLA  RODRIGO'!AF19:BN51,1,6)</f>
        <v>0</v>
      </c>
      <c r="AO196" s="116">
        <f t="shared" si="23"/>
        <v>0</v>
      </c>
      <c r="AP196" s="116">
        <f t="shared" si="23"/>
        <v>0</v>
      </c>
      <c r="AQ196" s="116">
        <f t="shared" si="23"/>
        <v>0</v>
      </c>
      <c r="AR196" s="116">
        <f t="shared" si="23"/>
        <v>0</v>
      </c>
      <c r="AS196" s="116">
        <f t="shared" si="23"/>
        <v>0</v>
      </c>
      <c r="AT196" s="116">
        <f t="shared" si="23"/>
        <v>0</v>
      </c>
      <c r="AU196" s="116">
        <f t="shared" si="23"/>
        <v>0</v>
      </c>
      <c r="AV196" s="116">
        <f t="shared" si="23"/>
        <v>0</v>
      </c>
      <c r="AW196" s="116">
        <f t="shared" si="23"/>
        <v>0</v>
      </c>
      <c r="AX196" s="116">
        <f t="shared" si="23"/>
        <v>0</v>
      </c>
      <c r="AY196" s="116">
        <f t="shared" si="23"/>
        <v>0</v>
      </c>
      <c r="AZ196" s="116">
        <f t="shared" si="23"/>
        <v>0</v>
      </c>
      <c r="BA196" s="116">
        <f t="shared" si="23"/>
        <v>21</v>
      </c>
      <c r="BB196" s="117">
        <f t="shared" si="17"/>
        <v>21</v>
      </c>
    </row>
    <row r="197" spans="1:54">
      <c r="B197" s="112">
        <v>189</v>
      </c>
      <c r="C197" s="133">
        <f>+'[7]PLANILLA  RODRIGO'!C20</f>
        <v>52919244</v>
      </c>
      <c r="D197" s="114" t="str">
        <f>IFERROR(VLOOKUP($C197,'[7]PLANILLA  RODRIGO'!$C$9:$F$86,2,0),"NO BD")</f>
        <v xml:space="preserve">DUARTE FORERO ANA JULIA </v>
      </c>
      <c r="E197" s="115" t="s">
        <v>596</v>
      </c>
      <c r="F197" s="114" t="str">
        <f>IFERROR(VLOOKUP($C197,[7]BD!$B$3:$O$213,3,0),"")</f>
        <v>OPERARIA DE ASEO Y CAFETERIA</v>
      </c>
      <c r="G197" s="77" t="s">
        <v>484</v>
      </c>
      <c r="H197" s="114" t="str">
        <f>IFERROR(VLOOKUP($C197,[7]BD!$B$3:$O$203,14,0),"")</f>
        <v>3193470687</v>
      </c>
      <c r="I197" s="114" t="str">
        <f>IFERROR(VLOOKUP($C197,[7]BD!$B$3:$O$203,4,0),"")</f>
        <v>18/10/2025</v>
      </c>
      <c r="J197" s="97" t="str">
        <f>INDEX('[7]PLANILLA  RODRIGO'!C20:AK52,1,6)</f>
        <v>OK</v>
      </c>
      <c r="K197" s="97" t="str">
        <f>INDEX('[7]PLANILLA  RODRIGO'!D20:AL52,1,6)</f>
        <v>OK</v>
      </c>
      <c r="L197" s="97" t="str">
        <f>INDEX('[7]PLANILLA  RODRIGO'!E20:AM52,1,6)</f>
        <v>OK</v>
      </c>
      <c r="M197" s="97" t="str">
        <f>INDEX('[7]PLANILLA  RODRIGO'!F20:AN52,1,6)</f>
        <v>OK</v>
      </c>
      <c r="N197" s="97" t="str">
        <f>INDEX('[7]PLANILLA  RODRIGO'!G20:AO52,1,6)</f>
        <v>OK</v>
      </c>
      <c r="O197" s="97" t="str">
        <f>INDEX('[7]PLANILLA  RODRIGO'!H20:AP52,1,6)</f>
        <v>OK</v>
      </c>
      <c r="P197" s="97" t="str">
        <f>INDEX('[7]PLANILLA  RODRIGO'!I20:AQ52,1,6)</f>
        <v>OK</v>
      </c>
      <c r="Q197" s="97" t="str">
        <f>INDEX('[7]PLANILLA  RODRIGO'!J20:AR52,1,6)</f>
        <v>OK</v>
      </c>
      <c r="R197" s="97" t="str">
        <f>INDEX('[7]PLANILLA  RODRIGO'!K20:AS52,1,6)</f>
        <v>OK</v>
      </c>
      <c r="S197" s="97" t="str">
        <f>INDEX('[7]PLANILLA  RODRIGO'!L20:AT52,1,6)</f>
        <v>OK</v>
      </c>
      <c r="T197" s="97" t="str">
        <f>INDEX('[7]PLANILLA  RODRIGO'!M20:AU52,1,6)</f>
        <v>OK</v>
      </c>
      <c r="U197" s="97" t="str">
        <f>INDEX('[7]PLANILLA  RODRIGO'!N20:AV52,1,6)</f>
        <v>OK</v>
      </c>
      <c r="V197" s="97" t="str">
        <f>INDEX('[7]PLANILLA  RODRIGO'!O20:AW52,1,6)</f>
        <v>OK</v>
      </c>
      <c r="W197" s="97" t="str">
        <f>INDEX('[7]PLANILLA  RODRIGO'!P20:AX52,1,6)</f>
        <v>OK</v>
      </c>
      <c r="X197" s="97" t="str">
        <f>INDEX('[7]PLANILLA  RODRIGO'!Q20:AY52,1,6)</f>
        <v>OK</v>
      </c>
      <c r="Y197" s="97" t="str">
        <f>INDEX('[7]PLANILLA  RODRIGO'!R20:AZ52,1,6)</f>
        <v>OK</v>
      </c>
      <c r="Z197" s="97" t="str">
        <f>INDEX('[7]PLANILLA  RODRIGO'!S20:BA52,1,6)</f>
        <v>OK</v>
      </c>
      <c r="AA197" s="97" t="str">
        <f>INDEX('[7]PLANILLA  RODRIGO'!T20:BB52,1,6)</f>
        <v>OK</v>
      </c>
      <c r="AB197" s="97" t="str">
        <f>INDEX('[7]PLANILLA  RODRIGO'!U20:BC52,1,6)</f>
        <v>OK</v>
      </c>
      <c r="AC197" s="97" t="str">
        <f>INDEX('[7]PLANILLA  RODRIGO'!V20:BD52,1,6)</f>
        <v>OK</v>
      </c>
      <c r="AD197" s="97" t="str">
        <f>INDEX('[7]PLANILLA  RODRIGO'!W20:BE52,1,6)</f>
        <v>OK</v>
      </c>
      <c r="AE197" s="97">
        <f>INDEX('[7]PLANILLA  RODRIGO'!X20:BF52,1,6)</f>
        <v>0</v>
      </c>
      <c r="AF197" s="97">
        <f>INDEX('[7]PLANILLA  RODRIGO'!Y20:BG52,1,6)</f>
        <v>0</v>
      </c>
      <c r="AG197" s="97">
        <f>INDEX('[7]PLANILLA  RODRIGO'!Z20:BH52,1,6)</f>
        <v>0</v>
      </c>
      <c r="AH197" s="97">
        <f>INDEX('[7]PLANILLA  RODRIGO'!AA20:BI52,1,6)</f>
        <v>0</v>
      </c>
      <c r="AI197" s="97">
        <f>INDEX('[7]PLANILLA  RODRIGO'!AB20:BJ52,1,6)</f>
        <v>0</v>
      </c>
      <c r="AJ197" s="97">
        <f>INDEX('[7]PLANILLA  RODRIGO'!AC20:BK52,1,6)</f>
        <v>0</v>
      </c>
      <c r="AK197" s="97">
        <f>INDEX('[7]PLANILLA  RODRIGO'!AD20:BL52,1,6)</f>
        <v>0</v>
      </c>
      <c r="AL197" s="97">
        <f>INDEX('[7]PLANILLA  RODRIGO'!AE20:BM52,1,6)</f>
        <v>0</v>
      </c>
      <c r="AM197" s="97">
        <f>INDEX('[7]PLANILLA  RODRIGO'!AF20:BN52,1,6)</f>
        <v>0</v>
      </c>
      <c r="AO197" s="116">
        <f t="shared" si="23"/>
        <v>0</v>
      </c>
      <c r="AP197" s="116">
        <f t="shared" si="23"/>
        <v>0</v>
      </c>
      <c r="AQ197" s="116">
        <f t="shared" si="23"/>
        <v>0</v>
      </c>
      <c r="AR197" s="116">
        <f t="shared" si="23"/>
        <v>0</v>
      </c>
      <c r="AS197" s="116">
        <f t="shared" si="23"/>
        <v>0</v>
      </c>
      <c r="AT197" s="116">
        <f t="shared" si="23"/>
        <v>0</v>
      </c>
      <c r="AU197" s="116">
        <f t="shared" si="23"/>
        <v>0</v>
      </c>
      <c r="AV197" s="116">
        <f t="shared" si="23"/>
        <v>0</v>
      </c>
      <c r="AW197" s="116">
        <f t="shared" si="23"/>
        <v>0</v>
      </c>
      <c r="AX197" s="116">
        <f t="shared" si="23"/>
        <v>0</v>
      </c>
      <c r="AY197" s="116">
        <f t="shared" si="23"/>
        <v>0</v>
      </c>
      <c r="AZ197" s="116">
        <f t="shared" si="23"/>
        <v>0</v>
      </c>
      <c r="BA197" s="116">
        <f t="shared" si="23"/>
        <v>21</v>
      </c>
      <c r="BB197" s="117">
        <f t="shared" si="17"/>
        <v>21</v>
      </c>
    </row>
    <row r="198" spans="1:54">
      <c r="B198" s="112">
        <v>190</v>
      </c>
      <c r="C198" s="133">
        <f>+'[7]PLANILLA  RODRIGO'!C21</f>
        <v>22822421</v>
      </c>
      <c r="D198" s="114" t="str">
        <f>IFERROR(VLOOKUP($C198,'[7]PLANILLA  RODRIGO'!$C$9:$F$86,2,0),"NO BD")</f>
        <v xml:space="preserve">ROJAS TAFUR INDIALUZ  </v>
      </c>
      <c r="E198" s="115" t="s">
        <v>596</v>
      </c>
      <c r="F198" s="114" t="str">
        <f>IFERROR(VLOOKUP($C198,[7]BD!$B$3:$O$213,3,0),"")</f>
        <v>OPERARIA DE ASEO Y CAFETERIA</v>
      </c>
      <c r="G198" s="77" t="s">
        <v>488</v>
      </c>
      <c r="H198" s="114" t="str">
        <f>IFERROR(VLOOKUP($C198,[7]BD!$B$3:$O$203,14,0),"")</f>
        <v>3223269072</v>
      </c>
      <c r="I198" s="114" t="str">
        <f>IFERROR(VLOOKUP($C198,[7]BD!$B$3:$O$203,4,0),"")</f>
        <v>18/10/2025</v>
      </c>
      <c r="J198" s="97" t="str">
        <f>INDEX('[7]PLANILLA  RODRIGO'!C21:AK53,1,6)</f>
        <v>OK</v>
      </c>
      <c r="K198" s="97" t="str">
        <f>INDEX('[7]PLANILLA  RODRIGO'!D21:AL53,1,6)</f>
        <v>OK</v>
      </c>
      <c r="L198" s="97" t="str">
        <f>INDEX('[7]PLANILLA  RODRIGO'!E21:AM53,1,6)</f>
        <v>OK</v>
      </c>
      <c r="M198" s="97" t="str">
        <f>INDEX('[7]PLANILLA  RODRIGO'!F21:AN53,1,6)</f>
        <v>OK</v>
      </c>
      <c r="N198" s="97" t="str">
        <f>INDEX('[7]PLANILLA  RODRIGO'!G21:AO53,1,6)</f>
        <v>OK</v>
      </c>
      <c r="O198" s="97" t="str">
        <f>INDEX('[7]PLANILLA  RODRIGO'!H21:AP53,1,6)</f>
        <v>OK</v>
      </c>
      <c r="P198" s="97" t="str">
        <f>INDEX('[7]PLANILLA  RODRIGO'!I21:AQ53,1,6)</f>
        <v>OK</v>
      </c>
      <c r="Q198" s="97" t="str">
        <f>INDEX('[7]PLANILLA  RODRIGO'!J21:AR53,1,6)</f>
        <v>OK</v>
      </c>
      <c r="R198" s="97" t="str">
        <f>INDEX('[7]PLANILLA  RODRIGO'!K21:AS53,1,6)</f>
        <v>OK</v>
      </c>
      <c r="S198" s="97" t="str">
        <f>INDEX('[7]PLANILLA  RODRIGO'!L21:AT53,1,6)</f>
        <v>OK</v>
      </c>
      <c r="T198" s="97" t="str">
        <f>INDEX('[7]PLANILLA  RODRIGO'!M21:AU53,1,6)</f>
        <v>OK</v>
      </c>
      <c r="U198" s="97" t="str">
        <f>INDEX('[7]PLANILLA  RODRIGO'!N21:AV53,1,6)</f>
        <v>OK</v>
      </c>
      <c r="V198" s="97" t="str">
        <f>INDEX('[7]PLANILLA  RODRIGO'!O21:AW53,1,6)</f>
        <v>OK</v>
      </c>
      <c r="W198" s="97" t="str">
        <f>INDEX('[7]PLANILLA  RODRIGO'!P21:AX53,1,6)</f>
        <v>OK</v>
      </c>
      <c r="X198" s="97" t="str">
        <f>INDEX('[7]PLANILLA  RODRIGO'!Q21:AY53,1,6)</f>
        <v>OK</v>
      </c>
      <c r="Y198" s="97" t="str">
        <f>INDEX('[7]PLANILLA  RODRIGO'!R21:AZ53,1,6)</f>
        <v>OK</v>
      </c>
      <c r="Z198" s="97" t="str">
        <f>INDEX('[7]PLANILLA  RODRIGO'!S21:BA53,1,6)</f>
        <v>OK</v>
      </c>
      <c r="AA198" s="97" t="str">
        <f>INDEX('[7]PLANILLA  RODRIGO'!T21:BB53,1,6)</f>
        <v>OK</v>
      </c>
      <c r="AB198" s="97" t="str">
        <f>INDEX('[7]PLANILLA  RODRIGO'!U21:BC53,1,6)</f>
        <v>OK</v>
      </c>
      <c r="AC198" s="97" t="str">
        <f>INDEX('[7]PLANILLA  RODRIGO'!V21:BD53,1,6)</f>
        <v>OK</v>
      </c>
      <c r="AD198" s="97" t="str">
        <f>INDEX('[7]PLANILLA  RODRIGO'!W21:BE53,1,6)</f>
        <v>OK</v>
      </c>
      <c r="AE198" s="97">
        <f>INDEX('[7]PLANILLA  RODRIGO'!X21:BF53,1,6)</f>
        <v>0</v>
      </c>
      <c r="AF198" s="97">
        <f>INDEX('[7]PLANILLA  RODRIGO'!Y21:BG53,1,6)</f>
        <v>0</v>
      </c>
      <c r="AG198" s="97">
        <f>INDEX('[7]PLANILLA  RODRIGO'!Z21:BH53,1,6)</f>
        <v>0</v>
      </c>
      <c r="AH198" s="97">
        <f>INDEX('[7]PLANILLA  RODRIGO'!AA21:BI53,1,6)</f>
        <v>0</v>
      </c>
      <c r="AI198" s="97">
        <f>INDEX('[7]PLANILLA  RODRIGO'!AB21:BJ53,1,6)</f>
        <v>0</v>
      </c>
      <c r="AJ198" s="97">
        <f>INDEX('[7]PLANILLA  RODRIGO'!AC21:BK53,1,6)</f>
        <v>0</v>
      </c>
      <c r="AK198" s="97">
        <f>INDEX('[7]PLANILLA  RODRIGO'!AD21:BL53,1,6)</f>
        <v>0</v>
      </c>
      <c r="AL198" s="97">
        <f>INDEX('[7]PLANILLA  RODRIGO'!AE21:BM53,1,6)</f>
        <v>0</v>
      </c>
      <c r="AM198" s="97">
        <f>INDEX('[7]PLANILLA  RODRIGO'!AF21:BN53,1,6)</f>
        <v>0</v>
      </c>
      <c r="AO198" s="116">
        <f t="shared" si="23"/>
        <v>0</v>
      </c>
      <c r="AP198" s="116">
        <f t="shared" si="23"/>
        <v>0</v>
      </c>
      <c r="AQ198" s="116">
        <f t="shared" si="23"/>
        <v>0</v>
      </c>
      <c r="AR198" s="116">
        <f t="shared" si="23"/>
        <v>0</v>
      </c>
      <c r="AS198" s="116">
        <f t="shared" si="23"/>
        <v>0</v>
      </c>
      <c r="AT198" s="116">
        <f t="shared" si="23"/>
        <v>0</v>
      </c>
      <c r="AU198" s="116">
        <f t="shared" si="23"/>
        <v>0</v>
      </c>
      <c r="AV198" s="116">
        <f t="shared" si="23"/>
        <v>0</v>
      </c>
      <c r="AW198" s="116">
        <f t="shared" si="23"/>
        <v>0</v>
      </c>
      <c r="AX198" s="116">
        <f t="shared" si="23"/>
        <v>0</v>
      </c>
      <c r="AY198" s="116">
        <f t="shared" si="23"/>
        <v>0</v>
      </c>
      <c r="AZ198" s="116">
        <f t="shared" si="23"/>
        <v>0</v>
      </c>
      <c r="BA198" s="116">
        <f t="shared" si="23"/>
        <v>21</v>
      </c>
      <c r="BB198" s="117">
        <f t="shared" si="17"/>
        <v>21</v>
      </c>
    </row>
    <row r="199" spans="1:54">
      <c r="B199" s="112">
        <v>191</v>
      </c>
      <c r="C199" s="133">
        <f>+'[7]PLANILLA  RODRIGO'!C22</f>
        <v>53153000</v>
      </c>
      <c r="D199" s="114" t="str">
        <f>IFERROR(VLOOKUP($C199,'[7]PLANILLA  RODRIGO'!$C$9:$F$86,2,0),"NO BD")</f>
        <v xml:space="preserve">ALVAREZ ALVAREZ YENI MARITZA </v>
      </c>
      <c r="E199" s="115" t="s">
        <v>596</v>
      </c>
      <c r="F199" s="114" t="str">
        <f>IFERROR(VLOOKUP($C199,[7]BD!$B$3:$O$213,3,0),"")</f>
        <v>OPERARIA DE ASEO Y CAFETERIA</v>
      </c>
      <c r="G199" s="77" t="s">
        <v>488</v>
      </c>
      <c r="H199" s="114" t="str">
        <f>IFERROR(VLOOKUP($C199,[7]BD!$B$3:$O$203,14,0),"")</f>
        <v>3124526294</v>
      </c>
      <c r="I199" s="114" t="str">
        <f>IFERROR(VLOOKUP($C199,[7]BD!$B$3:$O$203,4,0),"")</f>
        <v>18/10/2025</v>
      </c>
      <c r="J199" s="97" t="str">
        <f>INDEX('[7]PLANILLA  RODRIGO'!C22:AK54,1,6)</f>
        <v>OK</v>
      </c>
      <c r="K199" s="97" t="str">
        <f>INDEX('[7]PLANILLA  RODRIGO'!D22:AL54,1,6)</f>
        <v>OK</v>
      </c>
      <c r="L199" s="97" t="str">
        <f>INDEX('[7]PLANILLA  RODRIGO'!E22:AM54,1,6)</f>
        <v>OK</v>
      </c>
      <c r="M199" s="97" t="str">
        <f>INDEX('[7]PLANILLA  RODRIGO'!F22:AN54,1,6)</f>
        <v>OK</v>
      </c>
      <c r="N199" s="97" t="str">
        <f>INDEX('[7]PLANILLA  RODRIGO'!G22:AO54,1,6)</f>
        <v>OK</v>
      </c>
      <c r="O199" s="97" t="str">
        <f>INDEX('[7]PLANILLA  RODRIGO'!H22:AP54,1,6)</f>
        <v>OK</v>
      </c>
      <c r="P199" s="97" t="str">
        <f>INDEX('[7]PLANILLA  RODRIGO'!I22:AQ54,1,6)</f>
        <v>OK</v>
      </c>
      <c r="Q199" s="97" t="str">
        <f>INDEX('[7]PLANILLA  RODRIGO'!J22:AR54,1,6)</f>
        <v>OK</v>
      </c>
      <c r="R199" s="97" t="str">
        <f>INDEX('[7]PLANILLA  RODRIGO'!K22:AS54,1,6)</f>
        <v>OK</v>
      </c>
      <c r="S199" s="97" t="str">
        <f>INDEX('[7]PLANILLA  RODRIGO'!L22:AT54,1,6)</f>
        <v>OK</v>
      </c>
      <c r="T199" s="97" t="str">
        <f>INDEX('[7]PLANILLA  RODRIGO'!M22:AU54,1,6)</f>
        <v>OK</v>
      </c>
      <c r="U199" s="97" t="str">
        <f>INDEX('[7]PLANILLA  RODRIGO'!N22:AV54,1,6)</f>
        <v>OK</v>
      </c>
      <c r="V199" s="97" t="str">
        <f>INDEX('[7]PLANILLA  RODRIGO'!O22:AW54,1,6)</f>
        <v>OK</v>
      </c>
      <c r="W199" s="97" t="str">
        <f>INDEX('[7]PLANILLA  RODRIGO'!P22:AX54,1,6)</f>
        <v>OK</v>
      </c>
      <c r="X199" s="97" t="str">
        <f>INDEX('[7]PLANILLA  RODRIGO'!Q22:AY54,1,6)</f>
        <v>OK</v>
      </c>
      <c r="Y199" s="97" t="str">
        <f>INDEX('[7]PLANILLA  RODRIGO'!R22:AZ54,1,6)</f>
        <v>OK</v>
      </c>
      <c r="Z199" s="97" t="str">
        <f>INDEX('[7]PLANILLA  RODRIGO'!S22:BA54,1,6)</f>
        <v>OK</v>
      </c>
      <c r="AA199" s="97" t="str">
        <f>INDEX('[7]PLANILLA  RODRIGO'!T22:BB54,1,6)</f>
        <v>OK</v>
      </c>
      <c r="AB199" s="97" t="str">
        <f>INDEX('[7]PLANILLA  RODRIGO'!U22:BC54,1,6)</f>
        <v>OK</v>
      </c>
      <c r="AC199" s="97" t="str">
        <f>INDEX('[7]PLANILLA  RODRIGO'!V22:BD54,1,6)</f>
        <v>OK</v>
      </c>
      <c r="AD199" s="97" t="str">
        <f>INDEX('[7]PLANILLA  RODRIGO'!W22:BE54,1,6)</f>
        <v>OK</v>
      </c>
      <c r="AE199" s="97">
        <f>INDEX('[7]PLANILLA  RODRIGO'!X22:BF54,1,6)</f>
        <v>0</v>
      </c>
      <c r="AF199" s="97">
        <f>INDEX('[7]PLANILLA  RODRIGO'!Y22:BG54,1,6)</f>
        <v>0</v>
      </c>
      <c r="AG199" s="97">
        <f>INDEX('[7]PLANILLA  RODRIGO'!Z22:BH54,1,6)</f>
        <v>0</v>
      </c>
      <c r="AH199" s="97">
        <f>INDEX('[7]PLANILLA  RODRIGO'!AA22:BI54,1,6)</f>
        <v>0</v>
      </c>
      <c r="AI199" s="97">
        <f>INDEX('[7]PLANILLA  RODRIGO'!AB22:BJ54,1,6)</f>
        <v>0</v>
      </c>
      <c r="AJ199" s="97">
        <f>INDEX('[7]PLANILLA  RODRIGO'!AC22:BK54,1,6)</f>
        <v>0</v>
      </c>
      <c r="AK199" s="97">
        <f>INDEX('[7]PLANILLA  RODRIGO'!AD22:BL54,1,6)</f>
        <v>0</v>
      </c>
      <c r="AL199" s="97">
        <f>INDEX('[7]PLANILLA  RODRIGO'!AE22:BM54,1,6)</f>
        <v>0</v>
      </c>
      <c r="AM199" s="97">
        <f>INDEX('[7]PLANILLA  RODRIGO'!AF22:BN54,1,6)</f>
        <v>0</v>
      </c>
      <c r="AO199" s="116">
        <f t="shared" si="23"/>
        <v>0</v>
      </c>
      <c r="AP199" s="116">
        <f t="shared" si="23"/>
        <v>0</v>
      </c>
      <c r="AQ199" s="116">
        <f t="shared" si="23"/>
        <v>0</v>
      </c>
      <c r="AR199" s="116">
        <f t="shared" si="23"/>
        <v>0</v>
      </c>
      <c r="AS199" s="116">
        <f t="shared" si="23"/>
        <v>0</v>
      </c>
      <c r="AT199" s="116">
        <f t="shared" si="23"/>
        <v>0</v>
      </c>
      <c r="AU199" s="116">
        <f t="shared" si="23"/>
        <v>0</v>
      </c>
      <c r="AV199" s="116">
        <f t="shared" si="23"/>
        <v>0</v>
      </c>
      <c r="AW199" s="116">
        <f t="shared" si="23"/>
        <v>0</v>
      </c>
      <c r="AX199" s="116">
        <f t="shared" si="23"/>
        <v>0</v>
      </c>
      <c r="AY199" s="116">
        <f t="shared" si="23"/>
        <v>0</v>
      </c>
      <c r="AZ199" s="116">
        <f t="shared" si="23"/>
        <v>0</v>
      </c>
      <c r="BA199" s="116">
        <f t="shared" si="23"/>
        <v>21</v>
      </c>
      <c r="BB199" s="117">
        <f t="shared" si="17"/>
        <v>21</v>
      </c>
    </row>
    <row r="200" spans="1:54">
      <c r="B200" s="112">
        <v>192</v>
      </c>
      <c r="C200" s="133">
        <f>+'[7]PLANILLA  RODRIGO'!C23</f>
        <v>1126122552</v>
      </c>
      <c r="D200" s="114" t="str">
        <f>IFERROR(VLOOKUP($C200,'[7]PLANILLA  RODRIGO'!$C$9:$F$86,2,0),"NO BD")</f>
        <v xml:space="preserve">VILLARREAL ROYER JULIO ABEL </v>
      </c>
      <c r="E200" s="115" t="s">
        <v>596</v>
      </c>
      <c r="F200" s="114" t="str">
        <f>IFERROR(VLOOKUP($C200,[7]BD!$B$3:$O$213,3,0),"")</f>
        <v>OPERARIO DE MANTENIMIENTO</v>
      </c>
      <c r="G200" s="77" t="s">
        <v>488</v>
      </c>
      <c r="H200" s="114" t="str">
        <f>IFERROR(VLOOKUP($C200,[7]BD!$B$3:$O$203,14,0),"")</f>
        <v>3145730019</v>
      </c>
      <c r="I200" s="114" t="str">
        <f>IFERROR(VLOOKUP($C200,[7]BD!$B$3:$O$203,4,0),"")</f>
        <v>18/10/2025</v>
      </c>
      <c r="J200" s="97" t="str">
        <f>INDEX('[7]PLANILLA  RODRIGO'!C23:AK55,1,6)</f>
        <v>OK</v>
      </c>
      <c r="K200" s="97" t="str">
        <f>INDEX('[7]PLANILLA  RODRIGO'!D23:AL55,1,6)</f>
        <v>OK</v>
      </c>
      <c r="L200" s="97" t="str">
        <f>INDEX('[7]PLANILLA  RODRIGO'!E23:AM55,1,6)</f>
        <v>OK</v>
      </c>
      <c r="M200" s="97" t="str">
        <f>INDEX('[7]PLANILLA  RODRIGO'!F23:AN55,1,6)</f>
        <v>OK</v>
      </c>
      <c r="N200" s="97" t="str">
        <f>INDEX('[7]PLANILLA  RODRIGO'!G23:AO55,1,6)</f>
        <v>OK</v>
      </c>
      <c r="O200" s="97" t="str">
        <f>INDEX('[7]PLANILLA  RODRIGO'!H23:AP55,1,6)</f>
        <v>OK</v>
      </c>
      <c r="P200" s="97" t="str">
        <f>INDEX('[7]PLANILLA  RODRIGO'!I23:AQ55,1,6)</f>
        <v>OK</v>
      </c>
      <c r="Q200" s="97" t="str">
        <f>INDEX('[7]PLANILLA  RODRIGO'!J23:AR55,1,6)</f>
        <v>OK</v>
      </c>
      <c r="R200" s="97" t="str">
        <f>INDEX('[7]PLANILLA  RODRIGO'!K23:AS55,1,6)</f>
        <v>OK</v>
      </c>
      <c r="S200" s="97" t="str">
        <f>INDEX('[7]PLANILLA  RODRIGO'!L23:AT55,1,6)</f>
        <v>OK</v>
      </c>
      <c r="T200" s="97" t="str">
        <f>INDEX('[7]PLANILLA  RODRIGO'!M23:AU55,1,6)</f>
        <v>OK</v>
      </c>
      <c r="U200" s="97" t="str">
        <f>INDEX('[7]PLANILLA  RODRIGO'!N23:AV55,1,6)</f>
        <v>OK</v>
      </c>
      <c r="V200" s="97" t="str">
        <f>INDEX('[7]PLANILLA  RODRIGO'!O23:AW55,1,6)</f>
        <v>OK</v>
      </c>
      <c r="W200" s="97" t="str">
        <f>INDEX('[7]PLANILLA  RODRIGO'!P23:AX55,1,6)</f>
        <v>OK</v>
      </c>
      <c r="X200" s="97" t="str">
        <f>INDEX('[7]PLANILLA  RODRIGO'!Q23:AY55,1,6)</f>
        <v>OK</v>
      </c>
      <c r="Y200" s="97" t="str">
        <f>INDEX('[7]PLANILLA  RODRIGO'!R23:AZ55,1,6)</f>
        <v>OK</v>
      </c>
      <c r="Z200" s="97" t="str">
        <f>INDEX('[7]PLANILLA  RODRIGO'!S23:BA55,1,6)</f>
        <v>OK</v>
      </c>
      <c r="AA200" s="97" t="str">
        <f>INDEX('[7]PLANILLA  RODRIGO'!T23:BB55,1,6)</f>
        <v>OK</v>
      </c>
      <c r="AB200" s="97" t="str">
        <f>INDEX('[7]PLANILLA  RODRIGO'!U23:BC55,1,6)</f>
        <v>OK</v>
      </c>
      <c r="AC200" s="97" t="str">
        <f>INDEX('[7]PLANILLA  RODRIGO'!V23:BD55,1,6)</f>
        <v>OK</v>
      </c>
      <c r="AD200" s="97" t="str">
        <f>INDEX('[7]PLANILLA  RODRIGO'!W23:BE55,1,6)</f>
        <v>OK</v>
      </c>
      <c r="AE200" s="97">
        <f>INDEX('[7]PLANILLA  RODRIGO'!X23:BF55,1,6)</f>
        <v>0</v>
      </c>
      <c r="AF200" s="97">
        <f>INDEX('[7]PLANILLA  RODRIGO'!Y23:BG55,1,6)</f>
        <v>0</v>
      </c>
      <c r="AG200" s="97">
        <f>INDEX('[7]PLANILLA  RODRIGO'!Z23:BH55,1,6)</f>
        <v>0</v>
      </c>
      <c r="AH200" s="97">
        <f>INDEX('[7]PLANILLA  RODRIGO'!AA23:BI55,1,6)</f>
        <v>0</v>
      </c>
      <c r="AI200" s="97">
        <f>INDEX('[7]PLANILLA  RODRIGO'!AB23:BJ55,1,6)</f>
        <v>0</v>
      </c>
      <c r="AJ200" s="97">
        <f>INDEX('[7]PLANILLA  RODRIGO'!AC23:BK55,1,6)</f>
        <v>0</v>
      </c>
      <c r="AK200" s="97">
        <f>INDEX('[7]PLANILLA  RODRIGO'!AD23:BL55,1,6)</f>
        <v>0</v>
      </c>
      <c r="AL200" s="97">
        <f>INDEX('[7]PLANILLA  RODRIGO'!AE23:BM55,1,6)</f>
        <v>0</v>
      </c>
      <c r="AM200" s="97">
        <f>INDEX('[7]PLANILLA  RODRIGO'!AF23:BN55,1,6)</f>
        <v>0</v>
      </c>
      <c r="AO200" s="116">
        <f t="shared" si="23"/>
        <v>0</v>
      </c>
      <c r="AP200" s="116">
        <f t="shared" si="23"/>
        <v>0</v>
      </c>
      <c r="AQ200" s="116">
        <f t="shared" si="23"/>
        <v>0</v>
      </c>
      <c r="AR200" s="116">
        <f t="shared" si="23"/>
        <v>0</v>
      </c>
      <c r="AS200" s="116">
        <f t="shared" si="23"/>
        <v>0</v>
      </c>
      <c r="AT200" s="116">
        <f t="shared" si="23"/>
        <v>0</v>
      </c>
      <c r="AU200" s="116">
        <f t="shared" si="23"/>
        <v>0</v>
      </c>
      <c r="AV200" s="116">
        <f t="shared" si="23"/>
        <v>0</v>
      </c>
      <c r="AW200" s="116">
        <f t="shared" si="23"/>
        <v>0</v>
      </c>
      <c r="AX200" s="116">
        <f t="shared" si="23"/>
        <v>0</v>
      </c>
      <c r="AY200" s="116">
        <f t="shared" si="23"/>
        <v>0</v>
      </c>
      <c r="AZ200" s="116">
        <f t="shared" si="23"/>
        <v>0</v>
      </c>
      <c r="BA200" s="116">
        <f t="shared" si="23"/>
        <v>21</v>
      </c>
      <c r="BB200" s="117">
        <f t="shared" si="17"/>
        <v>21</v>
      </c>
    </row>
    <row r="201" spans="1:54">
      <c r="B201" s="112">
        <v>193</v>
      </c>
      <c r="C201" s="133">
        <f>+'[7]PLANILLA  RODRIGO'!C24</f>
        <v>1019060189</v>
      </c>
      <c r="D201" s="114" t="str">
        <f>IFERROR(VLOOKUP($C201,'[7]PLANILLA  RODRIGO'!$C$9:$F$86,2,0),"NO BD")</f>
        <v xml:space="preserve">GUERRERO CHISABA ADRIANA ROCIO </v>
      </c>
      <c r="E201" s="115" t="s">
        <v>596</v>
      </c>
      <c r="F201" s="114" t="str">
        <f>IFERROR(VLOOKUP($C201,[7]BD!$B$3:$O$213,3,0),"")</f>
        <v>OPERARIA DE ASEO Y CAFETERIA</v>
      </c>
      <c r="G201" s="77" t="s">
        <v>487</v>
      </c>
      <c r="H201" s="114" t="str">
        <f>IFERROR(VLOOKUP($C201,[7]BD!$B$3:$O$203,14,0),"")</f>
        <v>3217036234</v>
      </c>
      <c r="I201" s="114" t="str">
        <f>IFERROR(VLOOKUP($C201,[7]BD!$B$3:$O$203,4,0),"")</f>
        <v>18/10/2025</v>
      </c>
      <c r="J201" s="97" t="str">
        <f>INDEX('[7]PLANILLA  RODRIGO'!C24:AK56,1,6)</f>
        <v>OK</v>
      </c>
      <c r="K201" s="97" t="str">
        <f>INDEX('[7]PLANILLA  RODRIGO'!D24:AL56,1,6)</f>
        <v>OK</v>
      </c>
      <c r="L201" s="97" t="str">
        <f>INDEX('[7]PLANILLA  RODRIGO'!E24:AM56,1,6)</f>
        <v>OK</v>
      </c>
      <c r="M201" s="97" t="str">
        <f>INDEX('[7]PLANILLA  RODRIGO'!F24:AN56,1,6)</f>
        <v>OK</v>
      </c>
      <c r="N201" s="97" t="str">
        <f>INDEX('[7]PLANILLA  RODRIGO'!G24:AO56,1,6)</f>
        <v>OK</v>
      </c>
      <c r="O201" s="97" t="str">
        <f>INDEX('[7]PLANILLA  RODRIGO'!H24:AP56,1,6)</f>
        <v>OK</v>
      </c>
      <c r="P201" s="97" t="str">
        <f>INDEX('[7]PLANILLA  RODRIGO'!I24:AQ56,1,6)</f>
        <v>OK</v>
      </c>
      <c r="Q201" s="97" t="str">
        <f>INDEX('[7]PLANILLA  RODRIGO'!J24:AR56,1,6)</f>
        <v>OK</v>
      </c>
      <c r="R201" s="97" t="str">
        <f>INDEX('[7]PLANILLA  RODRIGO'!K24:AS56,1,6)</f>
        <v>OK</v>
      </c>
      <c r="S201" s="97" t="str">
        <f>INDEX('[7]PLANILLA  RODRIGO'!L24:AT56,1,6)</f>
        <v>OK</v>
      </c>
      <c r="T201" s="97" t="str">
        <f>INDEX('[7]PLANILLA  RODRIGO'!M24:AU56,1,6)</f>
        <v>OK</v>
      </c>
      <c r="U201" s="97" t="str">
        <f>INDEX('[7]PLANILLA  RODRIGO'!N24:AV56,1,6)</f>
        <v>OK</v>
      </c>
      <c r="V201" s="97" t="str">
        <f>INDEX('[7]PLANILLA  RODRIGO'!O24:AW56,1,6)</f>
        <v>OK</v>
      </c>
      <c r="W201" s="97" t="str">
        <f>INDEX('[7]PLANILLA  RODRIGO'!P24:AX56,1,6)</f>
        <v>OK</v>
      </c>
      <c r="X201" s="97" t="str">
        <f>INDEX('[7]PLANILLA  RODRIGO'!Q24:AY56,1,6)</f>
        <v>OK</v>
      </c>
      <c r="Y201" s="97" t="str">
        <f>INDEX('[7]PLANILLA  RODRIGO'!R24:AZ56,1,6)</f>
        <v>OK</v>
      </c>
      <c r="Z201" s="97" t="str">
        <f>INDEX('[7]PLANILLA  RODRIGO'!S24:BA56,1,6)</f>
        <v>OK</v>
      </c>
      <c r="AA201" s="97" t="str">
        <f>INDEX('[7]PLANILLA  RODRIGO'!T24:BB56,1,6)</f>
        <v>OK</v>
      </c>
      <c r="AB201" s="97" t="str">
        <f>INDEX('[7]PLANILLA  RODRIGO'!U24:BC56,1,6)</f>
        <v>OK</v>
      </c>
      <c r="AC201" s="97" t="str">
        <f>INDEX('[7]PLANILLA  RODRIGO'!V24:BD56,1,6)</f>
        <v>OK</v>
      </c>
      <c r="AD201" s="97" t="str">
        <f>INDEX('[7]PLANILLA  RODRIGO'!W24:BE56,1,6)</f>
        <v>OK</v>
      </c>
      <c r="AE201" s="97">
        <f>INDEX('[7]PLANILLA  RODRIGO'!X24:BF56,1,6)</f>
        <v>0</v>
      </c>
      <c r="AF201" s="97">
        <f>INDEX('[7]PLANILLA  RODRIGO'!Y24:BG56,1,6)</f>
        <v>0</v>
      </c>
      <c r="AG201" s="97">
        <f>INDEX('[7]PLANILLA  RODRIGO'!Z24:BH56,1,6)</f>
        <v>0</v>
      </c>
      <c r="AH201" s="97">
        <f>INDEX('[7]PLANILLA  RODRIGO'!AA24:BI56,1,6)</f>
        <v>0</v>
      </c>
      <c r="AI201" s="97">
        <f>INDEX('[7]PLANILLA  RODRIGO'!AB24:BJ56,1,6)</f>
        <v>0</v>
      </c>
      <c r="AJ201" s="97">
        <f>INDEX('[7]PLANILLA  RODRIGO'!AC24:BK56,1,6)</f>
        <v>0</v>
      </c>
      <c r="AK201" s="97">
        <f>INDEX('[7]PLANILLA  RODRIGO'!AD24:BL56,1,6)</f>
        <v>0</v>
      </c>
      <c r="AL201" s="97">
        <f>INDEX('[7]PLANILLA  RODRIGO'!AE24:BM56,1,6)</f>
        <v>0</v>
      </c>
      <c r="AM201" s="97">
        <f>INDEX('[7]PLANILLA  RODRIGO'!AF24:BN56,1,6)</f>
        <v>0</v>
      </c>
      <c r="AO201" s="116">
        <f t="shared" si="23"/>
        <v>0</v>
      </c>
      <c r="AP201" s="116">
        <f t="shared" si="23"/>
        <v>0</v>
      </c>
      <c r="AQ201" s="116">
        <f t="shared" si="23"/>
        <v>0</v>
      </c>
      <c r="AR201" s="116">
        <f t="shared" si="23"/>
        <v>0</v>
      </c>
      <c r="AS201" s="116">
        <f t="shared" si="23"/>
        <v>0</v>
      </c>
      <c r="AT201" s="116">
        <f t="shared" si="23"/>
        <v>0</v>
      </c>
      <c r="AU201" s="116">
        <f t="shared" si="23"/>
        <v>0</v>
      </c>
      <c r="AV201" s="116">
        <f t="shared" si="23"/>
        <v>0</v>
      </c>
      <c r="AW201" s="116">
        <f t="shared" si="23"/>
        <v>0</v>
      </c>
      <c r="AX201" s="116">
        <f t="shared" si="23"/>
        <v>0</v>
      </c>
      <c r="AY201" s="116">
        <f t="shared" si="23"/>
        <v>0</v>
      </c>
      <c r="AZ201" s="116">
        <f t="shared" si="23"/>
        <v>0</v>
      </c>
      <c r="BA201" s="116">
        <f t="shared" si="23"/>
        <v>21</v>
      </c>
      <c r="BB201" s="117">
        <f t="shared" ref="BB201:BB216" si="24">+BA201+AQ201</f>
        <v>21</v>
      </c>
    </row>
    <row r="202" spans="1:54">
      <c r="B202" s="112">
        <v>194</v>
      </c>
      <c r="C202" s="133">
        <f>+'[7]PLANILLA  RODRIGO'!C25</f>
        <v>1233911895</v>
      </c>
      <c r="D202" s="114" t="str">
        <f>IFERROR(VLOOKUP($C202,'[7]PLANILLA  RODRIGO'!$C$9:$F$86,2,0),"NO BD")</f>
        <v xml:space="preserve">BAQUERO ORTIZ LUISA FERNANDA </v>
      </c>
      <c r="E202" s="115" t="s">
        <v>596</v>
      </c>
      <c r="F202" s="114" t="str">
        <f>IFERROR(VLOOKUP($C202,[7]BD!$B$3:$O$213,3,0),"")</f>
        <v>OPERARIA DE ASEO Y CAFETERIA</v>
      </c>
      <c r="G202" s="77" t="s">
        <v>484</v>
      </c>
      <c r="H202" s="114" t="str">
        <f>IFERROR(VLOOKUP($C202,[7]BD!$B$3:$O$203,14,0),"")</f>
        <v>3005075170</v>
      </c>
      <c r="I202" s="114" t="str">
        <f>IFERROR(VLOOKUP($C202,[7]BD!$B$3:$O$203,4,0),"")</f>
        <v>02/01/2026</v>
      </c>
      <c r="J202" s="97" t="str">
        <f>INDEX('[7]PLANILLA  RODRIGO'!C25:AK57,1,6)</f>
        <v>OK</v>
      </c>
      <c r="K202" s="97" t="str">
        <f>INDEX('[7]PLANILLA  RODRIGO'!D25:AL57,1,6)</f>
        <v>OK</v>
      </c>
      <c r="L202" s="97" t="str">
        <f>INDEX('[7]PLANILLA  RODRIGO'!E25:AM57,1,6)</f>
        <v>OK</v>
      </c>
      <c r="M202" s="97" t="str">
        <f>INDEX('[7]PLANILLA  RODRIGO'!F25:AN57,1,6)</f>
        <v>OK</v>
      </c>
      <c r="N202" s="97" t="str">
        <f>INDEX('[7]PLANILLA  RODRIGO'!G25:AO57,1,6)</f>
        <v>OK</v>
      </c>
      <c r="O202" s="97" t="str">
        <f>INDEX('[7]PLANILLA  RODRIGO'!H25:AP57,1,6)</f>
        <v>OK</v>
      </c>
      <c r="P202" s="97" t="str">
        <f>INDEX('[7]PLANILLA  RODRIGO'!I25:AQ57,1,6)</f>
        <v>OK</v>
      </c>
      <c r="Q202" s="97" t="str">
        <f>INDEX('[7]PLANILLA  RODRIGO'!J25:AR57,1,6)</f>
        <v>OK</v>
      </c>
      <c r="R202" s="97" t="str">
        <f>INDEX('[7]PLANILLA  RODRIGO'!K25:AS57,1,6)</f>
        <v>OK</v>
      </c>
      <c r="S202" s="97" t="str">
        <f>INDEX('[7]PLANILLA  RODRIGO'!L25:AT57,1,6)</f>
        <v>OK</v>
      </c>
      <c r="T202" s="97" t="str">
        <f>INDEX('[7]PLANILLA  RODRIGO'!M25:AU57,1,6)</f>
        <v>OK</v>
      </c>
      <c r="U202" s="97" t="str">
        <f>INDEX('[7]PLANILLA  RODRIGO'!N25:AV57,1,6)</f>
        <v>OK</v>
      </c>
      <c r="V202" s="97" t="str">
        <f>INDEX('[7]PLANILLA  RODRIGO'!O25:AW57,1,6)</f>
        <v>OK</v>
      </c>
      <c r="W202" s="97" t="str">
        <f>INDEX('[7]PLANILLA  RODRIGO'!P25:AX57,1,6)</f>
        <v>OK</v>
      </c>
      <c r="X202" s="97" t="str">
        <f>INDEX('[7]PLANILLA  RODRIGO'!Q25:AY57,1,6)</f>
        <v>OK</v>
      </c>
      <c r="Y202" s="97" t="str">
        <f>INDEX('[7]PLANILLA  RODRIGO'!R25:AZ57,1,6)</f>
        <v>INC</v>
      </c>
      <c r="Z202" s="97" t="str">
        <f>INDEX('[7]PLANILLA  RODRIGO'!S25:BA57,1,6)</f>
        <v>OK</v>
      </c>
      <c r="AA202" s="97" t="str">
        <f>INDEX('[7]PLANILLA  RODRIGO'!T25:BB57,1,6)</f>
        <v>OK</v>
      </c>
      <c r="AB202" s="97" t="str">
        <f>INDEX('[7]PLANILLA  RODRIGO'!U25:BC57,1,6)</f>
        <v>OK</v>
      </c>
      <c r="AC202" s="97" t="str">
        <f>INDEX('[7]PLANILLA  RODRIGO'!V25:BD57,1,6)</f>
        <v>OK</v>
      </c>
      <c r="AD202" s="97" t="str">
        <f>INDEX('[7]PLANILLA  RODRIGO'!W25:BE57,1,6)</f>
        <v>OK</v>
      </c>
      <c r="AE202" s="97">
        <f>INDEX('[7]PLANILLA  RODRIGO'!X25:BF57,1,6)</f>
        <v>0</v>
      </c>
      <c r="AF202" s="97">
        <f>INDEX('[7]PLANILLA  RODRIGO'!Y25:BG57,1,6)</f>
        <v>0</v>
      </c>
      <c r="AG202" s="97">
        <f>INDEX('[7]PLANILLA  RODRIGO'!Z25:BH57,1,6)</f>
        <v>0</v>
      </c>
      <c r="AH202" s="97">
        <f>INDEX('[7]PLANILLA  RODRIGO'!AA25:BI57,1,6)</f>
        <v>0</v>
      </c>
      <c r="AI202" s="97">
        <f>INDEX('[7]PLANILLA  RODRIGO'!AB25:BJ57,1,6)</f>
        <v>0</v>
      </c>
      <c r="AJ202" s="97">
        <f>INDEX('[7]PLANILLA  RODRIGO'!AC25:BK57,1,6)</f>
        <v>0</v>
      </c>
      <c r="AK202" s="97">
        <f>INDEX('[7]PLANILLA  RODRIGO'!AD25:BL57,1,6)</f>
        <v>0</v>
      </c>
      <c r="AL202" s="97">
        <f>INDEX('[7]PLANILLA  RODRIGO'!AE25:BM57,1,6)</f>
        <v>0</v>
      </c>
      <c r="AM202" s="97">
        <f>INDEX('[7]PLANILLA  RODRIGO'!AF25:BN57,1,6)</f>
        <v>0</v>
      </c>
      <c r="AO202" s="116">
        <f t="shared" si="23"/>
        <v>0</v>
      </c>
      <c r="AP202" s="116">
        <f t="shared" si="23"/>
        <v>0</v>
      </c>
      <c r="AQ202" s="116">
        <f t="shared" si="23"/>
        <v>0</v>
      </c>
      <c r="AR202" s="116">
        <f t="shared" si="23"/>
        <v>1</v>
      </c>
      <c r="AS202" s="116">
        <f t="shared" si="23"/>
        <v>0</v>
      </c>
      <c r="AT202" s="116">
        <f t="shared" si="23"/>
        <v>0</v>
      </c>
      <c r="AU202" s="116">
        <f t="shared" si="23"/>
        <v>0</v>
      </c>
      <c r="AV202" s="116">
        <f t="shared" si="23"/>
        <v>0</v>
      </c>
      <c r="AW202" s="116">
        <f t="shared" si="23"/>
        <v>0</v>
      </c>
      <c r="AX202" s="116">
        <f t="shared" si="23"/>
        <v>0</v>
      </c>
      <c r="AY202" s="116">
        <f t="shared" si="23"/>
        <v>0</v>
      </c>
      <c r="AZ202" s="116">
        <f t="shared" si="23"/>
        <v>0</v>
      </c>
      <c r="BA202" s="116">
        <f t="shared" si="23"/>
        <v>20</v>
      </c>
      <c r="BB202" s="117">
        <f t="shared" si="24"/>
        <v>20</v>
      </c>
    </row>
    <row r="203" spans="1:54">
      <c r="A203" s="119" t="s">
        <v>583</v>
      </c>
      <c r="B203" s="112">
        <v>195</v>
      </c>
      <c r="C203" s="133">
        <f>+'[7]PLANILLA  RODRIGO'!C26</f>
        <v>1010219099</v>
      </c>
      <c r="D203" s="114" t="str">
        <f>IFERROR(VLOOKUP($C203,'[7]PLANILLA  RODRIGO'!$C$9:$F$86,2,0),"NO BD")</f>
        <v xml:space="preserve">QUINTERO  YENNY KATHERINE </v>
      </c>
      <c r="E203" s="115" t="s">
        <v>596</v>
      </c>
      <c r="F203" s="114" t="str">
        <f>IFERROR(VLOOKUP($C203,[7]BD!$B$3:$O$213,3,0),"")</f>
        <v>OPERARIA DE ASEO Y CAFETERIA</v>
      </c>
      <c r="G203" s="77" t="s">
        <v>492</v>
      </c>
      <c r="H203" s="114" t="str">
        <f>IFERROR(VLOOKUP($C203,[7]BD!$B$3:$O$203,14,0),"")</f>
        <v>3138720037</v>
      </c>
      <c r="I203" s="114" t="str">
        <f>IFERROR(VLOOKUP($C203,[7]BD!$B$3:$O$203,4,0),"")</f>
        <v>18/10/2025</v>
      </c>
      <c r="J203" s="97" t="str">
        <f>INDEX('[7]PLANILLA  RODRIGO'!C26:AK58,1,6)</f>
        <v>OK</v>
      </c>
      <c r="K203" s="97" t="str">
        <f>INDEX('[7]PLANILLA  RODRIGO'!D26:AL58,1,6)</f>
        <v>OK</v>
      </c>
      <c r="L203" s="97" t="str">
        <f>INDEX('[7]PLANILLA  RODRIGO'!E26:AM58,1,6)</f>
        <v>OK</v>
      </c>
      <c r="M203" s="97" t="str">
        <f>INDEX('[7]PLANILLA  RODRIGO'!F26:AN58,1,6)</f>
        <v>OK</v>
      </c>
      <c r="N203" s="97" t="str">
        <f>INDEX('[7]PLANILLA  RODRIGO'!G26:AO58,1,6)</f>
        <v>OK</v>
      </c>
      <c r="O203" s="97" t="str">
        <f>INDEX('[7]PLANILLA  RODRIGO'!H26:AP58,1,6)</f>
        <v>OK</v>
      </c>
      <c r="P203" s="97" t="str">
        <f>INDEX('[7]PLANILLA  RODRIGO'!I26:AQ58,1,6)</f>
        <v>OK</v>
      </c>
      <c r="Q203" s="97" t="str">
        <f>INDEX('[7]PLANILLA  RODRIGO'!J26:AR58,1,6)</f>
        <v>OK</v>
      </c>
      <c r="R203" s="97" t="str">
        <f>INDEX('[7]PLANILLA  RODRIGO'!K26:AS58,1,6)</f>
        <v>OK</v>
      </c>
      <c r="S203" s="97" t="str">
        <f>INDEX('[7]PLANILLA  RODRIGO'!L26:AT58,1,6)</f>
        <v>OK</v>
      </c>
      <c r="T203" s="97" t="str">
        <f>INDEX('[7]PLANILLA  RODRIGO'!M26:AU58,1,6)</f>
        <v>OK</v>
      </c>
      <c r="U203" s="97" t="str">
        <f>INDEX('[7]PLANILLA  RODRIGO'!N26:AV58,1,6)</f>
        <v>OK</v>
      </c>
      <c r="V203" s="97" t="str">
        <f>INDEX('[7]PLANILLA  RODRIGO'!O26:AW58,1,6)</f>
        <v>OK</v>
      </c>
      <c r="W203" s="97" t="str">
        <f>INDEX('[7]PLANILLA  RODRIGO'!P26:AX58,1,6)</f>
        <v>OK</v>
      </c>
      <c r="X203" s="97" t="str">
        <f>INDEX('[7]PLANILLA  RODRIGO'!Q26:AY58,1,6)</f>
        <v>OK</v>
      </c>
      <c r="Y203" s="97" t="str">
        <f>INDEX('[7]PLANILLA  RODRIGO'!R26:AZ58,1,6)</f>
        <v>OK</v>
      </c>
      <c r="Z203" s="97" t="str">
        <f>INDEX('[7]PLANILLA  RODRIGO'!S26:BA58,1,6)</f>
        <v>OK</v>
      </c>
      <c r="AA203" s="97" t="str">
        <f>INDEX('[7]PLANILLA  RODRIGO'!T26:BB58,1,6)</f>
        <v>OK</v>
      </c>
      <c r="AB203" s="97" t="str">
        <f>INDEX('[7]PLANILLA  RODRIGO'!U26:BC58,1,6)</f>
        <v>OK</v>
      </c>
      <c r="AC203" s="97" t="str">
        <f>INDEX('[7]PLANILLA  RODRIGO'!V26:BD58,1,6)</f>
        <v>OK</v>
      </c>
      <c r="AD203" s="97" t="str">
        <f>INDEX('[7]PLANILLA  RODRIGO'!W26:BE58,1,6)</f>
        <v>OK</v>
      </c>
      <c r="AE203" s="97">
        <f>INDEX('[7]PLANILLA  RODRIGO'!X26:BF58,1,6)</f>
        <v>0</v>
      </c>
      <c r="AF203" s="97">
        <f>INDEX('[7]PLANILLA  RODRIGO'!Y26:BG58,1,6)</f>
        <v>0</v>
      </c>
      <c r="AG203" s="97">
        <f>INDEX('[7]PLANILLA  RODRIGO'!Z26:BH58,1,6)</f>
        <v>0</v>
      </c>
      <c r="AH203" s="97">
        <f>INDEX('[7]PLANILLA  RODRIGO'!AA26:BI58,1,6)</f>
        <v>0</v>
      </c>
      <c r="AI203" s="97">
        <f>INDEX('[7]PLANILLA  RODRIGO'!AB26:BJ58,1,6)</f>
        <v>0</v>
      </c>
      <c r="AJ203" s="97">
        <f>INDEX('[7]PLANILLA  RODRIGO'!AC26:BK58,1,6)</f>
        <v>0</v>
      </c>
      <c r="AK203" s="97">
        <f>INDEX('[7]PLANILLA  RODRIGO'!AD26:BL58,1,6)</f>
        <v>0</v>
      </c>
      <c r="AL203" s="97">
        <f>INDEX('[7]PLANILLA  RODRIGO'!AE26:BM58,1,6)</f>
        <v>0</v>
      </c>
      <c r="AM203" s="97">
        <f>INDEX('[7]PLANILLA  RODRIGO'!AF26:BN58,1,6)</f>
        <v>0</v>
      </c>
      <c r="AO203" s="116">
        <f t="shared" si="23"/>
        <v>0</v>
      </c>
      <c r="AP203" s="116">
        <f t="shared" si="23"/>
        <v>0</v>
      </c>
      <c r="AQ203" s="116">
        <f t="shared" si="23"/>
        <v>0</v>
      </c>
      <c r="AR203" s="116">
        <f t="shared" si="23"/>
        <v>0</v>
      </c>
      <c r="AS203" s="116">
        <f t="shared" si="23"/>
        <v>0</v>
      </c>
      <c r="AT203" s="116">
        <f t="shared" si="23"/>
        <v>0</v>
      </c>
      <c r="AU203" s="116">
        <f t="shared" si="23"/>
        <v>0</v>
      </c>
      <c r="AV203" s="116">
        <f t="shared" si="23"/>
        <v>0</v>
      </c>
      <c r="AW203" s="116">
        <f t="shared" ref="AW203:BA203" si="25">COUNTIF($J203:$AM203,AW$7)</f>
        <v>0</v>
      </c>
      <c r="AX203" s="116">
        <f t="shared" si="25"/>
        <v>0</v>
      </c>
      <c r="AY203" s="116">
        <f t="shared" si="25"/>
        <v>0</v>
      </c>
      <c r="AZ203" s="116">
        <f t="shared" si="25"/>
        <v>0</v>
      </c>
      <c r="BA203" s="116">
        <f t="shared" si="25"/>
        <v>21</v>
      </c>
      <c r="BB203" s="117">
        <f t="shared" si="24"/>
        <v>21</v>
      </c>
    </row>
    <row r="204" spans="1:54">
      <c r="B204" s="112">
        <v>196</v>
      </c>
      <c r="C204" s="133">
        <f>+'[7]PLANILLA  RODRIGO'!C27</f>
        <v>1002296084</v>
      </c>
      <c r="D204" s="114" t="str">
        <f>IFERROR(VLOOKUP($C204,'[7]PLANILLA  RODRIGO'!$C$9:$F$86,2,0),"NO BD")</f>
        <v xml:space="preserve">TORRES AREVALO SEBASTIAN  </v>
      </c>
      <c r="E204" s="115" t="s">
        <v>596</v>
      </c>
      <c r="F204" s="114" t="str">
        <f>IFERROR(VLOOKUP($C204,[7]BD!$B$3:$O$213,3,0),"")</f>
        <v>OPERARIO DE MANTENIMIENTO</v>
      </c>
      <c r="G204" s="77" t="s">
        <v>484</v>
      </c>
      <c r="H204" s="114" t="str">
        <f>IFERROR(VLOOKUP($C204,[7]BD!$B$3:$O$203,14,0),"")</f>
        <v>3148873264</v>
      </c>
      <c r="I204" s="114" t="str">
        <f>IFERROR(VLOOKUP($C204,[7]BD!$B$3:$O$203,4,0),"")</f>
        <v>15/12/2025</v>
      </c>
      <c r="J204" s="97" t="str">
        <f>INDEX('[7]PLANILLA  RODRIGO'!C27:AK59,1,6)</f>
        <v>OK</v>
      </c>
      <c r="K204" s="97" t="str">
        <f>INDEX('[7]PLANILLA  RODRIGO'!D27:AL59,1,6)</f>
        <v>OK</v>
      </c>
      <c r="L204" s="97" t="str">
        <f>INDEX('[7]PLANILLA  RODRIGO'!E27:AM59,1,6)</f>
        <v>OK</v>
      </c>
      <c r="M204" s="97" t="str">
        <f>INDEX('[7]PLANILLA  RODRIGO'!F27:AN59,1,6)</f>
        <v>OK</v>
      </c>
      <c r="N204" s="97" t="str">
        <f>INDEX('[7]PLANILLA  RODRIGO'!G27:AO59,1,6)</f>
        <v>OK</v>
      </c>
      <c r="O204" s="97" t="str">
        <f>INDEX('[7]PLANILLA  RODRIGO'!H27:AP59,1,6)</f>
        <v>OK</v>
      </c>
      <c r="P204" s="97" t="str">
        <f>INDEX('[7]PLANILLA  RODRIGO'!I27:AQ59,1,6)</f>
        <v>OK</v>
      </c>
      <c r="Q204" s="97" t="str">
        <f>INDEX('[7]PLANILLA  RODRIGO'!J27:AR59,1,6)</f>
        <v>OK</v>
      </c>
      <c r="R204" s="97" t="str">
        <f>INDEX('[7]PLANILLA  RODRIGO'!K27:AS59,1,6)</f>
        <v>OK</v>
      </c>
      <c r="S204" s="97" t="str">
        <f>INDEX('[7]PLANILLA  RODRIGO'!L27:AT59,1,6)</f>
        <v>OK</v>
      </c>
      <c r="T204" s="97" t="str">
        <f>INDEX('[7]PLANILLA  RODRIGO'!M27:AU59,1,6)</f>
        <v>OK</v>
      </c>
      <c r="U204" s="97" t="str">
        <f>INDEX('[7]PLANILLA  RODRIGO'!N27:AV59,1,6)</f>
        <v>OK</v>
      </c>
      <c r="V204" s="97" t="str">
        <f>INDEX('[7]PLANILLA  RODRIGO'!O27:AW59,1,6)</f>
        <v>OK</v>
      </c>
      <c r="W204" s="97" t="str">
        <f>INDEX('[7]PLANILLA  RODRIGO'!P27:AX59,1,6)</f>
        <v>OK</v>
      </c>
      <c r="X204" s="97" t="str">
        <f>INDEX('[7]PLANILLA  RODRIGO'!Q27:AY59,1,6)</f>
        <v>OK</v>
      </c>
      <c r="Y204" s="97" t="str">
        <f>INDEX('[7]PLANILLA  RODRIGO'!R27:AZ59,1,6)</f>
        <v>OK</v>
      </c>
      <c r="Z204" s="97" t="str">
        <f>INDEX('[7]PLANILLA  RODRIGO'!S27:BA59,1,6)</f>
        <v>OK</v>
      </c>
      <c r="AA204" s="97" t="str">
        <f>INDEX('[7]PLANILLA  RODRIGO'!T27:BB59,1,6)</f>
        <v>OK</v>
      </c>
      <c r="AB204" s="97" t="str">
        <f>INDEX('[7]PLANILLA  RODRIGO'!U27:BC59,1,6)</f>
        <v>OK</v>
      </c>
      <c r="AC204" s="97" t="str">
        <f>INDEX('[7]PLANILLA  RODRIGO'!V27:BD59,1,6)</f>
        <v>OK</v>
      </c>
      <c r="AD204" s="97" t="str">
        <f>INDEX('[7]PLANILLA  RODRIGO'!W27:BE59,1,6)</f>
        <v>OK</v>
      </c>
      <c r="AE204" s="97">
        <f>INDEX('[7]PLANILLA  RODRIGO'!X27:BF59,1,6)</f>
        <v>0</v>
      </c>
      <c r="AF204" s="97">
        <f>INDEX('[7]PLANILLA  RODRIGO'!Y27:BG59,1,6)</f>
        <v>0</v>
      </c>
      <c r="AG204" s="97">
        <f>INDEX('[7]PLANILLA  RODRIGO'!Z27:BH59,1,6)</f>
        <v>0</v>
      </c>
      <c r="AH204" s="97">
        <f>INDEX('[7]PLANILLA  RODRIGO'!AA27:BI59,1,6)</f>
        <v>0</v>
      </c>
      <c r="AI204" s="97">
        <f>INDEX('[7]PLANILLA  RODRIGO'!AB27:BJ59,1,6)</f>
        <v>0</v>
      </c>
      <c r="AJ204" s="97">
        <f>INDEX('[7]PLANILLA  RODRIGO'!AC27:BK59,1,6)</f>
        <v>0</v>
      </c>
      <c r="AK204" s="97">
        <f>INDEX('[7]PLANILLA  RODRIGO'!AD27:BL59,1,6)</f>
        <v>0</v>
      </c>
      <c r="AL204" s="97">
        <f>INDEX('[7]PLANILLA  RODRIGO'!AE27:BM59,1,6)</f>
        <v>0</v>
      </c>
      <c r="AM204" s="97">
        <f>INDEX('[7]PLANILLA  RODRIGO'!AF27:BN59,1,6)</f>
        <v>0</v>
      </c>
      <c r="AO204" s="116">
        <f t="shared" ref="AO204:BA216" si="26">COUNTIF($J204:$AM204,AO$7)</f>
        <v>0</v>
      </c>
      <c r="AP204" s="116">
        <f t="shared" si="26"/>
        <v>0</v>
      </c>
      <c r="AQ204" s="116">
        <f t="shared" si="26"/>
        <v>0</v>
      </c>
      <c r="AR204" s="116">
        <f t="shared" si="26"/>
        <v>0</v>
      </c>
      <c r="AS204" s="116">
        <f t="shared" si="26"/>
        <v>0</v>
      </c>
      <c r="AT204" s="116">
        <f t="shared" si="26"/>
        <v>0</v>
      </c>
      <c r="AU204" s="116">
        <f t="shared" si="26"/>
        <v>0</v>
      </c>
      <c r="AV204" s="116">
        <f t="shared" si="26"/>
        <v>0</v>
      </c>
      <c r="AW204" s="116">
        <f t="shared" si="26"/>
        <v>0</v>
      </c>
      <c r="AX204" s="116">
        <f t="shared" si="26"/>
        <v>0</v>
      </c>
      <c r="AY204" s="116">
        <f t="shared" si="26"/>
        <v>0</v>
      </c>
      <c r="AZ204" s="116">
        <f t="shared" si="26"/>
        <v>0</v>
      </c>
      <c r="BA204" s="116">
        <f t="shared" si="26"/>
        <v>21</v>
      </c>
      <c r="BB204" s="117">
        <f t="shared" si="24"/>
        <v>21</v>
      </c>
    </row>
    <row r="205" spans="1:54">
      <c r="B205" s="112">
        <v>197</v>
      </c>
      <c r="C205" s="133">
        <f>+'[7]PLANILLA  RODRIGO'!C28</f>
        <v>1052077081</v>
      </c>
      <c r="D205" s="114" t="str">
        <f>IFERROR(VLOOKUP($C205,'[7]PLANILLA  RODRIGO'!$C$9:$F$86,2,0),"NO BD")</f>
        <v xml:space="preserve">TORRES MONTES DIANA PAOLA </v>
      </c>
      <c r="E205" s="115" t="s">
        <v>596</v>
      </c>
      <c r="F205" s="114" t="str">
        <f>IFERROR(VLOOKUP($C205,[7]BD!$B$3:$O$213,3,0),"")</f>
        <v>OPERARIA DE ASEO Y CAFETERIA</v>
      </c>
      <c r="G205" s="77" t="s">
        <v>484</v>
      </c>
      <c r="H205" s="114" t="str">
        <f>IFERROR(VLOOKUP($C205,[7]BD!$B$3:$O$203,14,0),"")</f>
        <v>3506655015</v>
      </c>
      <c r="I205" s="114" t="str">
        <f>IFERROR(VLOOKUP($C205,[7]BD!$B$3:$O$203,4,0),"")</f>
        <v>25/02/2026</v>
      </c>
      <c r="J205" s="97" t="str">
        <f>INDEX('[7]PLANILLA  RODRIGO'!C28:AK60,1,6)</f>
        <v>OK</v>
      </c>
      <c r="K205" s="97" t="str">
        <f>INDEX('[7]PLANILLA  RODRIGO'!D28:AL60,1,6)</f>
        <v>OK</v>
      </c>
      <c r="L205" s="97" t="str">
        <f>INDEX('[7]PLANILLA  RODRIGO'!E28:AM60,1,6)</f>
        <v>OK</v>
      </c>
      <c r="M205" s="97" t="str">
        <f>INDEX('[7]PLANILLA  RODRIGO'!F28:AN60,1,6)</f>
        <v>OK</v>
      </c>
      <c r="N205" s="97" t="str">
        <f>INDEX('[7]PLANILLA  RODRIGO'!G28:AO60,1,6)</f>
        <v>OK</v>
      </c>
      <c r="O205" s="97" t="str">
        <f>INDEX('[7]PLANILLA  RODRIGO'!H28:AP60,1,6)</f>
        <v>OK</v>
      </c>
      <c r="P205" s="97" t="str">
        <f>INDEX('[7]PLANILLA  RODRIGO'!I28:AQ60,1,6)</f>
        <v>OK</v>
      </c>
      <c r="Q205" s="97" t="str">
        <f>INDEX('[7]PLANILLA  RODRIGO'!J28:AR60,1,6)</f>
        <v>OK</v>
      </c>
      <c r="R205" s="97" t="str">
        <f>INDEX('[7]PLANILLA  RODRIGO'!K28:AS60,1,6)</f>
        <v>OK</v>
      </c>
      <c r="S205" s="97" t="str">
        <f>INDEX('[7]PLANILLA  RODRIGO'!L28:AT60,1,6)</f>
        <v>OK</v>
      </c>
      <c r="T205" s="97" t="str">
        <f>INDEX('[7]PLANILLA  RODRIGO'!M28:AU60,1,6)</f>
        <v>OK</v>
      </c>
      <c r="U205" s="97" t="str">
        <f>INDEX('[7]PLANILLA  RODRIGO'!N28:AV60,1,6)</f>
        <v>OK</v>
      </c>
      <c r="V205" s="97" t="str">
        <f>INDEX('[7]PLANILLA  RODRIGO'!O28:AW60,1,6)</f>
        <v>OK</v>
      </c>
      <c r="W205" s="97" t="str">
        <f>INDEX('[7]PLANILLA  RODRIGO'!P28:AX60,1,6)</f>
        <v>OK</v>
      </c>
      <c r="X205" s="97" t="str">
        <f>INDEX('[7]PLANILLA  RODRIGO'!Q28:AY60,1,6)</f>
        <v>OK</v>
      </c>
      <c r="Y205" s="97" t="str">
        <f>INDEX('[7]PLANILLA  RODRIGO'!R28:AZ60,1,6)</f>
        <v>OK</v>
      </c>
      <c r="Z205" s="97" t="str">
        <f>INDEX('[7]PLANILLA  RODRIGO'!S28:BA60,1,6)</f>
        <v>OK</v>
      </c>
      <c r="AA205" s="97" t="str">
        <f>INDEX('[7]PLANILLA  RODRIGO'!T28:BB60,1,6)</f>
        <v>OK</v>
      </c>
      <c r="AB205" s="97" t="str">
        <f>INDEX('[7]PLANILLA  RODRIGO'!U28:BC60,1,6)</f>
        <v>OK</v>
      </c>
      <c r="AC205" s="97" t="str">
        <f>INDEX('[7]PLANILLA  RODRIGO'!V28:BD60,1,6)</f>
        <v>OK</v>
      </c>
      <c r="AD205" s="97" t="str">
        <f>INDEX('[7]PLANILLA  RODRIGO'!W28:BE60,1,6)</f>
        <v>OK</v>
      </c>
      <c r="AE205" s="97">
        <f>INDEX('[7]PLANILLA  RODRIGO'!X28:BF60,1,6)</f>
        <v>0</v>
      </c>
      <c r="AF205" s="97">
        <f>INDEX('[7]PLANILLA  RODRIGO'!Y28:BG60,1,6)</f>
        <v>0</v>
      </c>
      <c r="AG205" s="97">
        <f>INDEX('[7]PLANILLA  RODRIGO'!Z28:BH60,1,6)</f>
        <v>0</v>
      </c>
      <c r="AH205" s="97">
        <f>INDEX('[7]PLANILLA  RODRIGO'!AA28:BI60,1,6)</f>
        <v>0</v>
      </c>
      <c r="AI205" s="97">
        <f>INDEX('[7]PLANILLA  RODRIGO'!AB28:BJ60,1,6)</f>
        <v>0</v>
      </c>
      <c r="AJ205" s="97">
        <f>INDEX('[7]PLANILLA  RODRIGO'!AC28:BK60,1,6)</f>
        <v>0</v>
      </c>
      <c r="AK205" s="97">
        <f>INDEX('[7]PLANILLA  RODRIGO'!AD28:BL60,1,6)</f>
        <v>0</v>
      </c>
      <c r="AL205" s="97">
        <f>INDEX('[7]PLANILLA  RODRIGO'!AE28:BM60,1,6)</f>
        <v>0</v>
      </c>
      <c r="AM205" s="97">
        <f>INDEX('[7]PLANILLA  RODRIGO'!AF28:BN60,1,6)</f>
        <v>0</v>
      </c>
      <c r="AO205" s="116">
        <f t="shared" si="26"/>
        <v>0</v>
      </c>
      <c r="AP205" s="116">
        <f t="shared" si="26"/>
        <v>0</v>
      </c>
      <c r="AQ205" s="116">
        <f t="shared" si="26"/>
        <v>0</v>
      </c>
      <c r="AR205" s="116">
        <f t="shared" si="26"/>
        <v>0</v>
      </c>
      <c r="AS205" s="116">
        <f t="shared" si="26"/>
        <v>0</v>
      </c>
      <c r="AT205" s="116">
        <f t="shared" si="26"/>
        <v>0</v>
      </c>
      <c r="AU205" s="116">
        <f t="shared" si="26"/>
        <v>0</v>
      </c>
      <c r="AV205" s="116">
        <f t="shared" si="26"/>
        <v>0</v>
      </c>
      <c r="AW205" s="116">
        <f t="shared" si="26"/>
        <v>0</v>
      </c>
      <c r="AX205" s="116">
        <f t="shared" si="26"/>
        <v>0</v>
      </c>
      <c r="AY205" s="116">
        <f t="shared" si="26"/>
        <v>0</v>
      </c>
      <c r="AZ205" s="116">
        <f t="shared" si="26"/>
        <v>0</v>
      </c>
      <c r="BA205" s="116">
        <f t="shared" si="26"/>
        <v>21</v>
      </c>
      <c r="BB205" s="117">
        <f t="shared" si="24"/>
        <v>21</v>
      </c>
    </row>
    <row r="206" spans="1:54">
      <c r="B206" s="112">
        <v>198</v>
      </c>
      <c r="C206" s="133">
        <f>+'[7]PLANILLA  RODRIGO'!C29</f>
        <v>5070700</v>
      </c>
      <c r="D206" s="114" t="str">
        <f>IFERROR(VLOOKUP($C206,'[7]PLANILLA  RODRIGO'!$C$9:$F$86,2,0),"NO BD")</f>
        <v xml:space="preserve">MALAVE HERNANDEZ DIANA VALENTINA </v>
      </c>
      <c r="E206" s="115" t="s">
        <v>596</v>
      </c>
      <c r="F206" s="114" t="str">
        <f>IFERROR(VLOOKUP($C206,[7]BD!$B$3:$O$213,3,0),"")</f>
        <v>SUPERNUMERARIA ASEO Y CAFETERIA</v>
      </c>
      <c r="G206" s="77" t="s">
        <v>488</v>
      </c>
      <c r="H206" s="114" t="str">
        <f>IFERROR(VLOOKUP($C206,[7]BD!$B$3:$O$203,14,0),"")</f>
        <v>3008787026</v>
      </c>
      <c r="I206" s="114" t="str">
        <f>IFERROR(VLOOKUP($C206,[7]BD!$B$3:$O$203,4,0),"")</f>
        <v>12/12/2025</v>
      </c>
      <c r="J206" s="97" t="str">
        <f>INDEX('[7]PLANILLA  RODRIGO'!C29:AK61,1,6)</f>
        <v>OK</v>
      </c>
      <c r="K206" s="97" t="str">
        <f>INDEX('[7]PLANILLA  RODRIGO'!D29:AL61,1,6)</f>
        <v>OK</v>
      </c>
      <c r="L206" s="97" t="str">
        <f>INDEX('[7]PLANILLA  RODRIGO'!E29:AM61,1,6)</f>
        <v>OK</v>
      </c>
      <c r="M206" s="97" t="str">
        <f>INDEX('[7]PLANILLA  RODRIGO'!F29:AN61,1,6)</f>
        <v>OK</v>
      </c>
      <c r="N206" s="97" t="str">
        <f>INDEX('[7]PLANILLA  RODRIGO'!G29:AO61,1,6)</f>
        <v>OK</v>
      </c>
      <c r="O206" s="97" t="str">
        <f>INDEX('[7]PLANILLA  RODRIGO'!H29:AP61,1,6)</f>
        <v>OK</v>
      </c>
      <c r="P206" s="97" t="str">
        <f>INDEX('[7]PLANILLA  RODRIGO'!I29:AQ61,1,6)</f>
        <v>OK</v>
      </c>
      <c r="Q206" s="97" t="str">
        <f>INDEX('[7]PLANILLA  RODRIGO'!J29:AR61,1,6)</f>
        <v>OK</v>
      </c>
      <c r="R206" s="97" t="str">
        <f>INDEX('[7]PLANILLA  RODRIGO'!K29:AS61,1,6)</f>
        <v>OK</v>
      </c>
      <c r="S206" s="97" t="str">
        <f>INDEX('[7]PLANILLA  RODRIGO'!L29:AT61,1,6)</f>
        <v>OK</v>
      </c>
      <c r="T206" s="97" t="str">
        <f>INDEX('[7]PLANILLA  RODRIGO'!M29:AU61,1,6)</f>
        <v>OK</v>
      </c>
      <c r="U206" s="97" t="str">
        <f>INDEX('[7]PLANILLA  RODRIGO'!N29:AV61,1,6)</f>
        <v>OK</v>
      </c>
      <c r="V206" s="97" t="str">
        <f>INDEX('[7]PLANILLA  RODRIGO'!O29:AW61,1,6)</f>
        <v>OK</v>
      </c>
      <c r="W206" s="97" t="str">
        <f>INDEX('[7]PLANILLA  RODRIGO'!P29:AX61,1,6)</f>
        <v>OK</v>
      </c>
      <c r="X206" s="97" t="str">
        <f>INDEX('[7]PLANILLA  RODRIGO'!Q29:AY61,1,6)</f>
        <v>OK</v>
      </c>
      <c r="Y206" s="97" t="str">
        <f>INDEX('[7]PLANILLA  RODRIGO'!R29:AZ61,1,6)</f>
        <v>OK</v>
      </c>
      <c r="Z206" s="97" t="str">
        <f>INDEX('[7]PLANILLA  RODRIGO'!S29:BA61,1,6)</f>
        <v>OK</v>
      </c>
      <c r="AA206" s="97" t="str">
        <f>INDEX('[7]PLANILLA  RODRIGO'!T29:BB61,1,6)</f>
        <v>OK</v>
      </c>
      <c r="AB206" s="97" t="str">
        <f>INDEX('[7]PLANILLA  RODRIGO'!U29:BC61,1,6)</f>
        <v>OK</v>
      </c>
      <c r="AC206" s="97" t="str">
        <f>INDEX('[7]PLANILLA  RODRIGO'!V29:BD61,1,6)</f>
        <v>OK</v>
      </c>
      <c r="AD206" s="97" t="str">
        <f>INDEX('[7]PLANILLA  RODRIGO'!W29:BE61,1,6)</f>
        <v>OK</v>
      </c>
      <c r="AE206" s="97">
        <f>INDEX('[7]PLANILLA  RODRIGO'!X29:BF61,1,6)</f>
        <v>0</v>
      </c>
      <c r="AF206" s="97">
        <f>INDEX('[7]PLANILLA  RODRIGO'!Y29:BG61,1,6)</f>
        <v>0</v>
      </c>
      <c r="AG206" s="97">
        <f>INDEX('[7]PLANILLA  RODRIGO'!Z29:BH61,1,6)</f>
        <v>0</v>
      </c>
      <c r="AH206" s="97">
        <f>INDEX('[7]PLANILLA  RODRIGO'!AA29:BI61,1,6)</f>
        <v>0</v>
      </c>
      <c r="AI206" s="97">
        <f>INDEX('[7]PLANILLA  RODRIGO'!AB29:BJ61,1,6)</f>
        <v>0</v>
      </c>
      <c r="AJ206" s="97">
        <f>INDEX('[7]PLANILLA  RODRIGO'!AC29:BK61,1,6)</f>
        <v>0</v>
      </c>
      <c r="AK206" s="97">
        <f>INDEX('[7]PLANILLA  RODRIGO'!AD29:BL61,1,6)</f>
        <v>0</v>
      </c>
      <c r="AL206" s="97">
        <f>INDEX('[7]PLANILLA  RODRIGO'!AE29:BM61,1,6)</f>
        <v>0</v>
      </c>
      <c r="AM206" s="97">
        <f>INDEX('[7]PLANILLA  RODRIGO'!AF29:BN61,1,6)</f>
        <v>0</v>
      </c>
      <c r="AO206" s="116">
        <f t="shared" si="26"/>
        <v>0</v>
      </c>
      <c r="AP206" s="116">
        <f t="shared" si="26"/>
        <v>0</v>
      </c>
      <c r="AQ206" s="116">
        <f t="shared" si="26"/>
        <v>0</v>
      </c>
      <c r="AR206" s="116">
        <f t="shared" si="26"/>
        <v>0</v>
      </c>
      <c r="AS206" s="116">
        <f t="shared" si="26"/>
        <v>0</v>
      </c>
      <c r="AT206" s="116">
        <f t="shared" si="26"/>
        <v>0</v>
      </c>
      <c r="AU206" s="116">
        <f t="shared" si="26"/>
        <v>0</v>
      </c>
      <c r="AV206" s="116">
        <f t="shared" si="26"/>
        <v>0</v>
      </c>
      <c r="AW206" s="116">
        <f t="shared" si="26"/>
        <v>0</v>
      </c>
      <c r="AX206" s="116">
        <f t="shared" si="26"/>
        <v>0</v>
      </c>
      <c r="AY206" s="116">
        <f t="shared" si="26"/>
        <v>0</v>
      </c>
      <c r="AZ206" s="116">
        <f t="shared" si="26"/>
        <v>0</v>
      </c>
      <c r="BA206" s="116">
        <f t="shared" si="26"/>
        <v>21</v>
      </c>
      <c r="BB206" s="117">
        <f t="shared" si="24"/>
        <v>21</v>
      </c>
    </row>
    <row r="207" spans="1:54">
      <c r="B207" s="112">
        <v>199</v>
      </c>
      <c r="C207" s="133">
        <f>+'[7]PLANILLA  RODRIGO'!C30</f>
        <v>53073073</v>
      </c>
      <c r="D207" s="114" t="str">
        <f>IFERROR(VLOOKUP($C207,'[7]PLANILLA  RODRIGO'!$C$9:$F$86,2,0),"NO BD")</f>
        <v xml:space="preserve">MURCIA CHICUE CONSUELO MATILDE </v>
      </c>
      <c r="E207" s="115" t="s">
        <v>596</v>
      </c>
      <c r="F207" s="114" t="str">
        <f>IFERROR(VLOOKUP($C207,[7]BD!$B$3:$O$213,3,0),"")</f>
        <v>OPERARIA DE ASEO Y CAFETERIA</v>
      </c>
      <c r="G207" s="77" t="s">
        <v>484</v>
      </c>
      <c r="H207" s="114" t="str">
        <f>IFERROR(VLOOKUP($C207,[7]BD!$B$3:$O$203,14,0),"")</f>
        <v>3229044250</v>
      </c>
      <c r="I207" s="114" t="str">
        <f>IFERROR(VLOOKUP($C207,[7]BD!$B$3:$O$203,4,0),"")</f>
        <v>18/10/2025</v>
      </c>
      <c r="J207" s="97" t="str">
        <f>INDEX('[7]PLANILLA  RODRIGO'!C30:AK62,1,6)</f>
        <v>OK</v>
      </c>
      <c r="K207" s="97" t="str">
        <f>INDEX('[7]PLANILLA  RODRIGO'!D30:AL62,1,6)</f>
        <v>OK</v>
      </c>
      <c r="L207" s="97" t="str">
        <f>INDEX('[7]PLANILLA  RODRIGO'!E30:AM62,1,6)</f>
        <v>OK</v>
      </c>
      <c r="M207" s="97" t="str">
        <f>INDEX('[7]PLANILLA  RODRIGO'!F30:AN62,1,6)</f>
        <v>OK</v>
      </c>
      <c r="N207" s="97" t="str">
        <f>INDEX('[7]PLANILLA  RODRIGO'!G30:AO62,1,6)</f>
        <v>OK</v>
      </c>
      <c r="O207" s="97" t="str">
        <f>INDEX('[7]PLANILLA  RODRIGO'!H30:AP62,1,6)</f>
        <v>OK</v>
      </c>
      <c r="P207" s="97" t="str">
        <f>INDEX('[7]PLANILLA  RODRIGO'!I30:AQ62,1,6)</f>
        <v>OK</v>
      </c>
      <c r="Q207" s="97" t="str">
        <f>INDEX('[7]PLANILLA  RODRIGO'!J30:AR62,1,6)</f>
        <v>OK</v>
      </c>
      <c r="R207" s="97" t="str">
        <f>INDEX('[7]PLANILLA  RODRIGO'!K30:AS62,1,6)</f>
        <v>OK</v>
      </c>
      <c r="S207" s="97" t="str">
        <f>INDEX('[7]PLANILLA  RODRIGO'!L30:AT62,1,6)</f>
        <v>OK</v>
      </c>
      <c r="T207" s="97" t="str">
        <f>INDEX('[7]PLANILLA  RODRIGO'!M30:AU62,1,6)</f>
        <v>OK</v>
      </c>
      <c r="U207" s="97" t="str">
        <f>INDEX('[7]PLANILLA  RODRIGO'!N30:AV62,1,6)</f>
        <v>OK</v>
      </c>
      <c r="V207" s="97" t="str">
        <f>INDEX('[7]PLANILLA  RODRIGO'!O30:AW62,1,6)</f>
        <v>AUS</v>
      </c>
      <c r="W207" s="97" t="str">
        <f>INDEX('[7]PLANILLA  RODRIGO'!P30:AX62,1,6)</f>
        <v>AUS</v>
      </c>
      <c r="X207" s="97" t="str">
        <f>INDEX('[7]PLANILLA  RODRIGO'!Q30:AY62,1,6)</f>
        <v>OK</v>
      </c>
      <c r="Y207" s="97" t="str">
        <f>INDEX('[7]PLANILLA  RODRIGO'!R30:AZ62,1,6)</f>
        <v>OK</v>
      </c>
      <c r="Z207" s="97" t="str">
        <f>INDEX('[7]PLANILLA  RODRIGO'!S30:BA62,1,6)</f>
        <v>OK</v>
      </c>
      <c r="AA207" s="97" t="str">
        <f>INDEX('[7]PLANILLA  RODRIGO'!T30:BB62,1,6)</f>
        <v>OK</v>
      </c>
      <c r="AB207" s="97" t="str">
        <f>INDEX('[7]PLANILLA  RODRIGO'!U30:BC62,1,6)</f>
        <v>OK</v>
      </c>
      <c r="AC207" s="97" t="str">
        <f>INDEX('[7]PLANILLA  RODRIGO'!V30:BD62,1,6)</f>
        <v>OK</v>
      </c>
      <c r="AD207" s="97" t="str">
        <f>INDEX('[7]PLANILLA  RODRIGO'!W30:BE62,1,6)</f>
        <v>OK</v>
      </c>
      <c r="AE207" s="97">
        <f>INDEX('[7]PLANILLA  RODRIGO'!X30:BF62,1,6)</f>
        <v>0</v>
      </c>
      <c r="AF207" s="97">
        <f>INDEX('[7]PLANILLA  RODRIGO'!Y30:BG62,1,6)</f>
        <v>0</v>
      </c>
      <c r="AG207" s="97">
        <f>INDEX('[7]PLANILLA  RODRIGO'!Z30:BH62,1,6)</f>
        <v>0</v>
      </c>
      <c r="AH207" s="97">
        <f>INDEX('[7]PLANILLA  RODRIGO'!AA30:BI62,1,6)</f>
        <v>0</v>
      </c>
      <c r="AI207" s="97">
        <f>INDEX('[7]PLANILLA  RODRIGO'!AB30:BJ62,1,6)</f>
        <v>0</v>
      </c>
      <c r="AJ207" s="97">
        <f>INDEX('[7]PLANILLA  RODRIGO'!AC30:BK62,1,6)</f>
        <v>0</v>
      </c>
      <c r="AK207" s="97">
        <f>INDEX('[7]PLANILLA  RODRIGO'!AD30:BL62,1,6)</f>
        <v>0</v>
      </c>
      <c r="AL207" s="97">
        <f>INDEX('[7]PLANILLA  RODRIGO'!AE30:BM62,1,6)</f>
        <v>0</v>
      </c>
      <c r="AM207" s="97">
        <f>INDEX('[7]PLANILLA  RODRIGO'!AF30:BN62,1,6)</f>
        <v>0</v>
      </c>
      <c r="AO207" s="116">
        <f t="shared" si="26"/>
        <v>2</v>
      </c>
      <c r="AP207" s="116">
        <f t="shared" si="26"/>
        <v>0</v>
      </c>
      <c r="AQ207" s="116">
        <f t="shared" si="26"/>
        <v>0</v>
      </c>
      <c r="AR207" s="116">
        <f t="shared" si="26"/>
        <v>0</v>
      </c>
      <c r="AS207" s="116">
        <f t="shared" si="26"/>
        <v>0</v>
      </c>
      <c r="AT207" s="116">
        <f t="shared" si="26"/>
        <v>0</v>
      </c>
      <c r="AU207" s="116">
        <f t="shared" si="26"/>
        <v>0</v>
      </c>
      <c r="AV207" s="116">
        <f t="shared" si="26"/>
        <v>0</v>
      </c>
      <c r="AW207" s="116">
        <f t="shared" si="26"/>
        <v>0</v>
      </c>
      <c r="AX207" s="116">
        <f t="shared" si="26"/>
        <v>0</v>
      </c>
      <c r="AY207" s="116">
        <f t="shared" si="26"/>
        <v>0</v>
      </c>
      <c r="AZ207" s="116">
        <f t="shared" si="26"/>
        <v>0</v>
      </c>
      <c r="BA207" s="116">
        <f t="shared" si="26"/>
        <v>19</v>
      </c>
      <c r="BB207" s="117">
        <f t="shared" si="24"/>
        <v>19</v>
      </c>
    </row>
    <row r="208" spans="1:54" ht="34.5">
      <c r="B208" s="112">
        <v>200</v>
      </c>
      <c r="C208" s="133">
        <f>+'[7]PLANILLA  RODRIGO'!C31</f>
        <v>1073707145</v>
      </c>
      <c r="D208" s="114" t="str">
        <f>IFERROR(VLOOKUP($C208,'[7]PLANILLA  RODRIGO'!$C$9:$F$86,2,0),"NO BD")</f>
        <v xml:space="preserve">ALVARADO RAMIREZ WHITNEY GIANNINA </v>
      </c>
      <c r="E208" s="115" t="s">
        <v>596</v>
      </c>
      <c r="F208" s="114" t="str">
        <f>IFERROR(VLOOKUP($C208,[7]BD!$B$3:$O$213,3,0),"")</f>
        <v>OPERARIA DE ASEO Y CAFETERIA</v>
      </c>
      <c r="G208" s="77" t="s">
        <v>484</v>
      </c>
      <c r="H208" s="114" t="str">
        <f>IFERROR(VLOOKUP($C208,[7]BD!$B$3:$O$203,14,0),"")</f>
        <v>3014499286</v>
      </c>
      <c r="I208" s="114" t="str">
        <f>IFERROR(VLOOKUP($C208,[7]BD!$B$3:$O$203,4,0),"")</f>
        <v>18/10/2025</v>
      </c>
      <c r="J208" s="97" t="str">
        <f>INDEX('[7]PLANILLA  RODRIGO'!C31:AK63,1,6)</f>
        <v>OK</v>
      </c>
      <c r="K208" s="97" t="str">
        <f>INDEX('[7]PLANILLA  RODRIGO'!D31:AL63,1,6)</f>
        <v>OK</v>
      </c>
      <c r="L208" s="97" t="str">
        <f>INDEX('[7]PLANILLA  RODRIGO'!E31:AM63,1,6)</f>
        <v>OK</v>
      </c>
      <c r="M208" s="97" t="str">
        <f>INDEX('[7]PLANILLA  RODRIGO'!F31:AN63,1,6)</f>
        <v>OK</v>
      </c>
      <c r="N208" s="97" t="str">
        <f>INDEX('[7]PLANILLA  RODRIGO'!G31:AO63,1,6)</f>
        <v>OK</v>
      </c>
      <c r="O208" s="97" t="str">
        <f>INDEX('[7]PLANILLA  RODRIGO'!H31:AP63,1,6)</f>
        <v>OK</v>
      </c>
      <c r="P208" s="97" t="str">
        <f>INDEX('[7]PLANILLA  RODRIGO'!I31:AQ63,1,6)</f>
        <v>OK</v>
      </c>
      <c r="Q208" s="97" t="str">
        <f>INDEX('[7]PLANILLA  RODRIGO'!J31:AR63,1,6)</f>
        <v>OK</v>
      </c>
      <c r="R208" s="97" t="str">
        <f>INDEX('[7]PLANILLA  RODRIGO'!K31:AS63,1,6)</f>
        <v>OK</v>
      </c>
      <c r="S208" s="97" t="str">
        <f>INDEX('[7]PLANILLA  RODRIGO'!L31:AT63,1,6)</f>
        <v>OK</v>
      </c>
      <c r="T208" s="97" t="str">
        <f>INDEX('[7]PLANILLA  RODRIGO'!M31:AU63,1,6)</f>
        <v>OK</v>
      </c>
      <c r="U208" s="97" t="str">
        <f>INDEX('[7]PLANILLA  RODRIGO'!N31:AV63,1,6)</f>
        <v>OK</v>
      </c>
      <c r="V208" s="97" t="str">
        <f>INDEX('[7]PLANILLA  RODRIGO'!O31:AW63,1,6)</f>
        <v>OK</v>
      </c>
      <c r="W208" s="97" t="str">
        <f>INDEX('[7]PLANILLA  RODRIGO'!P31:AX63,1,6)</f>
        <v>OK</v>
      </c>
      <c r="X208" s="97" t="str">
        <f>INDEX('[7]PLANILLA  RODRIGO'!Q31:AY63,1,6)</f>
        <v>OK</v>
      </c>
      <c r="Y208" s="97" t="str">
        <f>INDEX('[7]PLANILLA  RODRIGO'!R31:AZ63,1,6)</f>
        <v>OK</v>
      </c>
      <c r="Z208" s="97" t="str">
        <f>INDEX('[7]PLANILLA  RODRIGO'!S31:BA63,1,6)</f>
        <v>OK</v>
      </c>
      <c r="AA208" s="97" t="str">
        <f>INDEX('[7]PLANILLA  RODRIGO'!T31:BB63,1,6)</f>
        <v>OK</v>
      </c>
      <c r="AB208" s="97" t="str">
        <f>INDEX('[7]PLANILLA  RODRIGO'!U31:BC63,1,6)</f>
        <v>OK</v>
      </c>
      <c r="AC208" s="97" t="str">
        <f>INDEX('[7]PLANILLA  RODRIGO'!V31:BD63,1,6)</f>
        <v>OK</v>
      </c>
      <c r="AD208" s="97" t="str">
        <f>INDEX('[7]PLANILLA  RODRIGO'!W31:BE63,1,6)</f>
        <v>OK</v>
      </c>
      <c r="AE208" s="97">
        <f>INDEX('[7]PLANILLA  RODRIGO'!X31:BF63,1,6)</f>
        <v>0</v>
      </c>
      <c r="AF208" s="97">
        <f>INDEX('[7]PLANILLA  RODRIGO'!Y31:BG63,1,6)</f>
        <v>0</v>
      </c>
      <c r="AG208" s="97">
        <f>INDEX('[7]PLANILLA  RODRIGO'!Z31:BH63,1,6)</f>
        <v>0</v>
      </c>
      <c r="AH208" s="97">
        <f>INDEX('[7]PLANILLA  RODRIGO'!AA31:BI63,1,6)</f>
        <v>0</v>
      </c>
      <c r="AI208" s="97">
        <f>INDEX('[7]PLANILLA  RODRIGO'!AB31:BJ63,1,6)</f>
        <v>0</v>
      </c>
      <c r="AJ208" s="97">
        <f>INDEX('[7]PLANILLA  RODRIGO'!AC31:BK63,1,6)</f>
        <v>0</v>
      </c>
      <c r="AK208" s="97">
        <f>INDEX('[7]PLANILLA  RODRIGO'!AD31:BL63,1,6)</f>
        <v>0</v>
      </c>
      <c r="AL208" s="97">
        <f>INDEX('[7]PLANILLA  RODRIGO'!AE31:BM63,1,6)</f>
        <v>0</v>
      </c>
      <c r="AM208" s="97">
        <f>INDEX('[7]PLANILLA  RODRIGO'!AF31:BN63,1,6)</f>
        <v>0</v>
      </c>
      <c r="AO208" s="116">
        <f t="shared" si="26"/>
        <v>0</v>
      </c>
      <c r="AP208" s="116">
        <f t="shared" si="26"/>
        <v>0</v>
      </c>
      <c r="AQ208" s="116">
        <f t="shared" si="26"/>
        <v>0</v>
      </c>
      <c r="AR208" s="116">
        <f t="shared" si="26"/>
        <v>0</v>
      </c>
      <c r="AS208" s="116">
        <f t="shared" si="26"/>
        <v>0</v>
      </c>
      <c r="AT208" s="116">
        <f t="shared" si="26"/>
        <v>0</v>
      </c>
      <c r="AU208" s="116">
        <f t="shared" si="26"/>
        <v>0</v>
      </c>
      <c r="AV208" s="116">
        <f t="shared" si="26"/>
        <v>0</v>
      </c>
      <c r="AW208" s="116">
        <f t="shared" si="26"/>
        <v>0</v>
      </c>
      <c r="AX208" s="116">
        <f t="shared" si="26"/>
        <v>0</v>
      </c>
      <c r="AY208" s="116">
        <f t="shared" si="26"/>
        <v>0</v>
      </c>
      <c r="AZ208" s="116">
        <f t="shared" si="26"/>
        <v>0</v>
      </c>
      <c r="BA208" s="116">
        <f t="shared" si="26"/>
        <v>21</v>
      </c>
      <c r="BB208" s="117">
        <f t="shared" si="24"/>
        <v>21</v>
      </c>
    </row>
    <row r="209" spans="1:54" ht="34.5">
      <c r="B209" s="112">
        <v>201</v>
      </c>
      <c r="C209" s="133">
        <f>+'[7]PLANILLA  RODRIGO'!C32</f>
        <v>1020781448</v>
      </c>
      <c r="D209" s="114" t="str">
        <f>IFERROR(VLOOKUP($C209,'[7]PLANILLA  RODRIGO'!$C$9:$F$86,2,0),"NO BD")</f>
        <v xml:space="preserve">CALDERON MEDRANO MARIA ALEJANDRA </v>
      </c>
      <c r="E209" s="115" t="s">
        <v>596</v>
      </c>
      <c r="F209" s="114" t="str">
        <f>IFERROR(VLOOKUP($C209,[7]BD!$B$3:$O$213,3,0),"")</f>
        <v>OPERARIA DE ASEO Y CAFETERIA</v>
      </c>
      <c r="G209" s="77" t="s">
        <v>485</v>
      </c>
      <c r="H209" s="114" t="str">
        <f>IFERROR(VLOOKUP($C209,[7]BD!$B$3:$O$203,14,0),"")</f>
        <v>3234039310</v>
      </c>
      <c r="I209" s="114" t="str">
        <f>IFERROR(VLOOKUP($C209,[7]BD!$B$3:$O$203,4,0),"")</f>
        <v>06/01/2026</v>
      </c>
      <c r="J209" s="97" t="str">
        <f>INDEX('[7]PLANILLA  RODRIGO'!C32:AK64,1,6)</f>
        <v>OK</v>
      </c>
      <c r="K209" s="97" t="str">
        <f>INDEX('[7]PLANILLA  RODRIGO'!D32:AL64,1,6)</f>
        <v>OK</v>
      </c>
      <c r="L209" s="97" t="str">
        <f>INDEX('[7]PLANILLA  RODRIGO'!E32:AM64,1,6)</f>
        <v>OK</v>
      </c>
      <c r="M209" s="97" t="str">
        <f>INDEX('[7]PLANILLA  RODRIGO'!F32:AN64,1,6)</f>
        <v>OK</v>
      </c>
      <c r="N209" s="97" t="str">
        <f>INDEX('[7]PLANILLA  RODRIGO'!G32:AO64,1,6)</f>
        <v>OK</v>
      </c>
      <c r="O209" s="97" t="str">
        <f>INDEX('[7]PLANILLA  RODRIGO'!H32:AP64,1,6)</f>
        <v>OK</v>
      </c>
      <c r="P209" s="97" t="str">
        <f>INDEX('[7]PLANILLA  RODRIGO'!I32:AQ64,1,6)</f>
        <v>OK</v>
      </c>
      <c r="Q209" s="97" t="str">
        <f>INDEX('[7]PLANILLA  RODRIGO'!J32:AR64,1,6)</f>
        <v>OK</v>
      </c>
      <c r="R209" s="97" t="str">
        <f>INDEX('[7]PLANILLA  RODRIGO'!K32:AS64,1,6)</f>
        <v>OK</v>
      </c>
      <c r="S209" s="97" t="str">
        <f>INDEX('[7]PLANILLA  RODRIGO'!L32:AT64,1,6)</f>
        <v>OK</v>
      </c>
      <c r="T209" s="97" t="str">
        <f>INDEX('[7]PLANILLA  RODRIGO'!M32:AU64,1,6)</f>
        <v>OK</v>
      </c>
      <c r="U209" s="97" t="str">
        <f>INDEX('[7]PLANILLA  RODRIGO'!N32:AV64,1,6)</f>
        <v>OK</v>
      </c>
      <c r="V209" s="97" t="str">
        <f>INDEX('[7]PLANILLA  RODRIGO'!O32:AW64,1,6)</f>
        <v>OK</v>
      </c>
      <c r="W209" s="97" t="str">
        <f>INDEX('[7]PLANILLA  RODRIGO'!P32:AX64,1,6)</f>
        <v>OK</v>
      </c>
      <c r="X209" s="97" t="str">
        <f>INDEX('[7]PLANILLA  RODRIGO'!Q32:AY64,1,6)</f>
        <v>OK</v>
      </c>
      <c r="Y209" s="97" t="str">
        <f>INDEX('[7]PLANILLA  RODRIGO'!R32:AZ64,1,6)</f>
        <v>OK</v>
      </c>
      <c r="Z209" s="97" t="str">
        <f>INDEX('[7]PLANILLA  RODRIGO'!S32:BA64,1,6)</f>
        <v>OK</v>
      </c>
      <c r="AA209" s="97" t="str">
        <f>INDEX('[7]PLANILLA  RODRIGO'!T32:BB64,1,6)</f>
        <v>OK</v>
      </c>
      <c r="AB209" s="97" t="str">
        <f>INDEX('[7]PLANILLA  RODRIGO'!U32:BC64,1,6)</f>
        <v>OK</v>
      </c>
      <c r="AC209" s="97" t="str">
        <f>INDEX('[7]PLANILLA  RODRIGO'!V32:BD64,1,6)</f>
        <v>OK</v>
      </c>
      <c r="AD209" s="97" t="str">
        <f>INDEX('[7]PLANILLA  RODRIGO'!W32:BE64,1,6)</f>
        <v>OK</v>
      </c>
      <c r="AE209" s="97">
        <f>INDEX('[7]PLANILLA  RODRIGO'!X32:BF64,1,6)</f>
        <v>0</v>
      </c>
      <c r="AF209" s="97">
        <f>INDEX('[7]PLANILLA  RODRIGO'!Y32:BG64,1,6)</f>
        <v>0</v>
      </c>
      <c r="AG209" s="97">
        <f>INDEX('[7]PLANILLA  RODRIGO'!Z32:BH64,1,6)</f>
        <v>0</v>
      </c>
      <c r="AH209" s="97">
        <f>INDEX('[7]PLANILLA  RODRIGO'!AA32:BI64,1,6)</f>
        <v>0</v>
      </c>
      <c r="AI209" s="97">
        <f>INDEX('[7]PLANILLA  RODRIGO'!AB32:BJ64,1,6)</f>
        <v>0</v>
      </c>
      <c r="AJ209" s="97">
        <f>INDEX('[7]PLANILLA  RODRIGO'!AC32:BK64,1,6)</f>
        <v>0</v>
      </c>
      <c r="AK209" s="97">
        <f>INDEX('[7]PLANILLA  RODRIGO'!AD32:BL64,1,6)</f>
        <v>0</v>
      </c>
      <c r="AL209" s="97">
        <f>INDEX('[7]PLANILLA  RODRIGO'!AE32:BM64,1,6)</f>
        <v>0</v>
      </c>
      <c r="AM209" s="97">
        <f>INDEX('[7]PLANILLA  RODRIGO'!AF32:BN64,1,6)</f>
        <v>0</v>
      </c>
      <c r="AO209" s="116">
        <f t="shared" si="26"/>
        <v>0</v>
      </c>
      <c r="AP209" s="116">
        <f t="shared" si="26"/>
        <v>0</v>
      </c>
      <c r="AQ209" s="116">
        <f t="shared" si="26"/>
        <v>0</v>
      </c>
      <c r="AR209" s="116">
        <f t="shared" si="26"/>
        <v>0</v>
      </c>
      <c r="AS209" s="116">
        <f t="shared" si="26"/>
        <v>0</v>
      </c>
      <c r="AT209" s="116">
        <f t="shared" si="26"/>
        <v>0</v>
      </c>
      <c r="AU209" s="116">
        <f t="shared" si="26"/>
        <v>0</v>
      </c>
      <c r="AV209" s="116">
        <f t="shared" si="26"/>
        <v>0</v>
      </c>
      <c r="AW209" s="116">
        <f t="shared" si="26"/>
        <v>0</v>
      </c>
      <c r="AX209" s="116">
        <f t="shared" si="26"/>
        <v>0</v>
      </c>
      <c r="AY209" s="116">
        <f t="shared" si="26"/>
        <v>0</v>
      </c>
      <c r="AZ209" s="116">
        <f t="shared" si="26"/>
        <v>0</v>
      </c>
      <c r="BA209" s="116">
        <f t="shared" si="26"/>
        <v>21</v>
      </c>
      <c r="BB209" s="117">
        <f t="shared" si="24"/>
        <v>21</v>
      </c>
    </row>
    <row r="210" spans="1:54">
      <c r="B210" s="112">
        <v>202</v>
      </c>
      <c r="C210" s="133">
        <f>+'[7]PLANILLA  RODRIGO'!C33</f>
        <v>1235250628</v>
      </c>
      <c r="D210" s="114" t="str">
        <f>IFERROR(VLOOKUP($C210,'[7]PLANILLA  RODRIGO'!$C$9:$F$86,2,0),"NO BD")</f>
        <v xml:space="preserve">JIMENEZ RIGOBERTO ANTONIO  </v>
      </c>
      <c r="E210" s="115" t="s">
        <v>596</v>
      </c>
      <c r="F210" s="114" t="str">
        <f>IFERROR(VLOOKUP($C210,[7]BD!$B$3:$O$213,3,0),"")</f>
        <v>OPERARIO DE MANTENIMIENTO</v>
      </c>
      <c r="G210" s="77" t="s">
        <v>487</v>
      </c>
      <c r="H210" s="114" t="str">
        <f>IFERROR(VLOOKUP($C210,[7]BD!$B$3:$O$203,14,0),"")</f>
        <v>3150448123</v>
      </c>
      <c r="I210" s="114" t="str">
        <f>IFERROR(VLOOKUP($C210,[7]BD!$B$3:$O$203,4,0),"")</f>
        <v>18/10/2025</v>
      </c>
      <c r="J210" s="97" t="str">
        <f>INDEX('[7]PLANILLA  RODRIGO'!C33:AK65,1,6)</f>
        <v>OK</v>
      </c>
      <c r="K210" s="97" t="str">
        <f>INDEX('[7]PLANILLA  RODRIGO'!D33:AL65,1,6)</f>
        <v>OK</v>
      </c>
      <c r="L210" s="97" t="str">
        <f>INDEX('[7]PLANILLA  RODRIGO'!E33:AM65,1,6)</f>
        <v>OK</v>
      </c>
      <c r="M210" s="97" t="str">
        <f>INDEX('[7]PLANILLA  RODRIGO'!F33:AN65,1,6)</f>
        <v>OK</v>
      </c>
      <c r="N210" s="97" t="str">
        <f>INDEX('[7]PLANILLA  RODRIGO'!G33:AO65,1,6)</f>
        <v>OK</v>
      </c>
      <c r="O210" s="97" t="str">
        <f>INDEX('[7]PLANILLA  RODRIGO'!H33:AP65,1,6)</f>
        <v>OK</v>
      </c>
      <c r="P210" s="97" t="str">
        <f>INDEX('[7]PLANILLA  RODRIGO'!I33:AQ65,1,6)</f>
        <v>OK</v>
      </c>
      <c r="Q210" s="97" t="str">
        <f>INDEX('[7]PLANILLA  RODRIGO'!J33:AR65,1,6)</f>
        <v>OK</v>
      </c>
      <c r="R210" s="97" t="str">
        <f>INDEX('[7]PLANILLA  RODRIGO'!K33:AS65,1,6)</f>
        <v>OK</v>
      </c>
      <c r="S210" s="97" t="str">
        <f>INDEX('[7]PLANILLA  RODRIGO'!L33:AT65,1,6)</f>
        <v>OK</v>
      </c>
      <c r="T210" s="97" t="str">
        <f>INDEX('[7]PLANILLA  RODRIGO'!M33:AU65,1,6)</f>
        <v>OK</v>
      </c>
      <c r="U210" s="97" t="str">
        <f>INDEX('[7]PLANILLA  RODRIGO'!N33:AV65,1,6)</f>
        <v>OK</v>
      </c>
      <c r="V210" s="97" t="str">
        <f>INDEX('[7]PLANILLA  RODRIGO'!O33:AW65,1,6)</f>
        <v>OK</v>
      </c>
      <c r="W210" s="97" t="str">
        <f>INDEX('[7]PLANILLA  RODRIGO'!P33:AX65,1,6)</f>
        <v>OK</v>
      </c>
      <c r="X210" s="97" t="str">
        <f>INDEX('[7]PLANILLA  RODRIGO'!Q33:AY65,1,6)</f>
        <v>OK</v>
      </c>
      <c r="Y210" s="97" t="str">
        <f>INDEX('[7]PLANILLA  RODRIGO'!R33:AZ65,1,6)</f>
        <v>OK</v>
      </c>
      <c r="Z210" s="97" t="str">
        <f>INDEX('[7]PLANILLA  RODRIGO'!S33:BA65,1,6)</f>
        <v>OK</v>
      </c>
      <c r="AA210" s="97" t="str">
        <f>INDEX('[7]PLANILLA  RODRIGO'!T33:BB65,1,6)</f>
        <v>OK</v>
      </c>
      <c r="AB210" s="97" t="str">
        <f>INDEX('[7]PLANILLA  RODRIGO'!U33:BC65,1,6)</f>
        <v>OK</v>
      </c>
      <c r="AC210" s="97" t="str">
        <f>INDEX('[7]PLANILLA  RODRIGO'!V33:BD65,1,6)</f>
        <v>OK</v>
      </c>
      <c r="AD210" s="97" t="str">
        <f>INDEX('[7]PLANILLA  RODRIGO'!W33:BE65,1,6)</f>
        <v>OK</v>
      </c>
      <c r="AE210" s="97">
        <f>INDEX('[7]PLANILLA  RODRIGO'!X33:BF65,1,6)</f>
        <v>0</v>
      </c>
      <c r="AF210" s="97">
        <f>INDEX('[7]PLANILLA  RODRIGO'!Y33:BG65,1,6)</f>
        <v>0</v>
      </c>
      <c r="AG210" s="97">
        <f>INDEX('[7]PLANILLA  RODRIGO'!Z33:BH65,1,6)</f>
        <v>0</v>
      </c>
      <c r="AH210" s="97">
        <f>INDEX('[7]PLANILLA  RODRIGO'!AA33:BI65,1,6)</f>
        <v>0</v>
      </c>
      <c r="AI210" s="97">
        <f>INDEX('[7]PLANILLA  RODRIGO'!AB33:BJ65,1,6)</f>
        <v>0</v>
      </c>
      <c r="AJ210" s="97">
        <f>INDEX('[7]PLANILLA  RODRIGO'!AC33:BK65,1,6)</f>
        <v>0</v>
      </c>
      <c r="AK210" s="97">
        <f>INDEX('[7]PLANILLA  RODRIGO'!AD33:BL65,1,6)</f>
        <v>0</v>
      </c>
      <c r="AL210" s="97">
        <f>INDEX('[7]PLANILLA  RODRIGO'!AE33:BM65,1,6)</f>
        <v>0</v>
      </c>
      <c r="AM210" s="97">
        <f>INDEX('[7]PLANILLA  RODRIGO'!AF33:BN65,1,6)</f>
        <v>0</v>
      </c>
      <c r="AO210" s="116">
        <f t="shared" si="26"/>
        <v>0</v>
      </c>
      <c r="AP210" s="116">
        <f t="shared" si="26"/>
        <v>0</v>
      </c>
      <c r="AQ210" s="116">
        <f t="shared" si="26"/>
        <v>0</v>
      </c>
      <c r="AR210" s="116">
        <f t="shared" si="26"/>
        <v>0</v>
      </c>
      <c r="AS210" s="116">
        <f t="shared" si="26"/>
        <v>0</v>
      </c>
      <c r="AT210" s="116">
        <f t="shared" si="26"/>
        <v>0</v>
      </c>
      <c r="AU210" s="116">
        <f t="shared" si="26"/>
        <v>0</v>
      </c>
      <c r="AV210" s="116">
        <f t="shared" si="26"/>
        <v>0</v>
      </c>
      <c r="AW210" s="116">
        <f t="shared" si="26"/>
        <v>0</v>
      </c>
      <c r="AX210" s="116">
        <f t="shared" si="26"/>
        <v>0</v>
      </c>
      <c r="AY210" s="116">
        <f t="shared" si="26"/>
        <v>0</v>
      </c>
      <c r="AZ210" s="116">
        <f t="shared" si="26"/>
        <v>0</v>
      </c>
      <c r="BA210" s="116">
        <f t="shared" si="26"/>
        <v>21</v>
      </c>
      <c r="BB210" s="117">
        <f t="shared" si="24"/>
        <v>21</v>
      </c>
    </row>
    <row r="211" spans="1:54">
      <c r="B211" s="112">
        <v>203</v>
      </c>
      <c r="C211" s="133">
        <f>+'[7]PLANILLA  RODRIGO'!C34</f>
        <v>1196963427</v>
      </c>
      <c r="D211" s="114" t="str">
        <f>IFERROR(VLOOKUP($C211,'[7]PLANILLA  RODRIGO'!$C$9:$F$86,2,0),"NO BD")</f>
        <v xml:space="preserve">VELASQUEZ ARIAS NATALIA ISABEL </v>
      </c>
      <c r="E211" s="115" t="s">
        <v>596</v>
      </c>
      <c r="F211" s="114" t="str">
        <f>IFERROR(VLOOKUP($C211,[7]BD!$B$3:$O$213,3,0),"")</f>
        <v>OPERARIA DE ASEO Y CAFETERIA</v>
      </c>
      <c r="G211" s="77" t="s">
        <v>496</v>
      </c>
      <c r="H211" s="114" t="str">
        <f>IFERROR(VLOOKUP($C211,[7]BD!$B$3:$O$203,14,0),"")</f>
        <v>3014711213</v>
      </c>
      <c r="I211" s="114" t="str">
        <f>IFERROR(VLOOKUP($C211,[7]BD!$B$3:$O$203,4,0),"")</f>
        <v>25/02/2026</v>
      </c>
      <c r="J211" s="97" t="str">
        <f>INDEX('[7]PLANILLA  RODRIGO'!C34:AK66,1,6)</f>
        <v>OK</v>
      </c>
      <c r="K211" s="97" t="str">
        <f>INDEX('[7]PLANILLA  RODRIGO'!D34:AL66,1,6)</f>
        <v>OK</v>
      </c>
      <c r="L211" s="97" t="str">
        <f>INDEX('[7]PLANILLA  RODRIGO'!E34:AM66,1,6)</f>
        <v>OK</v>
      </c>
      <c r="M211" s="97" t="str">
        <f>INDEX('[7]PLANILLA  RODRIGO'!F34:AN66,1,6)</f>
        <v>OK</v>
      </c>
      <c r="N211" s="97" t="str">
        <f>INDEX('[7]PLANILLA  RODRIGO'!G34:AO66,1,6)</f>
        <v>OK</v>
      </c>
      <c r="O211" s="97" t="str">
        <f>INDEX('[7]PLANILLA  RODRIGO'!H34:AP66,1,6)</f>
        <v>OK</v>
      </c>
      <c r="P211" s="97" t="str">
        <f>INDEX('[7]PLANILLA  RODRIGO'!I34:AQ66,1,6)</f>
        <v>OK</v>
      </c>
      <c r="Q211" s="97" t="str">
        <f>INDEX('[7]PLANILLA  RODRIGO'!J34:AR66,1,6)</f>
        <v>OK</v>
      </c>
      <c r="R211" s="97" t="str">
        <f>INDEX('[7]PLANILLA  RODRIGO'!K34:AS66,1,6)</f>
        <v>INC</v>
      </c>
      <c r="S211" s="97" t="str">
        <f>INDEX('[7]PLANILLA  RODRIGO'!L34:AT66,1,6)</f>
        <v>INC</v>
      </c>
      <c r="T211" s="97" t="str">
        <f>INDEX('[7]PLANILLA  RODRIGO'!M34:AU66,1,6)</f>
        <v>OK</v>
      </c>
      <c r="U211" s="97" t="str">
        <f>INDEX('[7]PLANILLA  RODRIGO'!N34:AV66,1,6)</f>
        <v>OK</v>
      </c>
      <c r="V211" s="97" t="str">
        <f>INDEX('[7]PLANILLA  RODRIGO'!O34:AW66,1,6)</f>
        <v>OK</v>
      </c>
      <c r="W211" s="97" t="str">
        <f>INDEX('[7]PLANILLA  RODRIGO'!P34:AX66,1,6)</f>
        <v>OK</v>
      </c>
      <c r="X211" s="97" t="str">
        <f>INDEX('[7]PLANILLA  RODRIGO'!Q34:AY66,1,6)</f>
        <v>OK</v>
      </c>
      <c r="Y211" s="97" t="str">
        <f>INDEX('[7]PLANILLA  RODRIGO'!R34:AZ66,1,6)</f>
        <v>OK</v>
      </c>
      <c r="Z211" s="97" t="str">
        <f>INDEX('[7]PLANILLA  RODRIGO'!S34:BA66,1,6)</f>
        <v>OK</v>
      </c>
      <c r="AA211" s="97" t="str">
        <f>INDEX('[7]PLANILLA  RODRIGO'!T34:BB66,1,6)</f>
        <v>OK</v>
      </c>
      <c r="AB211" s="97" t="str">
        <f>INDEX('[7]PLANILLA  RODRIGO'!U34:BC66,1,6)</f>
        <v>OK</v>
      </c>
      <c r="AC211" s="97" t="str">
        <f>INDEX('[7]PLANILLA  RODRIGO'!V34:BD66,1,6)</f>
        <v>OK</v>
      </c>
      <c r="AD211" s="97" t="str">
        <f>INDEX('[7]PLANILLA  RODRIGO'!W34:BE66,1,6)</f>
        <v>OK</v>
      </c>
      <c r="AE211" s="97">
        <f>INDEX('[7]PLANILLA  RODRIGO'!X34:BF66,1,6)</f>
        <v>0</v>
      </c>
      <c r="AF211" s="97">
        <f>INDEX('[7]PLANILLA  RODRIGO'!Y34:BG66,1,6)</f>
        <v>0</v>
      </c>
      <c r="AG211" s="97">
        <f>INDEX('[7]PLANILLA  RODRIGO'!Z34:BH66,1,6)</f>
        <v>0</v>
      </c>
      <c r="AH211" s="97">
        <f>INDEX('[7]PLANILLA  RODRIGO'!AA34:BI66,1,6)</f>
        <v>0</v>
      </c>
      <c r="AI211" s="97">
        <f>INDEX('[7]PLANILLA  RODRIGO'!AB34:BJ66,1,6)</f>
        <v>0</v>
      </c>
      <c r="AJ211" s="97">
        <f>INDEX('[7]PLANILLA  RODRIGO'!AC34:BK66,1,6)</f>
        <v>0</v>
      </c>
      <c r="AK211" s="97">
        <f>INDEX('[7]PLANILLA  RODRIGO'!AD34:BL66,1,6)</f>
        <v>0</v>
      </c>
      <c r="AL211" s="97">
        <f>INDEX('[7]PLANILLA  RODRIGO'!AE34:BM66,1,6)</f>
        <v>0</v>
      </c>
      <c r="AM211" s="97">
        <f>INDEX('[7]PLANILLA  RODRIGO'!AF34:BN66,1,6)</f>
        <v>0</v>
      </c>
      <c r="AO211" s="116">
        <f t="shared" si="26"/>
        <v>0</v>
      </c>
      <c r="AP211" s="116">
        <f t="shared" si="26"/>
        <v>0</v>
      </c>
      <c r="AQ211" s="116">
        <f t="shared" si="26"/>
        <v>0</v>
      </c>
      <c r="AR211" s="116">
        <f t="shared" si="26"/>
        <v>2</v>
      </c>
      <c r="AS211" s="116">
        <f t="shared" si="26"/>
        <v>0</v>
      </c>
      <c r="AT211" s="116">
        <f t="shared" si="26"/>
        <v>0</v>
      </c>
      <c r="AU211" s="116">
        <f t="shared" si="26"/>
        <v>0</v>
      </c>
      <c r="AV211" s="116">
        <f t="shared" si="26"/>
        <v>0</v>
      </c>
      <c r="AW211" s="116">
        <f t="shared" si="26"/>
        <v>0</v>
      </c>
      <c r="AX211" s="116">
        <f t="shared" si="26"/>
        <v>0</v>
      </c>
      <c r="AY211" s="116">
        <f t="shared" si="26"/>
        <v>0</v>
      </c>
      <c r="AZ211" s="116">
        <f t="shared" si="26"/>
        <v>0</v>
      </c>
      <c r="BA211" s="116">
        <f t="shared" si="26"/>
        <v>19</v>
      </c>
      <c r="BB211" s="117">
        <f t="shared" si="24"/>
        <v>19</v>
      </c>
    </row>
    <row r="212" spans="1:54">
      <c r="B212" s="112">
        <v>204</v>
      </c>
      <c r="C212" s="133">
        <f>+'[7]PLANILLA  RODRIGO'!C35</f>
        <v>52351391</v>
      </c>
      <c r="D212" s="114" t="str">
        <f>IFERROR(VLOOKUP($C212,'[7]PLANILLA  RODRIGO'!$C$9:$F$86,2,0),"NO BD")</f>
        <v xml:space="preserve">PEREZ  SANDRA MARCELA </v>
      </c>
      <c r="E212" s="115" t="s">
        <v>596</v>
      </c>
      <c r="F212" s="114" t="str">
        <f>IFERROR(VLOOKUP($C212,[7]BD!$B$3:$O$213,3,0),"")</f>
        <v>OPERARIA DE ASEO Y CAFETERIA</v>
      </c>
      <c r="G212" s="77" t="s">
        <v>484</v>
      </c>
      <c r="H212" s="114" t="str">
        <f>IFERROR(VLOOKUP($C212,[7]BD!$B$3:$O$203,14,0),"")</f>
        <v>3046515188</v>
      </c>
      <c r="I212" s="114" t="str">
        <f>IFERROR(VLOOKUP($C212,[7]BD!$B$3:$O$203,4,0),"")</f>
        <v>18/10/2025</v>
      </c>
      <c r="J212" s="97" t="str">
        <f>INDEX('[7]PLANILLA  RODRIGO'!C35:AK67,1,6)</f>
        <v>OK</v>
      </c>
      <c r="K212" s="97" t="str">
        <f>INDEX('[7]PLANILLA  RODRIGO'!D35:AL67,1,6)</f>
        <v>OK</v>
      </c>
      <c r="L212" s="97" t="str">
        <f>INDEX('[7]PLANILLA  RODRIGO'!E35:AM67,1,6)</f>
        <v>OK</v>
      </c>
      <c r="M212" s="97" t="str">
        <f>INDEX('[7]PLANILLA  RODRIGO'!F35:AN67,1,6)</f>
        <v>OK</v>
      </c>
      <c r="N212" s="97" t="str">
        <f>INDEX('[7]PLANILLA  RODRIGO'!G35:AO67,1,6)</f>
        <v>OK</v>
      </c>
      <c r="O212" s="97" t="str">
        <f>INDEX('[7]PLANILLA  RODRIGO'!H35:AP67,1,6)</f>
        <v>OK</v>
      </c>
      <c r="P212" s="97" t="str">
        <f>INDEX('[7]PLANILLA  RODRIGO'!I35:AQ67,1,6)</f>
        <v>OK</v>
      </c>
      <c r="Q212" s="97" t="str">
        <f>INDEX('[7]PLANILLA  RODRIGO'!J35:AR67,1,6)</f>
        <v>OK</v>
      </c>
      <c r="R212" s="97" t="str">
        <f>INDEX('[7]PLANILLA  RODRIGO'!K35:AS67,1,6)</f>
        <v>OK</v>
      </c>
      <c r="S212" s="97" t="str">
        <f>INDEX('[7]PLANILLA  RODRIGO'!L35:AT67,1,6)</f>
        <v>OK</v>
      </c>
      <c r="T212" s="97" t="str">
        <f>INDEX('[7]PLANILLA  RODRIGO'!M35:AU67,1,6)</f>
        <v>OK</v>
      </c>
      <c r="U212" s="97" t="str">
        <f>INDEX('[7]PLANILLA  RODRIGO'!N35:AV67,1,6)</f>
        <v>OK</v>
      </c>
      <c r="V212" s="97" t="str">
        <f>INDEX('[7]PLANILLA  RODRIGO'!O35:AW67,1,6)</f>
        <v>OK</v>
      </c>
      <c r="W212" s="97" t="str">
        <f>INDEX('[7]PLANILLA  RODRIGO'!P35:AX67,1,6)</f>
        <v>OK</v>
      </c>
      <c r="X212" s="97" t="str">
        <f>INDEX('[7]PLANILLA  RODRIGO'!Q35:AY67,1,6)</f>
        <v>OK</v>
      </c>
      <c r="Y212" s="97" t="str">
        <f>INDEX('[7]PLANILLA  RODRIGO'!R35:AZ67,1,6)</f>
        <v>OK</v>
      </c>
      <c r="Z212" s="97" t="str">
        <f>INDEX('[7]PLANILLA  RODRIGO'!S35:BA67,1,6)</f>
        <v>OK</v>
      </c>
      <c r="AA212" s="97" t="str">
        <f>INDEX('[7]PLANILLA  RODRIGO'!T35:BB67,1,6)</f>
        <v>OK</v>
      </c>
      <c r="AB212" s="97" t="str">
        <f>INDEX('[7]PLANILLA  RODRIGO'!U35:BC67,1,6)</f>
        <v>OK</v>
      </c>
      <c r="AC212" s="97" t="str">
        <f>INDEX('[7]PLANILLA  RODRIGO'!V35:BD67,1,6)</f>
        <v>OK</v>
      </c>
      <c r="AD212" s="97" t="str">
        <f>INDEX('[7]PLANILLA  RODRIGO'!W35:BE67,1,6)</f>
        <v>OK</v>
      </c>
      <c r="AE212" s="97">
        <f>INDEX('[7]PLANILLA  RODRIGO'!X35:BF67,1,6)</f>
        <v>0</v>
      </c>
      <c r="AF212" s="97">
        <f>INDEX('[7]PLANILLA  RODRIGO'!Y35:BG67,1,6)</f>
        <v>0</v>
      </c>
      <c r="AG212" s="97">
        <f>INDEX('[7]PLANILLA  RODRIGO'!Z35:BH67,1,6)</f>
        <v>0</v>
      </c>
      <c r="AH212" s="97">
        <f>INDEX('[7]PLANILLA  RODRIGO'!AA35:BI67,1,6)</f>
        <v>0</v>
      </c>
      <c r="AI212" s="97">
        <f>INDEX('[7]PLANILLA  RODRIGO'!AB35:BJ67,1,6)</f>
        <v>0</v>
      </c>
      <c r="AJ212" s="97">
        <f>INDEX('[7]PLANILLA  RODRIGO'!AC35:BK67,1,6)</f>
        <v>0</v>
      </c>
      <c r="AK212" s="97">
        <f>INDEX('[7]PLANILLA  RODRIGO'!AD35:BL67,1,6)</f>
        <v>0</v>
      </c>
      <c r="AL212" s="97">
        <f>INDEX('[7]PLANILLA  RODRIGO'!AE35:BM67,1,6)</f>
        <v>0</v>
      </c>
      <c r="AM212" s="97">
        <f>INDEX('[7]PLANILLA  RODRIGO'!AF35:BN67,1,6)</f>
        <v>0</v>
      </c>
      <c r="AO212" s="116">
        <f t="shared" si="26"/>
        <v>0</v>
      </c>
      <c r="AP212" s="116">
        <f t="shared" si="26"/>
        <v>0</v>
      </c>
      <c r="AQ212" s="116">
        <f t="shared" si="26"/>
        <v>0</v>
      </c>
      <c r="AR212" s="116">
        <f t="shared" si="26"/>
        <v>0</v>
      </c>
      <c r="AS212" s="116">
        <f t="shared" si="26"/>
        <v>0</v>
      </c>
      <c r="AT212" s="116">
        <f t="shared" si="26"/>
        <v>0</v>
      </c>
      <c r="AU212" s="116">
        <f t="shared" si="26"/>
        <v>0</v>
      </c>
      <c r="AV212" s="116">
        <f t="shared" si="26"/>
        <v>0</v>
      </c>
      <c r="AW212" s="116">
        <f t="shared" si="26"/>
        <v>0</v>
      </c>
      <c r="AX212" s="116">
        <f t="shared" si="26"/>
        <v>0</v>
      </c>
      <c r="AY212" s="116">
        <f t="shared" si="26"/>
        <v>0</v>
      </c>
      <c r="AZ212" s="116">
        <f t="shared" si="26"/>
        <v>0</v>
      </c>
      <c r="BA212" s="116">
        <f t="shared" si="26"/>
        <v>21</v>
      </c>
      <c r="BB212" s="117">
        <f t="shared" si="24"/>
        <v>21</v>
      </c>
    </row>
    <row r="213" spans="1:54">
      <c r="B213" s="112">
        <v>205</v>
      </c>
      <c r="C213" s="133">
        <f>+'[7]PLANILLA  RODRIGO'!C36</f>
        <v>52897266</v>
      </c>
      <c r="D213" s="114" t="str">
        <f>IFERROR(VLOOKUP($C213,'[7]PLANILLA  RODRIGO'!$C$9:$F$86,2,0),"NO BD")</f>
        <v xml:space="preserve">BERMUDEZ MARTINEZ JENNY KIMBERLY </v>
      </c>
      <c r="E213" s="115" t="s">
        <v>596</v>
      </c>
      <c r="F213" s="114" t="str">
        <f>IFERROR(VLOOKUP($C213,[7]BD!$B$3:$O$213,3,0),"")</f>
        <v>OPERARIA DE ASEO Y CAFETERIA</v>
      </c>
      <c r="G213" s="77" t="s">
        <v>484</v>
      </c>
      <c r="H213" s="114" t="str">
        <f>IFERROR(VLOOKUP($C213,[7]BD!$B$3:$O$203,14,0),"")</f>
        <v>3154173171</v>
      </c>
      <c r="I213" s="114" t="str">
        <f>IFERROR(VLOOKUP($C213,[7]BD!$B$3:$O$203,4,0),"")</f>
        <v>18/10/2025</v>
      </c>
      <c r="J213" s="97" t="str">
        <f>INDEX('[7]PLANILLA  RODRIGO'!C36:AK68,1,6)</f>
        <v>OK</v>
      </c>
      <c r="K213" s="97" t="str">
        <f>INDEX('[7]PLANILLA  RODRIGO'!D36:AL68,1,6)</f>
        <v>OK</v>
      </c>
      <c r="L213" s="97" t="str">
        <f>INDEX('[7]PLANILLA  RODRIGO'!E36:AM68,1,6)</f>
        <v>OK</v>
      </c>
      <c r="M213" s="97" t="str">
        <f>INDEX('[7]PLANILLA  RODRIGO'!F36:AN68,1,6)</f>
        <v>OK</v>
      </c>
      <c r="N213" s="97" t="str">
        <f>INDEX('[7]PLANILLA  RODRIGO'!G36:AO68,1,6)</f>
        <v>OK</v>
      </c>
      <c r="O213" s="97" t="str">
        <f>INDEX('[7]PLANILLA  RODRIGO'!H36:AP68,1,6)</f>
        <v>OK</v>
      </c>
      <c r="P213" s="97" t="str">
        <f>INDEX('[7]PLANILLA  RODRIGO'!I36:AQ68,1,6)</f>
        <v>OK</v>
      </c>
      <c r="Q213" s="97" t="str">
        <f>INDEX('[7]PLANILLA  RODRIGO'!J36:AR68,1,6)</f>
        <v>OK</v>
      </c>
      <c r="R213" s="97" t="str">
        <f>INDEX('[7]PLANILLA  RODRIGO'!K36:AS68,1,6)</f>
        <v>OK</v>
      </c>
      <c r="S213" s="97" t="str">
        <f>INDEX('[7]PLANILLA  RODRIGO'!L36:AT68,1,6)</f>
        <v>OK</v>
      </c>
      <c r="T213" s="97" t="str">
        <f>INDEX('[7]PLANILLA  RODRIGO'!M36:AU68,1,6)</f>
        <v>OK</v>
      </c>
      <c r="U213" s="97" t="str">
        <f>INDEX('[7]PLANILLA  RODRIGO'!N36:AV68,1,6)</f>
        <v>OK</v>
      </c>
      <c r="V213" s="97" t="str">
        <f>INDEX('[7]PLANILLA  RODRIGO'!O36:AW68,1,6)</f>
        <v>OK</v>
      </c>
      <c r="W213" s="97" t="str">
        <f>INDEX('[7]PLANILLA  RODRIGO'!P36:AX68,1,6)</f>
        <v>OK</v>
      </c>
      <c r="X213" s="97" t="str">
        <f>INDEX('[7]PLANILLA  RODRIGO'!Q36:AY68,1,6)</f>
        <v>OK</v>
      </c>
      <c r="Y213" s="97" t="str">
        <f>INDEX('[7]PLANILLA  RODRIGO'!R36:AZ68,1,6)</f>
        <v>OK</v>
      </c>
      <c r="Z213" s="97" t="str">
        <f>INDEX('[7]PLANILLA  RODRIGO'!S36:BA68,1,6)</f>
        <v>OK</v>
      </c>
      <c r="AA213" s="97" t="str">
        <f>INDEX('[7]PLANILLA  RODRIGO'!T36:BB68,1,6)</f>
        <v>OK</v>
      </c>
      <c r="AB213" s="97" t="str">
        <f>INDEX('[7]PLANILLA  RODRIGO'!U36:BC68,1,6)</f>
        <v>OK</v>
      </c>
      <c r="AC213" s="97" t="str">
        <f>INDEX('[7]PLANILLA  RODRIGO'!V36:BD68,1,6)</f>
        <v>OK</v>
      </c>
      <c r="AD213" s="97" t="str">
        <f>INDEX('[7]PLANILLA  RODRIGO'!W36:BE68,1,6)</f>
        <v>OK</v>
      </c>
      <c r="AE213" s="97">
        <f>INDEX('[7]PLANILLA  RODRIGO'!X36:BF68,1,6)</f>
        <v>0</v>
      </c>
      <c r="AF213" s="97">
        <f>INDEX('[7]PLANILLA  RODRIGO'!Y36:BG68,1,6)</f>
        <v>0</v>
      </c>
      <c r="AG213" s="97">
        <f>INDEX('[7]PLANILLA  RODRIGO'!Z36:BH68,1,6)</f>
        <v>0</v>
      </c>
      <c r="AH213" s="97">
        <f>INDEX('[7]PLANILLA  RODRIGO'!AA36:BI68,1,6)</f>
        <v>0</v>
      </c>
      <c r="AI213" s="97">
        <f>INDEX('[7]PLANILLA  RODRIGO'!AB36:BJ68,1,6)</f>
        <v>0</v>
      </c>
      <c r="AJ213" s="97">
        <f>INDEX('[7]PLANILLA  RODRIGO'!AC36:BK68,1,6)</f>
        <v>0</v>
      </c>
      <c r="AK213" s="97">
        <f>INDEX('[7]PLANILLA  RODRIGO'!AD36:BL68,1,6)</f>
        <v>0</v>
      </c>
      <c r="AL213" s="97">
        <f>INDEX('[7]PLANILLA  RODRIGO'!AE36:BM68,1,6)</f>
        <v>0</v>
      </c>
      <c r="AM213" s="97">
        <f>INDEX('[7]PLANILLA  RODRIGO'!AF36:BN68,1,6)</f>
        <v>0</v>
      </c>
      <c r="AO213" s="116">
        <f t="shared" si="26"/>
        <v>0</v>
      </c>
      <c r="AP213" s="116">
        <f t="shared" si="26"/>
        <v>0</v>
      </c>
      <c r="AQ213" s="116">
        <f t="shared" si="26"/>
        <v>0</v>
      </c>
      <c r="AR213" s="116">
        <f t="shared" si="26"/>
        <v>0</v>
      </c>
      <c r="AS213" s="116">
        <f t="shared" si="26"/>
        <v>0</v>
      </c>
      <c r="AT213" s="116">
        <f t="shared" si="26"/>
        <v>0</v>
      </c>
      <c r="AU213" s="116">
        <f t="shared" si="26"/>
        <v>0</v>
      </c>
      <c r="AV213" s="116">
        <f t="shared" si="26"/>
        <v>0</v>
      </c>
      <c r="AW213" s="116">
        <f t="shared" si="26"/>
        <v>0</v>
      </c>
      <c r="AX213" s="116">
        <f t="shared" si="26"/>
        <v>0</v>
      </c>
      <c r="AY213" s="116">
        <f t="shared" si="26"/>
        <v>0</v>
      </c>
      <c r="AZ213" s="116">
        <f t="shared" si="26"/>
        <v>0</v>
      </c>
      <c r="BA213" s="116">
        <f t="shared" si="26"/>
        <v>21</v>
      </c>
      <c r="BB213" s="117">
        <f t="shared" si="24"/>
        <v>21</v>
      </c>
    </row>
    <row r="214" spans="1:54">
      <c r="A214" s="119" t="s">
        <v>583</v>
      </c>
      <c r="B214" s="112">
        <v>206</v>
      </c>
      <c r="C214" s="133">
        <f>+'[7]PLANILLA  RODRIGO'!C37</f>
        <v>1128053736</v>
      </c>
      <c r="D214" s="114" t="str">
        <f>IFERROR(VLOOKUP($C214,'[7]PLANILLA  RODRIGO'!$C$9:$F$86,2,0),"NO BD")</f>
        <v xml:space="preserve">PAJARO PANIZZA MARIANA DEJESUS </v>
      </c>
      <c r="E214" s="115" t="s">
        <v>596</v>
      </c>
      <c r="F214" s="114" t="str">
        <f>IFERROR(VLOOKUP($C214,[7]BD!$B$3:$O$213,3,0),"")</f>
        <v>OPERARIA DE ASEO Y CAFETERIA</v>
      </c>
      <c r="G214" s="77" t="s">
        <v>492</v>
      </c>
      <c r="H214" s="114" t="str">
        <f>IFERROR(VLOOKUP($C214,[7]BD!$B$3:$O$203,14,0),"")</f>
        <v>3223884422</v>
      </c>
      <c r="I214" s="114" t="str">
        <f>IFERROR(VLOOKUP($C214,[7]BD!$B$3:$O$203,4,0),"")</f>
        <v>18/10/2025</v>
      </c>
      <c r="J214" s="97" t="str">
        <f>INDEX('[7]PLANILLA  RODRIGO'!C37:AK69,1,6)</f>
        <v>OK</v>
      </c>
      <c r="K214" s="97" t="str">
        <f>INDEX('[7]PLANILLA  RODRIGO'!D37:AL69,1,6)</f>
        <v>OK</v>
      </c>
      <c r="L214" s="97" t="str">
        <f>INDEX('[7]PLANILLA  RODRIGO'!E37:AM69,1,6)</f>
        <v>OK</v>
      </c>
      <c r="M214" s="97" t="str">
        <f>INDEX('[7]PLANILLA  RODRIGO'!F37:AN69,1,6)</f>
        <v>OK</v>
      </c>
      <c r="N214" s="97" t="str">
        <f>INDEX('[7]PLANILLA  RODRIGO'!G37:AO69,1,6)</f>
        <v>OK</v>
      </c>
      <c r="O214" s="97" t="str">
        <f>INDEX('[7]PLANILLA  RODRIGO'!H37:AP69,1,6)</f>
        <v>OK</v>
      </c>
      <c r="P214" s="97" t="str">
        <f>INDEX('[7]PLANILLA  RODRIGO'!I37:AQ69,1,6)</f>
        <v>OK</v>
      </c>
      <c r="Q214" s="97" t="str">
        <f>INDEX('[7]PLANILLA  RODRIGO'!J37:AR69,1,6)</f>
        <v>OK</v>
      </c>
      <c r="R214" s="97" t="str">
        <f>INDEX('[7]PLANILLA  RODRIGO'!K37:AS69,1,6)</f>
        <v>OK</v>
      </c>
      <c r="S214" s="97" t="str">
        <f>INDEX('[7]PLANILLA  RODRIGO'!L37:AT69,1,6)</f>
        <v>OK</v>
      </c>
      <c r="T214" s="97" t="str">
        <f>INDEX('[7]PLANILLA  RODRIGO'!M37:AU69,1,6)</f>
        <v>OK</v>
      </c>
      <c r="U214" s="97" t="str">
        <f>INDEX('[7]PLANILLA  RODRIGO'!N37:AV69,1,6)</f>
        <v>OK</v>
      </c>
      <c r="V214" s="97" t="str">
        <f>INDEX('[7]PLANILLA  RODRIGO'!O37:AW69,1,6)</f>
        <v>OK</v>
      </c>
      <c r="W214" s="97" t="str">
        <f>INDEX('[7]PLANILLA  RODRIGO'!P37:AX69,1,6)</f>
        <v>OK</v>
      </c>
      <c r="X214" s="97" t="str">
        <f>INDEX('[7]PLANILLA  RODRIGO'!Q37:AY69,1,6)</f>
        <v>OK</v>
      </c>
      <c r="Y214" s="97" t="str">
        <f>INDEX('[7]PLANILLA  RODRIGO'!R37:AZ69,1,6)</f>
        <v>OK</v>
      </c>
      <c r="Z214" s="97" t="str">
        <f>INDEX('[7]PLANILLA  RODRIGO'!S37:BA69,1,6)</f>
        <v>OK</v>
      </c>
      <c r="AA214" s="97" t="str">
        <f>INDEX('[7]PLANILLA  RODRIGO'!T37:BB69,1,6)</f>
        <v>OK</v>
      </c>
      <c r="AB214" s="97" t="str">
        <f>INDEX('[7]PLANILLA  RODRIGO'!U37:BC69,1,6)</f>
        <v>OK</v>
      </c>
      <c r="AC214" s="97" t="str">
        <f>INDEX('[7]PLANILLA  RODRIGO'!V37:BD69,1,6)</f>
        <v>OK</v>
      </c>
      <c r="AD214" s="97" t="str">
        <f>INDEX('[7]PLANILLA  RODRIGO'!W37:BE69,1,6)</f>
        <v>OK</v>
      </c>
      <c r="AE214" s="97">
        <f>INDEX('[7]PLANILLA  RODRIGO'!X37:BF69,1,6)</f>
        <v>0</v>
      </c>
      <c r="AF214" s="97">
        <f>INDEX('[7]PLANILLA  RODRIGO'!Y37:BG69,1,6)</f>
        <v>0</v>
      </c>
      <c r="AG214" s="97">
        <f>INDEX('[7]PLANILLA  RODRIGO'!Z37:BH69,1,6)</f>
        <v>0</v>
      </c>
      <c r="AH214" s="97">
        <f>INDEX('[7]PLANILLA  RODRIGO'!AA37:BI69,1,6)</f>
        <v>0</v>
      </c>
      <c r="AI214" s="97">
        <f>INDEX('[7]PLANILLA  RODRIGO'!AB37:BJ69,1,6)</f>
        <v>0</v>
      </c>
      <c r="AJ214" s="97">
        <f>INDEX('[7]PLANILLA  RODRIGO'!AC37:BK69,1,6)</f>
        <v>0</v>
      </c>
      <c r="AK214" s="97">
        <f>INDEX('[7]PLANILLA  RODRIGO'!AD37:BL69,1,6)</f>
        <v>0</v>
      </c>
      <c r="AL214" s="97">
        <f>INDEX('[7]PLANILLA  RODRIGO'!AE37:BM69,1,6)</f>
        <v>0</v>
      </c>
      <c r="AM214" s="97">
        <f>INDEX('[7]PLANILLA  RODRIGO'!AF37:BN69,1,6)</f>
        <v>0</v>
      </c>
      <c r="AO214" s="116">
        <f t="shared" si="26"/>
        <v>0</v>
      </c>
      <c r="AP214" s="116">
        <f t="shared" si="26"/>
        <v>0</v>
      </c>
      <c r="AQ214" s="116">
        <f t="shared" si="26"/>
        <v>0</v>
      </c>
      <c r="AR214" s="116">
        <f t="shared" si="26"/>
        <v>0</v>
      </c>
      <c r="AS214" s="116">
        <f t="shared" si="26"/>
        <v>0</v>
      </c>
      <c r="AT214" s="116">
        <f t="shared" si="26"/>
        <v>0</v>
      </c>
      <c r="AU214" s="116">
        <f t="shared" si="26"/>
        <v>0</v>
      </c>
      <c r="AV214" s="116">
        <f t="shared" si="26"/>
        <v>0</v>
      </c>
      <c r="AW214" s="116">
        <f t="shared" si="26"/>
        <v>0</v>
      </c>
      <c r="AX214" s="116">
        <f t="shared" si="26"/>
        <v>0</v>
      </c>
      <c r="AY214" s="116">
        <f t="shared" si="26"/>
        <v>0</v>
      </c>
      <c r="AZ214" s="116">
        <f t="shared" si="26"/>
        <v>0</v>
      </c>
      <c r="BA214" s="116">
        <f t="shared" si="26"/>
        <v>21</v>
      </c>
      <c r="BB214" s="117">
        <f t="shared" si="24"/>
        <v>21</v>
      </c>
    </row>
    <row r="215" spans="1:54">
      <c r="A215" s="119" t="s">
        <v>583</v>
      </c>
      <c r="B215" s="112">
        <v>207</v>
      </c>
      <c r="C215" s="133">
        <f>+'[7]PLANILLA  RODRIGO'!C38</f>
        <v>1023882611</v>
      </c>
      <c r="D215" s="114" t="str">
        <f>IFERROR(VLOOKUP($C215,'[7]PLANILLA  RODRIGO'!$C$9:$F$86,2,0),"NO BD")</f>
        <v xml:space="preserve">RODRIGUEZ ZEA CINDY YAZMIN </v>
      </c>
      <c r="E215" s="115" t="s">
        <v>596</v>
      </c>
      <c r="F215" s="114" t="str">
        <f>IFERROR(VLOOKUP($C215,[7]BD!$B$3:$O$213,3,0),"")</f>
        <v>OPERARIA DE ASEO Y CAFETERIA</v>
      </c>
      <c r="G215" s="77" t="s">
        <v>492</v>
      </c>
      <c r="H215" s="114" t="str">
        <f>IFERROR(VLOOKUP($C215,[7]BD!$B$3:$O$203,14,0),"")</f>
        <v>3206838202</v>
      </c>
      <c r="I215" s="114" t="str">
        <f>IFERROR(VLOOKUP($C215,[7]BD!$B$3:$O$203,4,0),"")</f>
        <v>18/10/2025</v>
      </c>
      <c r="J215" s="97" t="str">
        <f>INDEX('[7]PLANILLA  RODRIGO'!C38:AK70,1,6)</f>
        <v>OK</v>
      </c>
      <c r="K215" s="97" t="str">
        <f>INDEX('[7]PLANILLA  RODRIGO'!D38:AL70,1,6)</f>
        <v>OK</v>
      </c>
      <c r="L215" s="97" t="str">
        <f>INDEX('[7]PLANILLA  RODRIGO'!E38:AM70,1,6)</f>
        <v>OK</v>
      </c>
      <c r="M215" s="97" t="str">
        <f>INDEX('[7]PLANILLA  RODRIGO'!F38:AN70,1,6)</f>
        <v>OK</v>
      </c>
      <c r="N215" s="97" t="str">
        <f>INDEX('[7]PLANILLA  RODRIGO'!G38:AO70,1,6)</f>
        <v>OK</v>
      </c>
      <c r="O215" s="97" t="str">
        <f>INDEX('[7]PLANILLA  RODRIGO'!H38:AP70,1,6)</f>
        <v>OK</v>
      </c>
      <c r="P215" s="97" t="str">
        <f>INDEX('[7]PLANILLA  RODRIGO'!I38:AQ70,1,6)</f>
        <v>OK</v>
      </c>
      <c r="Q215" s="97" t="str">
        <f>INDEX('[7]PLANILLA  RODRIGO'!J38:AR70,1,6)</f>
        <v>OK</v>
      </c>
      <c r="R215" s="97" t="str">
        <f>INDEX('[7]PLANILLA  RODRIGO'!K38:AS70,1,6)</f>
        <v>OK</v>
      </c>
      <c r="S215" s="97" t="str">
        <f>INDEX('[7]PLANILLA  RODRIGO'!L38:AT70,1,6)</f>
        <v>OK</v>
      </c>
      <c r="T215" s="97" t="str">
        <f>INDEX('[7]PLANILLA  RODRIGO'!M38:AU70,1,6)</f>
        <v>OK</v>
      </c>
      <c r="U215" s="97" t="str">
        <f>INDEX('[7]PLANILLA  RODRIGO'!N38:AV70,1,6)</f>
        <v>OK</v>
      </c>
      <c r="V215" s="97" t="str">
        <f>INDEX('[7]PLANILLA  RODRIGO'!O38:AW70,1,6)</f>
        <v>OK</v>
      </c>
      <c r="W215" s="97" t="str">
        <f>INDEX('[7]PLANILLA  RODRIGO'!P38:AX70,1,6)</f>
        <v>OK</v>
      </c>
      <c r="X215" s="97" t="str">
        <f>INDEX('[7]PLANILLA  RODRIGO'!Q38:AY70,1,6)</f>
        <v>OK</v>
      </c>
      <c r="Y215" s="97" t="str">
        <f>INDEX('[7]PLANILLA  RODRIGO'!R38:AZ70,1,6)</f>
        <v>OK</v>
      </c>
      <c r="Z215" s="97" t="str">
        <f>INDEX('[7]PLANILLA  RODRIGO'!S38:BA70,1,6)</f>
        <v>OK</v>
      </c>
      <c r="AA215" s="97" t="str">
        <f>INDEX('[7]PLANILLA  RODRIGO'!T38:BB70,1,6)</f>
        <v>OK</v>
      </c>
      <c r="AB215" s="97" t="str">
        <f>INDEX('[7]PLANILLA  RODRIGO'!U38:BC70,1,6)</f>
        <v>OK</v>
      </c>
      <c r="AC215" s="97" t="str">
        <f>INDEX('[7]PLANILLA  RODRIGO'!V38:BD70,1,6)</f>
        <v>OK</v>
      </c>
      <c r="AD215" s="97" t="str">
        <f>INDEX('[7]PLANILLA  RODRIGO'!W38:BE70,1,6)</f>
        <v>OK</v>
      </c>
      <c r="AE215" s="97">
        <f>INDEX('[7]PLANILLA  RODRIGO'!X38:BF70,1,6)</f>
        <v>0</v>
      </c>
      <c r="AF215" s="97">
        <f>INDEX('[7]PLANILLA  RODRIGO'!Y38:BG70,1,6)</f>
        <v>0</v>
      </c>
      <c r="AG215" s="97">
        <f>INDEX('[7]PLANILLA  RODRIGO'!Z38:BH70,1,6)</f>
        <v>0</v>
      </c>
      <c r="AH215" s="97">
        <f>INDEX('[7]PLANILLA  RODRIGO'!AA38:BI70,1,6)</f>
        <v>0</v>
      </c>
      <c r="AI215" s="97">
        <f>INDEX('[7]PLANILLA  RODRIGO'!AB38:BJ70,1,6)</f>
        <v>0</v>
      </c>
      <c r="AJ215" s="97">
        <f>INDEX('[7]PLANILLA  RODRIGO'!AC38:BK70,1,6)</f>
        <v>0</v>
      </c>
      <c r="AK215" s="97">
        <f>INDEX('[7]PLANILLA  RODRIGO'!AD38:BL70,1,6)</f>
        <v>0</v>
      </c>
      <c r="AL215" s="97">
        <f>INDEX('[7]PLANILLA  RODRIGO'!AE38:BM70,1,6)</f>
        <v>0</v>
      </c>
      <c r="AM215" s="97">
        <f>INDEX('[7]PLANILLA  RODRIGO'!AF38:BN70,1,6)</f>
        <v>0</v>
      </c>
      <c r="AO215" s="116">
        <f t="shared" si="26"/>
        <v>0</v>
      </c>
      <c r="AP215" s="116">
        <f t="shared" si="26"/>
        <v>0</v>
      </c>
      <c r="AQ215" s="116">
        <f t="shared" si="26"/>
        <v>0</v>
      </c>
      <c r="AR215" s="116">
        <f t="shared" si="26"/>
        <v>0</v>
      </c>
      <c r="AS215" s="116">
        <f t="shared" si="26"/>
        <v>0</v>
      </c>
      <c r="AT215" s="116">
        <f t="shared" si="26"/>
        <v>0</v>
      </c>
      <c r="AU215" s="116">
        <f t="shared" si="26"/>
        <v>0</v>
      </c>
      <c r="AV215" s="116">
        <f t="shared" si="26"/>
        <v>0</v>
      </c>
      <c r="AW215" s="116">
        <f t="shared" si="26"/>
        <v>0</v>
      </c>
      <c r="AX215" s="116">
        <f t="shared" si="26"/>
        <v>0</v>
      </c>
      <c r="AY215" s="116">
        <f t="shared" si="26"/>
        <v>0</v>
      </c>
      <c r="AZ215" s="116">
        <f t="shared" si="26"/>
        <v>0</v>
      </c>
      <c r="BA215" s="116">
        <f t="shared" si="26"/>
        <v>21</v>
      </c>
      <c r="BB215" s="117">
        <f t="shared" si="24"/>
        <v>21</v>
      </c>
    </row>
    <row r="216" spans="1:54">
      <c r="B216" s="112">
        <v>208</v>
      </c>
      <c r="C216" s="133">
        <f>+'[7]PLANILLA  RODRIGO'!C39</f>
        <v>80166999</v>
      </c>
      <c r="D216" s="114" t="str">
        <f>IFERROR(VLOOKUP($C216,'[7]PLANILLA  RODRIGO'!$C$9:$F$86,2,0),"NO BD")</f>
        <v xml:space="preserve">VELOZA GALINDO RODRIGO  </v>
      </c>
      <c r="E216" s="115" t="s">
        <v>596</v>
      </c>
      <c r="F216" s="114" t="str">
        <f>IFERROR(VLOOKUP($C216,[7]BD!$B$3:$O$213,3,0),"")</f>
        <v>SUPERVISOR</v>
      </c>
      <c r="G216" s="77" t="s">
        <v>484</v>
      </c>
      <c r="H216" s="114" t="str">
        <f>IFERROR(VLOOKUP($C216,[7]BD!$B$3:$O$203,14,0),"")</f>
        <v>3233204212</v>
      </c>
      <c r="I216" s="114" t="str">
        <f>IFERROR(VLOOKUP($C216,[7]BD!$B$3:$O$203,4,0),"")</f>
        <v>22/01/2026</v>
      </c>
      <c r="J216" s="97" t="str">
        <f>INDEX('[7]PLANILLA  RODRIGO'!C39:AK71,1,6)</f>
        <v>OK</v>
      </c>
      <c r="K216" s="97" t="str">
        <f>INDEX('[7]PLANILLA  RODRIGO'!D39:AL71,1,6)</f>
        <v>OK</v>
      </c>
      <c r="L216" s="97" t="str">
        <f>INDEX('[7]PLANILLA  RODRIGO'!E39:AM71,1,6)</f>
        <v>OK</v>
      </c>
      <c r="M216" s="97" t="str">
        <f>INDEX('[7]PLANILLA  RODRIGO'!F39:AN71,1,6)</f>
        <v>OK</v>
      </c>
      <c r="N216" s="97" t="str">
        <f>INDEX('[7]PLANILLA  RODRIGO'!G39:AO71,1,6)</f>
        <v>OK</v>
      </c>
      <c r="O216" s="97" t="str">
        <f>INDEX('[7]PLANILLA  RODRIGO'!H39:AP71,1,6)</f>
        <v>OK</v>
      </c>
      <c r="P216" s="97" t="str">
        <f>INDEX('[7]PLANILLA  RODRIGO'!I39:AQ71,1,6)</f>
        <v>OK</v>
      </c>
      <c r="Q216" s="97" t="str">
        <f>INDEX('[7]PLANILLA  RODRIGO'!J39:AR71,1,6)</f>
        <v>OK</v>
      </c>
      <c r="R216" s="97" t="str">
        <f>INDEX('[7]PLANILLA  RODRIGO'!K39:AS71,1,6)</f>
        <v>OK</v>
      </c>
      <c r="S216" s="97" t="str">
        <f>INDEX('[7]PLANILLA  RODRIGO'!L39:AT71,1,6)</f>
        <v>OK</v>
      </c>
      <c r="T216" s="97" t="str">
        <f>INDEX('[7]PLANILLA  RODRIGO'!M39:AU71,1,6)</f>
        <v>OK</v>
      </c>
      <c r="U216" s="97" t="str">
        <f>INDEX('[7]PLANILLA  RODRIGO'!N39:AV71,1,6)</f>
        <v>OK</v>
      </c>
      <c r="V216" s="97" t="str">
        <f>INDEX('[7]PLANILLA  RODRIGO'!O39:AW71,1,6)</f>
        <v>OK</v>
      </c>
      <c r="W216" s="97" t="str">
        <f>INDEX('[7]PLANILLA  RODRIGO'!P39:AX71,1,6)</f>
        <v>OK</v>
      </c>
      <c r="X216" s="97" t="str">
        <f>INDEX('[7]PLANILLA  RODRIGO'!Q39:AY71,1,6)</f>
        <v>OK</v>
      </c>
      <c r="Y216" s="97" t="str">
        <f>INDEX('[7]PLANILLA  RODRIGO'!R39:AZ71,1,6)</f>
        <v>OK</v>
      </c>
      <c r="Z216" s="97" t="str">
        <f>INDEX('[7]PLANILLA  RODRIGO'!S39:BA71,1,6)</f>
        <v>OK</v>
      </c>
      <c r="AA216" s="97" t="str">
        <f>INDEX('[7]PLANILLA  RODRIGO'!T39:BB71,1,6)</f>
        <v>OK</v>
      </c>
      <c r="AB216" s="97" t="str">
        <f>INDEX('[7]PLANILLA  RODRIGO'!U39:BC71,1,6)</f>
        <v>OK</v>
      </c>
      <c r="AC216" s="97" t="str">
        <f>INDEX('[7]PLANILLA  RODRIGO'!V39:BD71,1,6)</f>
        <v>OK</v>
      </c>
      <c r="AD216" s="97" t="str">
        <f>INDEX('[7]PLANILLA  RODRIGO'!W39:BE71,1,6)</f>
        <v>OK</v>
      </c>
      <c r="AE216" s="97">
        <f>INDEX('[7]PLANILLA  RODRIGO'!X39:BF71,1,6)</f>
        <v>0</v>
      </c>
      <c r="AF216" s="97">
        <f>INDEX('[7]PLANILLA  RODRIGO'!Y39:BG71,1,6)</f>
        <v>0</v>
      </c>
      <c r="AG216" s="97">
        <f>INDEX('[7]PLANILLA  RODRIGO'!Z39:BH71,1,6)</f>
        <v>0</v>
      </c>
      <c r="AH216" s="97">
        <f>INDEX('[7]PLANILLA  RODRIGO'!AA39:BI71,1,6)</f>
        <v>0</v>
      </c>
      <c r="AI216" s="97">
        <f>INDEX('[7]PLANILLA  RODRIGO'!AB39:BJ71,1,6)</f>
        <v>0</v>
      </c>
      <c r="AJ216" s="97">
        <f>INDEX('[7]PLANILLA  RODRIGO'!AC39:BK71,1,6)</f>
        <v>0</v>
      </c>
      <c r="AK216" s="97">
        <f>INDEX('[7]PLANILLA  RODRIGO'!AD39:BL71,1,6)</f>
        <v>0</v>
      </c>
      <c r="AL216" s="97">
        <f>INDEX('[7]PLANILLA  RODRIGO'!AE39:BM71,1,6)</f>
        <v>0</v>
      </c>
      <c r="AM216" s="97">
        <f>INDEX('[7]PLANILLA  RODRIGO'!AF39:BN71,1,6)</f>
        <v>0</v>
      </c>
      <c r="AO216" s="116">
        <f t="shared" si="26"/>
        <v>0</v>
      </c>
      <c r="AP216" s="116">
        <f t="shared" si="26"/>
        <v>0</v>
      </c>
      <c r="AQ216" s="116">
        <f t="shared" si="26"/>
        <v>0</v>
      </c>
      <c r="AR216" s="116">
        <f t="shared" si="26"/>
        <v>0</v>
      </c>
      <c r="AS216" s="116">
        <f t="shared" si="26"/>
        <v>0</v>
      </c>
      <c r="AT216" s="116">
        <f t="shared" si="26"/>
        <v>0</v>
      </c>
      <c r="AU216" s="116">
        <f t="shared" si="26"/>
        <v>0</v>
      </c>
      <c r="AV216" s="116">
        <f t="shared" si="26"/>
        <v>0</v>
      </c>
      <c r="AW216" s="116">
        <f t="shared" si="26"/>
        <v>0</v>
      </c>
      <c r="AX216" s="116">
        <f t="shared" si="26"/>
        <v>0</v>
      </c>
      <c r="AY216" s="116">
        <f t="shared" si="26"/>
        <v>0</v>
      </c>
      <c r="AZ216" s="116">
        <f t="shared" si="26"/>
        <v>0</v>
      </c>
      <c r="BA216" s="116">
        <f t="shared" si="26"/>
        <v>21</v>
      </c>
      <c r="BB216" s="117">
        <f t="shared" si="24"/>
        <v>21</v>
      </c>
    </row>
    <row r="217" spans="1:54">
      <c r="AO217" s="138">
        <f>SUM(AO9:AO216)</f>
        <v>11</v>
      </c>
      <c r="AP217" s="138">
        <f t="shared" ref="AP217:BA217" si="27">SUM(AP9:AP216)</f>
        <v>0</v>
      </c>
      <c r="AQ217" s="138">
        <f t="shared" si="27"/>
        <v>378</v>
      </c>
      <c r="AR217" s="138">
        <f t="shared" si="27"/>
        <v>93</v>
      </c>
      <c r="AS217" s="138">
        <f t="shared" si="27"/>
        <v>0</v>
      </c>
      <c r="AT217" s="138">
        <f t="shared" si="27"/>
        <v>0</v>
      </c>
      <c r="AU217" s="138">
        <f t="shared" si="27"/>
        <v>0</v>
      </c>
      <c r="AV217" s="138">
        <f t="shared" si="27"/>
        <v>7</v>
      </c>
      <c r="AW217" s="138">
        <f t="shared" si="27"/>
        <v>29</v>
      </c>
      <c r="AX217" s="138">
        <f t="shared" si="27"/>
        <v>9</v>
      </c>
      <c r="AY217" s="138">
        <f t="shared" si="27"/>
        <v>15</v>
      </c>
      <c r="AZ217" s="138">
        <f t="shared" si="27"/>
        <v>287</v>
      </c>
      <c r="BA217" s="138">
        <f t="shared" si="27"/>
        <v>3725</v>
      </c>
      <c r="BB217" s="138">
        <f>SUM(BB9:BB216)</f>
        <v>4103</v>
      </c>
    </row>
    <row r="220" spans="1:54">
      <c r="AO220" s="139">
        <f>+'[7]PLANILLA YEMI '!AM61+'[7]PLANILLA EDNA '!AM93+'[7]PLANILLA ALEJANDRO'!AM51+'[7]PLANILLA  RODRIGO'!AM40</f>
        <v>11</v>
      </c>
      <c r="AP220" s="139">
        <f>+'[7]PLANILLA YEMI '!AN61+'[7]PLANILLA EDNA '!AN93+'[7]PLANILLA ALEJANDRO'!AN51+'[7]PLANILLA  RODRIGO'!AN40</f>
        <v>0</v>
      </c>
      <c r="AQ220" s="139">
        <f>+'[7]PLANILLA YEMI '!AO61+'[7]PLANILLA EDNA '!AO93+'[7]PLANILLA ALEJANDRO'!AO51+'[7]PLANILLA  RODRIGO'!AO40</f>
        <v>378</v>
      </c>
      <c r="AR220" s="139">
        <f>'[7]PLANILLA YEMI '!AP61+'[7]PLANILLA EDNA '!AP93+'[7]PLANILLA ALEJANDRO'!AP51+'[7]PLANILLA  RODRIGO'!AP40</f>
        <v>93</v>
      </c>
      <c r="AS220" s="139">
        <f>+'[7]PLANILLA YEMI '!AQ61+'[7]PLANILLA EDNA '!AQ93+'[7]PLANILLA ALEJANDRO'!AQ51+'[7]PLANILLA  RODRIGO'!AQ40</f>
        <v>0</v>
      </c>
      <c r="AT220" s="139">
        <f>+'[7]PLANILLA YEMI '!AR61+'[7]PLANILLA EDNA '!AR93+'[7]PLANILLA ALEJANDRO'!AR51+'[7]PLANILLA  RODRIGO'!AR40</f>
        <v>0</v>
      </c>
      <c r="AU220" s="139">
        <f>'[7]PLANILLA YEMI '!AS61+'[7]PLANILLA EDNA '!AS93+'[7]PLANILLA ALEJANDRO'!AS51+'[7]PLANILLA  RODRIGO'!AS40</f>
        <v>0</v>
      </c>
      <c r="AV220" s="139">
        <f>+'[7]PLANILLA YEMI '!AT61+'[7]PLANILLA EDNA '!AT93+'[7]PLANILLA ALEJANDRO'!AT51+'[7]PLANILLA  RODRIGO'!AT40</f>
        <v>7</v>
      </c>
      <c r="AW220" s="139">
        <f>'[7]PLANILLA YEMI '!AU61+'[7]PLANILLA EDNA '!AU93+'[7]PLANILLA ALEJANDRO'!AU51+'[7]PLANILLA  RODRIGO'!AU40</f>
        <v>29</v>
      </c>
      <c r="AX220" s="139">
        <f>'[7]PLANILLA YEMI '!AV61+'[7]PLANILLA EDNA '!AV93+'[7]PLANILLA ALEJANDRO'!AV51</f>
        <v>9</v>
      </c>
      <c r="AY220" s="139">
        <f>+'[7]PLANILLA YEMI '!AW61+'[7]PLANILLA EDNA '!AW93+'[7]PLANILLA ALEJANDRO'!AW51+'[7]PLANILLA  RODRIGO'!AW40</f>
        <v>15</v>
      </c>
      <c r="AZ220" s="139"/>
      <c r="BA220" s="139">
        <f>+'[7]PLANILLA YEMI '!AX61+'[7]PLANILLA EDNA '!AX93+'[7]PLANILLA ALEJANDRO'!AX51+'[7]PLANILLA  RODRIGO'!AX40</f>
        <v>3725</v>
      </c>
      <c r="BB220" s="139">
        <f>+'[7]PLANILLA YEMI '!AY61+'[7]PLANILLA EDNA '!AY93+'[7]PLANILLA ALEJANDRO'!AY51+'[7]PLANILLA  RODRIGO'!AY40</f>
        <v>4103</v>
      </c>
    </row>
  </sheetData>
  <mergeCells count="10">
    <mergeCell ref="B2:C2"/>
    <mergeCell ref="B4:AM5"/>
    <mergeCell ref="B7:B8"/>
    <mergeCell ref="C7:C8"/>
    <mergeCell ref="D7:D8"/>
    <mergeCell ref="E7:E8"/>
    <mergeCell ref="F7:F8"/>
    <mergeCell ref="G7:G8"/>
    <mergeCell ref="H7:H8"/>
    <mergeCell ref="I7:I8"/>
  </mergeCells>
  <conditionalFormatting sqref="C1:C3 C6:C8 C102:C1048576">
    <cfRule type="duplicateValues" dxfId="161" priority="176"/>
    <cfRule type="duplicateValues" dxfId="160" priority="178"/>
    <cfRule type="duplicateValues" dxfId="159" priority="179"/>
  </conditionalFormatting>
  <conditionalFormatting sqref="C1:C8 C102:C1048576">
    <cfRule type="duplicateValues" dxfId="158" priority="180"/>
  </conditionalFormatting>
  <conditionalFormatting sqref="C1:C1048576">
    <cfRule type="duplicateValues" dxfId="157" priority="18"/>
  </conditionalFormatting>
  <conditionalFormatting sqref="C9:C101">
    <cfRule type="duplicateValues" dxfId="156" priority="181"/>
  </conditionalFormatting>
  <conditionalFormatting sqref="C102:C1048576">
    <cfRule type="duplicateValues" dxfId="155" priority="177"/>
  </conditionalFormatting>
  <conditionalFormatting sqref="D7:D8">
    <cfRule type="duplicateValues" dxfId="154" priority="175"/>
  </conditionalFormatting>
  <conditionalFormatting sqref="D9:D216">
    <cfRule type="duplicateValues" dxfId="153" priority="182"/>
  </conditionalFormatting>
  <conditionalFormatting sqref="I1:I3 I6:I8 I217:I1048576">
    <cfRule type="containsText" dxfId="152" priority="161" operator="containsText" text="RENUNCIA">
      <formula>NOT(ISERROR(SEARCH("RENUNCIA",I1)))</formula>
    </cfRule>
  </conditionalFormatting>
  <conditionalFormatting sqref="J7:AM8">
    <cfRule type="expression" dxfId="150" priority="171">
      <formula>AND(J$7="dom")</formula>
    </cfRule>
  </conditionalFormatting>
  <conditionalFormatting sqref="J9:AM216">
    <cfRule type="containsText" dxfId="148" priority="2" operator="containsText" text="TS">
      <formula>NOT(ISERROR(SEARCH("TS",J9)))</formula>
    </cfRule>
    <cfRule type="containsText" dxfId="147" priority="19" operator="containsText" text="&quot; &quot;">
      <formula>NOT(ISERROR(SEARCH(""" """,J9)))</formula>
    </cfRule>
    <cfRule type="containsText" dxfId="146" priority="20" operator="containsText" text="CD">
      <formula>NOT(ISERROR(SEARCH("CD",J9)))</formula>
    </cfRule>
    <cfRule type="containsText" dxfId="145" priority="21" operator="containsText" text="VAC">
      <formula>NOT(ISERROR(SEARCH("VAC",J9)))</formula>
    </cfRule>
    <cfRule type="containsText" dxfId="144" priority="22" operator="containsText" text="LT">
      <formula>NOT(ISERROR(SEARCH("LT",J9)))</formula>
    </cfRule>
    <cfRule type="containsText" dxfId="143" priority="23" operator="containsText" text="REN">
      <formula>NOT(ISERROR(SEARCH("REN",J9)))</formula>
    </cfRule>
    <cfRule type="containsText" dxfId="142" priority="24" operator="containsText" text="INC">
      <formula>NOT(ISERROR(SEARCH("INC",J9)))</formula>
    </cfRule>
    <cfRule type="containsText" dxfId="141" priority="25" operator="containsText" text="LNR">
      <formula>NOT(ISERROR(SEARCH("LNR",J9)))</formula>
    </cfRule>
    <cfRule type="containsText" dxfId="140" priority="162" operator="containsText" text="INC">
      <formula>NOT(ISERROR(SEARCH("INC",J9)))</formula>
    </cfRule>
    <cfRule type="containsText" dxfId="139" priority="163" operator="containsText" text="TC">
      <formula>NOT(ISERROR(SEARCH("TC",J9)))</formula>
    </cfRule>
    <cfRule type="containsText" dxfId="138" priority="164" operator="containsText" text="PNR">
      <formula>NOT(ISERROR(SEARCH("PNR",J9)))</formula>
    </cfRule>
    <cfRule type="containsText" dxfId="137" priority="165" operator="containsText" text="AUS">
      <formula>NOT(ISERROR(SEARCH("AUS",J9)))</formula>
    </cfRule>
    <cfRule type="containsText" dxfId="136" priority="166" operator="containsText" text="D">
      <formula>NOT(ISERROR(SEARCH("D",J9)))</formula>
    </cfRule>
    <cfRule type="containsText" dxfId="135" priority="167" stopIfTrue="1" operator="containsText" text="OK">
      <formula>NOT(ISERROR(SEARCH("OK",J9)))</formula>
    </cfRule>
    <cfRule type="containsText" dxfId="134" priority="169" operator="containsText" text="D">
      <formula>NOT(ISERROR(SEARCH("D",J9)))</formula>
    </cfRule>
    <cfRule type="containsBlanks" dxfId="133" priority="174">
      <formula>LEN(TRIM(J9))=0</formula>
    </cfRule>
  </conditionalFormatting>
  <conditionalFormatting sqref="J186:AM216">
    <cfRule type="containsText" dxfId="132" priority="3" operator="containsText" text="&quot; &quot;">
      <formula>NOT(ISERROR(SEARCH(""" """,J186)))</formula>
    </cfRule>
    <cfRule type="containsText" dxfId="131" priority="4" operator="containsText" text="CD">
      <formula>NOT(ISERROR(SEARCH("CD",J186)))</formula>
    </cfRule>
    <cfRule type="containsText" dxfId="130" priority="5" operator="containsText" text="VAC">
      <formula>NOT(ISERROR(SEARCH("VAC",J186)))</formula>
    </cfRule>
    <cfRule type="containsText" dxfId="129" priority="6" operator="containsText" text="LT">
      <formula>NOT(ISERROR(SEARCH("LT",J186)))</formula>
    </cfRule>
    <cfRule type="containsText" dxfId="128" priority="7" operator="containsText" text="REN">
      <formula>NOT(ISERROR(SEARCH("REN",J186)))</formula>
    </cfRule>
    <cfRule type="containsText" dxfId="127" priority="8" operator="containsText" text="INC">
      <formula>NOT(ISERROR(SEARCH("INC",J186)))</formula>
    </cfRule>
    <cfRule type="containsText" dxfId="126" priority="9" operator="containsText" text="LNR">
      <formula>NOT(ISERROR(SEARCH("LNR",J186)))</formula>
    </cfRule>
    <cfRule type="containsText" dxfId="125" priority="10" operator="containsText" text="INC">
      <formula>NOT(ISERROR(SEARCH("INC",J186)))</formula>
    </cfRule>
    <cfRule type="containsText" dxfId="124" priority="11" operator="containsText" text="TC">
      <formula>NOT(ISERROR(SEARCH("TC",J186)))</formula>
    </cfRule>
    <cfRule type="containsText" dxfId="123" priority="12" operator="containsText" text="PNR">
      <formula>NOT(ISERROR(SEARCH("PNR",J186)))</formula>
    </cfRule>
    <cfRule type="containsText" dxfId="122" priority="13" operator="containsText" text="AUS">
      <formula>NOT(ISERROR(SEARCH("AUS",J186)))</formula>
    </cfRule>
    <cfRule type="containsText" dxfId="121" priority="14" operator="containsText" text="D">
      <formula>NOT(ISERROR(SEARCH("D",J186)))</formula>
    </cfRule>
    <cfRule type="containsText" dxfId="120" priority="15" stopIfTrue="1" operator="containsText" text="OK">
      <formula>NOT(ISERROR(SEARCH("OK",J186)))</formula>
    </cfRule>
    <cfRule type="containsText" dxfId="119" priority="16" operator="containsText" text="D">
      <formula>NOT(ISERROR(SEARCH("D",J186)))</formula>
    </cfRule>
    <cfRule type="containsBlanks" dxfId="118" priority="17">
      <formula>LEN(TRIM(J186))=0</formula>
    </cfRule>
  </conditionalFormatting>
  <conditionalFormatting sqref="AO7">
    <cfRule type="duplicateValues" dxfId="117" priority="170"/>
  </conditionalFormatting>
  <conditionalFormatting sqref="AP7">
    <cfRule type="containsText" dxfId="116" priority="27" operator="containsText" text="&quot; &quot;">
      <formula>NOT(ISERROR(SEARCH(""" """,AP7)))</formula>
    </cfRule>
    <cfRule type="containsText" dxfId="115" priority="28" operator="containsText" text="CD">
      <formula>NOT(ISERROR(SEARCH("CD",AP7)))</formula>
    </cfRule>
    <cfRule type="containsText" dxfId="114" priority="29" operator="containsText" text="VAC">
      <formula>NOT(ISERROR(SEARCH("VAC",AP7)))</formula>
    </cfRule>
    <cfRule type="containsText" dxfId="113" priority="30" operator="containsText" text="LT">
      <formula>NOT(ISERROR(SEARCH("LT",AP7)))</formula>
    </cfRule>
    <cfRule type="containsText" dxfId="112" priority="31" operator="containsText" text="INC">
      <formula>NOT(ISERROR(SEARCH("INC",AP7)))</formula>
    </cfRule>
    <cfRule type="containsText" dxfId="111" priority="32" operator="containsText" text="LNR">
      <formula>NOT(ISERROR(SEARCH("LNR",AP7)))</formula>
    </cfRule>
    <cfRule type="containsText" dxfId="110" priority="33" operator="containsText" text="INC">
      <formula>NOT(ISERROR(SEARCH("INC",AP7)))</formula>
    </cfRule>
    <cfRule type="containsText" dxfId="109" priority="34" operator="containsText" text="TC">
      <formula>NOT(ISERROR(SEARCH("TC",AP7)))</formula>
    </cfRule>
    <cfRule type="containsText" dxfId="108" priority="35" operator="containsText" text="PNR">
      <formula>NOT(ISERROR(SEARCH("PNR",AP7)))</formula>
    </cfRule>
    <cfRule type="containsText" dxfId="107" priority="36" operator="containsText" text="AUS">
      <formula>NOT(ISERROR(SEARCH("AUS",AP7)))</formula>
    </cfRule>
    <cfRule type="containsText" dxfId="106" priority="37" operator="containsText" text="D">
      <formula>NOT(ISERROR(SEARCH("D",AP7)))</formula>
    </cfRule>
    <cfRule type="containsText" dxfId="105" priority="38" stopIfTrue="1" operator="containsText" text="OK">
      <formula>NOT(ISERROR(SEARCH("OK",AP7)))</formula>
    </cfRule>
    <cfRule type="containsText" dxfId="104" priority="39" operator="containsText" text="D">
      <formula>NOT(ISERROR(SEARCH("D",AP7)))</formula>
    </cfRule>
    <cfRule type="containsBlanks" dxfId="103" priority="40">
      <formula>LEN(TRIM(AP7))=0</formula>
    </cfRule>
    <cfRule type="containsText" dxfId="102" priority="41" operator="containsText" text="OK">
      <formula>NOT(ISERROR(SEARCH("OK",AP7)))</formula>
    </cfRule>
    <cfRule type="containsText" dxfId="101" priority="42" operator="containsText" text="LT">
      <formula>NOT(ISERROR(SEARCH("LT",AP7)))</formula>
    </cfRule>
    <cfRule type="containsText" dxfId="100" priority="43" operator="containsText" text="TC">
      <formula>NOT(ISERROR(SEARCH("TC",AP7)))</formula>
    </cfRule>
    <cfRule type="containsText" dxfId="99" priority="44" operator="containsText" text="REN">
      <formula>NOT(ISERROR(SEARCH("REN",AP7)))</formula>
    </cfRule>
    <cfRule type="containsText" dxfId="98" priority="45" operator="containsText" text="CD">
      <formula>NOT(ISERROR(SEARCH("CD",AP7)))</formula>
    </cfRule>
    <cfRule type="containsText" dxfId="97" priority="46" operator="containsText" text="VAC">
      <formula>NOT(ISERROR(SEARCH("VAC",AP7)))</formula>
    </cfRule>
    <cfRule type="containsText" dxfId="96" priority="47" operator="containsText" text="LNR">
      <formula>NOT(ISERROR(SEARCH("LNR",AP7)))</formula>
    </cfRule>
    <cfRule type="containsText" dxfId="95" priority="48" operator="containsText" text="S">
      <formula>NOT(ISERROR(SEARCH("S",AP7)))</formula>
    </cfRule>
    <cfRule type="containsText" dxfId="94" priority="49" operator="containsText" text="INC">
      <formula>NOT(ISERROR(SEARCH("INC",AP7)))</formula>
    </cfRule>
    <cfRule type="containsText" dxfId="93" priority="50" operator="containsText" text="D">
      <formula>NOT(ISERROR(SEARCH("D",AP7)))</formula>
    </cfRule>
    <cfRule type="containsText" dxfId="92" priority="51" operator="containsText" text="PNR">
      <formula>NOT(ISERROR(SEARCH("PNR",AP7)))</formula>
    </cfRule>
    <cfRule type="containsText" dxfId="91" priority="52" operator="containsText" text="AUS">
      <formula>NOT(ISERROR(SEARCH("AUS",AP7)))</formula>
    </cfRule>
    <cfRule type="duplicateValues" dxfId="90" priority="53"/>
  </conditionalFormatting>
  <conditionalFormatting sqref="AQ7 AS7 AU7 AY7 BA7">
    <cfRule type="duplicateValues" dxfId="89" priority="173"/>
  </conditionalFormatting>
  <conditionalFormatting sqref="AR7">
    <cfRule type="containsText" dxfId="88" priority="148" operator="containsText" text="OK">
      <formula>NOT(ISERROR(SEARCH("OK",AR7)))</formula>
    </cfRule>
    <cfRule type="containsText" dxfId="87" priority="149" operator="containsText" text="LT">
      <formula>NOT(ISERROR(SEARCH("LT",AR7)))</formula>
    </cfRule>
    <cfRule type="containsText" dxfId="86" priority="150" operator="containsText" text="TC">
      <formula>NOT(ISERROR(SEARCH("TC",AR7)))</formula>
    </cfRule>
    <cfRule type="containsText" dxfId="85" priority="151" operator="containsText" text="REN">
      <formula>NOT(ISERROR(SEARCH("REN",AR7)))</formula>
    </cfRule>
    <cfRule type="containsText" dxfId="84" priority="152" operator="containsText" text="CD">
      <formula>NOT(ISERROR(SEARCH("CD",AR7)))</formula>
    </cfRule>
    <cfRule type="containsText" dxfId="83" priority="153" operator="containsText" text="VAC">
      <formula>NOT(ISERROR(SEARCH("VAC",AR7)))</formula>
    </cfRule>
    <cfRule type="containsText" dxfId="82" priority="154" operator="containsText" text="LNR">
      <formula>NOT(ISERROR(SEARCH("LNR",AR7)))</formula>
    </cfRule>
    <cfRule type="containsText" dxfId="81" priority="155" operator="containsText" text="S">
      <formula>NOT(ISERROR(SEARCH("S",AR7)))</formula>
    </cfRule>
    <cfRule type="containsText" dxfId="80" priority="156" operator="containsText" text="INC">
      <formula>NOT(ISERROR(SEARCH("INC",AR7)))</formula>
    </cfRule>
    <cfRule type="containsText" dxfId="79" priority="157" operator="containsText" text="D">
      <formula>NOT(ISERROR(SEARCH("D",AR7)))</formula>
    </cfRule>
    <cfRule type="containsText" dxfId="78" priority="158" operator="containsText" text="PNR">
      <formula>NOT(ISERROR(SEARCH("PNR",AR7)))</formula>
    </cfRule>
    <cfRule type="containsText" dxfId="77" priority="159" operator="containsText" text="AUS">
      <formula>NOT(ISERROR(SEARCH("AUS",AR7)))</formula>
    </cfRule>
    <cfRule type="duplicateValues" dxfId="76" priority="160"/>
  </conditionalFormatting>
  <conditionalFormatting sqref="AT7">
    <cfRule type="containsText" dxfId="75" priority="135" operator="containsText" text="OK">
      <formula>NOT(ISERROR(SEARCH("OK",AT7)))</formula>
    </cfRule>
    <cfRule type="containsText" dxfId="74" priority="136" operator="containsText" text="LT">
      <formula>NOT(ISERROR(SEARCH("LT",AT7)))</formula>
    </cfRule>
    <cfRule type="containsText" dxfId="73" priority="137" operator="containsText" text="TC">
      <formula>NOT(ISERROR(SEARCH("TC",AT7)))</formula>
    </cfRule>
    <cfRule type="containsText" dxfId="72" priority="138" operator="containsText" text="REN">
      <formula>NOT(ISERROR(SEARCH("REN",AT7)))</formula>
    </cfRule>
    <cfRule type="containsText" dxfId="71" priority="139" operator="containsText" text="CD">
      <formula>NOT(ISERROR(SEARCH("CD",AT7)))</formula>
    </cfRule>
    <cfRule type="containsText" dxfId="70" priority="140" operator="containsText" text="VAC">
      <formula>NOT(ISERROR(SEARCH("VAC",AT7)))</formula>
    </cfRule>
    <cfRule type="containsText" dxfId="69" priority="141" operator="containsText" text="LNR">
      <formula>NOT(ISERROR(SEARCH("LNR",AT7)))</formula>
    </cfRule>
    <cfRule type="containsText" dxfId="68" priority="142" operator="containsText" text="S">
      <formula>NOT(ISERROR(SEARCH("S",AT7)))</formula>
    </cfRule>
    <cfRule type="containsText" dxfId="67" priority="143" operator="containsText" text="INC">
      <formula>NOT(ISERROR(SEARCH("INC",AT7)))</formula>
    </cfRule>
    <cfRule type="containsText" dxfId="66" priority="144" operator="containsText" text="D">
      <formula>NOT(ISERROR(SEARCH("D",AT7)))</formula>
    </cfRule>
    <cfRule type="containsText" dxfId="65" priority="145" operator="containsText" text="PNR">
      <formula>NOT(ISERROR(SEARCH("PNR",AT7)))</formula>
    </cfRule>
    <cfRule type="containsText" dxfId="64" priority="146" operator="containsText" text="AUS">
      <formula>NOT(ISERROR(SEARCH("AUS",AT7)))</formula>
    </cfRule>
    <cfRule type="duplicateValues" dxfId="63" priority="147"/>
  </conditionalFormatting>
  <conditionalFormatting sqref="AV7">
    <cfRule type="containsText" dxfId="62" priority="118" operator="containsText" text="PNR">
      <formula>NOT(ISERROR(SEARCH("PNR",AV7)))</formula>
    </cfRule>
    <cfRule type="containsText" dxfId="61" priority="119" operator="containsText" text="AUS">
      <formula>NOT(ISERROR(SEARCH("AUS",AV7)))</formula>
    </cfRule>
    <cfRule type="duplicateValues" dxfId="60" priority="120"/>
    <cfRule type="containsText" dxfId="59" priority="121" operator="containsText" text="&quot; &quot;">
      <formula>NOT(ISERROR(SEARCH(""" """,AV7)))</formula>
    </cfRule>
    <cfRule type="containsText" dxfId="58" priority="122" operator="containsText" text="CD">
      <formula>NOT(ISERROR(SEARCH("CD",AV7)))</formula>
    </cfRule>
    <cfRule type="containsText" dxfId="57" priority="123" operator="containsText" text="VAC">
      <formula>NOT(ISERROR(SEARCH("VAC",AV7)))</formula>
    </cfRule>
    <cfRule type="containsText" dxfId="56" priority="124" operator="containsText" text="LT">
      <formula>NOT(ISERROR(SEARCH("LT",AV7)))</formula>
    </cfRule>
    <cfRule type="containsText" dxfId="55" priority="125" operator="containsText" text="INC">
      <formula>NOT(ISERROR(SEARCH("INC",AV7)))</formula>
    </cfRule>
    <cfRule type="containsText" dxfId="54" priority="126" operator="containsText" text="LNR">
      <formula>NOT(ISERROR(SEARCH("LNR",AV7)))</formula>
    </cfRule>
    <cfRule type="containsText" dxfId="53" priority="127" operator="containsText" text="INC">
      <formula>NOT(ISERROR(SEARCH("INC",AV7)))</formula>
    </cfRule>
    <cfRule type="containsText" dxfId="52" priority="128" operator="containsText" text="TC">
      <formula>NOT(ISERROR(SEARCH("TC",AV7)))</formula>
    </cfRule>
    <cfRule type="containsText" dxfId="51" priority="129" operator="containsText" text="PNR">
      <formula>NOT(ISERROR(SEARCH("PNR",AV7)))</formula>
    </cfRule>
    <cfRule type="containsText" dxfId="50" priority="130" operator="containsText" text="AUS">
      <formula>NOT(ISERROR(SEARCH("AUS",AV7)))</formula>
    </cfRule>
    <cfRule type="containsText" dxfId="49" priority="131" operator="containsText" text="D">
      <formula>NOT(ISERROR(SEARCH("D",AV7)))</formula>
    </cfRule>
    <cfRule type="containsText" dxfId="48" priority="132" stopIfTrue="1" operator="containsText" text="OK">
      <formula>NOT(ISERROR(SEARCH("OK",AV7)))</formula>
    </cfRule>
    <cfRule type="containsText" dxfId="47" priority="133" operator="containsText" text="D">
      <formula>NOT(ISERROR(SEARCH("D",AV7)))</formula>
    </cfRule>
    <cfRule type="containsBlanks" dxfId="46" priority="134">
      <formula>LEN(TRIM(AV7))=0</formula>
    </cfRule>
  </conditionalFormatting>
  <conditionalFormatting sqref="AV7:AW7">
    <cfRule type="containsText" dxfId="45" priority="104" operator="containsText" text="D">
      <formula>NOT(ISERROR(SEARCH("D",AV7)))</formula>
    </cfRule>
  </conditionalFormatting>
  <conditionalFormatting sqref="AV7:AX7">
    <cfRule type="containsText" dxfId="44" priority="54" operator="containsText" text="OK">
      <formula>NOT(ISERROR(SEARCH("OK",AV7)))</formula>
    </cfRule>
    <cfRule type="containsText" dxfId="43" priority="55" operator="containsText" text="LT">
      <formula>NOT(ISERROR(SEARCH("LT",AV7)))</formula>
    </cfRule>
    <cfRule type="containsText" dxfId="42" priority="56" operator="containsText" text="TC">
      <formula>NOT(ISERROR(SEARCH("TC",AV7)))</formula>
    </cfRule>
    <cfRule type="containsText" dxfId="41" priority="57" operator="containsText" text="REN">
      <formula>NOT(ISERROR(SEARCH("REN",AV7)))</formula>
    </cfRule>
    <cfRule type="containsText" dxfId="40" priority="58" operator="containsText" text="CD">
      <formula>NOT(ISERROR(SEARCH("CD",AV7)))</formula>
    </cfRule>
    <cfRule type="containsText" dxfId="39" priority="59" operator="containsText" text="VAC">
      <formula>NOT(ISERROR(SEARCH("VAC",AV7)))</formula>
    </cfRule>
    <cfRule type="containsText" dxfId="38" priority="60" operator="containsText" text="LNR">
      <formula>NOT(ISERROR(SEARCH("LNR",AV7)))</formula>
    </cfRule>
    <cfRule type="containsText" dxfId="37" priority="61" operator="containsText" text="S">
      <formula>NOT(ISERROR(SEARCH("S",AV7)))</formula>
    </cfRule>
    <cfRule type="containsText" dxfId="36" priority="62" operator="containsText" text="INC">
      <formula>NOT(ISERROR(SEARCH("INC",AV7)))</formula>
    </cfRule>
  </conditionalFormatting>
  <conditionalFormatting sqref="AW7">
    <cfRule type="containsText" dxfId="35" priority="91" operator="containsText" text="PNR">
      <formula>NOT(ISERROR(SEARCH("PNR",AW7)))</formula>
    </cfRule>
    <cfRule type="containsText" dxfId="34" priority="92" operator="containsText" text="AUS">
      <formula>NOT(ISERROR(SEARCH("AUS",AW7)))</formula>
    </cfRule>
    <cfRule type="duplicateValues" dxfId="33" priority="93"/>
    <cfRule type="containsText" dxfId="32" priority="94" operator="containsText" text="&quot; &quot;">
      <formula>NOT(ISERROR(SEARCH(""" """,AW7)))</formula>
    </cfRule>
    <cfRule type="containsText" dxfId="31" priority="95" operator="containsText" text="CD">
      <formula>NOT(ISERROR(SEARCH("CD",AW7)))</formula>
    </cfRule>
    <cfRule type="containsText" dxfId="30" priority="96" operator="containsText" text="VAC">
      <formula>NOT(ISERROR(SEARCH("VAC",AW7)))</formula>
    </cfRule>
    <cfRule type="containsText" dxfId="29" priority="97" operator="containsText" text="LT">
      <formula>NOT(ISERROR(SEARCH("LT",AW7)))</formula>
    </cfRule>
    <cfRule type="containsText" dxfId="28" priority="98" operator="containsText" text="INC">
      <formula>NOT(ISERROR(SEARCH("INC",AW7)))</formula>
    </cfRule>
    <cfRule type="containsText" dxfId="27" priority="99" operator="containsText" text="LNR">
      <formula>NOT(ISERROR(SEARCH("LNR",AW7)))</formula>
    </cfRule>
    <cfRule type="containsText" dxfId="26" priority="100" operator="containsText" text="INC">
      <formula>NOT(ISERROR(SEARCH("INC",AW7)))</formula>
    </cfRule>
    <cfRule type="containsText" dxfId="25" priority="101" operator="containsText" text="TC">
      <formula>NOT(ISERROR(SEARCH("TC",AW7)))</formula>
    </cfRule>
    <cfRule type="containsText" dxfId="24" priority="102" operator="containsText" text="PNR">
      <formula>NOT(ISERROR(SEARCH("PNR",AW7)))</formula>
    </cfRule>
    <cfRule type="containsText" dxfId="23" priority="103" operator="containsText" text="AUS">
      <formula>NOT(ISERROR(SEARCH("AUS",AW7)))</formula>
    </cfRule>
    <cfRule type="containsText" dxfId="22" priority="105" stopIfTrue="1" operator="containsText" text="OK">
      <formula>NOT(ISERROR(SEARCH("OK",AW7)))</formula>
    </cfRule>
    <cfRule type="containsText" dxfId="21" priority="106" operator="containsText" text="D">
      <formula>NOT(ISERROR(SEARCH("D",AW7)))</formula>
    </cfRule>
    <cfRule type="containsBlanks" dxfId="20" priority="107">
      <formula>LEN(TRIM(AW7))=0</formula>
    </cfRule>
  </conditionalFormatting>
  <conditionalFormatting sqref="AW7:AX7">
    <cfRule type="containsText" dxfId="19" priority="77" operator="containsText" text="D">
      <formula>NOT(ISERROR(SEARCH("D",AW7)))</formula>
    </cfRule>
  </conditionalFormatting>
  <conditionalFormatting sqref="AX7">
    <cfRule type="containsText" dxfId="18" priority="63" operator="containsText" text="D">
      <formula>NOT(ISERROR(SEARCH("D",AX7)))</formula>
    </cfRule>
    <cfRule type="containsText" dxfId="17" priority="64" operator="containsText" text="PNR">
      <formula>NOT(ISERROR(SEARCH("PNR",AX7)))</formula>
    </cfRule>
    <cfRule type="containsText" dxfId="16" priority="65" operator="containsText" text="AUS">
      <formula>NOT(ISERROR(SEARCH("AUS",AX7)))</formula>
    </cfRule>
    <cfRule type="duplicateValues" dxfId="15" priority="66"/>
    <cfRule type="containsText" dxfId="14" priority="67" operator="containsText" text="&quot; &quot;">
      <formula>NOT(ISERROR(SEARCH(""" """,AX7)))</formula>
    </cfRule>
    <cfRule type="containsText" dxfId="13" priority="68" operator="containsText" text="CD">
      <formula>NOT(ISERROR(SEARCH("CD",AX7)))</formula>
    </cfRule>
    <cfRule type="containsText" dxfId="12" priority="69" operator="containsText" text="VAC">
      <formula>NOT(ISERROR(SEARCH("VAC",AX7)))</formula>
    </cfRule>
    <cfRule type="containsText" dxfId="11" priority="70" operator="containsText" text="LT">
      <formula>NOT(ISERROR(SEARCH("LT",AX7)))</formula>
    </cfRule>
    <cfRule type="containsText" dxfId="10" priority="71" operator="containsText" text="INC">
      <formula>NOT(ISERROR(SEARCH("INC",AX7)))</formula>
    </cfRule>
    <cfRule type="containsText" dxfId="9" priority="72" operator="containsText" text="LNR">
      <formula>NOT(ISERROR(SEARCH("LNR",AX7)))</formula>
    </cfRule>
    <cfRule type="containsText" dxfId="8" priority="73" operator="containsText" text="INC">
      <formula>NOT(ISERROR(SEARCH("INC",AX7)))</formula>
    </cfRule>
    <cfRule type="containsText" dxfId="7" priority="74" operator="containsText" text="TC">
      <formula>NOT(ISERROR(SEARCH("TC",AX7)))</formula>
    </cfRule>
    <cfRule type="containsText" dxfId="6" priority="75" operator="containsText" text="PNR">
      <formula>NOT(ISERROR(SEARCH("PNR",AX7)))</formula>
    </cfRule>
    <cfRule type="containsText" dxfId="5" priority="76" operator="containsText" text="AUS">
      <formula>NOT(ISERROR(SEARCH("AUS",AX7)))</formula>
    </cfRule>
    <cfRule type="containsText" dxfId="4" priority="78" stopIfTrue="1" operator="containsText" text="OK">
      <formula>NOT(ISERROR(SEARCH("OK",AX7)))</formula>
    </cfRule>
    <cfRule type="containsText" dxfId="3" priority="79" operator="containsText" text="D">
      <formula>NOT(ISERROR(SEARCH("D",AX7)))</formula>
    </cfRule>
    <cfRule type="containsBlanks" dxfId="2" priority="80">
      <formula>LEN(TRIM(AX7))=0</formula>
    </cfRule>
  </conditionalFormatting>
  <conditionalFormatting sqref="AZ7">
    <cfRule type="duplicateValues" dxfId="1" priority="1"/>
  </conditionalFormatting>
  <conditionalFormatting sqref="BB7">
    <cfRule type="duplicateValues" dxfId="0" priority="168"/>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6" id="{C4DAAF84-AE5E-43F3-A37A-3BFE7707E6AA}">
            <xm:f>MATCH(J$8,'C:\Users\jcrodriguez\Downloads\[CONRTROL PERSONAL ALCALDIA DE BOGOTA. ABRIL.xlsx]FECHAS'!#REF!,0)&gt;0</xm:f>
            <x14:dxf>
              <font>
                <b/>
                <i val="0"/>
                <color theme="0"/>
              </font>
              <fill>
                <patternFill>
                  <bgColor rgb="FFFF0000"/>
                </patternFill>
              </fill>
            </x14:dxf>
          </x14:cfRule>
          <x14:cfRule type="expression" priority="172" id="{A636C539-77FA-436E-BEB1-577D53FE81C6}">
            <xm:f>MATCH(J$8,'C:\Users\jcrodriguez\OneDrive - Serviasesorias SAS\Documentos\DIAN\[NOMINA COORDINADORES ENERO 2026.xlsm]FECHA'!#REF!,0)&gt;0</xm:f>
            <x14:dxf>
              <font>
                <b/>
                <i val="0"/>
                <color theme="0"/>
              </font>
              <fill>
                <patternFill>
                  <bgColor rgb="FFFF0000"/>
                </patternFill>
              </fill>
            </x14:dxf>
          </x14:cfRule>
          <xm:sqref>J7:AM8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0000000}">
          <x14:formula1>
            <xm:f>'C:\Users\jcrodriguez\Downloads\[CONRTROL PERSONAL ALCALDIA DE BOGOTA. ABRIL.xlsx]FECHAS'!#REF!</xm:f>
          </x14:formula1>
          <xm:sqref>B2:C2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D2:T37"/>
  <sheetViews>
    <sheetView topLeftCell="F1" workbookViewId="0">
      <selection activeCell="O4" sqref="O4"/>
    </sheetView>
  </sheetViews>
  <sheetFormatPr baseColWidth="10" defaultRowHeight="15"/>
  <cols>
    <col min="4" max="4" width="15.140625" bestFit="1" customWidth="1"/>
    <col min="7" max="7" width="6.5703125" customWidth="1"/>
    <col min="9" max="9" width="11.140625" bestFit="1" customWidth="1"/>
    <col min="11" max="11" width="14.140625" bestFit="1" customWidth="1"/>
    <col min="12" max="12" width="16.140625" bestFit="1" customWidth="1"/>
    <col min="13" max="14" width="15.140625" bestFit="1" customWidth="1"/>
    <col min="15" max="15" width="19" customWidth="1"/>
    <col min="16" max="16" width="13.140625" customWidth="1"/>
    <col min="17" max="17" width="15.140625" bestFit="1" customWidth="1"/>
    <col min="18" max="18" width="13.42578125" customWidth="1"/>
    <col min="19" max="19" width="11.5703125" bestFit="1" customWidth="1"/>
    <col min="20" max="20" width="17.140625" customWidth="1"/>
  </cols>
  <sheetData>
    <row r="2" spans="4:20" ht="45">
      <c r="D2" s="140" t="s">
        <v>703</v>
      </c>
      <c r="E2" s="140" t="s">
        <v>609</v>
      </c>
      <c r="F2" s="140" t="s">
        <v>610</v>
      </c>
      <c r="G2" s="140" t="s">
        <v>611</v>
      </c>
      <c r="M2" s="204">
        <v>0.1</v>
      </c>
      <c r="N2" s="204">
        <v>0.19</v>
      </c>
    </row>
    <row r="3" spans="4:20">
      <c r="D3" s="222" t="s">
        <v>612</v>
      </c>
      <c r="E3" s="223">
        <v>191</v>
      </c>
      <c r="F3" s="222">
        <v>30</v>
      </c>
      <c r="G3" s="224">
        <f>+E3*F3</f>
        <v>5730</v>
      </c>
      <c r="I3">
        <f>+G18</f>
        <v>5681</v>
      </c>
      <c r="K3" s="215">
        <f>3484407.594981/30</f>
        <v>116146.91983269999</v>
      </c>
      <c r="L3" s="51">
        <f>+K3*G3</f>
        <v>665521850.64137089</v>
      </c>
      <c r="M3" s="205">
        <f>+L3*M2</f>
        <v>66552185.064137094</v>
      </c>
      <c r="N3" s="205">
        <f>+M3*N2</f>
        <v>12644915.162186047</v>
      </c>
      <c r="O3" s="205">
        <f>SUM(L3:N3)</f>
        <v>744718950.86769402</v>
      </c>
    </row>
    <row r="4" spans="4:20">
      <c r="D4" t="s">
        <v>613</v>
      </c>
      <c r="L4" s="51">
        <f>+K3*I3</f>
        <v>659830651.56956863</v>
      </c>
      <c r="M4" s="205">
        <f>+L4*M2</f>
        <v>65983065.156956866</v>
      </c>
      <c r="N4" s="205">
        <f>+M4*N2</f>
        <v>12536782.379821805</v>
      </c>
      <c r="O4" s="206">
        <f>SUM(L4:N4)</f>
        <v>738350499.10634732</v>
      </c>
    </row>
    <row r="5" spans="4:20">
      <c r="D5" t="s">
        <v>702</v>
      </c>
      <c r="L5" s="205">
        <f>+L3-L4</f>
        <v>5691199.0718022585</v>
      </c>
      <c r="M5" s="205"/>
      <c r="N5" s="205"/>
      <c r="O5" s="205">
        <f>+O3-O4</f>
        <v>6368451.7613466978</v>
      </c>
      <c r="P5" s="52">
        <f>+O5/K3</f>
        <v>54.830999999999349</v>
      </c>
    </row>
    <row r="6" spans="4:20">
      <c r="D6" t="s">
        <v>614</v>
      </c>
      <c r="G6">
        <f>+'LICENCIA DE LUTO'!AO11</f>
        <v>11</v>
      </c>
      <c r="L6" s="219">
        <f>+L5/K3</f>
        <v>48.999999999999645</v>
      </c>
      <c r="M6" s="205"/>
      <c r="N6" s="205"/>
      <c r="O6" s="205"/>
    </row>
    <row r="7" spans="4:20">
      <c r="D7" t="s">
        <v>1177</v>
      </c>
      <c r="G7">
        <f>+PNR!AO10</f>
        <v>4</v>
      </c>
      <c r="L7" s="219"/>
      <c r="M7" s="205"/>
      <c r="N7" s="205"/>
      <c r="O7" s="205"/>
    </row>
    <row r="8" spans="4:20">
      <c r="D8" t="s">
        <v>615</v>
      </c>
      <c r="G8">
        <f>+'CALAMIDAD.'!AO13</f>
        <v>6</v>
      </c>
    </row>
    <row r="9" spans="4:20">
      <c r="D9" t="s">
        <v>616</v>
      </c>
      <c r="G9">
        <f>+INCAPACIDADES!AO32</f>
        <v>64</v>
      </c>
      <c r="N9" t="s">
        <v>704</v>
      </c>
      <c r="O9" s="51">
        <f>+O4</f>
        <v>738350499.10634732</v>
      </c>
    </row>
    <row r="10" spans="4:20">
      <c r="D10" t="s">
        <v>617</v>
      </c>
      <c r="G10">
        <f>+AUSENCIAS!AO15</f>
        <v>7</v>
      </c>
      <c r="N10" t="s">
        <v>705</v>
      </c>
      <c r="O10" s="51">
        <f>ABRILMAQUI</f>
        <v>14891643.237110997</v>
      </c>
    </row>
    <row r="11" spans="4:20" ht="15.75" thickBot="1">
      <c r="D11" s="218" t="s">
        <v>733</v>
      </c>
      <c r="E11" s="218"/>
      <c r="F11" s="218"/>
      <c r="G11" s="218">
        <f>SUM(G4:G10)</f>
        <v>92</v>
      </c>
      <c r="N11" t="s">
        <v>776</v>
      </c>
      <c r="O11" s="51">
        <f>ABRILINSU</f>
        <v>70714600.622728795</v>
      </c>
    </row>
    <row r="12" spans="4:20" ht="19.5" thickTop="1">
      <c r="N12" t="s">
        <v>356</v>
      </c>
      <c r="O12" s="207">
        <f>SUM(O9:O11)</f>
        <v>823956742.96618712</v>
      </c>
    </row>
    <row r="13" spans="4:20">
      <c r="D13" t="s">
        <v>618</v>
      </c>
      <c r="G13">
        <f>+SUPERNUMERARIAS!BB12</f>
        <v>88</v>
      </c>
      <c r="N13" t="s">
        <v>706</v>
      </c>
      <c r="O13" s="205" t="e">
        <f>CONSOLFAC</f>
        <v>#REF!</v>
      </c>
    </row>
    <row r="14" spans="4:20" ht="15.75" thickBot="1">
      <c r="D14" s="218" t="s">
        <v>734</v>
      </c>
      <c r="E14" s="218"/>
      <c r="F14" s="218"/>
      <c r="G14" s="218">
        <f>SUM(G13)</f>
        <v>88</v>
      </c>
      <c r="O14" s="205" t="e">
        <f>+O12-O13</f>
        <v>#REF!</v>
      </c>
    </row>
    <row r="15" spans="4:20" ht="15.75" thickTop="1"/>
    <row r="16" spans="4:20">
      <c r="N16" s="220" t="s">
        <v>738</v>
      </c>
      <c r="O16" s="220" t="s">
        <v>742</v>
      </c>
      <c r="P16" s="220" t="s">
        <v>4</v>
      </c>
      <c r="Q16" s="220" t="s">
        <v>121</v>
      </c>
      <c r="R16" s="220" t="s">
        <v>146</v>
      </c>
      <c r="S16" s="220" t="s">
        <v>147</v>
      </c>
      <c r="T16" s="220" t="s">
        <v>356</v>
      </c>
    </row>
    <row r="17" spans="4:20">
      <c r="D17" t="s">
        <v>737</v>
      </c>
      <c r="G17">
        <f>+G3</f>
        <v>5730</v>
      </c>
      <c r="N17" t="s">
        <v>739</v>
      </c>
      <c r="O17" s="51">
        <v>263145</v>
      </c>
      <c r="P17">
        <v>40</v>
      </c>
      <c r="Q17" s="205">
        <f>+O17*P17</f>
        <v>10525800</v>
      </c>
      <c r="R17" s="205"/>
      <c r="S17" s="205"/>
      <c r="T17" s="205">
        <f>SUM(O17:S17)</f>
        <v>10788985</v>
      </c>
    </row>
    <row r="18" spans="4:20">
      <c r="D18" t="s">
        <v>736</v>
      </c>
      <c r="G18">
        <f>+'PERSONAL JULIO'!E115</f>
        <v>5681</v>
      </c>
      <c r="I18">
        <v>5681</v>
      </c>
      <c r="N18" t="s">
        <v>740</v>
      </c>
      <c r="O18" s="51">
        <v>543030</v>
      </c>
      <c r="P18">
        <v>2</v>
      </c>
      <c r="Q18" s="205">
        <f t="shared" ref="Q18:Q19" si="0">+O18*P18</f>
        <v>1086060</v>
      </c>
      <c r="R18" s="205"/>
      <c r="S18" s="205"/>
      <c r="T18" s="205">
        <f t="shared" ref="T18:T19" si="1">SUM(O18:S18)</f>
        <v>1629092</v>
      </c>
    </row>
    <row r="19" spans="4:20" ht="15.75" thickBot="1">
      <c r="D19" s="218" t="s">
        <v>735</v>
      </c>
      <c r="E19" s="218"/>
      <c r="F19" s="218"/>
      <c r="G19" s="218">
        <f>+G17-G18</f>
        <v>49</v>
      </c>
      <c r="I19">
        <f>+G17-I18</f>
        <v>49</v>
      </c>
      <c r="N19" t="s">
        <v>741</v>
      </c>
      <c r="O19" s="51">
        <v>194000</v>
      </c>
      <c r="P19">
        <v>1</v>
      </c>
      <c r="Q19" s="205">
        <f t="shared" si="0"/>
        <v>194000</v>
      </c>
      <c r="R19" s="205"/>
      <c r="S19" s="205"/>
      <c r="T19" s="205">
        <f t="shared" si="1"/>
        <v>388001</v>
      </c>
    </row>
    <row r="20" spans="4:20" ht="16.5" thickTop="1" thickBot="1">
      <c r="O20" s="52">
        <f>SUM(O17:O19)</f>
        <v>1000175</v>
      </c>
      <c r="P20" s="52">
        <f>SUM(P17:P19)</f>
        <v>43</v>
      </c>
      <c r="Q20" s="52">
        <f>SUM(Q17:Q19)</f>
        <v>11805860</v>
      </c>
      <c r="R20" s="304" t="s">
        <v>148</v>
      </c>
      <c r="S20" s="304"/>
      <c r="T20" s="221">
        <f>SUM(T17:T19)</f>
        <v>12806078</v>
      </c>
    </row>
    <row r="21" spans="4:20" ht="15.75" thickTop="1"/>
    <row r="22" spans="4:20">
      <c r="Q22" s="42"/>
      <c r="T22" s="52">
        <f>+T20-O20-P20</f>
        <v>11805860</v>
      </c>
    </row>
    <row r="23" spans="4:20">
      <c r="P23" s="204"/>
      <c r="Q23" s="42"/>
    </row>
    <row r="24" spans="4:20">
      <c r="P24" s="204"/>
      <c r="T24" s="52" t="s">
        <v>511</v>
      </c>
    </row>
    <row r="25" spans="4:20">
      <c r="P25" s="204"/>
      <c r="Q25" s="239"/>
    </row>
    <row r="28" spans="4:20">
      <c r="N28" s="220" t="s">
        <v>738</v>
      </c>
      <c r="O28" s="220" t="s">
        <v>742</v>
      </c>
      <c r="P28" s="220" t="s">
        <v>4</v>
      </c>
      <c r="Q28" s="220" t="s">
        <v>121</v>
      </c>
      <c r="R28" s="220" t="s">
        <v>146</v>
      </c>
      <c r="S28" s="220" t="s">
        <v>147</v>
      </c>
      <c r="T28" s="220" t="s">
        <v>356</v>
      </c>
    </row>
    <row r="29" spans="4:20">
      <c r="N29" t="s">
        <v>739</v>
      </c>
      <c r="O29" s="51">
        <v>263145</v>
      </c>
      <c r="P29">
        <v>40</v>
      </c>
      <c r="Q29" s="205">
        <f>+O29*P29</f>
        <v>10525800</v>
      </c>
      <c r="R29" s="205"/>
      <c r="S29" s="205"/>
      <c r="T29" s="205">
        <f>SUM(Q29:S29)</f>
        <v>10525800</v>
      </c>
    </row>
    <row r="30" spans="4:20">
      <c r="N30" t="s">
        <v>740</v>
      </c>
      <c r="O30" s="51">
        <v>543030</v>
      </c>
      <c r="P30">
        <v>2</v>
      </c>
      <c r="Q30" s="205">
        <f t="shared" ref="Q30:Q31" si="2">+O30*P30</f>
        <v>1086060</v>
      </c>
      <c r="R30" s="205"/>
      <c r="S30" s="205"/>
      <c r="T30" s="205">
        <f t="shared" ref="T30:T31" si="3">SUM(Q30:S30)</f>
        <v>1086060</v>
      </c>
    </row>
    <row r="31" spans="4:20">
      <c r="N31" t="s">
        <v>741</v>
      </c>
      <c r="O31" s="51">
        <v>194000</v>
      </c>
      <c r="P31">
        <v>1</v>
      </c>
      <c r="Q31" s="205">
        <f t="shared" si="2"/>
        <v>194000</v>
      </c>
      <c r="R31" s="205"/>
      <c r="S31" s="205"/>
      <c r="T31" s="205">
        <f t="shared" si="3"/>
        <v>194000</v>
      </c>
    </row>
    <row r="32" spans="4:20">
      <c r="O32" s="52">
        <f>SUM(O29:O31)</f>
        <v>1000175</v>
      </c>
      <c r="P32" s="52">
        <f>SUM(P29:P31)</f>
        <v>43</v>
      </c>
      <c r="Q32" s="52">
        <f>SUM(Q29:Q31)</f>
        <v>11805860</v>
      </c>
    </row>
    <row r="35" spans="18:20" ht="15.75" thickBot="1">
      <c r="R35" s="304" t="s">
        <v>148</v>
      </c>
      <c r="S35" s="304"/>
      <c r="T35" s="221">
        <f>SUM(T29:T31)</f>
        <v>11805860</v>
      </c>
    </row>
    <row r="36" spans="18:20" ht="15.75" thickTop="1"/>
    <row r="37" spans="18:20">
      <c r="T37" s="239">
        <f>+T20-T35</f>
        <v>1000218</v>
      </c>
    </row>
  </sheetData>
  <mergeCells count="2">
    <mergeCell ref="R20:S20"/>
    <mergeCell ref="R35:S35"/>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D2:D26"/>
  <sheetViews>
    <sheetView workbookViewId="0">
      <selection activeCell="D26" sqref="D26"/>
    </sheetView>
  </sheetViews>
  <sheetFormatPr baseColWidth="10" defaultRowHeight="15"/>
  <cols>
    <col min="4" max="4" width="34.140625" bestFit="1" customWidth="1"/>
  </cols>
  <sheetData>
    <row r="2" spans="4:4">
      <c r="D2" t="s">
        <v>161</v>
      </c>
    </row>
    <row r="3" spans="4:4">
      <c r="D3" t="s">
        <v>162</v>
      </c>
    </row>
    <row r="4" spans="4:4">
      <c r="D4" t="s">
        <v>163</v>
      </c>
    </row>
    <row r="5" spans="4:4">
      <c r="D5" t="s">
        <v>164</v>
      </c>
    </row>
    <row r="6" spans="4:4">
      <c r="D6" t="s">
        <v>165</v>
      </c>
    </row>
    <row r="7" spans="4:4">
      <c r="D7" t="s">
        <v>166</v>
      </c>
    </row>
    <row r="8" spans="4:4">
      <c r="D8" t="s">
        <v>167</v>
      </c>
    </row>
    <row r="9" spans="4:4">
      <c r="D9" t="s">
        <v>168</v>
      </c>
    </row>
    <row r="10" spans="4:4">
      <c r="D10" t="s">
        <v>169</v>
      </c>
    </row>
    <row r="11" spans="4:4">
      <c r="D11" t="s">
        <v>170</v>
      </c>
    </row>
    <row r="12" spans="4:4">
      <c r="D12" t="s">
        <v>171</v>
      </c>
    </row>
    <row r="13" spans="4:4">
      <c r="D13" t="s">
        <v>172</v>
      </c>
    </row>
    <row r="14" spans="4:4">
      <c r="D14" t="s">
        <v>173</v>
      </c>
    </row>
    <row r="15" spans="4:4">
      <c r="D15" t="s">
        <v>174</v>
      </c>
    </row>
    <row r="16" spans="4:4">
      <c r="D16" t="s">
        <v>175</v>
      </c>
    </row>
    <row r="17" spans="4:4">
      <c r="D17" t="s">
        <v>176</v>
      </c>
    </row>
    <row r="18" spans="4:4">
      <c r="D18" t="s">
        <v>177</v>
      </c>
    </row>
    <row r="19" spans="4:4">
      <c r="D19" t="s">
        <v>178</v>
      </c>
    </row>
    <row r="20" spans="4:4">
      <c r="D20" t="s">
        <v>179</v>
      </c>
    </row>
    <row r="21" spans="4:4">
      <c r="D21" t="s">
        <v>180</v>
      </c>
    </row>
    <row r="22" spans="4:4">
      <c r="D22" t="s">
        <v>181</v>
      </c>
    </row>
    <row r="23" spans="4:4">
      <c r="D23" t="s">
        <v>182</v>
      </c>
    </row>
    <row r="24" spans="4:4">
      <c r="D24" t="s">
        <v>183</v>
      </c>
    </row>
    <row r="25" spans="4:4">
      <c r="D25" t="s">
        <v>184</v>
      </c>
    </row>
    <row r="26" spans="4:4">
      <c r="D26"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4</vt:i4>
      </vt:variant>
    </vt:vector>
  </HeadingPairs>
  <TitlesOfParts>
    <vt:vector size="27" baseType="lpstr">
      <vt:lpstr>CONSOLIDADO POR SEDE</vt:lpstr>
      <vt:lpstr>RUBROS JULIO</vt:lpstr>
      <vt:lpstr>NOMINA JULIO</vt:lpstr>
      <vt:lpstr>SUPERNUMERARIAS</vt:lpstr>
      <vt:lpstr>PERSONAL JULIO</vt:lpstr>
      <vt:lpstr>RESUMEN GENERAL POR SEDE</vt:lpstr>
      <vt:lpstr>MAQUINARIA</vt:lpstr>
      <vt:lpstr>LICENCIA DE LUTO</vt:lpstr>
      <vt:lpstr>CALAMIDAD.</vt:lpstr>
      <vt:lpstr>PNR</vt:lpstr>
      <vt:lpstr>INCAPACIDADES</vt:lpstr>
      <vt:lpstr>RENUNCIAS</vt:lpstr>
      <vt:lpstr>AUSENCIAS</vt:lpstr>
      <vt:lpstr>PEDIDO JULIO</vt:lpstr>
      <vt:lpstr>INSUMOS  JULIO</vt:lpstr>
      <vt:lpstr>MATRIZ INSUMOS </vt:lpstr>
      <vt:lpstr>CONSOLIDADO POR SEDE JUNIO</vt:lpstr>
      <vt:lpstr>RECARGA ASPERSORES</vt:lpstr>
      <vt:lpstr>Hoja5</vt:lpstr>
      <vt:lpstr>RUBROS</vt:lpstr>
      <vt:lpstr>NOMINA ABRIL</vt:lpstr>
      <vt:lpstr>CONSOLIDADO</vt:lpstr>
      <vt:lpstr>Hoja3</vt:lpstr>
      <vt:lpstr>ABRILINSU</vt:lpstr>
      <vt:lpstr>ABRILMAQUI</vt:lpstr>
      <vt:lpstr>'RECARGA ASPERSORES'!CONSOLFAC</vt:lpstr>
      <vt:lpstr>INSUMOABRIL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Rodriguez</dc:creator>
  <cp:lastModifiedBy>Edgar Edidier Avila Benavides</cp:lastModifiedBy>
  <dcterms:created xsi:type="dcterms:W3CDTF">2026-03-22T03:09:59Z</dcterms:created>
  <dcterms:modified xsi:type="dcterms:W3CDTF">2026-08-13T15:09:00Z</dcterms:modified>
</cp:coreProperties>
</file>